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iteen\"/>
    </mc:Choice>
  </mc:AlternateContent>
  <xr:revisionPtr revIDLastSave="0" documentId="13_ncr:1_{2F176355-478E-4B78-97D2-657AFC79E882}" xr6:coauthVersionLast="47" xr6:coauthVersionMax="47" xr10:uidLastSave="{00000000-0000-0000-0000-000000000000}"/>
  <bookViews>
    <workbookView xWindow="-120" yWindow="-120" windowWidth="29040" windowHeight="15840" xr2:uid="{00000000-000D-0000-FFFF-FFFF00000000}"/>
  </bookViews>
  <sheets>
    <sheet name="База викладачів" sheetId="1" r:id="rId1"/>
    <sheet name="З школи до Study" sheetId="2" r:id="rId2"/>
    <sheet name="База Students Care" sheetId="3" r:id="rId3"/>
    <sheet name="звільнено" sheetId="4" r:id="rId4"/>
    <sheet name="Старші викладачі" sheetId="5" r:id="rId5"/>
    <sheet name="Заміни 2.0" sheetId="6" r:id="rId6"/>
    <sheet name="База CE" sheetId="7" r:id="rId7"/>
    <sheet name="Привели учнів" sheetId="8" r:id="rId8"/>
    <sheet name="ОКЯ " sheetId="9" r:id="rId9"/>
    <sheet name="База сапортів" sheetId="10" state="hidden" r:id="rId10"/>
    <sheet name="Заміни" sheetId="11" state="hidden" r:id="rId11"/>
    <sheet name="Статистика вільних слотів" sheetId="12" state="hidden" r:id="rId12"/>
    <sheet name="Рейтинг викладачів" sheetId="13" r:id="rId13"/>
    <sheet name="Настройка" sheetId="14" r:id="rId14"/>
    <sheet name="Лист26" sheetId="15" r:id="rId15"/>
    <sheet name="Дропаут по курсам" sheetId="16" state="hidden" r:id="rId16"/>
    <sheet name="Настройка 2023" sheetId="17" state="hidden" r:id="rId17"/>
    <sheet name="Контакти викладачів(архів)" sheetId="18" state="hidden" r:id="rId18"/>
  </sheets>
  <definedNames>
    <definedName name="_xlnm._FilterDatabase" localSheetId="6" hidden="1">'База CE'!$A$2:$E$65</definedName>
    <definedName name="_xlnm._FilterDatabase" localSheetId="0" hidden="1">'База викладачів'!$A$1:$R$3102</definedName>
    <definedName name="_xlnm._FilterDatabase" localSheetId="1" hidden="1">'З школи до Study'!$J$1:$J$2012</definedName>
    <definedName name="_xlnm._FilterDatabase" localSheetId="10" hidden="1">Заміни!$C$1:$C$1000</definedName>
    <definedName name="_xlnm._FilterDatabase" localSheetId="5" hidden="1">'Заміни 2.0'!$A$1:$M$1423</definedName>
    <definedName name="_xlnm._FilterDatabase" localSheetId="17" hidden="1">'Контакти викладачів(архів)'!$V$1:$V$1000</definedName>
    <definedName name="Z_006F3222_7E9E_4060_B9BE_0268F2752A85_.wvu.FilterData" localSheetId="0" hidden="1">'База викладачів'!#REF!</definedName>
    <definedName name="Z_00BDCD11_8950_458E_BFDF_570FE91CC33A_.wvu.FilterData" localSheetId="0" hidden="1">'База викладачів'!$E$1:$F$3102</definedName>
    <definedName name="Z_015A461E_D58F_448E_950B_93953962224B_.wvu.FilterData" localSheetId="0" hidden="1">'База викладачів'!$E$1:$F$3102</definedName>
    <definedName name="Z_01A57BB1_E18B_4457_9669_5B6B2BB7C71C_.wvu.FilterData" localSheetId="0" hidden="1">'База викладачів'!$E$1:$F$3095</definedName>
    <definedName name="Z_029C0AF8_D12A_4EF5_921B_4AA58947806F_.wvu.FilterData" localSheetId="0" hidden="1">'База викладачів'!$E$1:$E$1906</definedName>
    <definedName name="Z_029C0AF8_D12A_4EF5_921B_4AA58947806F_.wvu.FilterData" localSheetId="1" hidden="1">'З школи до Study'!$D$1:$D$2012</definedName>
    <definedName name="Z_05028320_0C0B_49D7_A526_6E8AFF5377D9_.wvu.FilterData" localSheetId="0" hidden="1">'База викладачів'!$A$2:$R$2905</definedName>
    <definedName name="Z_0A496995_8A54_4FAF_B4AB_22D1612CBD21_.wvu.FilterData" localSheetId="0" hidden="1">'База викладачів'!$E$1:$E$3102</definedName>
    <definedName name="Z_0B23F442_1C07_467C_B078_81B2B7170F33_.wvu.FilterData" localSheetId="0" hidden="1">'База викладачів'!$E$1:$F$3000</definedName>
    <definedName name="Z_0BEEBA6C_20F2_40F5_A3E5_9C3ED9FC7892_.wvu.FilterData" localSheetId="0" hidden="1">'База викладачів'!$E$1:$E$2905</definedName>
    <definedName name="Z_0C4F2CC4_21CF_4277_9153_8148098E562A_.wvu.FilterData" localSheetId="0" hidden="1">'База викладачів'!$E$1:$F$3102</definedName>
    <definedName name="Z_0C6A102C_6E52_48E4_87E5_4BA6B497283F_.wvu.FilterData" localSheetId="0" hidden="1">'База викладачів'!$E$1:$E$2905</definedName>
    <definedName name="Z_0C7346EC_A8A9_4EA0_9356_D87C7BD0E6D5_.wvu.FilterData" localSheetId="0" hidden="1">'База викладачів'!$E$1:$F$3102</definedName>
    <definedName name="Z_0D483D58_E6FA_44CD_AB11_2773801B32CC_.wvu.FilterData" localSheetId="0" hidden="1">'База викладачів'!$E$1:$F$3095</definedName>
    <definedName name="Z_11F7257F_E616_48A8_8896_F7A8A286182E_.wvu.FilterData" localSheetId="0" hidden="1">'База викладачів'!$E$1:$E$1906</definedName>
    <definedName name="Z_11F7257F_E616_48A8_8896_F7A8A286182E_.wvu.FilterData" localSheetId="1" hidden="1">'З школи до Study'!$A$1:$AA$2012</definedName>
    <definedName name="Z_1387B83D_F9DF_4352_A132_4EF5758D9509_.wvu.FilterData" localSheetId="0" hidden="1">'База викладачів'!$F$1:$F$3095</definedName>
    <definedName name="Z_179F8D3C_AA9B_4981_97B5_7F068B76835A_.wvu.FilterData" localSheetId="0" hidden="1">'База викладачів'!$E$1:$E$1906</definedName>
    <definedName name="Z_17F1A6AA_45AC_4CAB_BB89_1DEF3CA8DAAB_.wvu.FilterData" localSheetId="0" hidden="1">'База викладачів'!$E$1:$E$3102</definedName>
    <definedName name="Z_1B119593_B1E5_4E90_9594_DF2555FFC5A5_.wvu.FilterData" localSheetId="0" hidden="1">'База викладачів'!$E$1:$E$3102</definedName>
    <definedName name="Z_1B597360_A471_48B2_82F5_FB431D2327F6_.wvu.FilterData" localSheetId="0" hidden="1">'База викладачів'!$A$1:$A$3102</definedName>
    <definedName name="Z_1BD368D7_85EB_4101_8828_DF716225F5B9_.wvu.FilterData" localSheetId="0" hidden="1">'База викладачів'!$E$1:$F$3102</definedName>
    <definedName name="Z_1CFEFA47_BFC4_48C9_8FE4_94F23E8EA644_.wvu.FilterData" localSheetId="0" hidden="1">'База викладачів'!$A$2:$R$1906</definedName>
    <definedName name="Z_1DFF1292_DA71_43E8_B4C4_52F40E2FB9E0_.wvu.FilterData" localSheetId="0" hidden="1">'База викладачів'!$A$2:$R$3102</definedName>
    <definedName name="Z_1E374624_E406_4D9F_9C2D_223C7C37A713_.wvu.FilterData" localSheetId="0" hidden="1">'База викладачів'!$E$1:$F$2905</definedName>
    <definedName name="Z_212871EE_5BBB_44A8_8256_DAD766A7BA55_.wvu.FilterData" localSheetId="0" hidden="1">'База викладачів'!$E$1:$E$1906</definedName>
    <definedName name="Z_21E91AB9_0C99_4F08_B052_61DE73055D67_.wvu.FilterData" localSheetId="0" hidden="1">'База викладачів'!$E$1:$E$3102</definedName>
    <definedName name="Z_24B329D8_7F6D_466B_99CF_FBDE7B0B5CD1_.wvu.FilterData" localSheetId="0" hidden="1">'База викладачів'!$E$1:$E$1906</definedName>
    <definedName name="Z_2642A2C2_505E_46CE_969D_31F4101D7414_.wvu.FilterData" localSheetId="0" hidden="1">'База викладачів'!$E$1:$F$3102</definedName>
    <definedName name="Z_26473656_66D4_4924_91E4_00B7EA4D4199_.wvu.FilterData" localSheetId="0" hidden="1">'База викладачів'!$E$1:$E$1906</definedName>
    <definedName name="Z_26473656_66D4_4924_91E4_00B7EA4D4199_.wvu.FilterData" localSheetId="1" hidden="1">'З школи до Study'!$J$1:$J$2012</definedName>
    <definedName name="Z_264A88AE_E545_4746_B8D8_E67759717616_.wvu.FilterData" localSheetId="0" hidden="1">'База викладачів'!$A$2:$R$3102</definedName>
    <definedName name="Z_26A9AD63_264B_4D33_B066_DEAB601B0AAC_.wvu.FilterData" localSheetId="0" hidden="1">'База викладачів'!$A$1:$A$1906</definedName>
    <definedName name="Z_26A9AD63_264B_4D33_B066_DEAB601B0AAC_.wvu.FilterData" localSheetId="1" hidden="1">'З школи до Study'!$A$1:$AA$2012</definedName>
    <definedName name="Z_27528936_4580_4701_8569_1FFCB41C936A_.wvu.FilterData" localSheetId="0" hidden="1">'База викладачів'!#REF!</definedName>
    <definedName name="Z_288F52A8_B44B_4157_A30B_AA31144EDE66_.wvu.FilterData" localSheetId="0" hidden="1">'База викладачів'!$E$1:$F$3102</definedName>
    <definedName name="Z_2930199C_2921_4118_9EC8_5D5216C29911_.wvu.FilterData" localSheetId="0" hidden="1">'База викладачів'!#REF!</definedName>
    <definedName name="Z_2971D904_3FB4_4614_8152_B9A5F5A9E601_.wvu.FilterData" localSheetId="0" hidden="1">'База викладачів'!$E$1:$F$2905</definedName>
    <definedName name="Z_298356FD_ECE6_430A_8D3E_E41D187275C7_.wvu.FilterData" localSheetId="0" hidden="1">'База викладачів'!$E$1:$F$3102</definedName>
    <definedName name="Z_2AFEEA20_CA4D_48C5_BD60_F1D86B4B18D6_.wvu.FilterData" localSheetId="0" hidden="1">'База викладачів'!$E$1:$F$2905</definedName>
    <definedName name="Z_2BBA6DCD_5DAC_4984_9DBA_323C8B830C4A_.wvu.FilterData" localSheetId="0" hidden="1">'База викладачів'!$E$1:$F$3102</definedName>
    <definedName name="Z_2BBFF34C_B797_406F_9457_1A10570F0C32_.wvu.FilterData" localSheetId="0" hidden="1">'База викладачів'!$E$1:$E$2905</definedName>
    <definedName name="Z_3027F1C3_8B3D_43F9_BA35_D6CE65FCE1FC_.wvu.FilterData" localSheetId="0" hidden="1">'База викладачів'!$E$1:$E$1906</definedName>
    <definedName name="Z_3189AB85_C403_410D_892D_B3A5DB38D836_.wvu.FilterData" localSheetId="0" hidden="1">'База викладачів'!$E$1:$F$3095</definedName>
    <definedName name="Z_32B425F8_4ABF_4FB6_ABDD_60D39A93CF6B_.wvu.FilterData" localSheetId="0" hidden="1">'База викладачів'!$E$1:$F$3102</definedName>
    <definedName name="Z_33BD0004_7E09_40F1_B194_5A517E081C0A_.wvu.FilterData" localSheetId="0" hidden="1">'База викладачів'!$E$1:$F$3095</definedName>
    <definedName name="Z_3469561A_E9A0_44F1_AF43_3AA050D3712C_.wvu.FilterData" localSheetId="0" hidden="1">'База викладачів'!$E$1:$E$1906</definedName>
    <definedName name="Z_3469561A_E9A0_44F1_AF43_3AA050D3712C_.wvu.FilterData" localSheetId="1" hidden="1">'З школи до Study'!$A$1:$AA$2012</definedName>
    <definedName name="Z_34764FC6_8C40_4814_97A7_F8E639F503A5_.wvu.FilterData" localSheetId="0" hidden="1">'База викладачів'!$E$1:$F$3102</definedName>
    <definedName name="Z_34EABAC9_9349_46DB_9BCF_03FA63DFFC53_.wvu.FilterData" localSheetId="0" hidden="1">'База викладачів'!$E$1:$F$3102</definedName>
    <definedName name="Z_363534E3_1D4A_4A0D_A390_9DEE35B9D252_.wvu.FilterData" localSheetId="0" hidden="1">'База викладачів'!$E$1:$E$3102</definedName>
    <definedName name="Z_366F5F62_28D1_4A1B_9675_761A358439A0_.wvu.FilterData" localSheetId="0" hidden="1">'База викладачів'!#REF!</definedName>
    <definedName name="Z_36A8D06A_10CE_40A0_8415_CB68DBCE7D76_.wvu.FilterData" localSheetId="0" hidden="1">'База викладачів'!$A$2:$R$2905</definedName>
    <definedName name="Z_38A1C88A_7E7D_4109_AABF_BF71A9E20897_.wvu.FilterData" localSheetId="0" hidden="1">'База викладачів'!$E$1:$E$1906</definedName>
    <definedName name="Z_38AB0804_B74A_4CDB_A15D_3898B3442648_.wvu.FilterData" localSheetId="0" hidden="1">'База викладачів'!$A$2:$R$3102</definedName>
    <definedName name="Z_38DCA28B_67B7_4D10_A11F_56D9E6A78894_.wvu.FilterData" localSheetId="0" hidden="1">'База викладачів'!$E$1:$E$1906</definedName>
    <definedName name="Z_3927304B_B123_4738_BF08_521D4B1AD55E_.wvu.FilterData" localSheetId="0" hidden="1">'База викладачів'!$E$1:$F$3095</definedName>
    <definedName name="Z_39E79A8A_69B8_414C_BBAD_E33C0248542E_.wvu.FilterData" localSheetId="0" hidden="1">'База викладачів'!$A$2:$R$3102</definedName>
    <definedName name="Z_3C243430_3BD5_47CD_98B4_14E3D47211F0_.wvu.FilterData" localSheetId="0" hidden="1">'База викладачів'!$E$1:$F$2905</definedName>
    <definedName name="Z_3EB4FAFA_D20F_458B_8CBB_1B4CA9DA8DC2_.wvu.FilterData" localSheetId="0" hidden="1">'База викладачів'!$A$2:$F$1041</definedName>
    <definedName name="Z_3FBDAF62_5B47_43FD_9161_03484B555381_.wvu.FilterData" localSheetId="0" hidden="1">'База викладачів'!$E$1:$E$3102</definedName>
    <definedName name="Z_404E6C03_ACD3_4FC1_B357_FE14AFEF350D_.wvu.FilterData" localSheetId="0" hidden="1">'База викладачів'!$E$1:$F$3102</definedName>
    <definedName name="Z_409B32A8_6987_4340_942E_46BB51793127_.wvu.FilterData" localSheetId="0" hidden="1">'База викладачів'!$A$2:$R$3095</definedName>
    <definedName name="Z_429E25A9_A1EC_4576_B77C_11DEFF9A62E7_.wvu.FilterData" localSheetId="0" hidden="1">'База викладачів'!$E$1:$F$3102</definedName>
    <definedName name="Z_46F27C80_DE80_4DB3_B29F_8CA44947DFBA_.wvu.FilterData" localSheetId="0" hidden="1">'База викладачів'!$E$1:$F$3102</definedName>
    <definedName name="Z_4802F2F9_9B20_420B_9BF1_133E2D07D1A1_.wvu.FilterData" localSheetId="0" hidden="1">'База викладачів'!$A$2:$R$603</definedName>
    <definedName name="Z_483C8CED_EDB7_4198_9995_2FE23B8F71E8_.wvu.FilterData" localSheetId="0" hidden="1">'База викладачів'!$A$1:$A$2</definedName>
    <definedName name="Z_49ACEBAC_518C_4E1D_B788_0D64149BAC55_.wvu.FilterData" localSheetId="0" hidden="1">'База викладачів'!$E$1:$E$1906</definedName>
    <definedName name="Z_4A9D70B1_617C_4ECD_92AC_6DFD13C9A51F_.wvu.FilterData" localSheetId="0" hidden="1">'База викладачів'!$E$1:$E$1906</definedName>
    <definedName name="Z_4ABCFD65_DFF8_4A39_92C5_D524FC12990C_.wvu.FilterData" localSheetId="0" hidden="1">'База викладачів'!$F$1:$F$2905</definedName>
    <definedName name="Z_4AC53654_4AA1_406D_BA97_E5E85DB8F933_.wvu.FilterData" localSheetId="0" hidden="1">'База викладачів'!$E$1:$F$3102</definedName>
    <definedName name="Z_4B825139_C608_4EC6_9CFF_14875D850C0E_.wvu.FilterData" localSheetId="0" hidden="1">'База викладачів'!$E$1:$E$2905</definedName>
    <definedName name="Z_4B91C0E6_FF19_421F_875B_DCFEE4A44FC9_.wvu.FilterData" localSheetId="0" hidden="1">'База викладачів'!$E$1:$E$1906</definedName>
    <definedName name="Z_4CBB0E48_4483_4418_B2F8_8EAC8778EA3C_.wvu.FilterData" localSheetId="0" hidden="1">'База викладачів'!$E$1:$E$1906</definedName>
    <definedName name="Z_4D53E284_19C5_48F0_9571_DF13BA7CD181_.wvu.FilterData" localSheetId="0" hidden="1">'База викладачів'!$E$1:$F$3000</definedName>
    <definedName name="Z_4D58A306_8720_4C54_AB28_CCE2E9A9B452_.wvu.FilterData" localSheetId="0" hidden="1">'База викладачів'!$E$1:$E$1906</definedName>
    <definedName name="Z_4D58A306_8720_4C54_AB28_CCE2E9A9B452_.wvu.FilterData" localSheetId="1" hidden="1">'З школи до Study'!$A$1:$AA$2012</definedName>
    <definedName name="Z_4DE0576E_3CA9_434C_95EC_325EBB30CBA1_.wvu.FilterData" localSheetId="0" hidden="1">'База викладачів'!$E$1:$E$1906</definedName>
    <definedName name="Z_51DCDD25_5BC4_4D9C_8C6B_B8EB98E4C55C_.wvu.FilterData" localSheetId="0" hidden="1">'База викладачів'!$E$1:$F$3095</definedName>
    <definedName name="Z_5373988F_B528_4E2E_A95A_ABC31CCE62BC_.wvu.FilterData" localSheetId="0" hidden="1">'База викладачів'!$E$1:$E$3102</definedName>
    <definedName name="Z_53FC7E8A_377B_4258_8D87_0C45316FF566_.wvu.FilterData" localSheetId="0" hidden="1">'База викладачів'!$E$1:$F$2905</definedName>
    <definedName name="Z_54BD8BFE_F461_41E5_A01B_DD7082C1A3FF_.wvu.FilterData" localSheetId="0" hidden="1">'База викладачів'!$E$1:$E$2905</definedName>
    <definedName name="Z_55C20F30_9193_4112_9CC9_4DC6C5AEF513_.wvu.FilterData" localSheetId="0" hidden="1">'База викладачів'!$E$1:$E$1906</definedName>
    <definedName name="Z_55C68190_5AD7_43F8_9C19_985AC2366A2B_.wvu.FilterData" localSheetId="0" hidden="1">'База викладачів'!$E$1:$F$3095</definedName>
    <definedName name="Z_55E008F6_5F55_43D0_8301_2D0D1BD01DFB_.wvu.FilterData" localSheetId="0" hidden="1">'База викладачів'!$F$1:$F$3000</definedName>
    <definedName name="Z_571A47CA_D8C2_486F_9054_46F80A8F4BAE_.wvu.FilterData" localSheetId="0" hidden="1">'База викладачів'!$E$1:$F$3102</definedName>
    <definedName name="Z_572AA877_6C23_414B_91C3_08160F506EDE_.wvu.FilterData" localSheetId="0" hidden="1">'База викладачів'!$E$1:$F$2905</definedName>
    <definedName name="Z_588716E6_FC7F_4A03_8173_E2AF747FB401_.wvu.FilterData" localSheetId="0" hidden="1">'База викладачів'!$E$1:$F$3102</definedName>
    <definedName name="Z_59085910_9B19_4996_A863_F3CEF6464C9F_.wvu.FilterData" localSheetId="0" hidden="1">'База викладачів'!$E$1:$F$3102</definedName>
    <definedName name="Z_59369E6A_F596_4538_8111_89015F5B8B13_.wvu.FilterData" localSheetId="0" hidden="1">'База викладачів'!$A$1:$A$3102</definedName>
    <definedName name="Z_5A1E6FE7_1C6D_47C7_8844_D7CB3950C307_.wvu.FilterData" localSheetId="0" hidden="1">'База викладачів'!$E$1:$F$3102</definedName>
    <definedName name="Z_5A88D8A7_BC19_4155_BC97_95F5DD81DF78_.wvu.FilterData" localSheetId="0" hidden="1">'База викладачів'!$E$1:$E$1906</definedName>
    <definedName name="Z_5B493576_8CFC_4428_8FAB_6EDAE823780B_.wvu.FilterData" localSheetId="0" hidden="1">'База викладачів'!$E$1:$E$1906</definedName>
    <definedName name="Z_5C5E6217_C261_4592_BE1E_E0FF264D2261_.wvu.FilterData" localSheetId="0" hidden="1">'База викладачів'!$D$1:$E$3102</definedName>
    <definedName name="Z_5DAD8BB2_41A5_42B0_9C69_D6AEEB703812_.wvu.FilterData" localSheetId="0" hidden="1">'База викладачів'!$E$1:$E$1906</definedName>
    <definedName name="Z_5DAD8BB2_41A5_42B0_9C69_D6AEEB703812_.wvu.FilterData" localSheetId="1" hidden="1">'З школи до Study'!$A$1:$AA$2012</definedName>
    <definedName name="Z_5E872E9D_2D0E_4160_B952_80EC1B9CB377_.wvu.FilterData" localSheetId="0" hidden="1">'База викладачів'!$E$1:$F$2905</definedName>
    <definedName name="Z_5F1D3C68_5572_48F1_84F2_45B5E29452E7_.wvu.FilterData" localSheetId="0" hidden="1">'База викладачів'!$E$1:$E$1906</definedName>
    <definedName name="Z_5F90BC4E_3196_4038_BE0D_2913C0D1CA34_.wvu.FilterData" localSheetId="0" hidden="1">'База викладачів'!$E$1:$F$3095</definedName>
    <definedName name="Z_6224FA6E_B558_4B75_97D9_3951F434DF4E_.wvu.FilterData" localSheetId="0" hidden="1">'База викладачів'!$E$1:$F$2905</definedName>
    <definedName name="Z_63971586_223E_43A1_86F9_C60F1FE9A7A7_.wvu.FilterData" localSheetId="0" hidden="1">'База викладачів'!$E$1:$E$1906</definedName>
    <definedName name="Z_65466170_B2B1_4ED5_9CF9_C25ACDF28BB5_.wvu.FilterData" localSheetId="0" hidden="1">'База викладачів'!$E$1:$E$1906</definedName>
    <definedName name="Z_65466170_B2B1_4ED5_9CF9_C25ACDF28BB5_.wvu.FilterData" localSheetId="1" hidden="1">'З школи до Study'!$D$1:$D$2012</definedName>
    <definedName name="Z_667EA3D5_2686_45D7_B2E7_BA62953A002F_.wvu.FilterData" localSheetId="0" hidden="1">'База викладачів'!$A$1</definedName>
    <definedName name="Z_66D3854A_629C_473B_B869_BA11FDBFE1D1_.wvu.FilterData" localSheetId="0" hidden="1">'База викладачів'!$E$1:$F$2905</definedName>
    <definedName name="Z_677160C2_90F5_4ECC_8A25_96BEAF74C17B_.wvu.FilterData" localSheetId="0" hidden="1">'База викладачів'!$E$1:$F$2905</definedName>
    <definedName name="Z_677160C2_90F5_4ECC_8A25_96BEAF74C17B_.wvu.FilterData" localSheetId="1" hidden="1">'З школи до Study'!$A$1:$AA$2012</definedName>
    <definedName name="Z_686110D2_E426_48D9_A8E5_A8307283842B_.wvu.FilterData" localSheetId="0" hidden="1">'База викладачів'!$E$1:$F$3095</definedName>
    <definedName name="Z_6886918C_5892_4B63_B4C0_DB0E62862F84_.wvu.FilterData" localSheetId="0" hidden="1">'База викладачів'!$A$1:$A$1906</definedName>
    <definedName name="Z_6886918C_5892_4B63_B4C0_DB0E62862F84_.wvu.FilterData" localSheetId="1" hidden="1">'З школи до Study'!$J$1:$J$2012</definedName>
    <definedName name="Z_6AC89C7A_31A2_4BC7_82CA_F63F80FCCF16_.wvu.FilterData" localSheetId="0" hidden="1">'База викладачів'!$A$2:$R$603</definedName>
    <definedName name="Z_6DB17C79_CDC4_4E9C_996A_4503B69B8D70_.wvu.FilterData" localSheetId="0" hidden="1">'База викладачів'!$E$1:$F$3102</definedName>
    <definedName name="Z_6F00DC93_E465_47A7_A33D_4FAE8DE9D778_.wvu.FilterData" localSheetId="0" hidden="1">'База викладачів'!$A$2:$R$988</definedName>
    <definedName name="Z_6F20B320_7067_46E1_B30B_C03D97C79631_.wvu.FilterData" localSheetId="0" hidden="1">'База викладачів'!$E$1:$E$2905</definedName>
    <definedName name="Z_73929234_8108_4F2C_A51C_BAD31B11A2EB_.wvu.FilterData" localSheetId="0" hidden="1">'База викладачів'!$A$2:$R$3102</definedName>
    <definedName name="Z_7551374D_8F6C_461D_AC42_1F01493FB074_.wvu.FilterData" localSheetId="0" hidden="1">'База викладачів'!$E$1:$F$3102</definedName>
    <definedName name="Z_764B0E11_FA1E_4891_BE67_2DE06718C5DC_.wvu.FilterData" localSheetId="0" hidden="1">'База викладачів'!$E$1:$F$3000</definedName>
    <definedName name="Z_768CAE28_BA97_4A60_88AE_9A3575842595_.wvu.FilterData" localSheetId="0" hidden="1">'База викладачів'!$E$1:$F$3102</definedName>
    <definedName name="Z_778829F4_FD59_4C1F_AB0F_A94773087769_.wvu.FilterData" localSheetId="0" hidden="1">'База викладачів'!$E$1:$F$3000</definedName>
    <definedName name="Z_77DD0752_A248_4F41_807F_C0F92A503FA2_.wvu.FilterData" localSheetId="0" hidden="1">'База викладачів'!$A$1:$A$2</definedName>
    <definedName name="Z_780EBF8D_A7DD_4167_90A2_C8A9C5F48B8D_.wvu.FilterData" localSheetId="0" hidden="1">'База викладачів'!$F$1:$F$1906</definedName>
    <definedName name="Z_782CBFD8_7C46_4BEF_8B0F_CD21E7069ADD_.wvu.FilterData" localSheetId="0" hidden="1">'База викладачів'!$E$1:$F$3102</definedName>
    <definedName name="Z_7A2BDAFE_606D_427C_B1CE_9DE5B93700DC_.wvu.FilterData" localSheetId="0" hidden="1">'База викладачів'!$A$1:$R$2905</definedName>
    <definedName name="Z_7A3A4B17_B19C_402E_9FCD_49C2FFFC46CB_.wvu.FilterData" localSheetId="0" hidden="1">'База викладачів'!$E$1:$E$1906</definedName>
    <definedName name="Z_7B938DD7_C3D7_47F3_98B3_FE233E50E235_.wvu.FilterData" localSheetId="0" hidden="1">'База викладачів'!$E$1:$F$3000</definedName>
    <definedName name="Z_7C202B57_669E_4BD7_9063_6E13EE2FD0C3_.wvu.FilterData" localSheetId="0" hidden="1">'База викладачів'!$A$2:$R$1299</definedName>
    <definedName name="Z_7C59803B_17D7_4B03_9A0B_ACB0ECEF4305_.wvu.FilterData" localSheetId="0" hidden="1">'База викладачів'!$E$1:$F$3102</definedName>
    <definedName name="Z_7CCA4EE4_0743_4C89_8BBB_8DC66C936363_.wvu.FilterData" localSheetId="0" hidden="1">'База викладачів'!$E$1:$E$1906</definedName>
    <definedName name="Z_7CCA4EE4_0743_4C89_8BBB_8DC66C936363_.wvu.FilterData" localSheetId="1" hidden="1">'З школи до Study'!$A$1:$AA$2012</definedName>
    <definedName name="Z_7F79A290_6D61_4108_B16E_DB955E17B0FD_.wvu.FilterData" localSheetId="0" hidden="1">'База викладачів'!$E$1:$E$3102</definedName>
    <definedName name="Z_82B756C0_560D_4F1E_B854_A1ABE77E8AB6_.wvu.FilterData" localSheetId="0" hidden="1">'База викладачів'!$A$2:$R$2905</definedName>
    <definedName name="Z_83E17C5B_DD3D_426B_A255_1AC9A51D425B_.wvu.FilterData" localSheetId="0" hidden="1">'База викладачів'!$E$1:$E$1906</definedName>
    <definedName name="Z_888A506D_AAE8_4528_B66E_50878E8A3210_.wvu.FilterData" localSheetId="0" hidden="1">'База викладачів'!$E$1:$F$3102</definedName>
    <definedName name="Z_893337A3_F45B_4E5C_9D6D_B6C37627108B_.wvu.FilterData" localSheetId="0" hidden="1">'База викладачів'!$A$1:$A$3102</definedName>
    <definedName name="Z_8F66FD5F_8B2F_4C6F_BD8C_898CD9BA1E93_.wvu.FilterData" localSheetId="0" hidden="1">'База викладачів'!$E$1:$E$3102</definedName>
    <definedName name="Z_9015E6C3_EF38_490E_A4C4_D5A2A54578E4_.wvu.FilterData" localSheetId="0" hidden="1">'База викладачів'!$E$1:$F$2905</definedName>
    <definedName name="Z_93785AB8_0B18_4922_BD01_DADC93AFACD3_.wvu.FilterData" localSheetId="0" hidden="1">'База викладачів'!$E$1:$E$1906</definedName>
    <definedName name="Z_94628588_29EC_4A78_A0E8_5080A863F280_.wvu.FilterData" localSheetId="0" hidden="1">'База викладачів'!$E$1:$F$3102</definedName>
    <definedName name="Z_9673F715_C235_486F_BB1E_291D3284E590_.wvu.FilterData" localSheetId="0" hidden="1">'База викладачів'!$A$2:$R$3102</definedName>
    <definedName name="Z_969A48A5_39A5_4751_BB02_F04C2BF88A6D_.wvu.FilterData" localSheetId="0" hidden="1">'База викладачів'!$E$1:$F$3102</definedName>
    <definedName name="Z_9706F50E_D71A_4ADE_A4BC_F51DCDF88C6B_.wvu.FilterData" localSheetId="0" hidden="1">'База викладачів'!$A$1</definedName>
    <definedName name="Z_97F47574_485E_44E1_B670_B530C99DEA9A_.wvu.FilterData" localSheetId="0" hidden="1">'База викладачів'!$E$1:$E$1906</definedName>
    <definedName name="Z_985F45B6_273F_4058_AA6F_01496FB9FB5C_.wvu.FilterData" localSheetId="0" hidden="1">'База викладачів'!$E$1:$F$3102</definedName>
    <definedName name="Z_9B0945B3_8475_4B2A_96FD_ED951F4F8986_.wvu.FilterData" localSheetId="0" hidden="1">'База викладачів'!$E$1:$E$1906</definedName>
    <definedName name="Z_9B8329E9_2935_4802_894C_AAEDF5B93852_.wvu.FilterData" localSheetId="0" hidden="1">'База викладачів'!$A$1:$A$3102</definedName>
    <definedName name="Z_9E54FD72_8F39_4839_BB8A_F56F0D0407A6_.wvu.FilterData" localSheetId="0" hidden="1">'База викладачів'!$E$1:$E$3102</definedName>
    <definedName name="Z_A12A475D_5771_450F_9DC5_A0FCC0F29DE3_.wvu.FilterData" localSheetId="0" hidden="1">'База викладачів'!$E$1:$F$3102</definedName>
    <definedName name="Z_A1530E4E_EE6D_46F4_863C_CA2A53823913_.wvu.FilterData" localSheetId="0" hidden="1">'База викладачів'!$E$1:$E$1906</definedName>
    <definedName name="Z_A17A7D7A_C8F7_4A3F_B31C_709F63F1EF83_.wvu.FilterData" localSheetId="0" hidden="1">'База викладачів'!$A$2:$R$603</definedName>
    <definedName name="Z_A254516C_072E_4707_965C_D566F6DB9267_.wvu.FilterData" localSheetId="0" hidden="1">'База викладачів'!$E$1:$E$1906</definedName>
    <definedName name="Z_A254516C_072E_4707_965C_D566F6DB9267_.wvu.FilterData" localSheetId="1" hidden="1">'З школи до Study'!$A$1:$AA$2012</definedName>
    <definedName name="Z_A4698AFA_486A_415A_8D19_820587C948A9_.wvu.FilterData" localSheetId="0" hidden="1">'База викладачів'!$A$2:$R$603</definedName>
    <definedName name="Z_A4698AFA_486A_415A_8D19_820587C948A9_.wvu.FilterData" localSheetId="1" hidden="1">'З школи до Study'!$D$1:$D$1012</definedName>
    <definedName name="Z_A4698AFA_486A_415A_8D19_820587C948A9_.wvu.FilterData" localSheetId="5" hidden="1">'Заміни 2.0'!$A$1:$Q$1423</definedName>
    <definedName name="Z_A4698AFA_486A_415A_8D19_820587C948A9_.wvu.FilterData" localSheetId="3" hidden="1">звільнено!$F$1:$F$974</definedName>
    <definedName name="Z_A4698AFA_486A_415A_8D19_820587C948A9_.wvu.FilterData" localSheetId="8" hidden="1">'ОКЯ '!$D$1:$D$1000</definedName>
    <definedName name="Z_A49D67D9_E56A_412E_9BEF_93436261A100_.wvu.FilterData" localSheetId="0" hidden="1">'База викладачів'!$E$1:$E$1906</definedName>
    <definedName name="Z_A49D67D9_E56A_412E_9BEF_93436261A100_.wvu.FilterData" localSheetId="1" hidden="1">'З школи до Study'!$J$1:$J$2012</definedName>
    <definedName name="Z_A684F7AB_3E38_4ABC_AFA1_6F3F821BEAE7_.wvu.FilterData" localSheetId="0" hidden="1">'База викладачів'!$A$2:$R$3102</definedName>
    <definedName name="Z_A6989CBB_60EC_4E5A_A6E1_380EDEF0A93A_.wvu.FilterData" localSheetId="0" hidden="1">'База викладачів'!$E$1:$E$1906</definedName>
    <definedName name="Z_A6989CBB_60EC_4E5A_A6E1_380EDEF0A93A_.wvu.FilterData" localSheetId="1" hidden="1">'З школи до Study'!$A$1:$AA$2012</definedName>
    <definedName name="Z_A6F1901A_FD26_4FE1_9549_61B476460E67_.wvu.FilterData" localSheetId="0" hidden="1">'База викладачів'!$E$1:$E$1906</definedName>
    <definedName name="Z_A6FE7E84_296D_46C3_952E_227D7C501A37_.wvu.FilterData" localSheetId="0" hidden="1">'База викладачів'!$E$1:$F$3102</definedName>
    <definedName name="Z_A7AE1271_7D7E_417B_A215_8BA9FC825721_.wvu.FilterData" localSheetId="0" hidden="1">'База викладачів'!$E$1:$E$1906</definedName>
    <definedName name="Z_A7AE1271_7D7E_417B_A215_8BA9FC825721_.wvu.FilterData" localSheetId="1" hidden="1">'З школи до Study'!$J$1:$J$2012</definedName>
    <definedName name="Z_A8433BB3_5167_412B_B64E_3A808A6F7098_.wvu.FilterData" localSheetId="0" hidden="1">'База викладачів'!$E$1:$F$3102</definedName>
    <definedName name="Z_A9B5F603_8171_47E4_8F54_91747AB0631E_.wvu.FilterData" localSheetId="0" hidden="1">'База викладачів'!$E$1:$E$1906</definedName>
    <definedName name="Z_A9F0CE94_BBF5_49B5_ACA3_0923DD69EA6B_.wvu.FilterData" localSheetId="0" hidden="1">'База викладачів'!$E$1:$F$3102</definedName>
    <definedName name="Z_AD36E740_3678_4EFD_9647_4B4E886BD581_.wvu.FilterData" localSheetId="0" hidden="1">'База викладачів'!$E$1:$F$3102</definedName>
    <definedName name="Z_AD8AA66E_A4D0_4193_A5DE_B4B6280982BB_.wvu.FilterData" localSheetId="0" hidden="1">'База викладачів'!$F$1:$F$2905</definedName>
    <definedName name="Z_B0AAC4D9_01D8_4203_BA99_51556EA5F207_.wvu.FilterData" localSheetId="0" hidden="1">'База викладачів'!$A$10:$A$327</definedName>
    <definedName name="Z_B1C55E80_5BA8_4B5E_90F0_4C6259C58804_.wvu.FilterData" localSheetId="0" hidden="1">'База викладачів'!$A$2:$R$1041</definedName>
    <definedName name="Z_B44DD0BC_C4BC_4BD2_A21F_98D0F2D22D68_.wvu.FilterData" localSheetId="0" hidden="1">'База викладачів'!$E$1:$F$3102</definedName>
    <definedName name="Z_B504B2D6_BA0F_4E65_9F13_50CA81CFD501_.wvu.FilterData" localSheetId="0" hidden="1">'База викладачів'!$A$2:$R$1398</definedName>
    <definedName name="Z_B6072F42_064B_44C9_A270_BCBF68A4D33F_.wvu.FilterData" localSheetId="0" hidden="1">'База викладачів'!$A$1</definedName>
    <definedName name="Z_B631FB1C_0AA7_449A_8039_0F1A5F4E475E_.wvu.FilterData" localSheetId="0" hidden="1">'База викладачів'!$E$1:$E$1906</definedName>
    <definedName name="Z_B631FB1C_0AA7_449A_8039_0F1A5F4E475E_.wvu.FilterData" localSheetId="1" hidden="1">'З школи до Study'!$A$1:$AA$2012</definedName>
    <definedName name="Z_B6C34B04_2E68_4B6B_9E84_54C527594094_.wvu.FilterData" localSheetId="0" hidden="1">'База викладачів'!$A$1:$A$1906</definedName>
    <definedName name="Z_B7256DB8_83B8_46BB_9E0C_F2CA5D6C469D_.wvu.FilterData" localSheetId="0" hidden="1">'База викладачів'!$E$1:$E$1906</definedName>
    <definedName name="Z_B74020AE_0802_4B1D_9C86_F5D158BA62C1_.wvu.FilterData" localSheetId="0" hidden="1">'База викладачів'!$E$1:$F$3102</definedName>
    <definedName name="Z_BB623620_9882_47E3_BC1D_B50253DCEB7B_.wvu.FilterData" localSheetId="0" hidden="1">'База викладачів'!$E$1:$E$1906</definedName>
    <definedName name="Z_BB623620_9882_47E3_BC1D_B50253DCEB7B_.wvu.FilterData" localSheetId="1" hidden="1">'З школи до Study'!$A$1:$AA$2012</definedName>
    <definedName name="Z_BC274AAA_7626_418B_8822_BD023C2F94F7_.wvu.FilterData" localSheetId="0" hidden="1">'База викладачів'!$E$1:$E$1906</definedName>
    <definedName name="Z_BC274AAA_7626_418B_8822_BD023C2F94F7_.wvu.FilterData" localSheetId="1" hidden="1">'З школи до Study'!$A$1:$AA$2012</definedName>
    <definedName name="Z_BC7AC370_F204_45C9_951C_A233D86ECCB2_.wvu.FilterData" localSheetId="0" hidden="1">'База викладачів'!$A$2:$F$950</definedName>
    <definedName name="Z_BD61C6D2_7755_41EE_8EB8_1CCCEB97E41E_.wvu.FilterData" localSheetId="0" hidden="1">'База викладачів'!$E$1:$F$3102</definedName>
    <definedName name="Z_BDE2D02C_9588_40CE_8C08_F0BE5C11E124_.wvu.FilterData" localSheetId="0" hidden="1">'База викладачів'!$E$1:$F$3102</definedName>
    <definedName name="Z_BE384C63_EAA6_4E1D_8102_7C5366BC1CEA_.wvu.FilterData" localSheetId="0" hidden="1">'База викладачів'!$E$1:$F$3102</definedName>
    <definedName name="Z_C0005D81_35E2_4943_913A_EA13740EE0BD_.wvu.FilterData" localSheetId="0" hidden="1">'База викладачів'!$A$1:$A$3102</definedName>
    <definedName name="Z_C086CFFB_0764_4829_891E_35F037E691EE_.wvu.FilterData" localSheetId="0" hidden="1">'База викладачів'!$E$1:$E$1906</definedName>
    <definedName name="Z_C1A097F8_2942_4163_8981_D82936BF39C2_.wvu.FilterData" localSheetId="0" hidden="1">'База викладачів'!$E$1:$F$3102</definedName>
    <definedName name="Z_C1F67F32_F5B7_4674_B480_5EF847855954_.wvu.FilterData" localSheetId="0" hidden="1">'База викладачів'!$E$1:$F$3102</definedName>
    <definedName name="Z_C50176BB_4778_4E34_9588_D79BAC17B4DA_.wvu.FilterData" localSheetId="0" hidden="1">'База викладачів'!$B$385:$C$835</definedName>
    <definedName name="Z_C5819023_4EBF_45FE_B05B_D48E07E46466_.wvu.FilterData" localSheetId="0" hidden="1">'База викладачів'!$E$1:$E$1906</definedName>
    <definedName name="Z_C5819023_4EBF_45FE_B05B_D48E07E46466_.wvu.FilterData" localSheetId="1" hidden="1">'З школи до Study'!$J$1:$J$2012</definedName>
    <definedName name="Z_C791E6D3_155E_41D6_92F4_D7BB3B5D82EC_.wvu.FilterData" localSheetId="0" hidden="1">'База викладачів'!$E$1:$E$1906</definedName>
    <definedName name="Z_CB5684DC_4981_4B9E_8551_1909F9295D4A_.wvu.FilterData" localSheetId="0" hidden="1">'База викладачів'!$E$1:$F$3102</definedName>
    <definedName name="Z_CBB88F80_DFE5_4B02_A489_4A1E1854E110_.wvu.FilterData" localSheetId="0" hidden="1">'База викладачів'!$E$1:$F$3102</definedName>
    <definedName name="Z_CBC08363_879C_4F75_A6F3_4DD5280C81D9_.wvu.FilterData" localSheetId="0" hidden="1">'База викладачів'!$E$1:$F$3095</definedName>
    <definedName name="Z_CC16EBE5_E793_4F7B_A88F_9A58B51D7254_.wvu.FilterData" localSheetId="0" hidden="1">'База викладачів'!$A$2:$R$2905</definedName>
    <definedName name="Z_CDAFD32C_EF0E_4810_8351_9A5CD23C6A9C_.wvu.FilterData" localSheetId="0" hidden="1">'База викладачів'!$E$1:$F$2905</definedName>
    <definedName name="Z_CE0C68CE_B679_4626_8D48_772890A7851B_.wvu.FilterData" localSheetId="0" hidden="1">'База викладачів'!$A$1:$A$1906</definedName>
    <definedName name="Z_CE41F793_179E_4E95_8743_4F50F86F0095_.wvu.FilterData" localSheetId="0" hidden="1">'База викладачів'!$E$1:$E$1906</definedName>
    <definedName name="Z_CE41F793_179E_4E95_8743_4F50F86F0095_.wvu.FilterData" localSheetId="1" hidden="1">'З школи до Study'!$J$1:$J$2012</definedName>
    <definedName name="Z_CE41F793_179E_4E95_8743_4F50F86F0095_.wvu.FilterData" localSheetId="5" hidden="1">'Заміни 2.0'!$A$1:$M$1423</definedName>
    <definedName name="Z_CED67368_F6EA_4B53_8D72_0FD29261D932_.wvu.FilterData" localSheetId="0" hidden="1">'База викладачів'!$E$1:$E$1906</definedName>
    <definedName name="Z_CED67368_F6EA_4B53_8D72_0FD29261D932_.wvu.FilterData" localSheetId="1" hidden="1">'З школи до Study'!$J$1:$J$2012</definedName>
    <definedName name="Z_D2524020_C265_4692_B799_ECDE7AC860AF_.wvu.FilterData" localSheetId="0" hidden="1">'База викладачів'!$E$1:$F$2905</definedName>
    <definedName name="Z_D3409D31_344D_4436_94BC_988F0945491B_.wvu.FilterData" localSheetId="0" hidden="1">'База викладачів'!$E$1:$E$1906</definedName>
    <definedName name="Z_D34B621B_C869_46B0_BCB8_6565EC451D53_.wvu.FilterData" localSheetId="0" hidden="1">'База викладачів'!$E$1:$F$3095</definedName>
    <definedName name="Z_D3C6E3B6_4A8E_4F8B_A6F9_C79D5AB27F50_.wvu.FilterData" localSheetId="0" hidden="1">'База викладачів'!$E$1:$E$1906</definedName>
    <definedName name="Z_D60FF9AD_19B7_46E4_9975_634951477218_.wvu.FilterData" localSheetId="0" hidden="1">'База викладачів'!$E$1:$F$3102</definedName>
    <definedName name="Z_D6D31CF3_0341_43BC_A303_9DD4BF170521_.wvu.FilterData" localSheetId="0" hidden="1">'База викладачів'!$E$1:$E$1906</definedName>
    <definedName name="Z_D6D31CF3_0341_43BC_A303_9DD4BF170521_.wvu.FilterData" localSheetId="1" hidden="1">'З школи до Study'!$A$1:$AA$2012</definedName>
    <definedName name="Z_D707E385_B2CC_48BF_9C16_0074E1BCE416_.wvu.FilterData" localSheetId="0" hidden="1">'База викладачів'!$E$1:$F$3095</definedName>
    <definedName name="Z_DA77F976_BDDC_474A_A18C_26B7282D8902_.wvu.FilterData" localSheetId="0" hidden="1">'База викладачів'!$A$2:$R$3102</definedName>
    <definedName name="Z_DA7EB64D_4213_4AA8_A3DB_DB71766DD590_.wvu.FilterData" localSheetId="0" hidden="1">'База викладачів'!#REF!</definedName>
    <definedName name="Z_DB5CAF45_066D_42CD_9985_873B987CC6A4_.wvu.FilterData" localSheetId="0" hidden="1">'База викладачів'!$E$1:$E$1906</definedName>
    <definedName name="Z_DB5CAF45_066D_42CD_9985_873B987CC6A4_.wvu.FilterData" localSheetId="1" hidden="1">'З школи до Study'!$D$1:$D$2012</definedName>
    <definedName name="Z_DB74F03F_C664_4798_9904_8EC432A5DD03_.wvu.FilterData" localSheetId="0" hidden="1">'База викладачів'!$E$1:$F$3102</definedName>
    <definedName name="Z_DBA36F87_88B9_4581_8477_D48D45C47A1E_.wvu.FilterData" localSheetId="0" hidden="1">'База викладачів'!$E$1:$F$3102</definedName>
    <definedName name="Z_DC1ABAD8_7FE0_4BA8_9FDC_8E296776F648_.wvu.FilterData" localSheetId="0" hidden="1">'База викладачів'!$E$1:$E$3102</definedName>
    <definedName name="Z_DD5D7C82_B3FD_4CFA_89E0_D022E66D1DEF_.wvu.FilterData" localSheetId="0" hidden="1">'База викладачів'!$E$1:$E$1906</definedName>
    <definedName name="Z_DDA7AC39_8CE7_4887_9414_F8C67644A7C9_.wvu.FilterData" localSheetId="0" hidden="1">'База викладачів'!$E$1:$F$3102</definedName>
    <definedName name="Z_DE88B6D0_4BCA_4D7B_A0FB_6AA7DCE761C3_.wvu.FilterData" localSheetId="0" hidden="1">'База викладачів'!$E$1:$F$2905</definedName>
    <definedName name="Z_DEA2911D_5ED3_46C7_A519_C3A4F002EBCA_.wvu.FilterData" localSheetId="0" hidden="1">'База викладачів'!$E$1:$E$1906</definedName>
    <definedName name="Z_DEA2911D_5ED3_46C7_A519_C3A4F002EBCA_.wvu.FilterData" localSheetId="1" hidden="1">'З школи до Study'!$A$1:$AA$2012</definedName>
    <definedName name="Z_DF66B588_FA80_440E_9B24_A26739E104A7_.wvu.FilterData" localSheetId="0" hidden="1">'База викладачів'!$E$1:$F$3095</definedName>
    <definedName name="Z_E0934CDE_86D6_446F_A188_27119D28A433_.wvu.FilterData" localSheetId="0" hidden="1">'База викладачів'!$A$1:$A$3102</definedName>
    <definedName name="Z_E096A409_73E9_478B_B998_BE20696C7C15_.wvu.FilterData" localSheetId="0" hidden="1">'База викладачів'!$A$1:$A$1906</definedName>
    <definedName name="Z_E111926B_F6F2_4F37_858B_7FDE682576C0_.wvu.FilterData" localSheetId="0" hidden="1">'База викладачів'!$E$1:$E$1906</definedName>
    <definedName name="Z_E111926B_F6F2_4F37_858B_7FDE682576C0_.wvu.FilterData" localSheetId="1" hidden="1">'З школи до Study'!$J$1:$J$2012</definedName>
    <definedName name="Z_E111926B_F6F2_4F37_858B_7FDE682576C0_.wvu.FilterData" localSheetId="5" hidden="1">'Заміни 2.0'!$A$1:$M$1423</definedName>
    <definedName name="Z_E111926B_F6F2_4F37_858B_7FDE682576C0_.wvu.FilterData" localSheetId="8" hidden="1">'ОКЯ '!$A$1:$Z$1000</definedName>
    <definedName name="Z_E114B6AD_54F4_4D1C_9DFC_31B78B80811E_.wvu.FilterData" localSheetId="0" hidden="1">'База викладачів'!$F$1:$F$2905</definedName>
    <definedName name="Z_E157D179_F639_47C1_943D_6D8A2CADE184_.wvu.FilterData" localSheetId="0" hidden="1">'База викладачів'!$E$1:$F$3102</definedName>
    <definedName name="Z_E270B21D_7F6D_4C9F_A17F_E3E74F10293A_.wvu.FilterData" localSheetId="0" hidden="1">'База викладачів'!$A$2:$R$603</definedName>
    <definedName name="Z_E2CCEB60_9188_4C01_8803_5BD8B889631B_.wvu.FilterData" localSheetId="0" hidden="1">'База викладачів'!$A$2:$R$3102</definedName>
    <definedName name="Z_E4B6CD70_6F71_4930_8D93_E959514A309A_.wvu.FilterData" localSheetId="0" hidden="1">'База викладачів'!$A$2:$R$492</definedName>
    <definedName name="Z_E4B6CD70_6F71_4930_8D93_E959514A309A_.wvu.FilterData" localSheetId="1" hidden="1">'З школи до Study'!$D$1:$D$1012</definedName>
    <definedName name="Z_E4B6CD70_6F71_4930_8D93_E959514A309A_.wvu.FilterData" localSheetId="10" hidden="1">Заміни!$C$1:$C$1000</definedName>
    <definedName name="Z_E4B6CD70_6F71_4930_8D93_E959514A309A_.wvu.FilterData" localSheetId="5" hidden="1">'Заміни 2.0'!$C$1:$C$1423</definedName>
    <definedName name="Z_E4B6CD70_6F71_4930_8D93_E959514A309A_.wvu.FilterData" localSheetId="3" hidden="1">звільнено!$A$1:$BR$161</definedName>
    <definedName name="Z_E4B6CD70_6F71_4930_8D93_E959514A309A_.wvu.FilterData" localSheetId="8" hidden="1">'ОКЯ '!$K$136</definedName>
    <definedName name="Z_E5DFC77D_25D1_45FA_8DD2_995968EBED46_.wvu.FilterData" localSheetId="0" hidden="1">'База викладачів'!$E$1:$F$3102</definedName>
    <definedName name="Z_E698FCE0_0D27_4A98_9480_520184631F20_.wvu.FilterData" localSheetId="0" hidden="1">'База викладачів'!$E$1:$F$3102</definedName>
    <definedName name="Z_E6F2C1F1_86DE_4349_8C2C_9F8E45353F38_.wvu.FilterData" localSheetId="0" hidden="1">'База викладачів'!$A$1</definedName>
    <definedName name="Z_E86A76E7_2BE2_4BEB_A12C_2257443BC6DD_.wvu.FilterData" localSheetId="0" hidden="1">'База викладачів'!$E$1:$E$3102</definedName>
    <definedName name="Z_EBEF4C94_D7D5_4167_B81D_4F697BC5F934_.wvu.FilterData" localSheetId="0" hidden="1">'База викладачів'!$E$1:$F$3102</definedName>
    <definedName name="Z_EC7FBF07_A031_4CCC_82DC_1E605ACFE7FA_.wvu.FilterData" localSheetId="0" hidden="1">'База викладачів'!$E$1:$F$3095</definedName>
    <definedName name="Z_ECE7E310_C111_4D0A_9403_F6550047FF79_.wvu.FilterData" localSheetId="0" hidden="1">'База викладачів'!$E$1:$F$3000</definedName>
    <definedName name="Z_EDF10B2A_92BA_40D4_8BC9_0764F7A0639E_.wvu.FilterData" localSheetId="0" hidden="1">'База викладачів'!$E$1:$F$2905</definedName>
    <definedName name="Z_F195D729_45CF_4295_AF8C_2A28106E8743_.wvu.FilterData" localSheetId="0" hidden="1">'База викладачів'!$E$1:$E$1906</definedName>
    <definedName name="Z_F250166B_F22E_4C8A_AA9E_4800C508E294_.wvu.FilterData" localSheetId="0" hidden="1">'База викладачів'!$F$1:$F$2905</definedName>
    <definedName name="Z_F27F33B9_B821_496A_BCE4_D35CA5F7470F_.wvu.FilterData" localSheetId="0" hidden="1">'База викладачів'!$E$1:$F$3102</definedName>
    <definedName name="Z_F34C38E6_A62A_4EFE_936D_4E8A8D57B14B_.wvu.FilterData" localSheetId="0" hidden="1">'База викладачів'!$E$1:$E$1906</definedName>
    <definedName name="Z_F4CF9CCD_EB68_437E_9528_A9D9B1C5582C_.wvu.FilterData" localSheetId="0" hidden="1">'База викладачів'!$E$1:$E$1906</definedName>
    <definedName name="Z_F6D0FF0F_E90B_4F68_8581_5BD461F23229_.wvu.FilterData" localSheetId="0" hidden="1">'База викладачів'!$E$1:$F$3102</definedName>
    <definedName name="Z_F7316A87_9845_4315_84D5_34152F81560E_.wvu.FilterData" localSheetId="0" hidden="1">'База викладачів'!$E$1:$E$1906</definedName>
    <definedName name="Z_F7316A87_9845_4315_84D5_34152F81560E_.wvu.FilterData" localSheetId="1" hidden="1">'З школи до Study'!$D$1:$D$2012</definedName>
    <definedName name="Z_F760B77E_9F48_4755_8E01_A647D3C173A3_.wvu.FilterData" localSheetId="0" hidden="1">'База викладачів'!$E$1:$E$3095</definedName>
    <definedName name="Z_F83B2CEA_822A_4765_A602_AF548F769964_.wvu.FilterData" localSheetId="0" hidden="1">'База викладачів'!$A$1</definedName>
    <definedName name="Z_F8593FFE_DE99_4BF2_B36F_29A16EFFE534_.wvu.FilterData" localSheetId="0" hidden="1">'База викладачів'!$E$1:$E$1906</definedName>
    <definedName name="Z_F8593FFE_DE99_4BF2_B36F_29A16EFFE534_.wvu.FilterData" localSheetId="1" hidden="1">'З школи до Study'!$J$1:$J$2012</definedName>
    <definedName name="Z_F8593FFE_DE99_4BF2_B36F_29A16EFFE534_.wvu.FilterData" localSheetId="5" hidden="1">'Заміни 2.0'!$C$1:$C$1423</definedName>
    <definedName name="Z_F8C60011_499E_43CA_888B_8D394BEDAC5D_.wvu.FilterData" localSheetId="0" hidden="1">'База викладачів'!$A$2:$R$2905</definedName>
    <definedName name="Z_F97C7113_60E3_4091_A0BD_F9C166091674_.wvu.FilterData" localSheetId="0" hidden="1">'База викладачів'!$E$1:$F$3102</definedName>
    <definedName name="Z_F9FD9CC4_C74E_4FE5_B784_77D25D2927AE_.wvu.FilterData" localSheetId="0" hidden="1">'База викладачів'!$E$1:$E$1906</definedName>
    <definedName name="Z_FB644E76_7064_41E0_8E4A_0F92AFB11549_.wvu.FilterData" localSheetId="0" hidden="1">'База викладачів'!$E$1:$F$3000</definedName>
    <definedName name="Z_FBA89C9E_9D0F_4894_A2D0_469525CF3886_.wvu.FilterData" localSheetId="0" hidden="1">'База викладачів'!$E$1:$F$3102</definedName>
    <definedName name="Z_FC878F2B_65AB_4D70_83CE_C6EE23CD96CA_.wvu.FilterData" localSheetId="0" hidden="1">'База викладачів'!$A$1</definedName>
    <definedName name="Z_FE5C2421_DC2F_4347_95C0_DCD6AD2A41EC_.wvu.FilterData" localSheetId="0" hidden="1">'База викладачів'!$E$1:$E$3000</definedName>
    <definedName name="Z_FE63E6A8_7EBE_40DA_B8E9_E27479BAB69B_.wvu.FilterData" localSheetId="0" hidden="1">'База викладачів'!$A$1:$A$3102</definedName>
    <definedName name="Z_FF4528F6_57BC_4F46_984C_999787ED252E_.wvu.FilterData" localSheetId="0" hidden="1">'База викладачів'!$E$1:$E$1906</definedName>
    <definedName name="Z_FF4528F6_57BC_4F46_984C_999787ED252E_.wvu.FilterData" localSheetId="1" hidden="1">'З школи до Study'!$J$1:$J$2012</definedName>
  </definedNames>
  <calcPr calcId="181029"/>
  <customWorkbookViews>
    <customWorkbookView name="Фильтр 108" guid="{4D53E284-19C5-48F0-9571-DF13BA7CD181}" maximized="1" windowWidth="0" windowHeight="0" activeSheetId="0"/>
    <customWorkbookView name="Фильтр 109" guid="{0B23F442-1C07-467C-B078-81B2B7170F33}" maximized="1" windowWidth="0" windowHeight="0" activeSheetId="0"/>
    <customWorkbookView name="Фильтр 106" guid="{55E008F6-5F55-43D0-8301-2D0D1BD01DFB}" maximized="1" windowWidth="0" windowHeight="0" activeSheetId="0"/>
    <customWorkbookView name="Фильтр 107" guid="{FB644E76-7064-41E0-8E4A-0F92AFB11549}" maximized="1" windowWidth="0" windowHeight="0" activeSheetId="0"/>
    <customWorkbookView name="Фильтр 104" guid="{ECE7E310-C111-4D0A-9403-F6550047FF79}" maximized="1" windowWidth="0" windowHeight="0" activeSheetId="0"/>
    <customWorkbookView name="Фильтр 105" guid="{FE5C2421-DC2F-4347-95C0-DCD6AD2A41EC}" maximized="1" windowWidth="0" windowHeight="0" activeSheetId="0"/>
    <customWorkbookView name="Фильтр 102" guid="{778829F4-FD59-4C1F-AB0F-A94773087769}" maximized="1" windowWidth="0" windowHeight="0" activeSheetId="0"/>
    <customWorkbookView name="Фильтр 40" guid="{55C20F30-9193-4112-9CC9-4DC6C5AEF513}" maximized="1" windowWidth="0" windowHeight="0" activeSheetId="0"/>
    <customWorkbookView name="Фильтр 103" guid="{7B938DD7-C3D7-47F3-98B3-FE233E50E235}" maximized="1" windowWidth="0" windowHeight="0" activeSheetId="0"/>
    <customWorkbookView name="Фильтр 100" guid="{CC16EBE5-E793-4F7B-A88F-9A58B51D7254}" maximized="1" windowWidth="0" windowHeight="0" activeSheetId="0"/>
    <customWorkbookView name="Фильтр 41" guid="{4DE0576E-3CA9-434C-95EC-325EBB30CBA1}" maximized="1" windowWidth="0" windowHeight="0" activeSheetId="0"/>
    <customWorkbookView name="Фильтр 101" guid="{764B0E11-FA1E-4891-BE67-2DE06718C5DC}" maximized="1" windowWidth="0" windowHeight="0" activeSheetId="0"/>
    <customWorkbookView name="Фильтр 42" guid="{38DCA28B-67B7-4D10-A11F-56D9E6A78894}" maximized="1" windowWidth="0" windowHeight="0" activeSheetId="0"/>
    <customWorkbookView name="Фильтр 43" guid="{97F47574-485E-44E1-B670-B530C99DEA9A}" maximized="1" windowWidth="0" windowHeight="0" activeSheetId="0"/>
    <customWorkbookView name="Фильтр 44" guid="{E096A409-73E9-478B-B998-BE20696C7C15}" maximized="1" windowWidth="0" windowHeight="0" activeSheetId="0"/>
    <customWorkbookView name="Фильтр 45" guid="{F195D729-45CF-4295-AF8C-2A28106E8743}" maximized="1" windowWidth="0" windowHeight="0" activeSheetId="0"/>
    <customWorkbookView name="Фильтр 46" guid="{93785AB8-0B18-4922-BD01-DADC93AFACD3}" maximized="1" windowWidth="0" windowHeight="0" activeSheetId="0"/>
    <customWorkbookView name="Фильтр 36" guid="{4CBB0E48-4483-4418-B2F8-8EAC8778EA3C}" maximized="1" windowWidth="0" windowHeight="0" activeSheetId="0"/>
    <customWorkbookView name="Фильтр 37" guid="{F4CF9CCD-EB68-437E-9528-A9D9B1C5582C}" maximized="1" windowWidth="0" windowHeight="0" activeSheetId="0"/>
    <customWorkbookView name="Фильтр 38" guid="{DD5D7C82-B3FD-4CFA-89E0-D022E66D1DEF}" maximized="1" windowWidth="0" windowHeight="0" activeSheetId="0"/>
    <customWorkbookView name="Фильтр 39" guid="{5A88D8A7-BC19-4155-BC97-95F5DD81DF78}" maximized="1" windowWidth="0" windowHeight="0" activeSheetId="0"/>
    <customWorkbookView name="Фильтр 119" guid="{55C68190-5AD7-43F8-9C19-985AC2366A2B}" maximized="1" windowWidth="0" windowHeight="0" activeSheetId="0"/>
    <customWorkbookView name="Фильтр 117" guid="{33BD0004-7E09-40F1-B194-5A517E081C0A}" maximized="1" windowWidth="0" windowHeight="0" activeSheetId="0"/>
    <customWorkbookView name="Фильтр 118" guid="{0D483D58-E6FA-44CD-AB11-2773801B32CC}" maximized="1" windowWidth="0" windowHeight="0" activeSheetId="0"/>
    <customWorkbookView name="Фильтр 115" guid="{F760B77E-9F48-4755-8E01-A647D3C173A3}" maximized="1" windowWidth="0" windowHeight="0" activeSheetId="0"/>
    <customWorkbookView name="Фильтр 116" guid="{1387B83D-F9DF-4352-A132-4EF5758D9509}" maximized="1" windowWidth="0" windowHeight="0" activeSheetId="0"/>
    <customWorkbookView name="Фильтр 113" guid="{5F90BC4E-3196-4038-BE0D-2913C0D1CA34}" maximized="1" windowWidth="0" windowHeight="0" activeSheetId="0"/>
    <customWorkbookView name="Фильтр 114" guid="{2930199C-2921-4118-9EC8-5D5216C29911}" maximized="1" windowWidth="0" windowHeight="0" activeSheetId="0"/>
    <customWorkbookView name="Фильтр 30" guid="{BB623620-9882-47E3-BC1D-B50253DCEB7B}" maximized="1" windowWidth="0" windowHeight="0" activeSheetId="0"/>
    <customWorkbookView name="Фильтр 111" guid="{DF66B588-FA80-440E-9B24-A26739E104A7}" maximized="1" windowWidth="0" windowHeight="0" activeSheetId="0"/>
    <customWorkbookView name="Фильтр 31" guid="{CE0C68CE-B679-4626-8D48-772890A7851B}" maximized="1" windowWidth="0" windowHeight="0" activeSheetId="0"/>
    <customWorkbookView name="Фильтр 112" guid="{3189AB85-C403-410D-892D-B3A5DB38D836}" maximized="1" windowWidth="0" windowHeight="0" activeSheetId="0"/>
    <customWorkbookView name="Фильтр 32" guid="{A1530E4E-EE6D-46F4-863C-CA2A53823913}" maximized="1" windowWidth="0" windowHeight="0" activeSheetId="0"/>
    <customWorkbookView name="Фильтр 110" guid="{409B32A8-6987-4340-942E-46BB51793127}" maximized="1" windowWidth="0" windowHeight="0" activeSheetId="0"/>
    <customWorkbookView name="Фильтр 33" guid="{C086CFFB-0764-4829-891E-35F037E691EE}" maximized="1" windowWidth="0" windowHeight="0" activeSheetId="0"/>
    <customWorkbookView name="Фильтр 34" guid="{24B329D8-7F6D-466B-99CF-FBDE7B0B5CD1}" maximized="1" windowWidth="0" windowHeight="0" activeSheetId="0"/>
    <customWorkbookView name="Фильтр 35" guid="{F9FD9CC4-C74E-4FE5-B784-77D25D2927AE}" maximized="1" windowWidth="0" windowHeight="0" activeSheetId="0"/>
    <customWorkbookView name="Фильтр 25" guid="{BC274AAA-7626-418B-8822-BD023C2F94F7}" maximized="1" windowWidth="0" windowHeight="0" activeSheetId="0"/>
    <customWorkbookView name="Фильтр 26" guid="{11F7257F-E616-48A8-8896-F7A8A286182E}" maximized="1" windowWidth="0" windowHeight="0" activeSheetId="0"/>
    <customWorkbookView name="Фильтр 27" guid="{4D58A306-8720-4C54-AB28-CCE2E9A9B452}" maximized="1" windowWidth="0" windowHeight="0" activeSheetId="0"/>
    <customWorkbookView name="Фильтр 28" guid="{DEA2911D-5ED3-46C7-A519-C3A4F002EBCA}" maximized="1" windowWidth="0" windowHeight="0" activeSheetId="0"/>
    <customWorkbookView name="Фильтр 29" guid="{26A9AD63-264B-4D33-B066-DEAB601B0AAC}" maximized="1" windowWidth="0" windowHeight="0" activeSheetId="0"/>
    <customWorkbookView name="Фильтр 209" guid="{B0AAC4D9-01D8-4203-BA99-51556EA5F207}" maximized="1" windowWidth="0" windowHeight="0" activeSheetId="0"/>
    <customWorkbookView name="Фильтр 207" guid="{21E91AB9-0C99-4F08-B052-61DE73055D67}" maximized="1" windowWidth="0" windowHeight="0" activeSheetId="0"/>
    <customWorkbookView name="Фильтр 208" guid="{0A496995-8A54-4FAF-B4AB-22D1612CBD21}" maximized="1" windowWidth="0" windowHeight="0" activeSheetId="0"/>
    <customWorkbookView name="Фильтр 205" guid="{782CBFD8-7C46-4BEF-8B0F-CD21E7069ADD}" maximized="1" windowWidth="0" windowHeight="0" activeSheetId="0"/>
    <customWorkbookView name="Фильтр 206" guid="{F27F33B9-B821-496A-BCE4-D35CA5F7470F}" maximized="1" windowWidth="0" windowHeight="0" activeSheetId="0"/>
    <customWorkbookView name="Фильтр 203" guid="{288F52A8-B44B-4157-A30B-AA31144EDE66}" maximized="1" windowWidth="0" windowHeight="0" activeSheetId="0"/>
    <customWorkbookView name="Фильтр 204" guid="{F6D0FF0F-E90B-4F68-8581-5BD461F23229}" maximized="1" windowWidth="0" windowHeight="0" activeSheetId="0"/>
    <customWorkbookView name="Фильтр 60" guid="{9B0945B3-8475-4B2A-96FD-ED951F4F8986}" maximized="1" windowWidth="0" windowHeight="0" activeSheetId="0"/>
    <customWorkbookView name="Фильтр 61" guid="{A6F1901A-FD26-4FE1-9549-61B476460E67}" maximized="1" windowWidth="0" windowHeight="0" activeSheetId="0"/>
    <customWorkbookView name="Фильтр 201" guid="{366F5F62-28D1-4A1B-9675-761A358439A0}" maximized="1" windowWidth="0" windowHeight="0" activeSheetId="0"/>
    <customWorkbookView name="Фильтр 202" guid="{9706F50E-D71A-4ADE-A4BC-F51DCDF88C6B}" maximized="1" windowWidth="0" windowHeight="0" activeSheetId="0"/>
    <customWorkbookView name="Фильтр 62" guid="{B7256DB8-83B8-46BB-9E0C-F2CA5D6C469D}" maximized="1" windowWidth="0" windowHeight="0" activeSheetId="0"/>
    <customWorkbookView name="Фильтр 63" guid="{49ACEBAC-518C-4E1D-B788-0D64149BAC55}" maximized="1" windowWidth="0" windowHeight="0" activeSheetId="0"/>
    <customWorkbookView name="Фильтр 200" guid="{DA7EB64D-4213-4AA8-A3DB-DB71766DD590}" maximized="1" windowWidth="0" windowHeight="0" activeSheetId="0"/>
    <customWorkbookView name="Фильтр 64" guid="{B6C34B04-2E68-4B6B-9E84-54C527594094}" maximized="1" windowWidth="0" windowHeight="0" activeSheetId="0"/>
    <customWorkbookView name="Фильтр 65" guid="{179F8D3C-AA9B-4981-97B5-7F068B76835A}" maximized="1" windowWidth="0" windowHeight="0" activeSheetId="0"/>
    <customWorkbookView name="Фильтр 66" guid="{F34C38E6-A62A-4EFE-936D-4E8A8D57B14B}" maximized="1" windowWidth="0" windowHeight="0" activeSheetId="0"/>
    <customWorkbookView name="Юля Пустова" guid="{2971D904-3FB4-4614-8152-B9A5F5A9E601}" maximized="1" windowWidth="0" windowHeight="0" activeSheetId="0"/>
    <customWorkbookView name="Фильтр 67" guid="{212871EE-5BBB-44A8-8256-DAD766A7BA55}" maximized="1" windowWidth="0" windowHeight="0" activeSheetId="0"/>
    <customWorkbookView name="Фильтр 68" guid="{780EBF8D-A7DD-4167-90A2-C8A9C5F48B8D}" maximized="1" windowWidth="0" windowHeight="0" activeSheetId="0"/>
    <customWorkbookView name="Фильтр 58" guid="{4A9D70B1-617C-4ECD-92AC-6DFD13C9A51F}" maximized="1" windowWidth="0" windowHeight="0" activeSheetId="0"/>
    <customWorkbookView name="Фильтр 59" guid="{63971586-223E-43A1-86F9-C60F1FE9A7A7}" maximized="1" windowWidth="0" windowHeight="0" activeSheetId="0"/>
    <customWorkbookView name="Roblox" guid="{D3409D31-344D-4436-94BC-988F0945491B}" maximized="1" windowWidth="0" windowHeight="0" activeSheetId="0"/>
    <customWorkbookView name="Фильтр 216" guid="{BD61C6D2-7755-41EE-8EB8-1CCCEB97E41E}" maximized="1" windowWidth="0" windowHeight="0" activeSheetId="0"/>
    <customWorkbookView name="Фильтр 214" guid="{006F3222-7E9E-4060-B9BE-0268F2752A85}" maximized="1" windowWidth="0" windowHeight="0" activeSheetId="0"/>
    <customWorkbookView name="Фильтр 215" guid="{3FBDAF62-5B47-43FD-9161-03484B555381}" maximized="1" windowWidth="0" windowHeight="0" activeSheetId="0"/>
    <customWorkbookView name="Фильтр 212" guid="{D60FF9AD-19B7-46E4-9975-634951477218}" maximized="1" windowWidth="0" windowHeight="0" activeSheetId="0"/>
    <customWorkbookView name="Фильтр 50" guid="{D3C6E3B6-4A8E-4F8B-A6F9-C79D5AB27F50}" maximized="1" windowWidth="0" windowHeight="0" activeSheetId="0"/>
    <customWorkbookView name="Фильтр 213" guid="{FC878F2B-65AB-4D70-83CE-C6EE23CD96CA}" maximized="1" windowWidth="0" windowHeight="0" activeSheetId="0"/>
    <customWorkbookView name="Фильтр 51" guid="{A9B5F603-8171-47E4-8F54-91747AB0631E}" maximized="1" windowWidth="0" windowHeight="0" activeSheetId="0"/>
    <customWorkbookView name="Фильтр 52" guid="{3027F1C3-8B3D-43F9-BA35-D6CE65FCE1FC}" maximized="1" windowWidth="0" windowHeight="0" activeSheetId="0"/>
    <customWorkbookView name="Фильтр 210" guid="{BDE2D02C-9588-40CE-8C08-F0BE5C11E124}" maximized="1" windowWidth="0" windowHeight="0" activeSheetId="0"/>
    <customWorkbookView name="Фильтр 211" guid="{667EA3D5-2686-45D7-B2E7-BA62953A002F}" maximized="1" windowWidth="0" windowHeight="0" activeSheetId="0"/>
    <customWorkbookView name="Фильтр 53" guid="{5F1D3C68-5572-48F1-84F2-45B5E29452E7}" maximized="1" windowWidth="0" windowHeight="0" activeSheetId="0"/>
    <customWorkbookView name="Фильтр 54" guid="{4B91C0E6-FF19-421F-875B-DCFEE4A44FC9}" maximized="1" windowWidth="0" windowHeight="0" activeSheetId="0"/>
    <customWorkbookView name="Фильтр 55" guid="{4802F2F9-9B20-420B-9BF1-133E2D07D1A1}" maximized="1" windowWidth="0" windowHeight="0" activeSheetId="0"/>
    <customWorkbookView name="Фильтр 56" guid="{A17A7D7A-C8F7-4A3F-B31C-709F63F1EF83}" maximized="1" windowWidth="0" windowHeight="0" activeSheetId="0"/>
    <customWorkbookView name="Фильтр 57" guid="{38A1C88A-7E7D-4109-AABF-BF71A9E20897}" maximized="1" windowWidth="0" windowHeight="0" activeSheetId="0"/>
    <customWorkbookView name="Фильтр 47" guid="{7A3A4B17-B19C-402E-9FCD-49C2FFFC46CB}" maximized="1" windowWidth="0" windowHeight="0" activeSheetId="0"/>
    <customWorkbookView name="Фильтр 48" guid="{83E17C5B-DD3D-426B-A255-1AC9A51D425B}" maximized="1" windowWidth="0" windowHeight="0" activeSheetId="0"/>
    <customWorkbookView name="Фильтр 49" guid="{6AC89C7A-31A2-4BC7-82CA-F63F80FCCF16}" maximized="1" windowWidth="0" windowHeight="0" activeSheetId="0"/>
    <customWorkbookView name="Тарасович Тетяна" guid="{A684F7AB-3E38-4ABC-AFA1-6F3F821BEAE7}" maximized="1" windowWidth="0" windowHeight="0" activeSheetId="0"/>
    <customWorkbookView name="Самкова Олена" guid="{7C202B57-669E-4BD7-9063-6E13EE2FD0C3}" maximized="1" windowWidth="0" windowHeight="0" activeSheetId="0"/>
    <customWorkbookView name="Фильтр 148" guid="{5C5E6217-C261-4592-BE1E-E0FF264D2261}" maximized="1" windowWidth="0" windowHeight="0" activeSheetId="0"/>
    <customWorkbookView name="Фильтр 149" guid="{015A461E-D58F-448E-950B-93953962224B}" maximized="1" windowWidth="0" windowHeight="0" activeSheetId="0"/>
    <customWorkbookView name="Фильтр 146" guid="{0C7346EC-A8A9-4EA0-9356-D87C7BD0E6D5}" maximized="1" windowWidth="0" windowHeight="0" activeSheetId="0"/>
    <customWorkbookView name="Фильтр 147" guid="{9B8329E9-2935-4802-894C-AAEDF5B93852}" maximized="1" windowWidth="0" windowHeight="0" activeSheetId="0"/>
    <customWorkbookView name="Фильтр 144" guid="{FE63E6A8-7EBE-40DA-B8E9-E27479BAB69B}" maximized="1" windowWidth="0" windowHeight="0" activeSheetId="0"/>
    <customWorkbookView name="Фильтр 145" guid="{AD36E740-3678-4EFD-9647-4B4E886BD581}" maximized="1" windowWidth="0" windowHeight="0" activeSheetId="0"/>
    <customWorkbookView name="Фильтр 142" guid="{C50176BB-4778-4E34-9588-D79BAC17B4DA}" maximized="1" windowWidth="0" windowHeight="0" activeSheetId="0"/>
    <customWorkbookView name="Фильтр 143" guid="{2642A2C2-505E-46CE-969D-31F4101D7414}" maximized="1" windowWidth="0" windowHeight="0" activeSheetId="0"/>
    <customWorkbookView name="Фильтр 140" guid="{E157D179-F639-47C1-943D-6D8A2CADE184}" maximized="1" windowWidth="0" windowHeight="0" activeSheetId="0"/>
    <customWorkbookView name="Фильтр 141" guid="{46F27C80-DE80-4DB3-B29F-8CA44947DFBA}" maximized="1" windowWidth="0" windowHeight="0" activeSheetId="0"/>
    <customWorkbookView name="Маковська Анна" guid="{1DFF1292-DA71-43E8-B4C4-52F40E2FB9E0}" maximized="1" windowWidth="0" windowHeight="0" activeSheetId="0"/>
    <customWorkbookView name="Лисенко Олександра" guid="{9015E6C3-EF38-490E-A4C4-D5A2A54578E4}" maximized="1" windowWidth="0" windowHeight="0" activeSheetId="0"/>
    <customWorkbookView name="Фильтр 159" guid="{5373988F-B528-4E2E-A95A-ABC31CCE62BC}" maximized="1" windowWidth="0" windowHeight="0" activeSheetId="0"/>
    <customWorkbookView name="Фильтр 157" guid="{4AC53654-4AA1-406D-BA97-E5E85DB8F933}" maximized="1" windowWidth="0" windowHeight="0" activeSheetId="0"/>
    <customWorkbookView name="Фильтр 158" guid="{8F66FD5F-8B2F-4C6F-BD8C-898CD9BA1E93}" maximized="1" windowWidth="0" windowHeight="0" activeSheetId="0"/>
    <customWorkbookView name="Фильтр 155" guid="{A8433BB3-5167-412B-B64E-3A808A6F7098}" maximized="1" windowWidth="0" windowHeight="0" activeSheetId="0"/>
    <customWorkbookView name="Фильтр 156" guid="{DBA36F87-88B9-4581-8477-D48D45C47A1E}" maximized="1" windowWidth="0" windowHeight="0" activeSheetId="0"/>
    <customWorkbookView name="Фильтр 153" guid="{A6FE7E84-296D-46C3-952E-227D7C501A37}" maximized="1" windowWidth="0" windowHeight="0" activeSheetId="0"/>
    <customWorkbookView name="Фильтр 154" guid="{429E25A9-A1EC-4576-B77C-11DEFF9A62E7}" maximized="1" windowWidth="0" windowHeight="0" activeSheetId="0"/>
    <customWorkbookView name="Фильтр 151" guid="{404E6C03-ACD3-4FC1-B357-FE14AFEF350D}" maximized="1" windowWidth="0" windowHeight="0" activeSheetId="0"/>
    <customWorkbookView name="Терентьєва Влада" guid="{B504B2D6-BA0F-4E65-9F13-50CA81CFD501}" maximized="1" windowWidth="0" windowHeight="0" activeSheetId="0"/>
    <customWorkbookView name="Фильтр 152" guid="{2BBA6DCD-5DAC-4984-9DBA-323C8B830C4A}" maximized="1" windowWidth="0" windowHeight="0" activeSheetId="0"/>
    <customWorkbookView name="Фильтр 150" guid="{E698FCE0-0D27-4A98-9480-520184631F20}" maximized="1" windowWidth="0" windowHeight="0" activeSheetId="0"/>
    <customWorkbookView name="Оджиковська" guid="{6F00DC93-E465-47A7-A33D-4FAE8DE9D778}" maximized="1" windowWidth="0" windowHeight="0" activeSheetId="0"/>
    <customWorkbookView name="Фильтр 128" guid="{0C4F2CC4-21CF-4277-9153-8148098E562A}" maximized="1" windowWidth="0" windowHeight="0" activeSheetId="0"/>
    <customWorkbookView name="Фильтр 129" guid="{32B425F8-4ABF-4FB6-ABDD-60D39A93CF6B}" maximized="1" windowWidth="0" windowHeight="0" activeSheetId="0"/>
    <customWorkbookView name="Фильтр 126" guid="{EC7FBF07-A031-4CCC-82DC-1E605ACFE7FA}" maximized="1" windowWidth="0" windowHeight="0" activeSheetId="0"/>
    <customWorkbookView name="Фильтр 127" guid="{17F1A6AA-45AC-4CAB-BB89-1DEF3CA8DAAB}" maximized="1" windowWidth="0" windowHeight="0" activeSheetId="0"/>
    <customWorkbookView name="Фильтр 124" guid="{D707E385-B2CC-48BF-9C16-0074E1BCE416}" maximized="1" windowWidth="0" windowHeight="0" activeSheetId="0"/>
    <customWorkbookView name="Фильтр 125" guid="{D34B621B-C869-46B0-BCB8-6565EC451D53}" maximized="1" windowWidth="0" windowHeight="0" activeSheetId="0"/>
    <customWorkbookView name="Гриневич Олена" guid="{39E79A8A-69B8-414C-BBAD-E33C0248542E}" maximized="1" windowWidth="0" windowHeight="0" activeSheetId="0"/>
    <customWorkbookView name="Фильтр 122" guid="{3927304B-B123-4738-BF08-521D4B1AD55E}" maximized="1" windowWidth="0" windowHeight="0" activeSheetId="0"/>
    <customWorkbookView name="Фильтр 123" guid="{01A57BB1-E18B-4457-9669-5B6B2BB7C71C}" maximized="1" windowWidth="0" windowHeight="0" activeSheetId="0"/>
    <customWorkbookView name="Фильтр 20" guid="{677160C2-90F5-4ECC-8A25-96BEAF74C17B}" maximized="1" windowWidth="0" windowHeight="0" activeSheetId="0"/>
    <customWorkbookView name="Юлія Пустова" guid="{1E374624-E406-4D9F-9C2D-223C7C37A713}" maximized="1" windowWidth="0" windowHeight="0" activeSheetId="0"/>
    <customWorkbookView name="Фильтр 21" guid="{5DAD8BB2-41A5-42B0-9C69-D6AEEB703812}" maximized="1" windowWidth="0" windowHeight="0" activeSheetId="0"/>
    <customWorkbookView name="Фильтр 120" guid="{686110D2-E426-48D9-A8E5-A8307283842B}" maximized="1" windowWidth="0" windowHeight="0" activeSheetId="0"/>
    <customWorkbookView name="Фильтр 121" guid="{CBC08363-879C-4F75-A6F3-4DD5280C81D9}" maximized="1" windowWidth="0" windowHeight="0" activeSheetId="0"/>
    <customWorkbookView name="Фильтр 22" guid="{A7AE1271-7D7E-417B-A215-8BA9FC825721}" maximized="1" windowWidth="0" windowHeight="0" activeSheetId="0"/>
    <customWorkbookView name="Фильтр 23" guid="{A6989CBB-60EC-4E5A-A6E1-380EDEF0A93A}" maximized="1" windowWidth="0" windowHeight="0" activeSheetId="0"/>
    <customWorkbookView name="Фильтр 24" guid="{7CCA4EE4-0743-4C89-8BBB-8DC66C936363}" maximized="1" windowWidth="0" windowHeight="0" activeSheetId="0"/>
    <customWorkbookView name="Фильтр 14" guid="{26473656-66D4-4924-91E4-00B7EA4D4199}" maximized="1" windowWidth="0" windowHeight="0" activeSheetId="0"/>
    <customWorkbookView name="Фильтр 15" guid="{65466170-B2B1-4ED5-9CF9-C25ACDF28BB5}" maximized="1" windowWidth="0" windowHeight="0" activeSheetId="0"/>
    <customWorkbookView name="Фильтр 16" guid="{D6D31CF3-0341-43BC-A303-9DD4BF170521}" maximized="1" windowWidth="0" windowHeight="0" activeSheetId="0"/>
    <customWorkbookView name="Фильтр 17" guid="{A254516C-072E-4707-965C-D566F6DB9267}" maximized="1" windowWidth="0" windowHeight="0" activeSheetId="0"/>
    <customWorkbookView name="Фильтр 18" guid="{B631FB1C-0AA7-449A-8039-0F1A5F4E475E}" maximized="1" windowWidth="0" windowHeight="0" activeSheetId="0"/>
    <customWorkbookView name="Фильтр 19" guid="{3469561A-E9A0-44F1-AF43-3AA050D3712C}" maximized="1" windowWidth="0" windowHeight="0" activeSheetId="0"/>
    <customWorkbookView name="Фильтр 8" guid="{CED67368-F6EA-4B53-8D72-0FD29261D932}" maximized="1" windowWidth="0" windowHeight="0" activeSheetId="0"/>
    <customWorkbookView name="Фильтр 7" guid="{FF4528F6-57BC-4F46-984C-999787ED252E}" maximized="1" windowWidth="0" windowHeight="0" activeSheetId="0"/>
    <customWorkbookView name="Фильтр 6" guid="{DB5CAF45-066D-42CD-9985-873B987CC6A4}" maximized="1" windowWidth="0" windowHeight="0" activeSheetId="0"/>
    <customWorkbookView name="Фильтр 5" guid="{CE41F793-179E-4E95-8743-4F50F86F0095}" maximized="1" windowWidth="0" windowHeight="0" activeSheetId="0"/>
    <customWorkbookView name="Фильтр 139" guid="{00BDCD11-8950-458E-BFDF-570FE91CC33A}" maximized="1" windowWidth="0" windowHeight="0" activeSheetId="0"/>
    <customWorkbookView name="Фильтр 137" guid="{768CAE28-BA97-4A60-88AE-9A3575842595}" maximized="1" windowWidth="0" windowHeight="0" activeSheetId="0"/>
    <customWorkbookView name="Фильтр 138" guid="{34EABAC9-9349-46DB-9BCF-03FA63DFFC53}" maximized="1" windowWidth="0" windowHeight="0" activeSheetId="0"/>
    <customWorkbookView name="Фильтр 9" guid="{A49D67D9-E56A-412E-9BEF-93436261A100}" maximized="1" windowWidth="0" windowHeight="0" activeSheetId="0"/>
    <customWorkbookView name="Фильтр 135" guid="{7551374D-8F6C-461D-AC42-1F01493FB074}" maximized="1" windowWidth="0" windowHeight="0" activeSheetId="0"/>
    <customWorkbookView name="Фильтр 136" guid="{C0005D81-35E2-4943-913A-EA13740EE0BD}" maximized="1" windowWidth="0" windowHeight="0" activeSheetId="0"/>
    <customWorkbookView name="Фильтр 133" guid="{5A1E6FE7-1C6D-47C7-8844-D7CB3950C307}" maximized="1" windowWidth="0" windowHeight="0" activeSheetId="0"/>
    <customWorkbookView name="Фильтр 134" guid="{EBEF4C94-D7D5-4167-B81D-4F697BC5F934}" maximized="1" windowWidth="0" windowHeight="0" activeSheetId="0"/>
    <customWorkbookView name="Фильтр 10" guid="{029C0AF8-D12A-4EF5-921B-4AA58947806F}" maximized="1" windowWidth="0" windowHeight="0" activeSheetId="0"/>
    <customWorkbookView name="Фильтр 4" guid="{F8593FFE-DE99-4BF2-B36F-29A16EFFE534}" maximized="1" windowWidth="0" windowHeight="0" activeSheetId="0"/>
    <customWorkbookView name="Фильтр 131" guid="{FBA89C9E-9D0F-4894-A2D0-469525CF3886}" maximized="1" windowWidth="0" windowHeight="0" activeSheetId="0"/>
    <customWorkbookView name="Фильтр 3" guid="{E111926B-F6F2-4F37-858B-7FDE682576C0}" maximized="1" windowWidth="0" windowHeight="0" activeSheetId="0"/>
    <customWorkbookView name="Фильтр 11" guid="{F7316A87-9845-4315-84D5-34152F81560E}" maximized="1" windowWidth="0" windowHeight="0" activeSheetId="0"/>
    <customWorkbookView name="Фильтр 132" guid="{E5DFC77D-25D1-45FA-8DD2-995968EBED46}" maximized="1" windowWidth="0" windowHeight="0" activeSheetId="0"/>
    <customWorkbookView name="Фильтр 12" guid="{C5819023-4EBF-45FE-B05B-D48E07E46466}" maximized="1" windowWidth="0" windowHeight="0" activeSheetId="0"/>
    <customWorkbookView name="Фильтр 2" guid="{A4698AFA-486A-415A-8D19-820587C948A9}" maximized="1" windowWidth="0" windowHeight="0" activeSheetId="0"/>
    <customWorkbookView name="Фильтр 130" guid="{298356FD-ECE6-430A-8D3E-E41D187275C7}" maximized="1" windowWidth="0" windowHeight="0" activeSheetId="0"/>
    <customWorkbookView name="Фильтр 13" guid="{6886918C-5892-4B63-B4C0-DB0E62862F84}" maximized="1" windowWidth="0" windowHeight="0" activeSheetId="0"/>
    <customWorkbookView name="Фильтр 1" guid="{E4B6CD70-6F71-4930-8D93-E959514A309A}" maximized="1" windowWidth="0" windowHeight="0" activeSheetId="0"/>
    <customWorkbookView name="Фильтр 188" guid="{B44DD0BC-C4BC-4BD2-A21F-98D0F2D22D68}" maximized="1" windowWidth="0" windowHeight="0" activeSheetId="0"/>
    <customWorkbookView name="Фильтр 189" guid="{7F79A290-6D61-4108-B16E-DB955E17B0FD}" maximized="1" windowWidth="0" windowHeight="0" activeSheetId="0"/>
    <customWorkbookView name="Фильтр 186" guid="{893337A3-F45B-4E5C-9D6D-B6C37627108B}" maximized="1" windowWidth="0" windowHeight="0" activeSheetId="0"/>
    <customWorkbookView name="Фильтр 187" guid="{C1A097F8-2942-4163-8981-D82936BF39C2}" maximized="1" windowWidth="0" windowHeight="0" activeSheetId="0"/>
    <customWorkbookView name="Фильтр 184" guid="{483C8CED-EDB7-4198-9995-2FE23B8F71E8}" maximized="1" windowWidth="0" windowHeight="0" activeSheetId="0"/>
    <customWorkbookView name="Фильтр 185" guid="{9E54FD72-8F39-4839-BB8A-F56F0D0407A6}" maximized="1" windowWidth="0" windowHeight="0" activeSheetId="0"/>
    <customWorkbookView name="Фильтр 182" guid="{77DD0752-A248-4F41-807F-C0F92A503FA2}" maximized="1" windowWidth="0" windowHeight="0" activeSheetId="0"/>
    <customWorkbookView name="Фильтр 183" guid="{73929234-8108-4F2C-A51C-BAD31B11A2EB}" maximized="1" windowWidth="0" windowHeight="0" activeSheetId="0"/>
    <customWorkbookView name="Фильтр 180" guid="{E86A76E7-2BE2-4BEB-A12C-2257443BC6DD}" maximized="1" windowWidth="0" windowHeight="0" activeSheetId="0"/>
    <customWorkbookView name="Фильтр 181" guid="{F97C7113-60E3-4091-A0BD-F9C166091674}" maximized="1" windowWidth="0" windowHeight="0" activeSheetId="0"/>
    <customWorkbookView name="Іванішена Юля" guid="{B1C55E80-5BA8-4B5E-90F0-4C6259C58804}" maximized="1" windowWidth="0" windowHeight="0" activeSheetId="0"/>
    <customWorkbookView name="Мазурик Діана" guid="{E2CCEB60-9188-4C01-8803-5BD8B889631B}" maximized="1" windowWidth="0" windowHeight="0" activeSheetId="0"/>
    <customWorkbookView name="Фильтр 199" guid="{E6F2C1F1-86DE-4349-8C2C-9F8E45353F38}" maximized="1" windowWidth="0" windowHeight="0" activeSheetId="0"/>
    <customWorkbookView name="Фильтр 197" guid="{1BD368D7-85EB-4101-8828-DF716225F5B9}" maximized="1" windowWidth="0" windowHeight="0" activeSheetId="0"/>
    <customWorkbookView name="Фильтр 198" guid="{985F45B6-273F-4058-AA6F-01496FB9FB5C}" maximized="1" windowWidth="0" windowHeight="0" activeSheetId="0"/>
    <customWorkbookView name="Фильтр 195" guid="{B6072F42-064B-44C9-A270-BCBF68A4D33F}" maximized="1" windowWidth="0" windowHeight="0" activeSheetId="0"/>
    <customWorkbookView name="Фильтр 196" guid="{F83B2CEA-822A-4765-A602-AF548F769964}" maximized="1" windowWidth="0" windowHeight="0" activeSheetId="0"/>
    <customWorkbookView name="Фильтр 193" guid="{588716E6-FC7F-4A03-8173-E2AF747FB401}" maximized="1" windowWidth="0" windowHeight="0" activeSheetId="0"/>
    <customWorkbookView name="Фильтр 194" guid="{C1F67F32-F5B7-4674-B480-5EF847855954}" maximized="1" windowWidth="0" windowHeight="0" activeSheetId="0"/>
    <customWorkbookView name="Фильтр 191" guid="{7C59803B-17D7-4B03-9A0B-ACB0ECEF4305}" maximized="1" windowWidth="0" windowHeight="0" activeSheetId="0"/>
    <customWorkbookView name="Фильтр 192" guid="{DB74F03F-C664-4798-9904-8EC432A5DD03}" maximized="1" windowWidth="0" windowHeight="0" activeSheetId="0"/>
    <customWorkbookView name="Фильтр 190" guid="{CB5684DC-4981-4B9E-8551-1909F9295D4A}" maximized="1" windowWidth="0" windowHeight="0" activeSheetId="0"/>
    <customWorkbookView name="Фильтр 168" guid="{888A506D-AAE8-4528-B66E-50878E8A3210}" maximized="1" windowWidth="0" windowHeight="0" activeSheetId="0"/>
    <customWorkbookView name="Фильтр 169" guid="{571A47CA-D8C2-486F-9054-46F80A8F4BAE}" maximized="1" windowWidth="0" windowHeight="0" activeSheetId="0"/>
    <customWorkbookView name="Фильтр 166" guid="{59085910-9B19-4996-A863-F3CEF6464C9F}" maximized="1" windowWidth="0" windowHeight="0" activeSheetId="0"/>
    <customWorkbookView name="Фильтр 167" guid="{BC7AC370-F204-45C9-951C-A233D86ECCB2}" maximized="1" windowWidth="0" windowHeight="0" activeSheetId="0"/>
    <customWorkbookView name="Фильтр 164" guid="{BE384C63-EAA6-4E1D-8102-7C5366BC1CEA}" maximized="1" windowWidth="0" windowHeight="0" activeSheetId="0"/>
    <customWorkbookView name="Фильтр 165" guid="{B74020AE-0802-4B1D-9C86-F5D158BA62C1}" maximized="1" windowWidth="0" windowHeight="0" activeSheetId="0"/>
    <customWorkbookView name="Фильтр 162" guid="{1B597360-A471-48B2-82F5-FB431D2327F6}" maximized="1" windowWidth="0" windowHeight="0" activeSheetId="0"/>
    <customWorkbookView name="Фильтр 163" guid="{59369E6A-F596-4538-8111-89015F5B8B13}" maximized="1" windowWidth="0" windowHeight="0" activeSheetId="0"/>
    <customWorkbookView name="Фильтр 160" guid="{34764FC6-8C40-4814-97A7-F8E639F503A5}" maximized="1" windowWidth="0" windowHeight="0" activeSheetId="0"/>
    <customWorkbookView name="Фильтр 161" guid="{CBB88F80-DFE5-4B02-A489-4A1E1854E110}" maximized="1" windowWidth="0" windowHeight="0" activeSheetId="0"/>
    <customWorkbookView name="Максименко Аліна" guid="{DA77F976-BDDC-474A-A18C-26B7282D8902}" maximized="1" windowWidth="0" windowHeight="0" activeSheetId="0"/>
    <customWorkbookView name="Фильтр 179" guid="{DC1ABAD8-7FE0-4BA8-9FDC-8E296776F648}" maximized="1" windowWidth="0" windowHeight="0" activeSheetId="0"/>
    <customWorkbookView name="Фильтр 177" guid="{363534E3-1D4A-4A0D-A390-9DEE35B9D252}" maximized="1" windowWidth="0" windowHeight="0" activeSheetId="0"/>
    <customWorkbookView name="Фильтр 178" guid="{6DB17C79-CDC4-4E9C-996A-4503B69B8D70}" maximized="1" windowWidth="0" windowHeight="0" activeSheetId="0"/>
    <customWorkbookView name="Фильтр 175" guid="{969A48A5-39A5-4751-BB02-F04C2BF88A6D}" maximized="1" windowWidth="0" windowHeight="0" activeSheetId="0"/>
    <customWorkbookView name="Фильтр 176" guid="{94628588-29EC-4A78-A0E8-5080A863F280}" maximized="1" windowWidth="0" windowHeight="0" activeSheetId="0"/>
    <customWorkbookView name="Фильтр 173" guid="{1B119593-B1E5-4E90-9594-DF2555FFC5A5}" maximized="1" windowWidth="0" windowHeight="0" activeSheetId="0"/>
    <customWorkbookView name="Фильтр 174" guid="{E0934CDE-86D6-446F-A188-27119D28A433}" maximized="1" windowWidth="0" windowHeight="0" activeSheetId="0"/>
    <customWorkbookView name="Фильтр 171" guid="{DDA7AC39-8CE7-4887-9414-F8C67644A7C9}" maximized="1" windowWidth="0" windowHeight="0" activeSheetId="0"/>
    <customWorkbookView name="Фильтр 172" guid="{A12A475D-5771-450F-9DC5-A0FCC0F29DE3}" maximized="1" windowWidth="0" windowHeight="0" activeSheetId="0"/>
    <customWorkbookView name="Фильтр 170" guid="{A9F0CE94-BBF5-49B5-ACA3-0923DD69EA6B}" maximized="1" windowWidth="0" windowHeight="0" activeSheetId="0"/>
    <customWorkbookView name="Фильтр 80" guid="{7A2BDAFE-606D-427C-B1CE-9DE5B93700DC}" maximized="1" windowWidth="0" windowHeight="0" activeSheetId="0"/>
    <customWorkbookView name="Фильтр 81" guid="{0BEEBA6C-20F2-40F5-A3E5-9C3ED9FC7892}" maximized="1" windowWidth="0" windowHeight="0" activeSheetId="0"/>
    <customWorkbookView name="Фильтр 82" guid="{82B756C0-560D-4F1E-B854-A1ABE77E8AB6}" maximized="1" windowWidth="0" windowHeight="0" activeSheetId="0"/>
    <customWorkbookView name="Фильтр 83" guid="{3C243430-3BD5-47CD-98B4-14E3D47211F0}" maximized="1" windowWidth="0" windowHeight="0" activeSheetId="0"/>
    <customWorkbookView name="Фильтр 84" guid="{5E872E9D-2D0E-4160-B952-80EC1B9CB377}" maximized="1" windowWidth="0" windowHeight="0" activeSheetId="0"/>
    <customWorkbookView name="Фильтр 85" guid="{51DCDD25-5BC4-4D9C-8C6B-B8EB98E4C55C}" maximized="1" windowWidth="0" windowHeight="0" activeSheetId="0"/>
    <customWorkbookView name="Фильтр 86" guid="{6224FA6E-B558-4B75-97D9-3951F434DF4E}" maximized="1" windowWidth="0" windowHeight="0" activeSheetId="0"/>
    <customWorkbookView name="Фильтр 87" guid="{E270B21D-7F6D-4C9F-A17F-E3E74F10293A}" maximized="1" windowWidth="0" windowHeight="0" activeSheetId="0"/>
    <customWorkbookView name="Фильтр 88" guid="{66D3854A-629C-473B-B869-BA11FDBFE1D1}" maximized="1" windowWidth="0" windowHeight="0" activeSheetId="0"/>
    <customWorkbookView name="Сербин GameDev" guid="{3EB4FAFA-D20F-458B-8CBB-1B4CA9DA8DC2}" maximized="1" windowWidth="0" windowHeight="0" activeSheetId="0"/>
    <customWorkbookView name="Фильтр 89" guid="{2BBFF34C-B797-406F-9457-1A10570F0C32}" maximized="1" windowWidth="0" windowHeight="0" activeSheetId="0"/>
    <customWorkbookView name="Фильтр 70" guid="{1CFEFA47-BFC4-48C9-8FE4-94F23E8EA644}" maximized="1" windowWidth="0" windowHeight="0" activeSheetId="0"/>
    <customWorkbookView name="Фильтр 71" guid="{AD8AA66E-A4D0-4193-A5DE-B4B6280982BB}" maximized="1" windowWidth="0" windowHeight="0" activeSheetId="0"/>
    <customWorkbookView name="Фильтр 72" guid="{F250166B-F22E-4C8A-AA9E-4800C508E294}" maximized="1" windowWidth="0" windowHeight="0" activeSheetId="0"/>
    <customWorkbookView name="Фильтр 73" guid="{EDF10B2A-92BA-40D4-8BC9-0764F7A0639E}" maximized="1" windowWidth="0" windowHeight="0" activeSheetId="0"/>
    <customWorkbookView name="Фильтр 74" guid="{4ABCFD65-DFF8-4A39-92C5-D524FC12990C}" maximized="1" windowWidth="0" windowHeight="0" activeSheetId="0"/>
    <customWorkbookView name="Фильтр 75" guid="{F8C60011-499E-43CA-888B-8D394BEDAC5D}" maximized="1" windowWidth="0" windowHeight="0" activeSheetId="0"/>
    <customWorkbookView name="Фильтр 76" guid="{6F20B320-7067-46E1-B30B-C03D97C79631}" maximized="1" windowWidth="0" windowHeight="0" activeSheetId="0"/>
    <customWorkbookView name="Фильтр 77" guid="{54BD8BFE-F461-41E5-A01B-DD7082C1A3FF}" maximized="1" windowWidth="0" windowHeight="0" activeSheetId="0"/>
    <customWorkbookView name="Фильтр 78" guid="{4B825139-C608-4EC6-9CFF-14875D850C0E}" maximized="1" windowWidth="0" windowHeight="0" activeSheetId="0"/>
    <customWorkbookView name="Фильтр 79" guid="{E114B6AD-54F4-4D1C-9DFC-31B78B80811E}" maximized="1" windowWidth="0" windowHeight="0" activeSheetId="0"/>
    <customWorkbookView name="Фильтр 69" guid="{5B493576-8CFC-4428-8FAB-6EDAE823780B}" maximized="1" windowWidth="0" windowHeight="0" activeSheetId="0"/>
    <customWorkbookView name="Третьяк Олександра" guid="{05028320-0C0B-49D7-A526-6E8AFF5377D9}" maximized="1" windowWidth="0" windowHeight="0" activeSheetId="0"/>
    <customWorkbookView name="Софти" guid="{9673F715-C235-486F-BB1E-291D3284E590}" maximized="1" windowWidth="0" windowHeight="0" activeSheetId="0"/>
    <customWorkbookView name="Максимів Яна" guid="{38AB0804-B74A-4CDB-A15D-3898B3442648}" maximized="1" windowWidth="0" windowHeight="0" activeSheetId="0"/>
    <customWorkbookView name="Фильтр 90" guid="{D2524020-C265-4692-B799-ECDE7AC860AF}" maximized="1" windowWidth="0" windowHeight="0" activeSheetId="0"/>
    <customWorkbookView name="Фильтр 91" guid="{27528936-4580-4701-8569-1FFCB41C936A}" maximized="1" windowWidth="0" windowHeight="0" activeSheetId="0"/>
    <customWorkbookView name="Фильтр 92" guid="{CDAFD32C-EF0E-4810-8351-9A5CD23C6A9C}" maximized="1" windowWidth="0" windowHeight="0" activeSheetId="0"/>
    <customWorkbookView name="Фильтр 93" guid="{572AA877-6C23-414B-91C3-08160F506EDE}" maximized="1" windowWidth="0" windowHeight="0" activeSheetId="0"/>
    <customWorkbookView name="Фильтр 94" guid="{36A8D06A-10CE-40A0-8415-CB68DBCE7D76}" maximized="1" windowWidth="0" windowHeight="0" activeSheetId="0"/>
    <customWorkbookView name="Фильтр 95" guid="{2AFEEA20-CA4D-48C5-BD60-F1D86B4B18D6}" maximized="1" windowWidth="0" windowHeight="0" activeSheetId="0"/>
    <customWorkbookView name="Фильтр 96" guid="{53FC7E8A-377B-4258-8D87-0C45316FF566}" maximized="1" windowWidth="0" windowHeight="0" activeSheetId="0"/>
    <customWorkbookView name="Фильтр 97" guid="{0C6A102C-6E52-48E4-87E5-4BA6B497283F}" maximized="1" windowWidth="0" windowHeight="0" activeSheetId="0"/>
    <customWorkbookView name="Фильтр 98" guid="{DE88B6D0-4BCA-4D7B-A0FB-6AA7DCE761C3}" maximized="1" windowWidth="0" windowHeight="0" activeSheetId="0"/>
    <customWorkbookView name="Фильтр 99" guid="{264A88AE-E545-4746-B8D8-E67759717616}" maximized="1" windowWidth="0" windowHeight="0" activeSheetId="0"/>
    <customWorkbookView name="00" guid="{C791E6D3-155E-41D6-92F4-D7BB3B5D82EC}" maximized="1" windowWidth="0" windowHeight="0" activeSheetId="0"/>
  </customWorkbookViews>
</workbook>
</file>

<file path=xl/calcChain.xml><?xml version="1.0" encoding="utf-8"?>
<calcChain xmlns="http://schemas.openxmlformats.org/spreadsheetml/2006/main">
  <c r="E67" i="18" l="1"/>
  <c r="M261" i="17"/>
  <c r="L261" i="17"/>
  <c r="M260" i="17"/>
  <c r="L260" i="17"/>
  <c r="M259" i="17"/>
  <c r="L259" i="17"/>
  <c r="M258" i="17"/>
  <c r="L258" i="17"/>
  <c r="M257" i="17"/>
  <c r="L257" i="17"/>
  <c r="M256" i="17"/>
  <c r="L256" i="17"/>
  <c r="M255" i="17"/>
  <c r="L255" i="17"/>
  <c r="M254" i="17"/>
  <c r="L254" i="17"/>
  <c r="M253" i="17"/>
  <c r="L253" i="17"/>
  <c r="M252" i="17"/>
  <c r="L252" i="17"/>
  <c r="M251" i="17"/>
  <c r="L251" i="17"/>
  <c r="M250" i="17"/>
  <c r="L250" i="17"/>
  <c r="M249" i="17"/>
  <c r="L249" i="17"/>
  <c r="M248" i="17"/>
  <c r="L248" i="17"/>
  <c r="M247" i="17"/>
  <c r="L247" i="17"/>
  <c r="M246" i="17"/>
  <c r="L246" i="17"/>
  <c r="M245" i="17"/>
  <c r="L245" i="17"/>
  <c r="M244" i="17"/>
  <c r="L244" i="17"/>
  <c r="M243" i="17"/>
  <c r="L243" i="17"/>
  <c r="M242" i="17"/>
  <c r="L242" i="17"/>
  <c r="M241" i="17"/>
  <c r="L241" i="17"/>
  <c r="M240" i="17"/>
  <c r="L240" i="17"/>
  <c r="M239" i="17"/>
  <c r="L239" i="17"/>
  <c r="M238" i="17"/>
  <c r="L238" i="17"/>
  <c r="M237" i="17"/>
  <c r="L237" i="17"/>
  <c r="M236" i="17"/>
  <c r="L236" i="17"/>
  <c r="M235" i="17"/>
  <c r="L235" i="17"/>
  <c r="M234" i="17"/>
  <c r="L234" i="17"/>
  <c r="M233" i="17"/>
  <c r="L233" i="17"/>
  <c r="M232" i="17"/>
  <c r="L232" i="17"/>
  <c r="M231" i="17"/>
  <c r="L231" i="17"/>
  <c r="M230" i="17"/>
  <c r="L230" i="17"/>
  <c r="C230" i="17"/>
  <c r="B230" i="17"/>
  <c r="A230" i="17"/>
  <c r="M229" i="17"/>
  <c r="L229" i="17"/>
  <c r="C229" i="17"/>
  <c r="B229" i="17"/>
  <c r="A229" i="17"/>
  <c r="M228" i="17"/>
  <c r="L228" i="17"/>
  <c r="C228" i="17"/>
  <c r="B228" i="17"/>
  <c r="A228" i="17"/>
  <c r="M227" i="17"/>
  <c r="L227" i="17"/>
  <c r="C227" i="17"/>
  <c r="B227" i="17"/>
  <c r="A227" i="17"/>
  <c r="M226" i="17"/>
  <c r="L226" i="17"/>
  <c r="C226" i="17"/>
  <c r="B226" i="17"/>
  <c r="A226" i="17"/>
  <c r="M225" i="17"/>
  <c r="L225" i="17"/>
  <c r="C225" i="17"/>
  <c r="B225" i="17"/>
  <c r="A225" i="17"/>
  <c r="M224" i="17"/>
  <c r="L224" i="17"/>
  <c r="C224" i="17"/>
  <c r="B224" i="17"/>
  <c r="A224" i="17"/>
  <c r="M223" i="17"/>
  <c r="L223" i="17"/>
  <c r="C223" i="17"/>
  <c r="B223" i="17"/>
  <c r="A223" i="17"/>
  <c r="M222" i="17"/>
  <c r="L222" i="17"/>
  <c r="C222" i="17"/>
  <c r="B222" i="17"/>
  <c r="A222" i="17"/>
  <c r="M221" i="17"/>
  <c r="L221" i="17"/>
  <c r="C221" i="17"/>
  <c r="B221" i="17"/>
  <c r="A221" i="17"/>
  <c r="M220" i="17"/>
  <c r="L220" i="17"/>
  <c r="C220" i="17"/>
  <c r="B220" i="17"/>
  <c r="A220" i="17"/>
  <c r="M219" i="17"/>
  <c r="L219" i="17"/>
  <c r="C219" i="17"/>
  <c r="B219" i="17"/>
  <c r="A219" i="17"/>
  <c r="M218" i="17"/>
  <c r="L218" i="17"/>
  <c r="C218" i="17"/>
  <c r="B218" i="17"/>
  <c r="A218" i="17"/>
  <c r="M217" i="17"/>
  <c r="L217" i="17"/>
  <c r="C217" i="17"/>
  <c r="B217" i="17"/>
  <c r="A217" i="17"/>
  <c r="M216" i="17"/>
  <c r="L216" i="17"/>
  <c r="C216" i="17"/>
  <c r="B216" i="17"/>
  <c r="A216" i="17"/>
  <c r="M215" i="17"/>
  <c r="L215" i="17"/>
  <c r="C215" i="17"/>
  <c r="B215" i="17"/>
  <c r="A215" i="17"/>
  <c r="M214" i="17"/>
  <c r="L214" i="17"/>
  <c r="C214" i="17"/>
  <c r="B214" i="17"/>
  <c r="A214" i="17"/>
  <c r="M213" i="17"/>
  <c r="L213" i="17"/>
  <c r="C213" i="17"/>
  <c r="B213" i="17"/>
  <c r="A213" i="17"/>
  <c r="M212" i="17"/>
  <c r="L212" i="17"/>
  <c r="C212" i="17"/>
  <c r="B212" i="17"/>
  <c r="A212" i="17"/>
  <c r="M211" i="17"/>
  <c r="L211" i="17"/>
  <c r="C211" i="17"/>
  <c r="B211" i="17"/>
  <c r="A211" i="17"/>
  <c r="M210" i="17"/>
  <c r="L210" i="17"/>
  <c r="C210" i="17"/>
  <c r="B210" i="17"/>
  <c r="A210" i="17"/>
  <c r="M209" i="17"/>
  <c r="L209" i="17"/>
  <c r="C209" i="17"/>
  <c r="B209" i="17"/>
  <c r="A209" i="17"/>
  <c r="M208" i="17"/>
  <c r="L208" i="17"/>
  <c r="C208" i="17"/>
  <c r="B208" i="17"/>
  <c r="A208" i="17"/>
  <c r="M207" i="17"/>
  <c r="L207" i="17"/>
  <c r="C207" i="17"/>
  <c r="B207" i="17"/>
  <c r="A207" i="17"/>
  <c r="M206" i="17"/>
  <c r="L206" i="17"/>
  <c r="C206" i="17"/>
  <c r="B206" i="17"/>
  <c r="A206" i="17"/>
  <c r="M205" i="17"/>
  <c r="L205" i="17"/>
  <c r="C205" i="17"/>
  <c r="B205" i="17"/>
  <c r="A205" i="17"/>
  <c r="M204" i="17"/>
  <c r="L204" i="17"/>
  <c r="C204" i="17"/>
  <c r="B204" i="17"/>
  <c r="A204" i="17"/>
  <c r="M203" i="17"/>
  <c r="L203" i="17"/>
  <c r="C203" i="17"/>
  <c r="B203" i="17"/>
  <c r="A203" i="17"/>
  <c r="M202" i="17"/>
  <c r="L202" i="17"/>
  <c r="C202" i="17"/>
  <c r="B202" i="17"/>
  <c r="A202" i="17"/>
  <c r="M201" i="17"/>
  <c r="L201" i="17"/>
  <c r="C201" i="17"/>
  <c r="B201" i="17"/>
  <c r="A201" i="17"/>
  <c r="M200" i="17"/>
  <c r="L200" i="17"/>
  <c r="C200" i="17"/>
  <c r="B200" i="17"/>
  <c r="A200" i="17"/>
  <c r="M199" i="17"/>
  <c r="L199" i="17"/>
  <c r="C199" i="17"/>
  <c r="B199" i="17"/>
  <c r="A199" i="17"/>
  <c r="M198" i="17"/>
  <c r="L198" i="17"/>
  <c r="C198" i="17"/>
  <c r="B198" i="17"/>
  <c r="A198" i="17"/>
  <c r="M197" i="17"/>
  <c r="L197" i="17"/>
  <c r="C197" i="17"/>
  <c r="B197" i="17"/>
  <c r="A197" i="17"/>
  <c r="M196" i="17"/>
  <c r="L196" i="17"/>
  <c r="C196" i="17"/>
  <c r="B196" i="17"/>
  <c r="A196" i="17"/>
  <c r="M195" i="17"/>
  <c r="L195" i="17"/>
  <c r="C195" i="17"/>
  <c r="B195" i="17"/>
  <c r="A195" i="17"/>
  <c r="M194" i="17"/>
  <c r="L194" i="17"/>
  <c r="C194" i="17"/>
  <c r="B194" i="17"/>
  <c r="A194" i="17"/>
  <c r="M193" i="17"/>
  <c r="L193" i="17"/>
  <c r="C193" i="17"/>
  <c r="B193" i="17"/>
  <c r="A193" i="17"/>
  <c r="M192" i="17"/>
  <c r="L192" i="17"/>
  <c r="C192" i="17"/>
  <c r="B192" i="17"/>
  <c r="A192" i="17"/>
  <c r="M191" i="17"/>
  <c r="L191" i="17"/>
  <c r="C191" i="17"/>
  <c r="B191" i="17"/>
  <c r="A191" i="17"/>
  <c r="M190" i="17"/>
  <c r="L190" i="17"/>
  <c r="C190" i="17"/>
  <c r="B190" i="17"/>
  <c r="A190" i="17"/>
  <c r="M189" i="17"/>
  <c r="L189" i="17"/>
  <c r="C189" i="17"/>
  <c r="B189" i="17"/>
  <c r="A189" i="17"/>
  <c r="M188" i="17"/>
  <c r="L188" i="17"/>
  <c r="C188" i="17"/>
  <c r="B188" i="17"/>
  <c r="A188" i="17"/>
  <c r="M187" i="17"/>
  <c r="L187" i="17"/>
  <c r="C187" i="17"/>
  <c r="B187" i="17"/>
  <c r="A187" i="17"/>
  <c r="M186" i="17"/>
  <c r="L186" i="17"/>
  <c r="C186" i="17"/>
  <c r="B186" i="17"/>
  <c r="A186" i="17"/>
  <c r="M185" i="17"/>
  <c r="L185" i="17"/>
  <c r="C185" i="17"/>
  <c r="B185" i="17"/>
  <c r="A185" i="17"/>
  <c r="M184" i="17"/>
  <c r="L184" i="17"/>
  <c r="C184" i="17"/>
  <c r="B184" i="17"/>
  <c r="A184" i="17"/>
  <c r="M183" i="17"/>
  <c r="L183" i="17"/>
  <c r="C183" i="17"/>
  <c r="B183" i="17"/>
  <c r="A183" i="17"/>
  <c r="M182" i="17"/>
  <c r="L182" i="17"/>
  <c r="C182" i="17"/>
  <c r="B182" i="17"/>
  <c r="A182" i="17"/>
  <c r="M181" i="17"/>
  <c r="L181" i="17"/>
  <c r="C181" i="17"/>
  <c r="B181" i="17"/>
  <c r="A181" i="17"/>
  <c r="M180" i="17"/>
  <c r="L180" i="17"/>
  <c r="C180" i="17"/>
  <c r="B180" i="17"/>
  <c r="A180" i="17"/>
  <c r="M179" i="17"/>
  <c r="L179" i="17"/>
  <c r="C179" i="17"/>
  <c r="B179" i="17"/>
  <c r="A179" i="17"/>
  <c r="M178" i="17"/>
  <c r="L178" i="17"/>
  <c r="C178" i="17"/>
  <c r="B178" i="17"/>
  <c r="A178" i="17"/>
  <c r="M177" i="17"/>
  <c r="L177" i="17"/>
  <c r="C177" i="17"/>
  <c r="B177" i="17"/>
  <c r="A177" i="17"/>
  <c r="M176" i="17"/>
  <c r="L176" i="17"/>
  <c r="C176" i="17"/>
  <c r="B176" i="17"/>
  <c r="A176" i="17"/>
  <c r="M175" i="17"/>
  <c r="L175" i="17"/>
  <c r="C175" i="17"/>
  <c r="B175" i="17"/>
  <c r="A175" i="17"/>
  <c r="M174" i="17"/>
  <c r="L174" i="17"/>
  <c r="C174" i="17"/>
  <c r="B174" i="17"/>
  <c r="A174" i="17"/>
  <c r="M173" i="17"/>
  <c r="L173" i="17"/>
  <c r="C173" i="17"/>
  <c r="B173" i="17"/>
  <c r="A173" i="17"/>
  <c r="M172" i="17"/>
  <c r="L172" i="17"/>
  <c r="C172" i="17"/>
  <c r="B172" i="17"/>
  <c r="A172" i="17"/>
  <c r="M171" i="17"/>
  <c r="L171" i="17"/>
  <c r="C171" i="17"/>
  <c r="B171" i="17"/>
  <c r="A171" i="17"/>
  <c r="M170" i="17"/>
  <c r="L170" i="17"/>
  <c r="C170" i="17"/>
  <c r="B170" i="17"/>
  <c r="A170" i="17"/>
  <c r="M169" i="17"/>
  <c r="L169" i="17"/>
  <c r="C169" i="17"/>
  <c r="B169" i="17"/>
  <c r="A169" i="17"/>
  <c r="M168" i="17"/>
  <c r="L168" i="17"/>
  <c r="C168" i="17"/>
  <c r="B168" i="17"/>
  <c r="A168" i="17"/>
  <c r="M167" i="17"/>
  <c r="L167" i="17"/>
  <c r="C167" i="17"/>
  <c r="B167" i="17"/>
  <c r="A167" i="17"/>
  <c r="M166" i="17"/>
  <c r="L166" i="17"/>
  <c r="C166" i="17"/>
  <c r="B166" i="17"/>
  <c r="A166" i="17"/>
  <c r="M165" i="17"/>
  <c r="L165" i="17"/>
  <c r="C165" i="17"/>
  <c r="B165" i="17"/>
  <c r="A165" i="17"/>
  <c r="M164" i="17"/>
  <c r="L164" i="17"/>
  <c r="C164" i="17"/>
  <c r="B164" i="17"/>
  <c r="A164" i="17"/>
  <c r="M163" i="17"/>
  <c r="L163" i="17"/>
  <c r="C163" i="17"/>
  <c r="B163" i="17"/>
  <c r="A163" i="17"/>
  <c r="M162" i="17"/>
  <c r="L162" i="17"/>
  <c r="C162" i="17"/>
  <c r="B162" i="17"/>
  <c r="A162" i="17"/>
  <c r="M161" i="17"/>
  <c r="L161" i="17"/>
  <c r="C161" i="17"/>
  <c r="B161" i="17"/>
  <c r="A161" i="17"/>
  <c r="M160" i="17"/>
  <c r="L160" i="17"/>
  <c r="C160" i="17"/>
  <c r="B160" i="17"/>
  <c r="A160" i="17"/>
  <c r="M159" i="17"/>
  <c r="L159" i="17"/>
  <c r="C159" i="17"/>
  <c r="B159" i="17"/>
  <c r="A159" i="17"/>
  <c r="M158" i="17"/>
  <c r="L158" i="17"/>
  <c r="C158" i="17"/>
  <c r="B158" i="17"/>
  <c r="A158" i="17"/>
  <c r="M157" i="17"/>
  <c r="L157" i="17"/>
  <c r="C157" i="17"/>
  <c r="B157" i="17"/>
  <c r="A157" i="17"/>
  <c r="M156" i="17"/>
  <c r="L156" i="17"/>
  <c r="C156" i="17"/>
  <c r="B156" i="17"/>
  <c r="A156" i="17"/>
  <c r="M155" i="17"/>
  <c r="L155" i="17"/>
  <c r="C155" i="17"/>
  <c r="B155" i="17"/>
  <c r="A155" i="17"/>
  <c r="M154" i="17"/>
  <c r="L154" i="17"/>
  <c r="C154" i="17"/>
  <c r="B154" i="17"/>
  <c r="A154" i="17"/>
  <c r="M153" i="17"/>
  <c r="L153" i="17"/>
  <c r="C153" i="17"/>
  <c r="B153" i="17"/>
  <c r="A153" i="17"/>
  <c r="M152" i="17"/>
  <c r="L152" i="17"/>
  <c r="C152" i="17"/>
  <c r="B152" i="17"/>
  <c r="A152" i="17"/>
  <c r="M151" i="17"/>
  <c r="L151" i="17"/>
  <c r="C151" i="17"/>
  <c r="B151" i="17"/>
  <c r="A151" i="17"/>
  <c r="M150" i="17"/>
  <c r="L150" i="17"/>
  <c r="C150" i="17"/>
  <c r="B150" i="17"/>
  <c r="A150" i="17"/>
  <c r="M149" i="17"/>
  <c r="L149" i="17"/>
  <c r="C149" i="17"/>
  <c r="B149" i="17"/>
  <c r="A149" i="17"/>
  <c r="M148" i="17"/>
  <c r="L148" i="17"/>
  <c r="C148" i="17"/>
  <c r="B148" i="17"/>
  <c r="A148" i="17"/>
  <c r="M147" i="17"/>
  <c r="L147" i="17"/>
  <c r="C147" i="17"/>
  <c r="B147" i="17"/>
  <c r="A147" i="17"/>
  <c r="M146" i="17"/>
  <c r="L146" i="17"/>
  <c r="C146" i="17"/>
  <c r="B146" i="17"/>
  <c r="A146" i="17"/>
  <c r="M145" i="17"/>
  <c r="L145" i="17"/>
  <c r="C145" i="17"/>
  <c r="B145" i="17"/>
  <c r="A145" i="17"/>
  <c r="M144" i="17"/>
  <c r="L144" i="17"/>
  <c r="C144" i="17"/>
  <c r="B144" i="17"/>
  <c r="A144" i="17"/>
  <c r="M143" i="17"/>
  <c r="L143" i="17"/>
  <c r="C143" i="17"/>
  <c r="B143" i="17"/>
  <c r="A143" i="17"/>
  <c r="M142" i="17"/>
  <c r="L142" i="17"/>
  <c r="C142" i="17"/>
  <c r="B142" i="17"/>
  <c r="A142" i="17"/>
  <c r="M141" i="17"/>
  <c r="L141" i="17"/>
  <c r="C141" i="17"/>
  <c r="B141" i="17"/>
  <c r="A141" i="17"/>
  <c r="M140" i="17"/>
  <c r="L140" i="17"/>
  <c r="C140" i="17"/>
  <c r="B140" i="17"/>
  <c r="A140" i="17"/>
  <c r="M139" i="17"/>
  <c r="L139" i="17"/>
  <c r="C139" i="17"/>
  <c r="B139" i="17"/>
  <c r="A139" i="17"/>
  <c r="M138" i="17"/>
  <c r="L138" i="17"/>
  <c r="C138" i="17"/>
  <c r="B138" i="17"/>
  <c r="A138" i="17"/>
  <c r="M137" i="17"/>
  <c r="L137" i="17"/>
  <c r="C137" i="17"/>
  <c r="B137" i="17"/>
  <c r="A137" i="17"/>
  <c r="M136" i="17"/>
  <c r="L136" i="17"/>
  <c r="C136" i="17"/>
  <c r="B136" i="17"/>
  <c r="A136" i="17"/>
  <c r="M135" i="17"/>
  <c r="L135" i="17"/>
  <c r="C135" i="17"/>
  <c r="B135" i="17"/>
  <c r="A135" i="17"/>
  <c r="M134" i="17"/>
  <c r="L134" i="17"/>
  <c r="C134" i="17"/>
  <c r="B134" i="17"/>
  <c r="A134" i="17"/>
  <c r="M133" i="17"/>
  <c r="L133" i="17"/>
  <c r="C133" i="17"/>
  <c r="B133" i="17"/>
  <c r="A133" i="17"/>
  <c r="M132" i="17"/>
  <c r="L132" i="17"/>
  <c r="C132" i="17"/>
  <c r="B132" i="17"/>
  <c r="A132" i="17"/>
  <c r="M131" i="17"/>
  <c r="L131" i="17"/>
  <c r="C131" i="17"/>
  <c r="B131" i="17"/>
  <c r="A131" i="17"/>
  <c r="M130" i="17"/>
  <c r="L130" i="17"/>
  <c r="C130" i="17"/>
  <c r="B130" i="17"/>
  <c r="A130" i="17"/>
  <c r="M129" i="17"/>
  <c r="L129" i="17"/>
  <c r="C129" i="17"/>
  <c r="B129" i="17"/>
  <c r="A129" i="17"/>
  <c r="Q128" i="17"/>
  <c r="P128" i="17"/>
  <c r="M128" i="17"/>
  <c r="L128" i="17"/>
  <c r="C128" i="17"/>
  <c r="B128" i="17"/>
  <c r="A128" i="17"/>
  <c r="Q127" i="17"/>
  <c r="P127" i="17"/>
  <c r="M127" i="17"/>
  <c r="L127" i="17"/>
  <c r="C127" i="17"/>
  <c r="B127" i="17"/>
  <c r="A127" i="17"/>
  <c r="Q126" i="17"/>
  <c r="P126" i="17"/>
  <c r="M126" i="17"/>
  <c r="L126" i="17"/>
  <c r="C126" i="17"/>
  <c r="B126" i="17"/>
  <c r="A126" i="17"/>
  <c r="Q125" i="17"/>
  <c r="P125" i="17"/>
  <c r="M125" i="17"/>
  <c r="L125" i="17"/>
  <c r="C125" i="17"/>
  <c r="B125" i="17"/>
  <c r="A125" i="17"/>
  <c r="Q124" i="17"/>
  <c r="P124" i="17"/>
  <c r="M124" i="17"/>
  <c r="L124" i="17"/>
  <c r="C124" i="17"/>
  <c r="B124" i="17"/>
  <c r="A124" i="17"/>
  <c r="Q123" i="17"/>
  <c r="P123" i="17"/>
  <c r="M123" i="17"/>
  <c r="L123" i="17"/>
  <c r="C123" i="17"/>
  <c r="B123" i="17"/>
  <c r="A123" i="17"/>
  <c r="Q122" i="17"/>
  <c r="P122" i="17"/>
  <c r="M122" i="17"/>
  <c r="L122" i="17"/>
  <c r="C122" i="17"/>
  <c r="B122" i="17"/>
  <c r="A122" i="17"/>
  <c r="Q121" i="17"/>
  <c r="P121" i="17"/>
  <c r="M121" i="17"/>
  <c r="L121" i="17"/>
  <c r="C121" i="17"/>
  <c r="B121" i="17"/>
  <c r="A121" i="17"/>
  <c r="Q120" i="17"/>
  <c r="P120" i="17"/>
  <c r="M120" i="17"/>
  <c r="L120" i="17"/>
  <c r="C120" i="17"/>
  <c r="B120" i="17"/>
  <c r="A120" i="17"/>
  <c r="Q119" i="17"/>
  <c r="P119" i="17"/>
  <c r="M119" i="17"/>
  <c r="L119" i="17"/>
  <c r="C119" i="17"/>
  <c r="B119" i="17"/>
  <c r="A119" i="17"/>
  <c r="Q118" i="17"/>
  <c r="P118" i="17"/>
  <c r="M118" i="17"/>
  <c r="L118" i="17"/>
  <c r="C118" i="17"/>
  <c r="B118" i="17"/>
  <c r="A118" i="17"/>
  <c r="Q117" i="17"/>
  <c r="P117" i="17"/>
  <c r="M117" i="17"/>
  <c r="L117" i="17"/>
  <c r="C117" i="17"/>
  <c r="B117" i="17"/>
  <c r="A117" i="17"/>
  <c r="Q116" i="17"/>
  <c r="P116" i="17"/>
  <c r="M116" i="17"/>
  <c r="L116" i="17"/>
  <c r="C116" i="17"/>
  <c r="B116" i="17"/>
  <c r="A116" i="17"/>
  <c r="Q115" i="17"/>
  <c r="P115" i="17"/>
  <c r="M115" i="17"/>
  <c r="L115" i="17"/>
  <c r="C115" i="17"/>
  <c r="B115" i="17"/>
  <c r="A115" i="17"/>
  <c r="Q114" i="17"/>
  <c r="P114" i="17"/>
  <c r="M114" i="17"/>
  <c r="L114" i="17"/>
  <c r="C114" i="17"/>
  <c r="B114" i="17"/>
  <c r="A114" i="17"/>
  <c r="Q113" i="17"/>
  <c r="P113" i="17"/>
  <c r="M113" i="17"/>
  <c r="L113" i="17"/>
  <c r="C113" i="17"/>
  <c r="B113" i="17"/>
  <c r="A113" i="17"/>
  <c r="Q112" i="17"/>
  <c r="P112" i="17"/>
  <c r="M112" i="17"/>
  <c r="L112" i="17"/>
  <c r="C112" i="17"/>
  <c r="B112" i="17"/>
  <c r="A112" i="17"/>
  <c r="Q111" i="17"/>
  <c r="P111" i="17"/>
  <c r="M111" i="17"/>
  <c r="L111" i="17"/>
  <c r="C111" i="17"/>
  <c r="B111" i="17"/>
  <c r="A111" i="17"/>
  <c r="Q110" i="17"/>
  <c r="P110" i="17"/>
  <c r="M110" i="17"/>
  <c r="L110" i="17"/>
  <c r="C110" i="17"/>
  <c r="B110" i="17"/>
  <c r="A110" i="17"/>
  <c r="Q109" i="17"/>
  <c r="P109" i="17"/>
  <c r="M109" i="17"/>
  <c r="L109" i="17"/>
  <c r="C109" i="17"/>
  <c r="B109" i="17"/>
  <c r="A109" i="17"/>
  <c r="Q108" i="17"/>
  <c r="P108" i="17"/>
  <c r="M108" i="17"/>
  <c r="L108" i="17"/>
  <c r="C108" i="17"/>
  <c r="B108" i="17"/>
  <c r="A108" i="17"/>
  <c r="Q107" i="17"/>
  <c r="P107" i="17"/>
  <c r="M107" i="17"/>
  <c r="L107" i="17"/>
  <c r="C107" i="17"/>
  <c r="B107" i="17"/>
  <c r="A107" i="17"/>
  <c r="Q106" i="17"/>
  <c r="P106" i="17"/>
  <c r="M106" i="17"/>
  <c r="L106" i="17"/>
  <c r="C106" i="17"/>
  <c r="B106" i="17"/>
  <c r="A106" i="17"/>
  <c r="Q105" i="17"/>
  <c r="P105" i="17"/>
  <c r="M105" i="17"/>
  <c r="L105" i="17"/>
  <c r="F105" i="17"/>
  <c r="E105" i="17"/>
  <c r="C105" i="17"/>
  <c r="B105" i="17"/>
  <c r="A105" i="17"/>
  <c r="Q104" i="17"/>
  <c r="P104" i="17"/>
  <c r="M104" i="17"/>
  <c r="L104" i="17"/>
  <c r="F104" i="17"/>
  <c r="E104" i="17"/>
  <c r="C104" i="17"/>
  <c r="B104" i="17"/>
  <c r="A104" i="17"/>
  <c r="Q103" i="17"/>
  <c r="P103" i="17"/>
  <c r="M103" i="17"/>
  <c r="L103" i="17"/>
  <c r="F103" i="17"/>
  <c r="E103" i="17"/>
  <c r="C103" i="17"/>
  <c r="B103" i="17"/>
  <c r="A103" i="17"/>
  <c r="Q102" i="17"/>
  <c r="P102" i="17"/>
  <c r="M102" i="17"/>
  <c r="L102" i="17"/>
  <c r="F102" i="17"/>
  <c r="E102" i="17"/>
  <c r="C102" i="17"/>
  <c r="B102" i="17"/>
  <c r="A102" i="17"/>
  <c r="Q101" i="17"/>
  <c r="P101" i="17"/>
  <c r="M101" i="17"/>
  <c r="L101" i="17"/>
  <c r="F101" i="17"/>
  <c r="E101" i="17"/>
  <c r="C101" i="17"/>
  <c r="B101" i="17"/>
  <c r="A101" i="17"/>
  <c r="Q100" i="17"/>
  <c r="P100" i="17"/>
  <c r="M100" i="17"/>
  <c r="L100" i="17"/>
  <c r="F100" i="17"/>
  <c r="E100" i="17"/>
  <c r="C100" i="17"/>
  <c r="B100" i="17"/>
  <c r="A100" i="17"/>
  <c r="Q99" i="17"/>
  <c r="P99" i="17"/>
  <c r="M99" i="17"/>
  <c r="L99" i="17"/>
  <c r="F99" i="17"/>
  <c r="E99" i="17"/>
  <c r="C99" i="17"/>
  <c r="B99" i="17"/>
  <c r="A99" i="17"/>
  <c r="Q98" i="17"/>
  <c r="P98" i="17"/>
  <c r="M98" i="17"/>
  <c r="L98" i="17"/>
  <c r="F98" i="17"/>
  <c r="E98" i="17"/>
  <c r="C98" i="17"/>
  <c r="B98" i="17"/>
  <c r="A98" i="17"/>
  <c r="Q97" i="17"/>
  <c r="P97" i="17"/>
  <c r="M97" i="17"/>
  <c r="L97" i="17"/>
  <c r="F97" i="17"/>
  <c r="E97" i="17"/>
  <c r="C97" i="17"/>
  <c r="B97" i="17"/>
  <c r="A97" i="17"/>
  <c r="Q96" i="17"/>
  <c r="P96" i="17"/>
  <c r="M96" i="17"/>
  <c r="L96" i="17"/>
  <c r="F96" i="17"/>
  <c r="E96" i="17"/>
  <c r="C96" i="17"/>
  <c r="B96" i="17"/>
  <c r="A96" i="17"/>
  <c r="Q95" i="17"/>
  <c r="P95" i="17"/>
  <c r="M95" i="17"/>
  <c r="L95" i="17"/>
  <c r="F95" i="17"/>
  <c r="E95" i="17"/>
  <c r="C95" i="17"/>
  <c r="B95" i="17"/>
  <c r="A95" i="17"/>
  <c r="Q94" i="17"/>
  <c r="P94" i="17"/>
  <c r="M94" i="17"/>
  <c r="L94" i="17"/>
  <c r="F94" i="17"/>
  <c r="E94" i="17"/>
  <c r="C94" i="17"/>
  <c r="B94" i="17"/>
  <c r="A94" i="17"/>
  <c r="Q93" i="17"/>
  <c r="P93" i="17"/>
  <c r="M93" i="17"/>
  <c r="L93" i="17"/>
  <c r="F93" i="17"/>
  <c r="E93" i="17"/>
  <c r="C93" i="17"/>
  <c r="B93" i="17"/>
  <c r="A93" i="17"/>
  <c r="Q92" i="17"/>
  <c r="P92" i="17"/>
  <c r="M92" i="17"/>
  <c r="L92" i="17"/>
  <c r="F92" i="17"/>
  <c r="E92" i="17"/>
  <c r="C92" i="17"/>
  <c r="B92" i="17"/>
  <c r="A92" i="17"/>
  <c r="Q91" i="17"/>
  <c r="P91" i="17"/>
  <c r="M91" i="17"/>
  <c r="L91" i="17"/>
  <c r="F91" i="17"/>
  <c r="E91" i="17"/>
  <c r="C91" i="17"/>
  <c r="B91" i="17"/>
  <c r="A91" i="17"/>
  <c r="Q90" i="17"/>
  <c r="P90" i="17"/>
  <c r="M90" i="17"/>
  <c r="L90" i="17"/>
  <c r="F90" i="17"/>
  <c r="E90" i="17"/>
  <c r="C90" i="17"/>
  <c r="B90" i="17"/>
  <c r="A90" i="17"/>
  <c r="Q89" i="17"/>
  <c r="P89" i="17"/>
  <c r="M89" i="17"/>
  <c r="L89" i="17"/>
  <c r="F89" i="17"/>
  <c r="E89" i="17"/>
  <c r="C89" i="17"/>
  <c r="B89" i="17"/>
  <c r="A89" i="17"/>
  <c r="Q88" i="17"/>
  <c r="P88" i="17"/>
  <c r="M88" i="17"/>
  <c r="L88" i="17"/>
  <c r="F88" i="17"/>
  <c r="E88" i="17"/>
  <c r="C88" i="17"/>
  <c r="B88" i="17"/>
  <c r="A88" i="17"/>
  <c r="Q87" i="17"/>
  <c r="P87" i="17"/>
  <c r="M87" i="17"/>
  <c r="L87" i="17"/>
  <c r="F87" i="17"/>
  <c r="E87" i="17"/>
  <c r="C87" i="17"/>
  <c r="B87" i="17"/>
  <c r="A87" i="17"/>
  <c r="Q86" i="17"/>
  <c r="P86" i="17"/>
  <c r="M86" i="17"/>
  <c r="L86" i="17"/>
  <c r="F86" i="17"/>
  <c r="E86" i="17"/>
  <c r="C86" i="17"/>
  <c r="B86" i="17"/>
  <c r="A86" i="17"/>
  <c r="Q85" i="17"/>
  <c r="P85" i="17"/>
  <c r="M85" i="17"/>
  <c r="L85" i="17"/>
  <c r="F85" i="17"/>
  <c r="E85" i="17"/>
  <c r="C85" i="17"/>
  <c r="B85" i="17"/>
  <c r="A85" i="17"/>
  <c r="Q84" i="17"/>
  <c r="P84" i="17"/>
  <c r="M84" i="17"/>
  <c r="L84" i="17"/>
  <c r="F84" i="17"/>
  <c r="E84" i="17"/>
  <c r="C84" i="17"/>
  <c r="B84" i="17"/>
  <c r="A84" i="17"/>
  <c r="Q83" i="17"/>
  <c r="P83" i="17"/>
  <c r="M83" i="17"/>
  <c r="L83" i="17"/>
  <c r="F83" i="17"/>
  <c r="E83" i="17"/>
  <c r="C83" i="17"/>
  <c r="B83" i="17"/>
  <c r="A83" i="17"/>
  <c r="Q82" i="17"/>
  <c r="P82" i="17"/>
  <c r="M82" i="17"/>
  <c r="L82" i="17"/>
  <c r="F82" i="17"/>
  <c r="E82" i="17"/>
  <c r="C82" i="17"/>
  <c r="B82" i="17"/>
  <c r="A82" i="17"/>
  <c r="Q81" i="17"/>
  <c r="P81" i="17"/>
  <c r="M81" i="17"/>
  <c r="L81" i="17"/>
  <c r="F81" i="17"/>
  <c r="E81" i="17"/>
  <c r="C81" i="17"/>
  <c r="B81" i="17"/>
  <c r="A81" i="17"/>
  <c r="Q80" i="17"/>
  <c r="P80" i="17"/>
  <c r="M80" i="17"/>
  <c r="L80" i="17"/>
  <c r="F80" i="17"/>
  <c r="E80" i="17"/>
  <c r="C80" i="17"/>
  <c r="B80" i="17"/>
  <c r="A80" i="17"/>
  <c r="Q79" i="17"/>
  <c r="P79" i="17"/>
  <c r="M79" i="17"/>
  <c r="L79" i="17"/>
  <c r="F79" i="17"/>
  <c r="E79" i="17"/>
  <c r="C79" i="17"/>
  <c r="B79" i="17"/>
  <c r="A79" i="17"/>
  <c r="Q78" i="17"/>
  <c r="P78" i="17"/>
  <c r="M78" i="17"/>
  <c r="L78" i="17"/>
  <c r="F78" i="17"/>
  <c r="E78" i="17"/>
  <c r="C78" i="17"/>
  <c r="B78" i="17"/>
  <c r="A78" i="17"/>
  <c r="Q77" i="17"/>
  <c r="P77" i="17"/>
  <c r="M77" i="17"/>
  <c r="L77" i="17"/>
  <c r="F77" i="17"/>
  <c r="E77" i="17"/>
  <c r="C77" i="17"/>
  <c r="B77" i="17"/>
  <c r="A77" i="17"/>
  <c r="Q76" i="17"/>
  <c r="P76" i="17"/>
  <c r="M76" i="17"/>
  <c r="L76" i="17"/>
  <c r="F76" i="17"/>
  <c r="E76" i="17"/>
  <c r="C76" i="17"/>
  <c r="B76" i="17"/>
  <c r="A76" i="17"/>
  <c r="Q75" i="17"/>
  <c r="P75" i="17"/>
  <c r="M75" i="17"/>
  <c r="L75" i="17"/>
  <c r="F75" i="17"/>
  <c r="E75" i="17"/>
  <c r="C75" i="17"/>
  <c r="B75" i="17"/>
  <c r="A75" i="17"/>
  <c r="Q74" i="17"/>
  <c r="P74" i="17"/>
  <c r="M74" i="17"/>
  <c r="L74" i="17"/>
  <c r="F74" i="17"/>
  <c r="E74" i="17"/>
  <c r="C74" i="17"/>
  <c r="B74" i="17"/>
  <c r="A74" i="17"/>
  <c r="Q73" i="17"/>
  <c r="P73" i="17"/>
  <c r="M73" i="17"/>
  <c r="L73" i="17"/>
  <c r="F73" i="17"/>
  <c r="E73" i="17"/>
  <c r="C73" i="17"/>
  <c r="B73" i="17"/>
  <c r="A73" i="17"/>
  <c r="Q72" i="17"/>
  <c r="P72" i="17"/>
  <c r="M72" i="17"/>
  <c r="L72" i="17"/>
  <c r="F72" i="17"/>
  <c r="E72" i="17"/>
  <c r="C72" i="17"/>
  <c r="B72" i="17"/>
  <c r="A72" i="17"/>
  <c r="Q71" i="17"/>
  <c r="P71" i="17"/>
  <c r="M71" i="17"/>
  <c r="L71" i="17"/>
  <c r="F71" i="17"/>
  <c r="E71" i="17"/>
  <c r="C71" i="17"/>
  <c r="B71" i="17"/>
  <c r="A71" i="17"/>
  <c r="Q70" i="17"/>
  <c r="P70" i="17"/>
  <c r="M70" i="17"/>
  <c r="L70" i="17"/>
  <c r="F70" i="17"/>
  <c r="E70" i="17"/>
  <c r="C70" i="17"/>
  <c r="B70" i="17"/>
  <c r="A70" i="17"/>
  <c r="Q69" i="17"/>
  <c r="P69" i="17"/>
  <c r="M69" i="17"/>
  <c r="L69" i="17"/>
  <c r="F69" i="17"/>
  <c r="E69" i="17"/>
  <c r="C69" i="17"/>
  <c r="B69" i="17"/>
  <c r="A69" i="17"/>
  <c r="Q68" i="17"/>
  <c r="P68" i="17"/>
  <c r="M68" i="17"/>
  <c r="L68" i="17"/>
  <c r="F68" i="17"/>
  <c r="E68" i="17"/>
  <c r="C68" i="17"/>
  <c r="B68" i="17"/>
  <c r="A68" i="17"/>
  <c r="Q67" i="17"/>
  <c r="P67" i="17"/>
  <c r="M67" i="17"/>
  <c r="L67" i="17"/>
  <c r="F67" i="17"/>
  <c r="E67" i="17"/>
  <c r="C67" i="17"/>
  <c r="B67" i="17"/>
  <c r="A67" i="17"/>
  <c r="Q66" i="17"/>
  <c r="P66" i="17"/>
  <c r="M66" i="17"/>
  <c r="L66" i="17"/>
  <c r="F66" i="17"/>
  <c r="E66" i="17"/>
  <c r="C66" i="17"/>
  <c r="B66" i="17"/>
  <c r="A66" i="17"/>
  <c r="Q65" i="17"/>
  <c r="P65" i="17"/>
  <c r="M65" i="17"/>
  <c r="L65" i="17"/>
  <c r="F65" i="17"/>
  <c r="E65" i="17"/>
  <c r="C65" i="17"/>
  <c r="B65" i="17"/>
  <c r="A65" i="17"/>
  <c r="Q64" i="17"/>
  <c r="P64" i="17"/>
  <c r="M64" i="17"/>
  <c r="L64" i="17"/>
  <c r="F64" i="17"/>
  <c r="E64" i="17"/>
  <c r="C64" i="17"/>
  <c r="B64" i="17"/>
  <c r="A64" i="17"/>
  <c r="Q63" i="17"/>
  <c r="P63" i="17"/>
  <c r="M63" i="17"/>
  <c r="L63" i="17"/>
  <c r="F63" i="17"/>
  <c r="E63" i="17"/>
  <c r="C63" i="17"/>
  <c r="B63" i="17"/>
  <c r="A63" i="17"/>
  <c r="Q62" i="17"/>
  <c r="P62" i="17"/>
  <c r="M62" i="17"/>
  <c r="L62" i="17"/>
  <c r="F62" i="17"/>
  <c r="E62" i="17"/>
  <c r="C62" i="17"/>
  <c r="B62" i="17"/>
  <c r="A62" i="17"/>
  <c r="Q61" i="17"/>
  <c r="P61" i="17"/>
  <c r="M61" i="17"/>
  <c r="L61" i="17"/>
  <c r="F61" i="17"/>
  <c r="E61" i="17"/>
  <c r="C61" i="17"/>
  <c r="B61" i="17"/>
  <c r="A61" i="17"/>
  <c r="Q60" i="17"/>
  <c r="P60" i="17"/>
  <c r="M60" i="17"/>
  <c r="L60" i="17"/>
  <c r="F60" i="17"/>
  <c r="E60" i="17"/>
  <c r="C60" i="17"/>
  <c r="B60" i="17"/>
  <c r="A60" i="17"/>
  <c r="Q59" i="17"/>
  <c r="P59" i="17"/>
  <c r="M59" i="17"/>
  <c r="L59" i="17"/>
  <c r="F59" i="17"/>
  <c r="E59" i="17"/>
  <c r="C59" i="17"/>
  <c r="B59" i="17"/>
  <c r="A59" i="17"/>
  <c r="Q58" i="17"/>
  <c r="P58" i="17"/>
  <c r="M58" i="17"/>
  <c r="L58" i="17"/>
  <c r="F58" i="17"/>
  <c r="E58" i="17"/>
  <c r="C58" i="17"/>
  <c r="B58" i="17"/>
  <c r="A58" i="17"/>
  <c r="Q57" i="17"/>
  <c r="P57" i="17"/>
  <c r="M57" i="17"/>
  <c r="L57" i="17"/>
  <c r="F57" i="17"/>
  <c r="E57" i="17"/>
  <c r="C57" i="17"/>
  <c r="B57" i="17"/>
  <c r="A57" i="17"/>
  <c r="Q56" i="17"/>
  <c r="P56" i="17"/>
  <c r="M56" i="17"/>
  <c r="L56" i="17"/>
  <c r="F56" i="17"/>
  <c r="E56" i="17"/>
  <c r="C56" i="17"/>
  <c r="B56" i="17"/>
  <c r="A56" i="17"/>
  <c r="Q55" i="17"/>
  <c r="P55" i="17"/>
  <c r="M55" i="17"/>
  <c r="L55" i="17"/>
  <c r="F55" i="17"/>
  <c r="E55" i="17"/>
  <c r="C55" i="17"/>
  <c r="B55" i="17"/>
  <c r="A55" i="17"/>
  <c r="Q54" i="17"/>
  <c r="P54" i="17"/>
  <c r="M54" i="17"/>
  <c r="L54" i="17"/>
  <c r="F54" i="17"/>
  <c r="E54" i="17"/>
  <c r="C54" i="17"/>
  <c r="B54" i="17"/>
  <c r="A54" i="17"/>
  <c r="Q53" i="17"/>
  <c r="P53" i="17"/>
  <c r="M53" i="17"/>
  <c r="L53" i="17"/>
  <c r="F53" i="17"/>
  <c r="E53" i="17"/>
  <c r="C53" i="17"/>
  <c r="B53" i="17"/>
  <c r="A53" i="17"/>
  <c r="Q52" i="17"/>
  <c r="P52" i="17"/>
  <c r="M52" i="17"/>
  <c r="L52" i="17"/>
  <c r="F52" i="17"/>
  <c r="E52" i="17"/>
  <c r="C52" i="17"/>
  <c r="B52" i="17"/>
  <c r="A52" i="17"/>
  <c r="Q51" i="17"/>
  <c r="P51" i="17"/>
  <c r="M51" i="17"/>
  <c r="L51" i="17"/>
  <c r="F51" i="17"/>
  <c r="E51" i="17"/>
  <c r="C51" i="17"/>
  <c r="B51" i="17"/>
  <c r="A51" i="17"/>
  <c r="Q50" i="17"/>
  <c r="P50" i="17"/>
  <c r="M50" i="17"/>
  <c r="L50" i="17"/>
  <c r="F50" i="17"/>
  <c r="E50" i="17"/>
  <c r="C50" i="17"/>
  <c r="B50" i="17"/>
  <c r="A50" i="17"/>
  <c r="Q49" i="17"/>
  <c r="P49" i="17"/>
  <c r="M49" i="17"/>
  <c r="L49" i="17"/>
  <c r="F49" i="17"/>
  <c r="E49" i="17"/>
  <c r="C49" i="17"/>
  <c r="B49" i="17"/>
  <c r="A49" i="17"/>
  <c r="Q48" i="17"/>
  <c r="P48" i="17"/>
  <c r="M48" i="17"/>
  <c r="L48" i="17"/>
  <c r="F48" i="17"/>
  <c r="E48" i="17"/>
  <c r="C48" i="17"/>
  <c r="B48" i="17"/>
  <c r="A48" i="17"/>
  <c r="Q47" i="17"/>
  <c r="P47" i="17"/>
  <c r="M47" i="17"/>
  <c r="L47" i="17"/>
  <c r="F47" i="17"/>
  <c r="E47" i="17"/>
  <c r="C47" i="17"/>
  <c r="B47" i="17"/>
  <c r="A47" i="17"/>
  <c r="Q46" i="17"/>
  <c r="P46" i="17"/>
  <c r="M46" i="17"/>
  <c r="L46" i="17"/>
  <c r="F46" i="17"/>
  <c r="E46" i="17"/>
  <c r="C46" i="17"/>
  <c r="B46" i="17"/>
  <c r="A46" i="17"/>
  <c r="Q45" i="17"/>
  <c r="P45" i="17"/>
  <c r="M45" i="17"/>
  <c r="L45" i="17"/>
  <c r="F45" i="17"/>
  <c r="E45" i="17"/>
  <c r="C45" i="17"/>
  <c r="B45" i="17"/>
  <c r="A45" i="17"/>
  <c r="Q44" i="17"/>
  <c r="P44" i="17"/>
  <c r="M44" i="17"/>
  <c r="L44" i="17"/>
  <c r="F44" i="17"/>
  <c r="E44" i="17"/>
  <c r="C44" i="17"/>
  <c r="B44" i="17"/>
  <c r="A44" i="17"/>
  <c r="Q43" i="17"/>
  <c r="P43" i="17"/>
  <c r="M43" i="17"/>
  <c r="L43" i="17"/>
  <c r="F43" i="17"/>
  <c r="E43" i="17"/>
  <c r="C43" i="17"/>
  <c r="B43" i="17"/>
  <c r="A43" i="17"/>
  <c r="Q42" i="17"/>
  <c r="P42" i="17"/>
  <c r="M42" i="17"/>
  <c r="L42" i="17"/>
  <c r="F42" i="17"/>
  <c r="E42" i="17"/>
  <c r="C42" i="17"/>
  <c r="B42" i="17"/>
  <c r="A42" i="17"/>
  <c r="Q41" i="17"/>
  <c r="P41" i="17"/>
  <c r="M41" i="17"/>
  <c r="L41" i="17"/>
  <c r="F41" i="17"/>
  <c r="E41" i="17"/>
  <c r="C41" i="17"/>
  <c r="B41" i="17"/>
  <c r="A41" i="17"/>
  <c r="Q40" i="17"/>
  <c r="P40" i="17"/>
  <c r="M40" i="17"/>
  <c r="L40" i="17"/>
  <c r="F40" i="17"/>
  <c r="E40" i="17"/>
  <c r="C40" i="17"/>
  <c r="B40" i="17"/>
  <c r="A40" i="17"/>
  <c r="Q39" i="17"/>
  <c r="P39" i="17"/>
  <c r="M39" i="17"/>
  <c r="L39" i="17"/>
  <c r="F39" i="17"/>
  <c r="E39" i="17"/>
  <c r="C39" i="17"/>
  <c r="B39" i="17"/>
  <c r="A39" i="17"/>
  <c r="Q38" i="17"/>
  <c r="P38" i="17"/>
  <c r="M38" i="17"/>
  <c r="L38" i="17"/>
  <c r="F38" i="17"/>
  <c r="E38" i="17"/>
  <c r="C38" i="17"/>
  <c r="B38" i="17"/>
  <c r="A38" i="17"/>
  <c r="Q37" i="17"/>
  <c r="P37" i="17"/>
  <c r="M37" i="17"/>
  <c r="L37" i="17"/>
  <c r="F37" i="17"/>
  <c r="E37" i="17"/>
  <c r="C37" i="17"/>
  <c r="B37" i="17"/>
  <c r="A37" i="17"/>
  <c r="Q36" i="17"/>
  <c r="P36" i="17"/>
  <c r="M36" i="17"/>
  <c r="L36" i="17"/>
  <c r="F36" i="17"/>
  <c r="E36" i="17"/>
  <c r="C36" i="17"/>
  <c r="B36" i="17"/>
  <c r="A36" i="17"/>
  <c r="Q35" i="17"/>
  <c r="P35" i="17"/>
  <c r="M35" i="17"/>
  <c r="L35" i="17"/>
  <c r="F35" i="17"/>
  <c r="E35" i="17"/>
  <c r="C35" i="17"/>
  <c r="B35" i="17"/>
  <c r="A35" i="17"/>
  <c r="Q34" i="17"/>
  <c r="P34" i="17"/>
  <c r="M34" i="17"/>
  <c r="L34" i="17"/>
  <c r="F34" i="17"/>
  <c r="E34" i="17"/>
  <c r="C34" i="17"/>
  <c r="B34" i="17"/>
  <c r="A34" i="17"/>
  <c r="Q33" i="17"/>
  <c r="P33" i="17"/>
  <c r="M33" i="17"/>
  <c r="L33" i="17"/>
  <c r="F33" i="17"/>
  <c r="E33" i="17"/>
  <c r="C33" i="17"/>
  <c r="B33" i="17"/>
  <c r="A33" i="17"/>
  <c r="Q32" i="17"/>
  <c r="P32" i="17"/>
  <c r="M32" i="17"/>
  <c r="L32" i="17"/>
  <c r="F32" i="17"/>
  <c r="E32" i="17"/>
  <c r="C32" i="17"/>
  <c r="B32" i="17"/>
  <c r="A32" i="17"/>
  <c r="Q31" i="17"/>
  <c r="P31" i="17"/>
  <c r="M31" i="17"/>
  <c r="L31" i="17"/>
  <c r="F31" i="17"/>
  <c r="E31" i="17"/>
  <c r="C31" i="17"/>
  <c r="B31" i="17"/>
  <c r="A31" i="17"/>
  <c r="Q30" i="17"/>
  <c r="P30" i="17"/>
  <c r="M30" i="17"/>
  <c r="L30" i="17"/>
  <c r="F30" i="17"/>
  <c r="E30" i="17"/>
  <c r="C30" i="17"/>
  <c r="B30" i="17"/>
  <c r="A30" i="17"/>
  <c r="Q29" i="17"/>
  <c r="P29" i="17"/>
  <c r="M29" i="17"/>
  <c r="L29" i="17"/>
  <c r="F29" i="17"/>
  <c r="E29" i="17"/>
  <c r="C29" i="17"/>
  <c r="B29" i="17"/>
  <c r="A29" i="17"/>
  <c r="Q28" i="17"/>
  <c r="P28" i="17"/>
  <c r="M28" i="17"/>
  <c r="L28" i="17"/>
  <c r="F28" i="17"/>
  <c r="E28" i="17"/>
  <c r="C28" i="17"/>
  <c r="B28" i="17"/>
  <c r="A28" i="17"/>
  <c r="Q27" i="17"/>
  <c r="P27" i="17"/>
  <c r="M27" i="17"/>
  <c r="L27" i="17"/>
  <c r="F27" i="17"/>
  <c r="E27" i="17"/>
  <c r="C27" i="17"/>
  <c r="B27" i="17"/>
  <c r="A27" i="17"/>
  <c r="Q26" i="17"/>
  <c r="P26" i="17"/>
  <c r="M26" i="17"/>
  <c r="L26" i="17"/>
  <c r="F26" i="17"/>
  <c r="E26" i="17"/>
  <c r="C26" i="17"/>
  <c r="B26" i="17"/>
  <c r="A26" i="17"/>
  <c r="Q25" i="17"/>
  <c r="P25" i="17"/>
  <c r="M25" i="17"/>
  <c r="L25" i="17"/>
  <c r="F25" i="17"/>
  <c r="E25" i="17"/>
  <c r="C25" i="17"/>
  <c r="B25" i="17"/>
  <c r="A25" i="17"/>
  <c r="Q24" i="17"/>
  <c r="P24" i="17"/>
  <c r="M24" i="17"/>
  <c r="L24" i="17"/>
  <c r="F24" i="17"/>
  <c r="E24" i="17"/>
  <c r="C24" i="17"/>
  <c r="B24" i="17"/>
  <c r="A24" i="17"/>
  <c r="Q23" i="17"/>
  <c r="P23" i="17"/>
  <c r="M23" i="17"/>
  <c r="L23" i="17"/>
  <c r="F23" i="17"/>
  <c r="E23" i="17"/>
  <c r="C23" i="17"/>
  <c r="B23" i="17"/>
  <c r="A23" i="17"/>
  <c r="Q22" i="17"/>
  <c r="P22" i="17"/>
  <c r="M22" i="17"/>
  <c r="L22" i="17"/>
  <c r="F22" i="17"/>
  <c r="E22" i="17"/>
  <c r="C22" i="17"/>
  <c r="B22" i="17"/>
  <c r="A22" i="17"/>
  <c r="Q21" i="17"/>
  <c r="P21" i="17"/>
  <c r="M21" i="17"/>
  <c r="L21" i="17"/>
  <c r="F21" i="17"/>
  <c r="E21" i="17"/>
  <c r="C21" i="17"/>
  <c r="B21" i="17"/>
  <c r="A21" i="17"/>
  <c r="Q20" i="17"/>
  <c r="P20" i="17"/>
  <c r="M20" i="17"/>
  <c r="L20" i="17"/>
  <c r="F20" i="17"/>
  <c r="E20" i="17"/>
  <c r="C20" i="17"/>
  <c r="B20" i="17"/>
  <c r="A20" i="17"/>
  <c r="Q19" i="17"/>
  <c r="P19" i="17"/>
  <c r="M19" i="17"/>
  <c r="L19" i="17"/>
  <c r="F19" i="17"/>
  <c r="E19" i="17"/>
  <c r="C19" i="17"/>
  <c r="B19" i="17"/>
  <c r="A19" i="17"/>
  <c r="Q18" i="17"/>
  <c r="P18" i="17"/>
  <c r="M18" i="17"/>
  <c r="L18" i="17"/>
  <c r="F18" i="17"/>
  <c r="E18" i="17"/>
  <c r="C18" i="17"/>
  <c r="B18" i="17"/>
  <c r="A18" i="17"/>
  <c r="Q17" i="17"/>
  <c r="P17" i="17"/>
  <c r="M17" i="17"/>
  <c r="L17" i="17"/>
  <c r="F17" i="17"/>
  <c r="E17" i="17"/>
  <c r="C17" i="17"/>
  <c r="B17" i="17"/>
  <c r="A17" i="17"/>
  <c r="Q16" i="17"/>
  <c r="P16" i="17"/>
  <c r="M16" i="17"/>
  <c r="L16" i="17"/>
  <c r="F16" i="17"/>
  <c r="E16" i="17"/>
  <c r="C16" i="17"/>
  <c r="B16" i="17"/>
  <c r="A16" i="17"/>
  <c r="Q15" i="17"/>
  <c r="P15" i="17"/>
  <c r="M15" i="17"/>
  <c r="L15" i="17"/>
  <c r="F15" i="17"/>
  <c r="E15" i="17"/>
  <c r="C15" i="17"/>
  <c r="B15" i="17"/>
  <c r="A15" i="17"/>
  <c r="Q14" i="17"/>
  <c r="P14" i="17"/>
  <c r="M14" i="17"/>
  <c r="L14" i="17"/>
  <c r="F14" i="17"/>
  <c r="E14" i="17"/>
  <c r="C14" i="17"/>
  <c r="B14" i="17"/>
  <c r="A14" i="17"/>
  <c r="Q13" i="17"/>
  <c r="P13" i="17"/>
  <c r="M13" i="17"/>
  <c r="L13" i="17"/>
  <c r="F13" i="17"/>
  <c r="E13" i="17"/>
  <c r="C13" i="17"/>
  <c r="B13" i="17"/>
  <c r="A13" i="17"/>
  <c r="Q12" i="17"/>
  <c r="P12" i="17"/>
  <c r="M12" i="17"/>
  <c r="L12" i="17"/>
  <c r="F12" i="17"/>
  <c r="E12" i="17"/>
  <c r="C12" i="17"/>
  <c r="B12" i="17"/>
  <c r="A12" i="17"/>
  <c r="Q11" i="17"/>
  <c r="P11" i="17"/>
  <c r="M11" i="17"/>
  <c r="L11" i="17"/>
  <c r="F11" i="17"/>
  <c r="E11" i="17"/>
  <c r="C11" i="17"/>
  <c r="B11" i="17"/>
  <c r="A11" i="17"/>
  <c r="Q10" i="17"/>
  <c r="P10" i="17"/>
  <c r="M10" i="17"/>
  <c r="L10" i="17"/>
  <c r="F10" i="17"/>
  <c r="E10" i="17"/>
  <c r="C10" i="17"/>
  <c r="B10" i="17"/>
  <c r="A10" i="17"/>
  <c r="Q9" i="17"/>
  <c r="P9" i="17"/>
  <c r="M9" i="17"/>
  <c r="L9" i="17"/>
  <c r="F9" i="17"/>
  <c r="E9" i="17"/>
  <c r="C9" i="17"/>
  <c r="B9" i="17"/>
  <c r="A9" i="17"/>
  <c r="Q8" i="17"/>
  <c r="P8" i="17"/>
  <c r="M8" i="17"/>
  <c r="L8" i="17"/>
  <c r="F8" i="17"/>
  <c r="E8" i="17"/>
  <c r="C8" i="17"/>
  <c r="B8" i="17"/>
  <c r="A8" i="17"/>
  <c r="Q7" i="17"/>
  <c r="P7" i="17"/>
  <c r="M7" i="17"/>
  <c r="L7" i="17"/>
  <c r="F7" i="17"/>
  <c r="E7" i="17"/>
  <c r="C7" i="17"/>
  <c r="B7" i="17"/>
  <c r="A7" i="17"/>
  <c r="Q6" i="17"/>
  <c r="P6" i="17"/>
  <c r="M6" i="17"/>
  <c r="L6" i="17"/>
  <c r="F6" i="17"/>
  <c r="E6" i="17"/>
  <c r="C6" i="17"/>
  <c r="B6" i="17"/>
  <c r="A6" i="17"/>
  <c r="Q5" i="17"/>
  <c r="P5" i="17"/>
  <c r="M5" i="17"/>
  <c r="L5" i="17"/>
  <c r="F5" i="17"/>
  <c r="E5" i="17"/>
  <c r="C5" i="17"/>
  <c r="B5" i="17"/>
  <c r="A5" i="17"/>
  <c r="Q4" i="17"/>
  <c r="P4" i="17"/>
  <c r="M4" i="17"/>
  <c r="L4" i="17"/>
  <c r="F4" i="17"/>
  <c r="E4" i="17"/>
  <c r="C4" i="17"/>
  <c r="B4" i="17"/>
  <c r="A4" i="17"/>
  <c r="Q3" i="17"/>
  <c r="P3" i="17"/>
  <c r="M3" i="17"/>
  <c r="L3" i="17"/>
  <c r="F3" i="17"/>
  <c r="E3" i="17"/>
  <c r="C3" i="17"/>
  <c r="B3" i="17"/>
  <c r="A3" i="17"/>
  <c r="Q2" i="17"/>
  <c r="M2" i="17"/>
  <c r="F2" i="17"/>
  <c r="C2" i="17"/>
  <c r="B2" i="17"/>
  <c r="Q1" i="17"/>
  <c r="P1" i="17"/>
  <c r="M1" i="17"/>
  <c r="L1" i="17"/>
  <c r="F1" i="17"/>
  <c r="E1" i="17"/>
  <c r="C1" i="17"/>
  <c r="B1" i="17"/>
  <c r="A1" i="17"/>
  <c r="A1" i="16"/>
  <c r="E12" i="15"/>
  <c r="D12" i="15"/>
  <c r="C12" i="15"/>
  <c r="E11" i="15"/>
  <c r="D11" i="15"/>
  <c r="C11" i="15"/>
  <c r="E10" i="15"/>
  <c r="D10" i="15"/>
  <c r="C10" i="15"/>
  <c r="E9" i="15"/>
  <c r="D9" i="15"/>
  <c r="C9" i="15"/>
  <c r="E8" i="15"/>
  <c r="D8" i="15"/>
  <c r="C8" i="15"/>
  <c r="E7" i="15"/>
  <c r="D7" i="15"/>
  <c r="C7" i="15"/>
  <c r="E6" i="15"/>
  <c r="D6" i="15"/>
  <c r="C6" i="15"/>
  <c r="E5" i="15"/>
  <c r="D5" i="15"/>
  <c r="C5" i="15"/>
  <c r="E4" i="15"/>
  <c r="D4" i="15"/>
  <c r="C4" i="15"/>
  <c r="E3" i="15"/>
  <c r="D3" i="15"/>
  <c r="C3" i="15"/>
  <c r="E2" i="15"/>
  <c r="D2" i="15"/>
  <c r="C2" i="15"/>
  <c r="D495" i="14"/>
  <c r="D494" i="14"/>
  <c r="D493" i="14"/>
  <c r="D492" i="14"/>
  <c r="D491" i="14"/>
  <c r="D490" i="14"/>
  <c r="C490" i="14"/>
  <c r="B490" i="14"/>
  <c r="A490" i="14"/>
  <c r="D489" i="14"/>
  <c r="C489" i="14"/>
  <c r="B489" i="14"/>
  <c r="A489" i="14"/>
  <c r="D488" i="14"/>
  <c r="C488" i="14"/>
  <c r="B488" i="14"/>
  <c r="A488" i="14"/>
  <c r="D487" i="14"/>
  <c r="C487" i="14"/>
  <c r="B487" i="14"/>
  <c r="A487" i="14"/>
  <c r="D486" i="14"/>
  <c r="C486" i="14"/>
  <c r="B486" i="14"/>
  <c r="A486" i="14"/>
  <c r="D485" i="14"/>
  <c r="C485" i="14"/>
  <c r="B485" i="14"/>
  <c r="A485" i="14"/>
  <c r="D484" i="14"/>
  <c r="C484" i="14"/>
  <c r="B484" i="14"/>
  <c r="A484" i="14"/>
  <c r="D483" i="14"/>
  <c r="C483" i="14"/>
  <c r="B483" i="14"/>
  <c r="A483" i="14"/>
  <c r="D482" i="14"/>
  <c r="C482" i="14"/>
  <c r="B482" i="14"/>
  <c r="A482" i="14"/>
  <c r="D481" i="14"/>
  <c r="C481" i="14"/>
  <c r="B481" i="14"/>
  <c r="A481" i="14"/>
  <c r="D480" i="14"/>
  <c r="C480" i="14"/>
  <c r="B480" i="14"/>
  <c r="A480" i="14"/>
  <c r="D479" i="14"/>
  <c r="C479" i="14"/>
  <c r="B479" i="14"/>
  <c r="A479" i="14"/>
  <c r="D478" i="14"/>
  <c r="C478" i="14"/>
  <c r="B478" i="14"/>
  <c r="A478" i="14"/>
  <c r="D477" i="14"/>
  <c r="C477" i="14"/>
  <c r="B477" i="14"/>
  <c r="A477" i="14"/>
  <c r="D476" i="14"/>
  <c r="C476" i="14"/>
  <c r="B476" i="14"/>
  <c r="A476" i="14"/>
  <c r="D475" i="14"/>
  <c r="C475" i="14"/>
  <c r="B475" i="14"/>
  <c r="A475" i="14"/>
  <c r="D474" i="14"/>
  <c r="C474" i="14"/>
  <c r="B474" i="14"/>
  <c r="A474" i="14"/>
  <c r="D473" i="14"/>
  <c r="C473" i="14"/>
  <c r="B473" i="14"/>
  <c r="A473" i="14"/>
  <c r="D472" i="14"/>
  <c r="C472" i="14"/>
  <c r="B472" i="14"/>
  <c r="A472" i="14"/>
  <c r="D471" i="14"/>
  <c r="C471" i="14"/>
  <c r="B471" i="14"/>
  <c r="A471" i="14"/>
  <c r="D470" i="14"/>
  <c r="C470" i="14"/>
  <c r="B470" i="14"/>
  <c r="A470" i="14"/>
  <c r="D469" i="14"/>
  <c r="C469" i="14"/>
  <c r="B469" i="14"/>
  <c r="A469" i="14"/>
  <c r="D468" i="14"/>
  <c r="C468" i="14"/>
  <c r="B468" i="14"/>
  <c r="A468" i="14"/>
  <c r="D467" i="14"/>
  <c r="C467" i="14"/>
  <c r="B467" i="14"/>
  <c r="A467" i="14"/>
  <c r="D466" i="14"/>
  <c r="C466" i="14"/>
  <c r="B466" i="14"/>
  <c r="A466" i="14"/>
  <c r="D465" i="14"/>
  <c r="C465" i="14"/>
  <c r="B465" i="14"/>
  <c r="A465" i="14"/>
  <c r="D464" i="14"/>
  <c r="C464" i="14"/>
  <c r="B464" i="14"/>
  <c r="A464" i="14"/>
  <c r="D463" i="14"/>
  <c r="C463" i="14"/>
  <c r="B463" i="14"/>
  <c r="A463" i="14"/>
  <c r="D462" i="14"/>
  <c r="C462" i="14"/>
  <c r="B462" i="14"/>
  <c r="A462" i="14"/>
  <c r="D461" i="14"/>
  <c r="C461" i="14"/>
  <c r="B461" i="14"/>
  <c r="A461" i="14"/>
  <c r="D460" i="14"/>
  <c r="C460" i="14"/>
  <c r="B460" i="14"/>
  <c r="A460" i="14"/>
  <c r="D459" i="14"/>
  <c r="C459" i="14"/>
  <c r="B459" i="14"/>
  <c r="A459" i="14"/>
  <c r="D458" i="14"/>
  <c r="C458" i="14"/>
  <c r="B458" i="14"/>
  <c r="A458" i="14"/>
  <c r="D457" i="14"/>
  <c r="C457" i="14"/>
  <c r="B457" i="14"/>
  <c r="A457" i="14"/>
  <c r="D456" i="14"/>
  <c r="C456" i="14"/>
  <c r="B456" i="14"/>
  <c r="A456" i="14"/>
  <c r="D455" i="14"/>
  <c r="C455" i="14"/>
  <c r="B455" i="14"/>
  <c r="A455" i="14"/>
  <c r="D454" i="14"/>
  <c r="C454" i="14"/>
  <c r="B454" i="14"/>
  <c r="A454" i="14"/>
  <c r="D453" i="14"/>
  <c r="C453" i="14"/>
  <c r="B453" i="14"/>
  <c r="A453" i="14"/>
  <c r="D452" i="14"/>
  <c r="C452" i="14"/>
  <c r="B452" i="14"/>
  <c r="A452" i="14"/>
  <c r="D451" i="14"/>
  <c r="C451" i="14"/>
  <c r="B451" i="14"/>
  <c r="A451" i="14"/>
  <c r="D450" i="14"/>
  <c r="C450" i="14"/>
  <c r="B450" i="14"/>
  <c r="A450" i="14"/>
  <c r="D449" i="14"/>
  <c r="C449" i="14"/>
  <c r="B449" i="14"/>
  <c r="A449" i="14"/>
  <c r="D448" i="14"/>
  <c r="C448" i="14"/>
  <c r="B448" i="14"/>
  <c r="A448" i="14"/>
  <c r="D447" i="14"/>
  <c r="C447" i="14"/>
  <c r="B447" i="14"/>
  <c r="A447" i="14"/>
  <c r="D446" i="14"/>
  <c r="C446" i="14"/>
  <c r="B446" i="14"/>
  <c r="A446" i="14"/>
  <c r="D445" i="14"/>
  <c r="C445" i="14"/>
  <c r="B445" i="14"/>
  <c r="A445" i="14"/>
  <c r="D444" i="14"/>
  <c r="C444" i="14"/>
  <c r="B444" i="14"/>
  <c r="A444" i="14"/>
  <c r="D443" i="14"/>
  <c r="C443" i="14"/>
  <c r="B443" i="14"/>
  <c r="A443" i="14"/>
  <c r="D442" i="14"/>
  <c r="C442" i="14"/>
  <c r="B442" i="14"/>
  <c r="A442" i="14"/>
  <c r="D441" i="14"/>
  <c r="C441" i="14"/>
  <c r="B441" i="14"/>
  <c r="A441" i="14"/>
  <c r="D440" i="14"/>
  <c r="C440" i="14"/>
  <c r="B440" i="14"/>
  <c r="A440" i="14"/>
  <c r="D439" i="14"/>
  <c r="C439" i="14"/>
  <c r="B439" i="14"/>
  <c r="A439" i="14"/>
  <c r="D438" i="14"/>
  <c r="C438" i="14"/>
  <c r="B438" i="14"/>
  <c r="A438" i="14"/>
  <c r="D437" i="14"/>
  <c r="C437" i="14"/>
  <c r="B437" i="14"/>
  <c r="A437" i="14"/>
  <c r="D436" i="14"/>
  <c r="C436" i="14"/>
  <c r="B436" i="14"/>
  <c r="A436" i="14"/>
  <c r="D435" i="14"/>
  <c r="C435" i="14"/>
  <c r="B435" i="14"/>
  <c r="A435" i="14"/>
  <c r="D434" i="14"/>
  <c r="C434" i="14"/>
  <c r="B434" i="14"/>
  <c r="A434" i="14"/>
  <c r="D433" i="14"/>
  <c r="C433" i="14"/>
  <c r="B433" i="14"/>
  <c r="A433" i="14"/>
  <c r="D432" i="14"/>
  <c r="C432" i="14"/>
  <c r="B432" i="14"/>
  <c r="A432" i="14"/>
  <c r="D431" i="14"/>
  <c r="C431" i="14"/>
  <c r="B431" i="14"/>
  <c r="A431" i="14"/>
  <c r="D430" i="14"/>
  <c r="C430" i="14"/>
  <c r="B430" i="14"/>
  <c r="A430" i="14"/>
  <c r="D429" i="14"/>
  <c r="C429" i="14"/>
  <c r="B429" i="14"/>
  <c r="A429" i="14"/>
  <c r="D428" i="14"/>
  <c r="C428" i="14"/>
  <c r="B428" i="14"/>
  <c r="A428" i="14"/>
  <c r="D427" i="14"/>
  <c r="C427" i="14"/>
  <c r="B427" i="14"/>
  <c r="A427" i="14"/>
  <c r="D426" i="14"/>
  <c r="C426" i="14"/>
  <c r="B426" i="14"/>
  <c r="A426" i="14"/>
  <c r="D425" i="14"/>
  <c r="C425" i="14"/>
  <c r="B425" i="14"/>
  <c r="A425" i="14"/>
  <c r="D424" i="14"/>
  <c r="C424" i="14"/>
  <c r="B424" i="14"/>
  <c r="A424" i="14"/>
  <c r="D423" i="14"/>
  <c r="C423" i="14"/>
  <c r="B423" i="14"/>
  <c r="A423" i="14"/>
  <c r="D422" i="14"/>
  <c r="C422" i="14"/>
  <c r="B422" i="14"/>
  <c r="A422" i="14"/>
  <c r="D421" i="14"/>
  <c r="C421" i="14"/>
  <c r="B421" i="14"/>
  <c r="A421" i="14"/>
  <c r="D420" i="14"/>
  <c r="C420" i="14"/>
  <c r="B420" i="14"/>
  <c r="A420" i="14"/>
  <c r="D419" i="14"/>
  <c r="C419" i="14"/>
  <c r="B419" i="14"/>
  <c r="A419" i="14"/>
  <c r="D418" i="14"/>
  <c r="C418" i="14"/>
  <c r="B418" i="14"/>
  <c r="A418" i="14"/>
  <c r="D417" i="14"/>
  <c r="C417" i="14"/>
  <c r="B417" i="14"/>
  <c r="A417" i="14"/>
  <c r="D416" i="14"/>
  <c r="C416" i="14"/>
  <c r="B416" i="14"/>
  <c r="A416" i="14"/>
  <c r="D415" i="14"/>
  <c r="C415" i="14"/>
  <c r="B415" i="14"/>
  <c r="A415" i="14"/>
  <c r="D414" i="14"/>
  <c r="C414" i="14"/>
  <c r="B414" i="14"/>
  <c r="A414" i="14"/>
  <c r="D413" i="14"/>
  <c r="C413" i="14"/>
  <c r="B413" i="14"/>
  <c r="A413" i="14"/>
  <c r="D412" i="14"/>
  <c r="C412" i="14"/>
  <c r="B412" i="14"/>
  <c r="A412" i="14"/>
  <c r="D411" i="14"/>
  <c r="C411" i="14"/>
  <c r="B411" i="14"/>
  <c r="A411" i="14"/>
  <c r="D410" i="14"/>
  <c r="C410" i="14"/>
  <c r="B410" i="14"/>
  <c r="A410" i="14"/>
  <c r="D409" i="14"/>
  <c r="C409" i="14"/>
  <c r="B409" i="14"/>
  <c r="A409" i="14"/>
  <c r="D408" i="14"/>
  <c r="C408" i="14"/>
  <c r="B408" i="14"/>
  <c r="A408" i="14"/>
  <c r="D407" i="14"/>
  <c r="C407" i="14"/>
  <c r="B407" i="14"/>
  <c r="A407" i="14"/>
  <c r="D406" i="14"/>
  <c r="C406" i="14"/>
  <c r="B406" i="14"/>
  <c r="A406" i="14"/>
  <c r="D405" i="14"/>
  <c r="C405" i="14"/>
  <c r="B405" i="14"/>
  <c r="A405" i="14"/>
  <c r="D404" i="14"/>
  <c r="C404" i="14"/>
  <c r="B404" i="14"/>
  <c r="A404" i="14"/>
  <c r="D403" i="14"/>
  <c r="C403" i="14"/>
  <c r="B403" i="14"/>
  <c r="A403" i="14"/>
  <c r="D402" i="14"/>
  <c r="C402" i="14"/>
  <c r="B402" i="14"/>
  <c r="A402" i="14"/>
  <c r="D401" i="14"/>
  <c r="C401" i="14"/>
  <c r="B401" i="14"/>
  <c r="A401" i="14"/>
  <c r="D400" i="14"/>
  <c r="C400" i="14"/>
  <c r="B400" i="14"/>
  <c r="A400" i="14"/>
  <c r="D399" i="14"/>
  <c r="C399" i="14"/>
  <c r="B399" i="14"/>
  <c r="A399" i="14"/>
  <c r="D398" i="14"/>
  <c r="C398" i="14"/>
  <c r="B398" i="14"/>
  <c r="A398" i="14"/>
  <c r="D397" i="14"/>
  <c r="C397" i="14"/>
  <c r="B397" i="14"/>
  <c r="A397" i="14"/>
  <c r="D396" i="14"/>
  <c r="C396" i="14"/>
  <c r="B396" i="14"/>
  <c r="A396" i="14"/>
  <c r="D395" i="14"/>
  <c r="C395" i="14"/>
  <c r="B395" i="14"/>
  <c r="A395" i="14"/>
  <c r="D394" i="14"/>
  <c r="C394" i="14"/>
  <c r="B394" i="14"/>
  <c r="A394" i="14"/>
  <c r="D393" i="14"/>
  <c r="C393" i="14"/>
  <c r="B393" i="14"/>
  <c r="A393" i="14"/>
  <c r="D392" i="14"/>
  <c r="C392" i="14"/>
  <c r="B392" i="14"/>
  <c r="A392" i="14"/>
  <c r="D391" i="14"/>
  <c r="C391" i="14"/>
  <c r="B391" i="14"/>
  <c r="A391" i="14"/>
  <c r="D390" i="14"/>
  <c r="C390" i="14"/>
  <c r="B390" i="14"/>
  <c r="A390" i="14"/>
  <c r="D389" i="14"/>
  <c r="C389" i="14"/>
  <c r="B389" i="14"/>
  <c r="A389" i="14"/>
  <c r="D388" i="14"/>
  <c r="C388" i="14"/>
  <c r="B388" i="14"/>
  <c r="A388" i="14"/>
  <c r="D387" i="14"/>
  <c r="C387" i="14"/>
  <c r="B387" i="14"/>
  <c r="A387" i="14"/>
  <c r="D386" i="14"/>
  <c r="C386" i="14"/>
  <c r="B386" i="14"/>
  <c r="A386" i="14"/>
  <c r="D385" i="14"/>
  <c r="C385" i="14"/>
  <c r="B385" i="14"/>
  <c r="A385" i="14"/>
  <c r="D384" i="14"/>
  <c r="C384" i="14"/>
  <c r="B384" i="14"/>
  <c r="A384" i="14"/>
  <c r="D383" i="14"/>
  <c r="C383" i="14"/>
  <c r="B383" i="14"/>
  <c r="A383" i="14"/>
  <c r="D382" i="14"/>
  <c r="C382" i="14"/>
  <c r="B382" i="14"/>
  <c r="A382" i="14"/>
  <c r="D381" i="14"/>
  <c r="C381" i="14"/>
  <c r="B381" i="14"/>
  <c r="A381" i="14"/>
  <c r="D380" i="14"/>
  <c r="C380" i="14"/>
  <c r="B380" i="14"/>
  <c r="A380" i="14"/>
  <c r="D379" i="14"/>
  <c r="C379" i="14"/>
  <c r="B379" i="14"/>
  <c r="A379" i="14"/>
  <c r="D378" i="14"/>
  <c r="C378" i="14"/>
  <c r="B378" i="14"/>
  <c r="A378" i="14"/>
  <c r="D377" i="14"/>
  <c r="C377" i="14"/>
  <c r="B377" i="14"/>
  <c r="A377" i="14"/>
  <c r="D376" i="14"/>
  <c r="C376" i="14"/>
  <c r="B376" i="14"/>
  <c r="A376" i="14"/>
  <c r="D375" i="14"/>
  <c r="C375" i="14"/>
  <c r="B375" i="14"/>
  <c r="A375" i="14"/>
  <c r="D374" i="14"/>
  <c r="C374" i="14"/>
  <c r="B374" i="14"/>
  <c r="A374" i="14"/>
  <c r="D373" i="14"/>
  <c r="C373" i="14"/>
  <c r="B373" i="14"/>
  <c r="A373" i="14"/>
  <c r="D372" i="14"/>
  <c r="C372" i="14"/>
  <c r="B372" i="14"/>
  <c r="A372" i="14"/>
  <c r="D371" i="14"/>
  <c r="C371" i="14"/>
  <c r="B371" i="14"/>
  <c r="A371" i="14"/>
  <c r="D370" i="14"/>
  <c r="C370" i="14"/>
  <c r="B370" i="14"/>
  <c r="A370" i="14"/>
  <c r="D369" i="14"/>
  <c r="C369" i="14"/>
  <c r="B369" i="14"/>
  <c r="A369" i="14"/>
  <c r="D368" i="14"/>
  <c r="C368" i="14"/>
  <c r="B368" i="14"/>
  <c r="A368" i="14"/>
  <c r="D367" i="14"/>
  <c r="C367" i="14"/>
  <c r="B367" i="14"/>
  <c r="A367" i="14"/>
  <c r="D366" i="14"/>
  <c r="C366" i="14"/>
  <c r="B366" i="14"/>
  <c r="A366" i="14"/>
  <c r="D365" i="14"/>
  <c r="C365" i="14"/>
  <c r="B365" i="14"/>
  <c r="A365" i="14"/>
  <c r="D364" i="14"/>
  <c r="C364" i="14"/>
  <c r="B364" i="14"/>
  <c r="A364" i="14"/>
  <c r="D363" i="14"/>
  <c r="C363" i="14"/>
  <c r="B363" i="14"/>
  <c r="A363" i="14"/>
  <c r="D362" i="14"/>
  <c r="C362" i="14"/>
  <c r="B362" i="14"/>
  <c r="A362" i="14"/>
  <c r="D361" i="14"/>
  <c r="C361" i="14"/>
  <c r="B361" i="14"/>
  <c r="A361" i="14"/>
  <c r="D360" i="14"/>
  <c r="C360" i="14"/>
  <c r="B360" i="14"/>
  <c r="A360" i="14"/>
  <c r="D359" i="14"/>
  <c r="C359" i="14"/>
  <c r="B359" i="14"/>
  <c r="A359" i="14"/>
  <c r="D358" i="14"/>
  <c r="C358" i="14"/>
  <c r="B358" i="14"/>
  <c r="A358" i="14"/>
  <c r="D357" i="14"/>
  <c r="C357" i="14"/>
  <c r="B357" i="14"/>
  <c r="A357" i="14"/>
  <c r="D356" i="14"/>
  <c r="C356" i="14"/>
  <c r="B356" i="14"/>
  <c r="A356" i="14"/>
  <c r="D355" i="14"/>
  <c r="C355" i="14"/>
  <c r="B355" i="14"/>
  <c r="A355" i="14"/>
  <c r="D354" i="14"/>
  <c r="C354" i="14"/>
  <c r="B354" i="14"/>
  <c r="A354" i="14"/>
  <c r="D353" i="14"/>
  <c r="C353" i="14"/>
  <c r="B353" i="14"/>
  <c r="A353" i="14"/>
  <c r="D352" i="14"/>
  <c r="C352" i="14"/>
  <c r="B352" i="14"/>
  <c r="A352" i="14"/>
  <c r="D351" i="14"/>
  <c r="C351" i="14"/>
  <c r="B351" i="14"/>
  <c r="A351" i="14"/>
  <c r="D350" i="14"/>
  <c r="C350" i="14"/>
  <c r="B350" i="14"/>
  <c r="A350" i="14"/>
  <c r="D349" i="14"/>
  <c r="C349" i="14"/>
  <c r="B349" i="14"/>
  <c r="A349" i="14"/>
  <c r="D348" i="14"/>
  <c r="C348" i="14"/>
  <c r="B348" i="14"/>
  <c r="A348" i="14"/>
  <c r="D347" i="14"/>
  <c r="C347" i="14"/>
  <c r="B347" i="14"/>
  <c r="A347" i="14"/>
  <c r="D346" i="14"/>
  <c r="C346" i="14"/>
  <c r="B346" i="14"/>
  <c r="A346" i="14"/>
  <c r="D345" i="14"/>
  <c r="C345" i="14"/>
  <c r="B345" i="14"/>
  <c r="A345" i="14"/>
  <c r="D344" i="14"/>
  <c r="C344" i="14"/>
  <c r="B344" i="14"/>
  <c r="A344" i="14"/>
  <c r="D343" i="14"/>
  <c r="C343" i="14"/>
  <c r="B343" i="14"/>
  <c r="A343" i="14"/>
  <c r="D342" i="14"/>
  <c r="C342" i="14"/>
  <c r="B342" i="14"/>
  <c r="A342" i="14"/>
  <c r="D341" i="14"/>
  <c r="C341" i="14"/>
  <c r="B341" i="14"/>
  <c r="A341" i="14"/>
  <c r="D340" i="14"/>
  <c r="C340" i="14"/>
  <c r="B340" i="14"/>
  <c r="A340" i="14"/>
  <c r="D339" i="14"/>
  <c r="C339" i="14"/>
  <c r="B339" i="14"/>
  <c r="A339" i="14"/>
  <c r="D338" i="14"/>
  <c r="C338" i="14"/>
  <c r="B338" i="14"/>
  <c r="A338" i="14"/>
  <c r="D337" i="14"/>
  <c r="C337" i="14"/>
  <c r="B337" i="14"/>
  <c r="A337" i="14"/>
  <c r="D336" i="14"/>
  <c r="C336" i="14"/>
  <c r="B336" i="14"/>
  <c r="A336" i="14"/>
  <c r="D335" i="14"/>
  <c r="C335" i="14"/>
  <c r="B335" i="14"/>
  <c r="A335" i="14"/>
  <c r="D334" i="14"/>
  <c r="C334" i="14"/>
  <c r="B334" i="14"/>
  <c r="A334" i="14"/>
  <c r="D333" i="14"/>
  <c r="C333" i="14"/>
  <c r="B333" i="14"/>
  <c r="A333" i="14"/>
  <c r="D332" i="14"/>
  <c r="C332" i="14"/>
  <c r="B332" i="14"/>
  <c r="A332" i="14"/>
  <c r="D331" i="14"/>
  <c r="C331" i="14"/>
  <c r="B331" i="14"/>
  <c r="A331" i="14"/>
  <c r="D330" i="14"/>
  <c r="C330" i="14"/>
  <c r="B330" i="14"/>
  <c r="A330" i="14"/>
  <c r="D329" i="14"/>
  <c r="C329" i="14"/>
  <c r="B329" i="14"/>
  <c r="A329" i="14"/>
  <c r="D328" i="14"/>
  <c r="C328" i="14"/>
  <c r="B328" i="14"/>
  <c r="A328" i="14"/>
  <c r="D327" i="14"/>
  <c r="C327" i="14"/>
  <c r="B327" i="14"/>
  <c r="A327" i="14"/>
  <c r="D326" i="14"/>
  <c r="C326" i="14"/>
  <c r="B326" i="14"/>
  <c r="A326" i="14"/>
  <c r="D325" i="14"/>
  <c r="C325" i="14"/>
  <c r="B325" i="14"/>
  <c r="A325" i="14"/>
  <c r="D324" i="14"/>
  <c r="C324" i="14"/>
  <c r="B324" i="14"/>
  <c r="A324" i="14"/>
  <c r="D323" i="14"/>
  <c r="C323" i="14"/>
  <c r="B323" i="14"/>
  <c r="A323" i="14"/>
  <c r="D322" i="14"/>
  <c r="C322" i="14"/>
  <c r="B322" i="14"/>
  <c r="A322" i="14"/>
  <c r="D321" i="14"/>
  <c r="C321" i="14"/>
  <c r="B321" i="14"/>
  <c r="A321" i="14"/>
  <c r="D320" i="14"/>
  <c r="C320" i="14"/>
  <c r="B320" i="14"/>
  <c r="A320" i="14"/>
  <c r="D319" i="14"/>
  <c r="C319" i="14"/>
  <c r="B319" i="14"/>
  <c r="A319" i="14"/>
  <c r="D318" i="14"/>
  <c r="C318" i="14"/>
  <c r="B318" i="14"/>
  <c r="A318" i="14"/>
  <c r="D317" i="14"/>
  <c r="C317" i="14"/>
  <c r="B317" i="14"/>
  <c r="A317" i="14"/>
  <c r="D316" i="14"/>
  <c r="C316" i="14"/>
  <c r="B316" i="14"/>
  <c r="A316" i="14"/>
  <c r="D315" i="14"/>
  <c r="C315" i="14"/>
  <c r="B315" i="14"/>
  <c r="A315" i="14"/>
  <c r="D314" i="14"/>
  <c r="C314" i="14"/>
  <c r="B314" i="14"/>
  <c r="A314" i="14"/>
  <c r="D313" i="14"/>
  <c r="C313" i="14"/>
  <c r="B313" i="14"/>
  <c r="A313" i="14"/>
  <c r="D312" i="14"/>
  <c r="C312" i="14"/>
  <c r="B312" i="14"/>
  <c r="A312" i="14"/>
  <c r="D311" i="14"/>
  <c r="C311" i="14"/>
  <c r="B311" i="14"/>
  <c r="A311" i="14"/>
  <c r="D310" i="14"/>
  <c r="C310" i="14"/>
  <c r="B310" i="14"/>
  <c r="A310" i="14"/>
  <c r="D309" i="14"/>
  <c r="C309" i="14"/>
  <c r="B309" i="14"/>
  <c r="A309" i="14"/>
  <c r="D308" i="14"/>
  <c r="C308" i="14"/>
  <c r="B308" i="14"/>
  <c r="A308" i="14"/>
  <c r="D307" i="14"/>
  <c r="C307" i="14"/>
  <c r="B307" i="14"/>
  <c r="A307" i="14"/>
  <c r="D306" i="14"/>
  <c r="C306" i="14"/>
  <c r="B306" i="14"/>
  <c r="A306" i="14"/>
  <c r="D305" i="14"/>
  <c r="C305" i="14"/>
  <c r="B305" i="14"/>
  <c r="A305" i="14"/>
  <c r="D304" i="14"/>
  <c r="C304" i="14"/>
  <c r="B304" i="14"/>
  <c r="A304" i="14"/>
  <c r="D303" i="14"/>
  <c r="C303" i="14"/>
  <c r="B303" i="14"/>
  <c r="A303" i="14"/>
  <c r="D302" i="14"/>
  <c r="C302" i="14"/>
  <c r="B302" i="14"/>
  <c r="A302" i="14"/>
  <c r="D301" i="14"/>
  <c r="C301" i="14"/>
  <c r="B301" i="14"/>
  <c r="A301" i="14"/>
  <c r="D300" i="14"/>
  <c r="C300" i="14"/>
  <c r="B300" i="14"/>
  <c r="A300" i="14"/>
  <c r="D299" i="14"/>
  <c r="C299" i="14"/>
  <c r="B299" i="14"/>
  <c r="A299" i="14"/>
  <c r="D298" i="14"/>
  <c r="C298" i="14"/>
  <c r="B298" i="14"/>
  <c r="A298" i="14"/>
  <c r="D297" i="14"/>
  <c r="C297" i="14"/>
  <c r="B297" i="14"/>
  <c r="A297" i="14"/>
  <c r="D296" i="14"/>
  <c r="C296" i="14"/>
  <c r="B296" i="14"/>
  <c r="A296" i="14"/>
  <c r="D295" i="14"/>
  <c r="C295" i="14"/>
  <c r="B295" i="14"/>
  <c r="A295" i="14"/>
  <c r="D294" i="14"/>
  <c r="C294" i="14"/>
  <c r="B294" i="14"/>
  <c r="A294" i="14"/>
  <c r="D293" i="14"/>
  <c r="C293" i="14"/>
  <c r="B293" i="14"/>
  <c r="A293" i="14"/>
  <c r="D292" i="14"/>
  <c r="C292" i="14"/>
  <c r="B292" i="14"/>
  <c r="A292" i="14"/>
  <c r="D291" i="14"/>
  <c r="C291" i="14"/>
  <c r="B291" i="14"/>
  <c r="A291" i="14"/>
  <c r="D290" i="14"/>
  <c r="C290" i="14"/>
  <c r="B290" i="14"/>
  <c r="A290" i="14"/>
  <c r="D289" i="14"/>
  <c r="C289" i="14"/>
  <c r="B289" i="14"/>
  <c r="A289" i="14"/>
  <c r="D288" i="14"/>
  <c r="C288" i="14"/>
  <c r="B288" i="14"/>
  <c r="A288" i="14"/>
  <c r="D287" i="14"/>
  <c r="C287" i="14"/>
  <c r="B287" i="14"/>
  <c r="A287" i="14"/>
  <c r="D286" i="14"/>
  <c r="C286" i="14"/>
  <c r="B286" i="14"/>
  <c r="A286" i="14"/>
  <c r="D285" i="14"/>
  <c r="C285" i="14"/>
  <c r="B285" i="14"/>
  <c r="A285" i="14"/>
  <c r="D284" i="14"/>
  <c r="C284" i="14"/>
  <c r="B284" i="14"/>
  <c r="A284" i="14"/>
  <c r="D283" i="14"/>
  <c r="C283" i="14"/>
  <c r="B283" i="14"/>
  <c r="A283" i="14"/>
  <c r="D282" i="14"/>
  <c r="C282" i="14"/>
  <c r="B282" i="14"/>
  <c r="A282" i="14"/>
  <c r="D281" i="14"/>
  <c r="C281" i="14"/>
  <c r="B281" i="14"/>
  <c r="A281" i="14"/>
  <c r="D280" i="14"/>
  <c r="C280" i="14"/>
  <c r="B280" i="14"/>
  <c r="A280" i="14"/>
  <c r="D279" i="14"/>
  <c r="C279" i="14"/>
  <c r="B279" i="14"/>
  <c r="A279" i="14"/>
  <c r="D278" i="14"/>
  <c r="C278" i="14"/>
  <c r="B278" i="14"/>
  <c r="A278" i="14"/>
  <c r="D277" i="14"/>
  <c r="C277" i="14"/>
  <c r="B277" i="14"/>
  <c r="A277" i="14"/>
  <c r="D276" i="14"/>
  <c r="C276" i="14"/>
  <c r="B276" i="14"/>
  <c r="A276" i="14"/>
  <c r="D275" i="14"/>
  <c r="C275" i="14"/>
  <c r="B275" i="14"/>
  <c r="A275" i="14"/>
  <c r="D274" i="14"/>
  <c r="C274" i="14"/>
  <c r="B274" i="14"/>
  <c r="A274" i="14"/>
  <c r="D273" i="14"/>
  <c r="C273" i="14"/>
  <c r="B273" i="14"/>
  <c r="A273" i="14"/>
  <c r="D272" i="14"/>
  <c r="C272" i="14"/>
  <c r="B272" i="14"/>
  <c r="A272" i="14"/>
  <c r="D271" i="14"/>
  <c r="C271" i="14"/>
  <c r="B271" i="14"/>
  <c r="A271" i="14"/>
  <c r="D270" i="14"/>
  <c r="C270" i="14"/>
  <c r="B270" i="14"/>
  <c r="A270" i="14"/>
  <c r="D269" i="14"/>
  <c r="C269" i="14"/>
  <c r="B269" i="14"/>
  <c r="A269" i="14"/>
  <c r="D268" i="14"/>
  <c r="C268" i="14"/>
  <c r="B268" i="14"/>
  <c r="A268" i="14"/>
  <c r="D267" i="14"/>
  <c r="C267" i="14"/>
  <c r="B267" i="14"/>
  <c r="A267" i="14"/>
  <c r="D266" i="14"/>
  <c r="C266" i="14"/>
  <c r="B266" i="14"/>
  <c r="A266" i="14"/>
  <c r="D265" i="14"/>
  <c r="C265" i="14"/>
  <c r="B265" i="14"/>
  <c r="A265" i="14"/>
  <c r="D264" i="14"/>
  <c r="C264" i="14"/>
  <c r="B264" i="14"/>
  <c r="A264" i="14"/>
  <c r="D263" i="14"/>
  <c r="C263" i="14"/>
  <c r="B263" i="14"/>
  <c r="A263" i="14"/>
  <c r="D262" i="14"/>
  <c r="C262" i="14"/>
  <c r="B262" i="14"/>
  <c r="A262" i="14"/>
  <c r="D261" i="14"/>
  <c r="C261" i="14"/>
  <c r="B261" i="14"/>
  <c r="A261" i="14"/>
  <c r="D260" i="14"/>
  <c r="C260" i="14"/>
  <c r="B260" i="14"/>
  <c r="A260" i="14"/>
  <c r="D259" i="14"/>
  <c r="C259" i="14"/>
  <c r="B259" i="14"/>
  <c r="A259" i="14"/>
  <c r="D258" i="14"/>
  <c r="C258" i="14"/>
  <c r="B258" i="14"/>
  <c r="A258" i="14"/>
  <c r="D257" i="14"/>
  <c r="C257" i="14"/>
  <c r="B257" i="14"/>
  <c r="A257" i="14"/>
  <c r="D256" i="14"/>
  <c r="C256" i="14"/>
  <c r="B256" i="14"/>
  <c r="A256" i="14"/>
  <c r="D255" i="14"/>
  <c r="C255" i="14"/>
  <c r="B255" i="14"/>
  <c r="A255" i="14"/>
  <c r="D254" i="14"/>
  <c r="C254" i="14"/>
  <c r="B254" i="14"/>
  <c r="A254" i="14"/>
  <c r="D253" i="14"/>
  <c r="C253" i="14"/>
  <c r="B253" i="14"/>
  <c r="A253" i="14"/>
  <c r="D252" i="14"/>
  <c r="C252" i="14"/>
  <c r="B252" i="14"/>
  <c r="A252" i="14"/>
  <c r="D251" i="14"/>
  <c r="C251" i="14"/>
  <c r="B251" i="14"/>
  <c r="A251" i="14"/>
  <c r="D250" i="14"/>
  <c r="C250" i="14"/>
  <c r="B250" i="14"/>
  <c r="A250" i="14"/>
  <c r="D249" i="14"/>
  <c r="C249" i="14"/>
  <c r="B249" i="14"/>
  <c r="A249" i="14"/>
  <c r="D248" i="14"/>
  <c r="C248" i="14"/>
  <c r="B248" i="14"/>
  <c r="A248" i="14"/>
  <c r="D247" i="14"/>
  <c r="C247" i="14"/>
  <c r="B247" i="14"/>
  <c r="A247" i="14"/>
  <c r="D246" i="14"/>
  <c r="C246" i="14"/>
  <c r="B246" i="14"/>
  <c r="A246" i="14"/>
  <c r="D245" i="14"/>
  <c r="C245" i="14"/>
  <c r="B245" i="14"/>
  <c r="A245" i="14"/>
  <c r="D244" i="14"/>
  <c r="C244" i="14"/>
  <c r="B244" i="14"/>
  <c r="A244" i="14"/>
  <c r="D243" i="14"/>
  <c r="C243" i="14"/>
  <c r="B243" i="14"/>
  <c r="A243" i="14"/>
  <c r="D242" i="14"/>
  <c r="C242" i="14"/>
  <c r="B242" i="14"/>
  <c r="A242" i="14"/>
  <c r="D241" i="14"/>
  <c r="C241" i="14"/>
  <c r="B241" i="14"/>
  <c r="A241" i="14"/>
  <c r="D240" i="14"/>
  <c r="C240" i="14"/>
  <c r="B240" i="14"/>
  <c r="A240" i="14"/>
  <c r="D239" i="14"/>
  <c r="C239" i="14"/>
  <c r="B239" i="14"/>
  <c r="A239" i="14"/>
  <c r="D238" i="14"/>
  <c r="C238" i="14"/>
  <c r="B238" i="14"/>
  <c r="A238" i="14"/>
  <c r="D237" i="14"/>
  <c r="C237" i="14"/>
  <c r="B237" i="14"/>
  <c r="A237" i="14"/>
  <c r="D236" i="14"/>
  <c r="C236" i="14"/>
  <c r="B236" i="14"/>
  <c r="A236" i="14"/>
  <c r="D235" i="14"/>
  <c r="C235" i="14"/>
  <c r="B235" i="14"/>
  <c r="A235" i="14"/>
  <c r="D234" i="14"/>
  <c r="C234" i="14"/>
  <c r="B234" i="14"/>
  <c r="A234" i="14"/>
  <c r="D233" i="14"/>
  <c r="C233" i="14"/>
  <c r="B233" i="14"/>
  <c r="A233" i="14"/>
  <c r="D232" i="14"/>
  <c r="C232" i="14"/>
  <c r="B232" i="14"/>
  <c r="A232" i="14"/>
  <c r="D231" i="14"/>
  <c r="C231" i="14"/>
  <c r="B231" i="14"/>
  <c r="A231" i="14"/>
  <c r="D230" i="14"/>
  <c r="C230" i="14"/>
  <c r="B230" i="14"/>
  <c r="A230" i="14"/>
  <c r="D229" i="14"/>
  <c r="C229" i="14"/>
  <c r="B229" i="14"/>
  <c r="A229" i="14"/>
  <c r="D228" i="14"/>
  <c r="C228" i="14"/>
  <c r="B228" i="14"/>
  <c r="A228" i="14"/>
  <c r="D227" i="14"/>
  <c r="C227" i="14"/>
  <c r="B227" i="14"/>
  <c r="A227" i="14"/>
  <c r="D226" i="14"/>
  <c r="C226" i="14"/>
  <c r="B226" i="14"/>
  <c r="A226" i="14"/>
  <c r="D225" i="14"/>
  <c r="C225" i="14"/>
  <c r="B225" i="14"/>
  <c r="A225" i="14"/>
  <c r="D224" i="14"/>
  <c r="C224" i="14"/>
  <c r="B224" i="14"/>
  <c r="A224" i="14"/>
  <c r="D223" i="14"/>
  <c r="C223" i="14"/>
  <c r="B223" i="14"/>
  <c r="A223" i="14"/>
  <c r="D222" i="14"/>
  <c r="C222" i="14"/>
  <c r="B222" i="14"/>
  <c r="A222" i="14"/>
  <c r="D221" i="14"/>
  <c r="C221" i="14"/>
  <c r="B221" i="14"/>
  <c r="A221" i="14"/>
  <c r="D220" i="14"/>
  <c r="C220" i="14"/>
  <c r="B220" i="14"/>
  <c r="A220" i="14"/>
  <c r="D219" i="14"/>
  <c r="C219" i="14"/>
  <c r="B219" i="14"/>
  <c r="A219" i="14"/>
  <c r="D218" i="14"/>
  <c r="C218" i="14"/>
  <c r="B218" i="14"/>
  <c r="A218" i="14"/>
  <c r="D217" i="14"/>
  <c r="C217" i="14"/>
  <c r="B217" i="14"/>
  <c r="A217" i="14"/>
  <c r="D216" i="14"/>
  <c r="C216" i="14"/>
  <c r="B216" i="14"/>
  <c r="A216" i="14"/>
  <c r="D215" i="14"/>
  <c r="C215" i="14"/>
  <c r="B215" i="14"/>
  <c r="A215" i="14"/>
  <c r="D214" i="14"/>
  <c r="C214" i="14"/>
  <c r="B214" i="14"/>
  <c r="A214" i="14"/>
  <c r="D213" i="14"/>
  <c r="C213" i="14"/>
  <c r="B213" i="14"/>
  <c r="A213" i="14"/>
  <c r="D212" i="14"/>
  <c r="C212" i="14"/>
  <c r="B212" i="14"/>
  <c r="A212" i="14"/>
  <c r="D211" i="14"/>
  <c r="C211" i="14"/>
  <c r="B211" i="14"/>
  <c r="A211" i="14"/>
  <c r="D210" i="14"/>
  <c r="C210" i="14"/>
  <c r="B210" i="14"/>
  <c r="A210" i="14"/>
  <c r="D209" i="14"/>
  <c r="C209" i="14"/>
  <c r="B209" i="14"/>
  <c r="A209" i="14"/>
  <c r="D208" i="14"/>
  <c r="C208" i="14"/>
  <c r="B208" i="14"/>
  <c r="A208" i="14"/>
  <c r="D207" i="14"/>
  <c r="C207" i="14"/>
  <c r="B207" i="14"/>
  <c r="A207" i="14"/>
  <c r="D206" i="14"/>
  <c r="C206" i="14"/>
  <c r="B206" i="14"/>
  <c r="A206" i="14"/>
  <c r="D205" i="14"/>
  <c r="C205" i="14"/>
  <c r="B205" i="14"/>
  <c r="A205" i="14"/>
  <c r="D204" i="14"/>
  <c r="C204" i="14"/>
  <c r="B204" i="14"/>
  <c r="A204" i="14"/>
  <c r="D203" i="14"/>
  <c r="C203" i="14"/>
  <c r="B203" i="14"/>
  <c r="A203" i="14"/>
  <c r="J202" i="14"/>
  <c r="D202" i="14"/>
  <c r="C202" i="14"/>
  <c r="B202" i="14"/>
  <c r="A202" i="14"/>
  <c r="J201" i="14"/>
  <c r="D201" i="14"/>
  <c r="C201" i="14"/>
  <c r="B201" i="14"/>
  <c r="A201" i="14"/>
  <c r="J200" i="14"/>
  <c r="D200" i="14"/>
  <c r="C200" i="14"/>
  <c r="B200" i="14"/>
  <c r="A200" i="14"/>
  <c r="J199" i="14"/>
  <c r="D199" i="14"/>
  <c r="C199" i="14"/>
  <c r="B199" i="14"/>
  <c r="A199" i="14"/>
  <c r="J198" i="14"/>
  <c r="D198" i="14"/>
  <c r="C198" i="14"/>
  <c r="B198" i="14"/>
  <c r="A198" i="14"/>
  <c r="J197" i="14"/>
  <c r="D197" i="14"/>
  <c r="C197" i="14"/>
  <c r="B197" i="14"/>
  <c r="A197" i="14"/>
  <c r="J196" i="14"/>
  <c r="D196" i="14"/>
  <c r="C196" i="14"/>
  <c r="B196" i="14"/>
  <c r="A196" i="14"/>
  <c r="J195" i="14"/>
  <c r="I195" i="14"/>
  <c r="H195" i="14"/>
  <c r="G195" i="14"/>
  <c r="D195" i="14"/>
  <c r="C195" i="14"/>
  <c r="B195" i="14"/>
  <c r="A195" i="14"/>
  <c r="J194" i="14"/>
  <c r="I194" i="14"/>
  <c r="H194" i="14"/>
  <c r="G194" i="14"/>
  <c r="D194" i="14"/>
  <c r="C194" i="14"/>
  <c r="B194" i="14"/>
  <c r="A194" i="14"/>
  <c r="J193" i="14"/>
  <c r="I193" i="14"/>
  <c r="H193" i="14"/>
  <c r="G193" i="14"/>
  <c r="D193" i="14"/>
  <c r="C193" i="14"/>
  <c r="B193" i="14"/>
  <c r="A193" i="14"/>
  <c r="J192" i="14"/>
  <c r="I192" i="14"/>
  <c r="H192" i="14"/>
  <c r="G192" i="14"/>
  <c r="D192" i="14"/>
  <c r="C192" i="14"/>
  <c r="B192" i="14"/>
  <c r="A192" i="14"/>
  <c r="J191" i="14"/>
  <c r="I191" i="14"/>
  <c r="H191" i="14"/>
  <c r="G191" i="14"/>
  <c r="D191" i="14"/>
  <c r="C191" i="14"/>
  <c r="B191" i="14"/>
  <c r="A191" i="14"/>
  <c r="J190" i="14"/>
  <c r="I190" i="14"/>
  <c r="H190" i="14"/>
  <c r="G190" i="14"/>
  <c r="D190" i="14"/>
  <c r="C190" i="14"/>
  <c r="B190" i="14"/>
  <c r="A190" i="14"/>
  <c r="J189" i="14"/>
  <c r="I189" i="14"/>
  <c r="H189" i="14"/>
  <c r="G189" i="14"/>
  <c r="D189" i="14"/>
  <c r="C189" i="14"/>
  <c r="B189" i="14"/>
  <c r="A189" i="14"/>
  <c r="J188" i="14"/>
  <c r="I188" i="14"/>
  <c r="H188" i="14"/>
  <c r="G188" i="14"/>
  <c r="D188" i="14"/>
  <c r="C188" i="14"/>
  <c r="B188" i="14"/>
  <c r="A188" i="14"/>
  <c r="J187" i="14"/>
  <c r="I187" i="14"/>
  <c r="H187" i="14"/>
  <c r="G187" i="14"/>
  <c r="D187" i="14"/>
  <c r="C187" i="14"/>
  <c r="B187" i="14"/>
  <c r="A187" i="14"/>
  <c r="J186" i="14"/>
  <c r="I186" i="14"/>
  <c r="H186" i="14"/>
  <c r="G186" i="14"/>
  <c r="D186" i="14"/>
  <c r="C186" i="14"/>
  <c r="B186" i="14"/>
  <c r="A186" i="14"/>
  <c r="J185" i="14"/>
  <c r="I185" i="14"/>
  <c r="H185" i="14"/>
  <c r="G185" i="14"/>
  <c r="D185" i="14"/>
  <c r="C185" i="14"/>
  <c r="B185" i="14"/>
  <c r="A185" i="14"/>
  <c r="J184" i="14"/>
  <c r="I184" i="14"/>
  <c r="H184" i="14"/>
  <c r="G184" i="14"/>
  <c r="D184" i="14"/>
  <c r="C184" i="14"/>
  <c r="B184" i="14"/>
  <c r="A184" i="14"/>
  <c r="J183" i="14"/>
  <c r="I183" i="14"/>
  <c r="H183" i="14"/>
  <c r="G183" i="14"/>
  <c r="D183" i="14"/>
  <c r="C183" i="14"/>
  <c r="B183" i="14"/>
  <c r="A183" i="14"/>
  <c r="J182" i="14"/>
  <c r="I182" i="14"/>
  <c r="H182" i="14"/>
  <c r="G182" i="14"/>
  <c r="D182" i="14"/>
  <c r="C182" i="14"/>
  <c r="B182" i="14"/>
  <c r="A182" i="14"/>
  <c r="J181" i="14"/>
  <c r="I181" i="14"/>
  <c r="H181" i="14"/>
  <c r="G181" i="14"/>
  <c r="D181" i="14"/>
  <c r="C181" i="14"/>
  <c r="B181" i="14"/>
  <c r="A181" i="14"/>
  <c r="J180" i="14"/>
  <c r="I180" i="14"/>
  <c r="H180" i="14"/>
  <c r="G180" i="14"/>
  <c r="D180" i="14"/>
  <c r="C180" i="14"/>
  <c r="B180" i="14"/>
  <c r="A180" i="14"/>
  <c r="J179" i="14"/>
  <c r="I179" i="14"/>
  <c r="H179" i="14"/>
  <c r="G179" i="14"/>
  <c r="D179" i="14"/>
  <c r="C179" i="14"/>
  <c r="B179" i="14"/>
  <c r="A179" i="14"/>
  <c r="J178" i="14"/>
  <c r="I178" i="14"/>
  <c r="H178" i="14"/>
  <c r="G178" i="14"/>
  <c r="D178" i="14"/>
  <c r="C178" i="14"/>
  <c r="B178" i="14"/>
  <c r="A178" i="14"/>
  <c r="J177" i="14"/>
  <c r="I177" i="14"/>
  <c r="H177" i="14"/>
  <c r="G177" i="14"/>
  <c r="D177" i="14"/>
  <c r="C177" i="14"/>
  <c r="B177" i="14"/>
  <c r="A177" i="14"/>
  <c r="J176" i="14"/>
  <c r="I176" i="14"/>
  <c r="H176" i="14"/>
  <c r="G176" i="14"/>
  <c r="D176" i="14"/>
  <c r="C176" i="14"/>
  <c r="B176" i="14"/>
  <c r="A176" i="14"/>
  <c r="J175" i="14"/>
  <c r="I175" i="14"/>
  <c r="H175" i="14"/>
  <c r="G175" i="14"/>
  <c r="D175" i="14"/>
  <c r="C175" i="14"/>
  <c r="B175" i="14"/>
  <c r="A175" i="14"/>
  <c r="J174" i="14"/>
  <c r="I174" i="14"/>
  <c r="H174" i="14"/>
  <c r="G174" i="14"/>
  <c r="D174" i="14"/>
  <c r="C174" i="14"/>
  <c r="B174" i="14"/>
  <c r="A174" i="14"/>
  <c r="J173" i="14"/>
  <c r="I173" i="14"/>
  <c r="H173" i="14"/>
  <c r="G173" i="14"/>
  <c r="D173" i="14"/>
  <c r="C173" i="14"/>
  <c r="B173" i="14"/>
  <c r="A173" i="14"/>
  <c r="J172" i="14"/>
  <c r="I172" i="14"/>
  <c r="H172" i="14"/>
  <c r="G172" i="14"/>
  <c r="D172" i="14"/>
  <c r="C172" i="14"/>
  <c r="B172" i="14"/>
  <c r="A172" i="14"/>
  <c r="J171" i="14"/>
  <c r="I171" i="14"/>
  <c r="H171" i="14"/>
  <c r="G171" i="14"/>
  <c r="D171" i="14"/>
  <c r="C171" i="14"/>
  <c r="B171" i="14"/>
  <c r="A171" i="14"/>
  <c r="J170" i="14"/>
  <c r="I170" i="14"/>
  <c r="H170" i="14"/>
  <c r="G170" i="14"/>
  <c r="D170" i="14"/>
  <c r="C170" i="14"/>
  <c r="B170" i="14"/>
  <c r="A170" i="14"/>
  <c r="J169" i="14"/>
  <c r="I169" i="14"/>
  <c r="H169" i="14"/>
  <c r="G169" i="14"/>
  <c r="D169" i="14"/>
  <c r="C169" i="14"/>
  <c r="B169" i="14"/>
  <c r="A169" i="14"/>
  <c r="J168" i="14"/>
  <c r="I168" i="14"/>
  <c r="H168" i="14"/>
  <c r="G168" i="14"/>
  <c r="D168" i="14"/>
  <c r="C168" i="14"/>
  <c r="B168" i="14"/>
  <c r="A168" i="14"/>
  <c r="J167" i="14"/>
  <c r="I167" i="14"/>
  <c r="H167" i="14"/>
  <c r="G167" i="14"/>
  <c r="D167" i="14"/>
  <c r="C167" i="14"/>
  <c r="B167" i="14"/>
  <c r="A167" i="14"/>
  <c r="J166" i="14"/>
  <c r="I166" i="14"/>
  <c r="H166" i="14"/>
  <c r="G166" i="14"/>
  <c r="D166" i="14"/>
  <c r="C166" i="14"/>
  <c r="B166" i="14"/>
  <c r="A166" i="14"/>
  <c r="J165" i="14"/>
  <c r="I165" i="14"/>
  <c r="H165" i="14"/>
  <c r="G165" i="14"/>
  <c r="D165" i="14"/>
  <c r="C165" i="14"/>
  <c r="B165" i="14"/>
  <c r="A165" i="14"/>
  <c r="J164" i="14"/>
  <c r="I164" i="14"/>
  <c r="H164" i="14"/>
  <c r="G164" i="14"/>
  <c r="D164" i="14"/>
  <c r="C164" i="14"/>
  <c r="B164" i="14"/>
  <c r="A164" i="14"/>
  <c r="J163" i="14"/>
  <c r="I163" i="14"/>
  <c r="H163" i="14"/>
  <c r="G163" i="14"/>
  <c r="D163" i="14"/>
  <c r="C163" i="14"/>
  <c r="B163" i="14"/>
  <c r="A163" i="14"/>
  <c r="J162" i="14"/>
  <c r="I162" i="14"/>
  <c r="H162" i="14"/>
  <c r="G162" i="14"/>
  <c r="D162" i="14"/>
  <c r="C162" i="14"/>
  <c r="B162" i="14"/>
  <c r="A162" i="14"/>
  <c r="J161" i="14"/>
  <c r="I161" i="14"/>
  <c r="H161" i="14"/>
  <c r="G161" i="14"/>
  <c r="D161" i="14"/>
  <c r="C161" i="14"/>
  <c r="B161" i="14"/>
  <c r="A161" i="14"/>
  <c r="J160" i="14"/>
  <c r="I160" i="14"/>
  <c r="H160" i="14"/>
  <c r="G160" i="14"/>
  <c r="D160" i="14"/>
  <c r="C160" i="14"/>
  <c r="B160" i="14"/>
  <c r="A160" i="14"/>
  <c r="J159" i="14"/>
  <c r="I159" i="14"/>
  <c r="H159" i="14"/>
  <c r="G159" i="14"/>
  <c r="D159" i="14"/>
  <c r="C159" i="14"/>
  <c r="B159" i="14"/>
  <c r="A159" i="14"/>
  <c r="J158" i="14"/>
  <c r="I158" i="14"/>
  <c r="H158" i="14"/>
  <c r="G158" i="14"/>
  <c r="D158" i="14"/>
  <c r="C158" i="14"/>
  <c r="B158" i="14"/>
  <c r="A158" i="14"/>
  <c r="J157" i="14"/>
  <c r="I157" i="14"/>
  <c r="H157" i="14"/>
  <c r="G157" i="14"/>
  <c r="D157" i="14"/>
  <c r="C157" i="14"/>
  <c r="B157" i="14"/>
  <c r="A157" i="14"/>
  <c r="J156" i="14"/>
  <c r="I156" i="14"/>
  <c r="H156" i="14"/>
  <c r="G156" i="14"/>
  <c r="D156" i="14"/>
  <c r="C156" i="14"/>
  <c r="B156" i="14"/>
  <c r="A156" i="14"/>
  <c r="J155" i="14"/>
  <c r="I155" i="14"/>
  <c r="H155" i="14"/>
  <c r="G155" i="14"/>
  <c r="D155" i="14"/>
  <c r="C155" i="14"/>
  <c r="B155" i="14"/>
  <c r="A155" i="14"/>
  <c r="J154" i="14"/>
  <c r="I154" i="14"/>
  <c r="H154" i="14"/>
  <c r="G154" i="14"/>
  <c r="D154" i="14"/>
  <c r="C154" i="14"/>
  <c r="B154" i="14"/>
  <c r="A154" i="14"/>
  <c r="J153" i="14"/>
  <c r="I153" i="14"/>
  <c r="H153" i="14"/>
  <c r="G153" i="14"/>
  <c r="D153" i="14"/>
  <c r="C153" i="14"/>
  <c r="B153" i="14"/>
  <c r="A153" i="14"/>
  <c r="J152" i="14"/>
  <c r="I152" i="14"/>
  <c r="H152" i="14"/>
  <c r="G152" i="14"/>
  <c r="D152" i="14"/>
  <c r="C152" i="14"/>
  <c r="B152" i="14"/>
  <c r="A152" i="14"/>
  <c r="J151" i="14"/>
  <c r="I151" i="14"/>
  <c r="H151" i="14"/>
  <c r="G151" i="14"/>
  <c r="D151" i="14"/>
  <c r="C151" i="14"/>
  <c r="B151" i="14"/>
  <c r="A151" i="14"/>
  <c r="J150" i="14"/>
  <c r="I150" i="14"/>
  <c r="H150" i="14"/>
  <c r="G150" i="14"/>
  <c r="D150" i="14"/>
  <c r="C150" i="14"/>
  <c r="B150" i="14"/>
  <c r="A150" i="14"/>
  <c r="J149" i="14"/>
  <c r="I149" i="14"/>
  <c r="H149" i="14"/>
  <c r="G149" i="14"/>
  <c r="D149" i="14"/>
  <c r="C149" i="14"/>
  <c r="B149" i="14"/>
  <c r="A149" i="14"/>
  <c r="J148" i="14"/>
  <c r="I148" i="14"/>
  <c r="H148" i="14"/>
  <c r="G148" i="14"/>
  <c r="D148" i="14"/>
  <c r="C148" i="14"/>
  <c r="B148" i="14"/>
  <c r="A148" i="14"/>
  <c r="J147" i="14"/>
  <c r="I147" i="14"/>
  <c r="H147" i="14"/>
  <c r="G147" i="14"/>
  <c r="D147" i="14"/>
  <c r="C147" i="14"/>
  <c r="B147" i="14"/>
  <c r="A147" i="14"/>
  <c r="J146" i="14"/>
  <c r="I146" i="14"/>
  <c r="H146" i="14"/>
  <c r="G146" i="14"/>
  <c r="D146" i="14"/>
  <c r="C146" i="14"/>
  <c r="B146" i="14"/>
  <c r="A146" i="14"/>
  <c r="J145" i="14"/>
  <c r="I145" i="14"/>
  <c r="H145" i="14"/>
  <c r="G145" i="14"/>
  <c r="D145" i="14"/>
  <c r="C145" i="14"/>
  <c r="B145" i="14"/>
  <c r="A145" i="14"/>
  <c r="J144" i="14"/>
  <c r="I144" i="14"/>
  <c r="H144" i="14"/>
  <c r="G144" i="14"/>
  <c r="D144" i="14"/>
  <c r="C144" i="14"/>
  <c r="B144" i="14"/>
  <c r="A144" i="14"/>
  <c r="J143" i="14"/>
  <c r="I143" i="14"/>
  <c r="H143" i="14"/>
  <c r="G143" i="14"/>
  <c r="D143" i="14"/>
  <c r="C143" i="14"/>
  <c r="B143" i="14"/>
  <c r="A143" i="14"/>
  <c r="J142" i="14"/>
  <c r="I142" i="14"/>
  <c r="H142" i="14"/>
  <c r="G142" i="14"/>
  <c r="D142" i="14"/>
  <c r="C142" i="14"/>
  <c r="B142" i="14"/>
  <c r="A142" i="14"/>
  <c r="J141" i="14"/>
  <c r="I141" i="14"/>
  <c r="H141" i="14"/>
  <c r="G141" i="14"/>
  <c r="D141" i="14"/>
  <c r="C141" i="14"/>
  <c r="B141" i="14"/>
  <c r="A141" i="14"/>
  <c r="J140" i="14"/>
  <c r="I140" i="14"/>
  <c r="H140" i="14"/>
  <c r="G140" i="14"/>
  <c r="D140" i="14"/>
  <c r="C140" i="14"/>
  <c r="B140" i="14"/>
  <c r="A140" i="14"/>
  <c r="J139" i="14"/>
  <c r="I139" i="14"/>
  <c r="H139" i="14"/>
  <c r="G139" i="14"/>
  <c r="D139" i="14"/>
  <c r="C139" i="14"/>
  <c r="B139" i="14"/>
  <c r="A139" i="14"/>
  <c r="J138" i="14"/>
  <c r="I138" i="14"/>
  <c r="H138" i="14"/>
  <c r="G138" i="14"/>
  <c r="D138" i="14"/>
  <c r="C138" i="14"/>
  <c r="B138" i="14"/>
  <c r="A138" i="14"/>
  <c r="J137" i="14"/>
  <c r="I137" i="14"/>
  <c r="H137" i="14"/>
  <c r="G137" i="14"/>
  <c r="D137" i="14"/>
  <c r="C137" i="14"/>
  <c r="B137" i="14"/>
  <c r="A137" i="14"/>
  <c r="J136" i="14"/>
  <c r="I136" i="14"/>
  <c r="H136" i="14"/>
  <c r="G136" i="14"/>
  <c r="D136" i="14"/>
  <c r="C136" i="14"/>
  <c r="B136" i="14"/>
  <c r="A136" i="14"/>
  <c r="J135" i="14"/>
  <c r="I135" i="14"/>
  <c r="H135" i="14"/>
  <c r="G135" i="14"/>
  <c r="D135" i="14"/>
  <c r="C135" i="14"/>
  <c r="B135" i="14"/>
  <c r="A135" i="14"/>
  <c r="J134" i="14"/>
  <c r="I134" i="14"/>
  <c r="H134" i="14"/>
  <c r="G134" i="14"/>
  <c r="D134" i="14"/>
  <c r="C134" i="14"/>
  <c r="B134" i="14"/>
  <c r="A134" i="14"/>
  <c r="J133" i="14"/>
  <c r="I133" i="14"/>
  <c r="H133" i="14"/>
  <c r="G133" i="14"/>
  <c r="D133" i="14"/>
  <c r="C133" i="14"/>
  <c r="B133" i="14"/>
  <c r="A133" i="14"/>
  <c r="J132" i="14"/>
  <c r="I132" i="14"/>
  <c r="H132" i="14"/>
  <c r="G132" i="14"/>
  <c r="D132" i="14"/>
  <c r="C132" i="14"/>
  <c r="B132" i="14"/>
  <c r="A132" i="14"/>
  <c r="J131" i="14"/>
  <c r="I131" i="14"/>
  <c r="H131" i="14"/>
  <c r="G131" i="14"/>
  <c r="D131" i="14"/>
  <c r="C131" i="14"/>
  <c r="B131" i="14"/>
  <c r="A131" i="14"/>
  <c r="J130" i="14"/>
  <c r="I130" i="14"/>
  <c r="H130" i="14"/>
  <c r="G130" i="14"/>
  <c r="D130" i="14"/>
  <c r="C130" i="14"/>
  <c r="B130" i="14"/>
  <c r="A130" i="14"/>
  <c r="J129" i="14"/>
  <c r="I129" i="14"/>
  <c r="H129" i="14"/>
  <c r="G129" i="14"/>
  <c r="D129" i="14"/>
  <c r="C129" i="14"/>
  <c r="B129" i="14"/>
  <c r="A129" i="14"/>
  <c r="J128" i="14"/>
  <c r="I128" i="14"/>
  <c r="H128" i="14"/>
  <c r="G128" i="14"/>
  <c r="D128" i="14"/>
  <c r="C128" i="14"/>
  <c r="B128" i="14"/>
  <c r="A128" i="14"/>
  <c r="J127" i="14"/>
  <c r="I127" i="14"/>
  <c r="H127" i="14"/>
  <c r="G127" i="14"/>
  <c r="D127" i="14"/>
  <c r="C127" i="14"/>
  <c r="B127" i="14"/>
  <c r="A127" i="14"/>
  <c r="J126" i="14"/>
  <c r="I126" i="14"/>
  <c r="H126" i="14"/>
  <c r="G126" i="14"/>
  <c r="D126" i="14"/>
  <c r="C126" i="14"/>
  <c r="B126" i="14"/>
  <c r="A126" i="14"/>
  <c r="J125" i="14"/>
  <c r="I125" i="14"/>
  <c r="H125" i="14"/>
  <c r="G125" i="14"/>
  <c r="D125" i="14"/>
  <c r="C125" i="14"/>
  <c r="B125" i="14"/>
  <c r="A125" i="14"/>
  <c r="J124" i="14"/>
  <c r="I124" i="14"/>
  <c r="H124" i="14"/>
  <c r="G124" i="14"/>
  <c r="D124" i="14"/>
  <c r="C124" i="14"/>
  <c r="B124" i="14"/>
  <c r="A124" i="14"/>
  <c r="J123" i="14"/>
  <c r="I123" i="14"/>
  <c r="H123" i="14"/>
  <c r="G123" i="14"/>
  <c r="D123" i="14"/>
  <c r="C123" i="14"/>
  <c r="B123" i="14"/>
  <c r="A123" i="14"/>
  <c r="J122" i="14"/>
  <c r="I122" i="14"/>
  <c r="H122" i="14"/>
  <c r="G122" i="14"/>
  <c r="D122" i="14"/>
  <c r="C122" i="14"/>
  <c r="B122" i="14"/>
  <c r="A122" i="14"/>
  <c r="J121" i="14"/>
  <c r="I121" i="14"/>
  <c r="H121" i="14"/>
  <c r="G121" i="14"/>
  <c r="D121" i="14"/>
  <c r="C121" i="14"/>
  <c r="B121" i="14"/>
  <c r="A121" i="14"/>
  <c r="J120" i="14"/>
  <c r="I120" i="14"/>
  <c r="H120" i="14"/>
  <c r="G120" i="14"/>
  <c r="D120" i="14"/>
  <c r="C120" i="14"/>
  <c r="B120" i="14"/>
  <c r="A120" i="14"/>
  <c r="J119" i="14"/>
  <c r="I119" i="14"/>
  <c r="H119" i="14"/>
  <c r="G119" i="14"/>
  <c r="D119" i="14"/>
  <c r="C119" i="14"/>
  <c r="B119" i="14"/>
  <c r="A119" i="14"/>
  <c r="J118" i="14"/>
  <c r="I118" i="14"/>
  <c r="H118" i="14"/>
  <c r="G118" i="14"/>
  <c r="D118" i="14"/>
  <c r="C118" i="14"/>
  <c r="B118" i="14"/>
  <c r="A118" i="14"/>
  <c r="J117" i="14"/>
  <c r="I117" i="14"/>
  <c r="H117" i="14"/>
  <c r="G117" i="14"/>
  <c r="D117" i="14"/>
  <c r="C117" i="14"/>
  <c r="B117" i="14"/>
  <c r="A117" i="14"/>
  <c r="J116" i="14"/>
  <c r="I116" i="14"/>
  <c r="H116" i="14"/>
  <c r="G116" i="14"/>
  <c r="D116" i="14"/>
  <c r="C116" i="14"/>
  <c r="B116" i="14"/>
  <c r="A116" i="14"/>
  <c r="J115" i="14"/>
  <c r="I115" i="14"/>
  <c r="H115" i="14"/>
  <c r="G115" i="14"/>
  <c r="D115" i="14"/>
  <c r="C115" i="14"/>
  <c r="B115" i="14"/>
  <c r="A115" i="14"/>
  <c r="J114" i="14"/>
  <c r="I114" i="14"/>
  <c r="H114" i="14"/>
  <c r="G114" i="14"/>
  <c r="D114" i="14"/>
  <c r="C114" i="14"/>
  <c r="B114" i="14"/>
  <c r="A114" i="14"/>
  <c r="J113" i="14"/>
  <c r="I113" i="14"/>
  <c r="H113" i="14"/>
  <c r="G113" i="14"/>
  <c r="D113" i="14"/>
  <c r="C113" i="14"/>
  <c r="B113" i="14"/>
  <c r="A113" i="14"/>
  <c r="J112" i="14"/>
  <c r="I112" i="14"/>
  <c r="H112" i="14"/>
  <c r="G112" i="14"/>
  <c r="D112" i="14"/>
  <c r="C112" i="14"/>
  <c r="B112" i="14"/>
  <c r="A112" i="14"/>
  <c r="J111" i="14"/>
  <c r="I111" i="14"/>
  <c r="H111" i="14"/>
  <c r="G111" i="14"/>
  <c r="D111" i="14"/>
  <c r="C111" i="14"/>
  <c r="B111" i="14"/>
  <c r="A111" i="14"/>
  <c r="J110" i="14"/>
  <c r="I110" i="14"/>
  <c r="H110" i="14"/>
  <c r="G110" i="14"/>
  <c r="D110" i="14"/>
  <c r="C110" i="14"/>
  <c r="B110" i="14"/>
  <c r="A110" i="14"/>
  <c r="J109" i="14"/>
  <c r="I109" i="14"/>
  <c r="H109" i="14"/>
  <c r="G109" i="14"/>
  <c r="D109" i="14"/>
  <c r="C109" i="14"/>
  <c r="B109" i="14"/>
  <c r="A109" i="14"/>
  <c r="J108" i="14"/>
  <c r="I108" i="14"/>
  <c r="H108" i="14"/>
  <c r="G108" i="14"/>
  <c r="D108" i="14"/>
  <c r="C108" i="14"/>
  <c r="B108" i="14"/>
  <c r="A108" i="14"/>
  <c r="J107" i="14"/>
  <c r="I107" i="14"/>
  <c r="H107" i="14"/>
  <c r="G107" i="14"/>
  <c r="D107" i="14"/>
  <c r="C107" i="14"/>
  <c r="B107" i="14"/>
  <c r="A107" i="14"/>
  <c r="J106" i="14"/>
  <c r="I106" i="14"/>
  <c r="H106" i="14"/>
  <c r="G106" i="14"/>
  <c r="D106" i="14"/>
  <c r="C106" i="14"/>
  <c r="B106" i="14"/>
  <c r="A106" i="14"/>
  <c r="J105" i="14"/>
  <c r="I105" i="14"/>
  <c r="H105" i="14"/>
  <c r="G105" i="14"/>
  <c r="D105" i="14"/>
  <c r="C105" i="14"/>
  <c r="B105" i="14"/>
  <c r="A105" i="14"/>
  <c r="J104" i="14"/>
  <c r="I104" i="14"/>
  <c r="H104" i="14"/>
  <c r="G104" i="14"/>
  <c r="D104" i="14"/>
  <c r="C104" i="14"/>
  <c r="B104" i="14"/>
  <c r="A104" i="14"/>
  <c r="J103" i="14"/>
  <c r="I103" i="14"/>
  <c r="H103" i="14"/>
  <c r="G103" i="14"/>
  <c r="D103" i="14"/>
  <c r="C103" i="14"/>
  <c r="B103" i="14"/>
  <c r="A103" i="14"/>
  <c r="J102" i="14"/>
  <c r="I102" i="14"/>
  <c r="H102" i="14"/>
  <c r="G102" i="14"/>
  <c r="D102" i="14"/>
  <c r="C102" i="14"/>
  <c r="B102" i="14"/>
  <c r="A102" i="14"/>
  <c r="J101" i="14"/>
  <c r="I101" i="14"/>
  <c r="H101" i="14"/>
  <c r="G101" i="14"/>
  <c r="D101" i="14"/>
  <c r="C101" i="14"/>
  <c r="B101" i="14"/>
  <c r="A101" i="14"/>
  <c r="J100" i="14"/>
  <c r="I100" i="14"/>
  <c r="H100" i="14"/>
  <c r="G100" i="14"/>
  <c r="D100" i="14"/>
  <c r="C100" i="14"/>
  <c r="B100" i="14"/>
  <c r="A100" i="14"/>
  <c r="J99" i="14"/>
  <c r="I99" i="14"/>
  <c r="H99" i="14"/>
  <c r="G99" i="14"/>
  <c r="D99" i="14"/>
  <c r="C99" i="14"/>
  <c r="B99" i="14"/>
  <c r="A99" i="14"/>
  <c r="J98" i="14"/>
  <c r="I98" i="14"/>
  <c r="H98" i="14"/>
  <c r="G98" i="14"/>
  <c r="D98" i="14"/>
  <c r="C98" i="14"/>
  <c r="B98" i="14"/>
  <c r="A98" i="14"/>
  <c r="J97" i="14"/>
  <c r="I97" i="14"/>
  <c r="H97" i="14"/>
  <c r="G97" i="14"/>
  <c r="D97" i="14"/>
  <c r="C97" i="14"/>
  <c r="B97" i="14"/>
  <c r="A97" i="14"/>
  <c r="J96" i="14"/>
  <c r="I96" i="14"/>
  <c r="H96" i="14"/>
  <c r="G96" i="14"/>
  <c r="D96" i="14"/>
  <c r="C96" i="14"/>
  <c r="B96" i="14"/>
  <c r="A96" i="14"/>
  <c r="J95" i="14"/>
  <c r="I95" i="14"/>
  <c r="H95" i="14"/>
  <c r="G95" i="14"/>
  <c r="D95" i="14"/>
  <c r="C95" i="14"/>
  <c r="B95" i="14"/>
  <c r="A95" i="14"/>
  <c r="J94" i="14"/>
  <c r="I94" i="14"/>
  <c r="H94" i="14"/>
  <c r="G94" i="14"/>
  <c r="D94" i="14"/>
  <c r="C94" i="14"/>
  <c r="B94" i="14"/>
  <c r="A94" i="14"/>
  <c r="J93" i="14"/>
  <c r="I93" i="14"/>
  <c r="H93" i="14"/>
  <c r="G93" i="14"/>
  <c r="D93" i="14"/>
  <c r="C93" i="14"/>
  <c r="B93" i="14"/>
  <c r="A93" i="14"/>
  <c r="J92" i="14"/>
  <c r="I92" i="14"/>
  <c r="H92" i="14"/>
  <c r="G92" i="14"/>
  <c r="D92" i="14"/>
  <c r="C92" i="14"/>
  <c r="B92" i="14"/>
  <c r="A92" i="14"/>
  <c r="J91" i="14"/>
  <c r="I91" i="14"/>
  <c r="H91" i="14"/>
  <c r="G91" i="14"/>
  <c r="D91" i="14"/>
  <c r="C91" i="14"/>
  <c r="B91" i="14"/>
  <c r="A91" i="14"/>
  <c r="J90" i="14"/>
  <c r="I90" i="14"/>
  <c r="H90" i="14"/>
  <c r="G90" i="14"/>
  <c r="D90" i="14"/>
  <c r="C90" i="14"/>
  <c r="B90" i="14"/>
  <c r="A90" i="14"/>
  <c r="J89" i="14"/>
  <c r="I89" i="14"/>
  <c r="H89" i="14"/>
  <c r="G89" i="14"/>
  <c r="D89" i="14"/>
  <c r="C89" i="14"/>
  <c r="B89" i="14"/>
  <c r="A89" i="14"/>
  <c r="J88" i="14"/>
  <c r="I88" i="14"/>
  <c r="H88" i="14"/>
  <c r="G88" i="14"/>
  <c r="D88" i="14"/>
  <c r="C88" i="14"/>
  <c r="B88" i="14"/>
  <c r="A88" i="14"/>
  <c r="J87" i="14"/>
  <c r="I87" i="14"/>
  <c r="H87" i="14"/>
  <c r="G87" i="14"/>
  <c r="D87" i="14"/>
  <c r="C87" i="14"/>
  <c r="B87" i="14"/>
  <c r="A87" i="14"/>
  <c r="J86" i="14"/>
  <c r="I86" i="14"/>
  <c r="H86" i="14"/>
  <c r="G86" i="14"/>
  <c r="D86" i="14"/>
  <c r="C86" i="14"/>
  <c r="B86" i="14"/>
  <c r="A86" i="14"/>
  <c r="J85" i="14"/>
  <c r="I85" i="14"/>
  <c r="H85" i="14"/>
  <c r="G85" i="14"/>
  <c r="D85" i="14"/>
  <c r="C85" i="14"/>
  <c r="B85" i="14"/>
  <c r="A85" i="14"/>
  <c r="J84" i="14"/>
  <c r="I84" i="14"/>
  <c r="H84" i="14"/>
  <c r="G84" i="14"/>
  <c r="D84" i="14"/>
  <c r="C84" i="14"/>
  <c r="B84" i="14"/>
  <c r="A84" i="14"/>
  <c r="J83" i="14"/>
  <c r="I83" i="14"/>
  <c r="H83" i="14"/>
  <c r="G83" i="14"/>
  <c r="D83" i="14"/>
  <c r="C83" i="14"/>
  <c r="B83" i="14"/>
  <c r="A83" i="14"/>
  <c r="J82" i="14"/>
  <c r="I82" i="14"/>
  <c r="H82" i="14"/>
  <c r="G82" i="14"/>
  <c r="D82" i="14"/>
  <c r="C82" i="14"/>
  <c r="B82" i="14"/>
  <c r="A82" i="14"/>
  <c r="J81" i="14"/>
  <c r="I81" i="14"/>
  <c r="H81" i="14"/>
  <c r="G81" i="14"/>
  <c r="D81" i="14"/>
  <c r="C81" i="14"/>
  <c r="B81" i="14"/>
  <c r="A81" i="14"/>
  <c r="J80" i="14"/>
  <c r="I80" i="14"/>
  <c r="H80" i="14"/>
  <c r="G80" i="14"/>
  <c r="D80" i="14"/>
  <c r="C80" i="14"/>
  <c r="B80" i="14"/>
  <c r="A80" i="14"/>
  <c r="J79" i="14"/>
  <c r="I79" i="14"/>
  <c r="H79" i="14"/>
  <c r="G79" i="14"/>
  <c r="D79" i="14"/>
  <c r="C79" i="14"/>
  <c r="B79" i="14"/>
  <c r="A79" i="14"/>
  <c r="J78" i="14"/>
  <c r="I78" i="14"/>
  <c r="H78" i="14"/>
  <c r="G78" i="14"/>
  <c r="D78" i="14"/>
  <c r="C78" i="14"/>
  <c r="B78" i="14"/>
  <c r="A78" i="14"/>
  <c r="J77" i="14"/>
  <c r="I77" i="14"/>
  <c r="H77" i="14"/>
  <c r="G77" i="14"/>
  <c r="D77" i="14"/>
  <c r="C77" i="14"/>
  <c r="B77" i="14"/>
  <c r="A77" i="14"/>
  <c r="J76" i="14"/>
  <c r="I76" i="14"/>
  <c r="H76" i="14"/>
  <c r="G76" i="14"/>
  <c r="D76" i="14"/>
  <c r="C76" i="14"/>
  <c r="B76" i="14"/>
  <c r="A76" i="14"/>
  <c r="J75" i="14"/>
  <c r="I75" i="14"/>
  <c r="H75" i="14"/>
  <c r="G75" i="14"/>
  <c r="D75" i="14"/>
  <c r="C75" i="14"/>
  <c r="B75" i="14"/>
  <c r="A75" i="14"/>
  <c r="J74" i="14"/>
  <c r="I74" i="14"/>
  <c r="H74" i="14"/>
  <c r="G74" i="14"/>
  <c r="D74" i="14"/>
  <c r="C74" i="14"/>
  <c r="B74" i="14"/>
  <c r="A74" i="14"/>
  <c r="J73" i="14"/>
  <c r="I73" i="14"/>
  <c r="H73" i="14"/>
  <c r="G73" i="14"/>
  <c r="D73" i="14"/>
  <c r="C73" i="14"/>
  <c r="B73" i="14"/>
  <c r="A73" i="14"/>
  <c r="J72" i="14"/>
  <c r="I72" i="14"/>
  <c r="H72" i="14"/>
  <c r="G72" i="14"/>
  <c r="D72" i="14"/>
  <c r="C72" i="14"/>
  <c r="B72" i="14"/>
  <c r="A72" i="14"/>
  <c r="J71" i="14"/>
  <c r="I71" i="14"/>
  <c r="H71" i="14"/>
  <c r="G71" i="14"/>
  <c r="D71" i="14"/>
  <c r="C71" i="14"/>
  <c r="B71" i="14"/>
  <c r="A71" i="14"/>
  <c r="J70" i="14"/>
  <c r="I70" i="14"/>
  <c r="H70" i="14"/>
  <c r="G70" i="14"/>
  <c r="D70" i="14"/>
  <c r="C70" i="14"/>
  <c r="B70" i="14"/>
  <c r="A70" i="14"/>
  <c r="J69" i="14"/>
  <c r="I69" i="14"/>
  <c r="H69" i="14"/>
  <c r="G69" i="14"/>
  <c r="D69" i="14"/>
  <c r="C69" i="14"/>
  <c r="B69" i="14"/>
  <c r="A69" i="14"/>
  <c r="J68" i="14"/>
  <c r="I68" i="14"/>
  <c r="H68" i="14"/>
  <c r="G68" i="14"/>
  <c r="D68" i="14"/>
  <c r="C68" i="14"/>
  <c r="B68" i="14"/>
  <c r="A68" i="14"/>
  <c r="J67" i="14"/>
  <c r="I67" i="14"/>
  <c r="H67" i="14"/>
  <c r="G67" i="14"/>
  <c r="D67" i="14"/>
  <c r="C67" i="14"/>
  <c r="B67" i="14"/>
  <c r="A67" i="14"/>
  <c r="J66" i="14"/>
  <c r="I66" i="14"/>
  <c r="H66" i="14"/>
  <c r="G66" i="14"/>
  <c r="D66" i="14"/>
  <c r="C66" i="14"/>
  <c r="B66" i="14"/>
  <c r="A66" i="14"/>
  <c r="J65" i="14"/>
  <c r="I65" i="14"/>
  <c r="H65" i="14"/>
  <c r="G65" i="14"/>
  <c r="D65" i="14"/>
  <c r="C65" i="14"/>
  <c r="B65" i="14"/>
  <c r="A65" i="14"/>
  <c r="J64" i="14"/>
  <c r="I64" i="14"/>
  <c r="H64" i="14"/>
  <c r="G64" i="14"/>
  <c r="D64" i="14"/>
  <c r="C64" i="14"/>
  <c r="B64" i="14"/>
  <c r="A64" i="14"/>
  <c r="J63" i="14"/>
  <c r="I63" i="14"/>
  <c r="H63" i="14"/>
  <c r="G63" i="14"/>
  <c r="D63" i="14"/>
  <c r="C63" i="14"/>
  <c r="B63" i="14"/>
  <c r="A63" i="14"/>
  <c r="J62" i="14"/>
  <c r="I62" i="14"/>
  <c r="H62" i="14"/>
  <c r="G62" i="14"/>
  <c r="D62" i="14"/>
  <c r="C62" i="14"/>
  <c r="B62" i="14"/>
  <c r="A62" i="14"/>
  <c r="J61" i="14"/>
  <c r="I61" i="14"/>
  <c r="H61" i="14"/>
  <c r="G61" i="14"/>
  <c r="D61" i="14"/>
  <c r="C61" i="14"/>
  <c r="B61" i="14"/>
  <c r="A61" i="14"/>
  <c r="J60" i="14"/>
  <c r="I60" i="14"/>
  <c r="H60" i="14"/>
  <c r="G60" i="14"/>
  <c r="D60" i="14"/>
  <c r="C60" i="14"/>
  <c r="B60" i="14"/>
  <c r="A60" i="14"/>
  <c r="J59" i="14"/>
  <c r="I59" i="14"/>
  <c r="H59" i="14"/>
  <c r="G59" i="14"/>
  <c r="D59" i="14"/>
  <c r="C59" i="14"/>
  <c r="B59" i="14"/>
  <c r="A59" i="14"/>
  <c r="J58" i="14"/>
  <c r="I58" i="14"/>
  <c r="H58" i="14"/>
  <c r="G58" i="14"/>
  <c r="D58" i="14"/>
  <c r="C58" i="14"/>
  <c r="B58" i="14"/>
  <c r="A58" i="14"/>
  <c r="J57" i="14"/>
  <c r="I57" i="14"/>
  <c r="H57" i="14"/>
  <c r="G57" i="14"/>
  <c r="D57" i="14"/>
  <c r="C57" i="14"/>
  <c r="B57" i="14"/>
  <c r="A57" i="14"/>
  <c r="J56" i="14"/>
  <c r="I56" i="14"/>
  <c r="H56" i="14"/>
  <c r="G56" i="14"/>
  <c r="D56" i="14"/>
  <c r="C56" i="14"/>
  <c r="B56" i="14"/>
  <c r="A56" i="14"/>
  <c r="J55" i="14"/>
  <c r="I55" i="14"/>
  <c r="H55" i="14"/>
  <c r="G55" i="14"/>
  <c r="D55" i="14"/>
  <c r="C55" i="14"/>
  <c r="B55" i="14"/>
  <c r="A55" i="14"/>
  <c r="J54" i="14"/>
  <c r="I54" i="14"/>
  <c r="H54" i="14"/>
  <c r="G54" i="14"/>
  <c r="D54" i="14"/>
  <c r="C54" i="14"/>
  <c r="B54" i="14"/>
  <c r="A54" i="14"/>
  <c r="J53" i="14"/>
  <c r="I53" i="14"/>
  <c r="H53" i="14"/>
  <c r="G53" i="14"/>
  <c r="D53" i="14"/>
  <c r="C53" i="14"/>
  <c r="B53" i="14"/>
  <c r="A53" i="14"/>
  <c r="J52" i="14"/>
  <c r="I52" i="14"/>
  <c r="H52" i="14"/>
  <c r="G52" i="14"/>
  <c r="D52" i="14"/>
  <c r="C52" i="14"/>
  <c r="B52" i="14"/>
  <c r="A52" i="14"/>
  <c r="J51" i="14"/>
  <c r="I51" i="14"/>
  <c r="H51" i="14"/>
  <c r="G51" i="14"/>
  <c r="D51" i="14"/>
  <c r="C51" i="14"/>
  <c r="B51" i="14"/>
  <c r="A51" i="14"/>
  <c r="J50" i="14"/>
  <c r="I50" i="14"/>
  <c r="H50" i="14"/>
  <c r="G50" i="14"/>
  <c r="D50" i="14"/>
  <c r="C50" i="14"/>
  <c r="B50" i="14"/>
  <c r="A50" i="14"/>
  <c r="J49" i="14"/>
  <c r="I49" i="14"/>
  <c r="H49" i="14"/>
  <c r="G49" i="14"/>
  <c r="D49" i="14"/>
  <c r="C49" i="14"/>
  <c r="B49" i="14"/>
  <c r="A49" i="14"/>
  <c r="J48" i="14"/>
  <c r="I48" i="14"/>
  <c r="H48" i="14"/>
  <c r="G48" i="14"/>
  <c r="D48" i="14"/>
  <c r="C48" i="14"/>
  <c r="B48" i="14"/>
  <c r="A48" i="14"/>
  <c r="J47" i="14"/>
  <c r="I47" i="14"/>
  <c r="H47" i="14"/>
  <c r="G47" i="14"/>
  <c r="D47" i="14"/>
  <c r="C47" i="14"/>
  <c r="B47" i="14"/>
  <c r="A47" i="14"/>
  <c r="J46" i="14"/>
  <c r="I46" i="14"/>
  <c r="H46" i="14"/>
  <c r="G46" i="14"/>
  <c r="D46" i="14"/>
  <c r="C46" i="14"/>
  <c r="B46" i="14"/>
  <c r="A46" i="14"/>
  <c r="J45" i="14"/>
  <c r="I45" i="14"/>
  <c r="H45" i="14"/>
  <c r="G45" i="14"/>
  <c r="D45" i="14"/>
  <c r="C45" i="14"/>
  <c r="B45" i="14"/>
  <c r="A45" i="14"/>
  <c r="J44" i="14"/>
  <c r="I44" i="14"/>
  <c r="H44" i="14"/>
  <c r="G44" i="14"/>
  <c r="D44" i="14"/>
  <c r="C44" i="14"/>
  <c r="B44" i="14"/>
  <c r="A44" i="14"/>
  <c r="J43" i="14"/>
  <c r="I43" i="14"/>
  <c r="H43" i="14"/>
  <c r="G43" i="14"/>
  <c r="D43" i="14"/>
  <c r="C43" i="14"/>
  <c r="B43" i="14"/>
  <c r="A43" i="14"/>
  <c r="J42" i="14"/>
  <c r="I42" i="14"/>
  <c r="H42" i="14"/>
  <c r="G42" i="14"/>
  <c r="D42" i="14"/>
  <c r="C42" i="14"/>
  <c r="B42" i="14"/>
  <c r="A42" i="14"/>
  <c r="J41" i="14"/>
  <c r="I41" i="14"/>
  <c r="H41" i="14"/>
  <c r="G41" i="14"/>
  <c r="D41" i="14"/>
  <c r="C41" i="14"/>
  <c r="B41" i="14"/>
  <c r="A41" i="14"/>
  <c r="J40" i="14"/>
  <c r="I40" i="14"/>
  <c r="H40" i="14"/>
  <c r="G40" i="14"/>
  <c r="D40" i="14"/>
  <c r="C40" i="14"/>
  <c r="B40" i="14"/>
  <c r="A40" i="14"/>
  <c r="J39" i="14"/>
  <c r="I39" i="14"/>
  <c r="H39" i="14"/>
  <c r="G39" i="14"/>
  <c r="D39" i="14"/>
  <c r="C39" i="14"/>
  <c r="B39" i="14"/>
  <c r="A39" i="14"/>
  <c r="J38" i="14"/>
  <c r="I38" i="14"/>
  <c r="H38" i="14"/>
  <c r="G38" i="14"/>
  <c r="D38" i="14"/>
  <c r="C38" i="14"/>
  <c r="B38" i="14"/>
  <c r="A38" i="14"/>
  <c r="J37" i="14"/>
  <c r="I37" i="14"/>
  <c r="H37" i="14"/>
  <c r="G37" i="14"/>
  <c r="D37" i="14"/>
  <c r="C37" i="14"/>
  <c r="B37" i="14"/>
  <c r="A37" i="14"/>
  <c r="J36" i="14"/>
  <c r="I36" i="14"/>
  <c r="H36" i="14"/>
  <c r="G36" i="14"/>
  <c r="D36" i="14"/>
  <c r="C36" i="14"/>
  <c r="B36" i="14"/>
  <c r="A36" i="14"/>
  <c r="J35" i="14"/>
  <c r="I35" i="14"/>
  <c r="H35" i="14"/>
  <c r="G35" i="14"/>
  <c r="D35" i="14"/>
  <c r="C35" i="14"/>
  <c r="B35" i="14"/>
  <c r="A35" i="14"/>
  <c r="J34" i="14"/>
  <c r="I34" i="14"/>
  <c r="H34" i="14"/>
  <c r="G34" i="14"/>
  <c r="D34" i="14"/>
  <c r="C34" i="14"/>
  <c r="B34" i="14"/>
  <c r="A34" i="14"/>
  <c r="J33" i="14"/>
  <c r="I33" i="14"/>
  <c r="H33" i="14"/>
  <c r="G33" i="14"/>
  <c r="D33" i="14"/>
  <c r="C33" i="14"/>
  <c r="B33" i="14"/>
  <c r="A33" i="14"/>
  <c r="J32" i="14"/>
  <c r="I32" i="14"/>
  <c r="H32" i="14"/>
  <c r="G32" i="14"/>
  <c r="D32" i="14"/>
  <c r="C32" i="14"/>
  <c r="B32" i="14"/>
  <c r="A32" i="14"/>
  <c r="J31" i="14"/>
  <c r="I31" i="14"/>
  <c r="H31" i="14"/>
  <c r="G31" i="14"/>
  <c r="D31" i="14"/>
  <c r="C31" i="14"/>
  <c r="B31" i="14"/>
  <c r="A31" i="14"/>
  <c r="J30" i="14"/>
  <c r="I30" i="14"/>
  <c r="H30" i="14"/>
  <c r="G30" i="14"/>
  <c r="D30" i="14"/>
  <c r="C30" i="14"/>
  <c r="B30" i="14"/>
  <c r="A30" i="14"/>
  <c r="J29" i="14"/>
  <c r="I29" i="14"/>
  <c r="H29" i="14"/>
  <c r="G29" i="14"/>
  <c r="D29" i="14"/>
  <c r="C29" i="14"/>
  <c r="B29" i="14"/>
  <c r="A29" i="14"/>
  <c r="J28" i="14"/>
  <c r="I28" i="14"/>
  <c r="H28" i="14"/>
  <c r="G28" i="14"/>
  <c r="D28" i="14"/>
  <c r="C28" i="14"/>
  <c r="B28" i="14"/>
  <c r="A28" i="14"/>
  <c r="J27" i="14"/>
  <c r="I27" i="14"/>
  <c r="H27" i="14"/>
  <c r="G27" i="14"/>
  <c r="D27" i="14"/>
  <c r="C27" i="14"/>
  <c r="B27" i="14"/>
  <c r="A27" i="14"/>
  <c r="J26" i="14"/>
  <c r="I26" i="14"/>
  <c r="H26" i="14"/>
  <c r="G26" i="14"/>
  <c r="D26" i="14"/>
  <c r="C26" i="14"/>
  <c r="B26" i="14"/>
  <c r="A26" i="14"/>
  <c r="J25" i="14"/>
  <c r="I25" i="14"/>
  <c r="H25" i="14"/>
  <c r="G25" i="14"/>
  <c r="D25" i="14"/>
  <c r="C25" i="14"/>
  <c r="B25" i="14"/>
  <c r="A25" i="14"/>
  <c r="J24" i="14"/>
  <c r="I24" i="14"/>
  <c r="H24" i="14"/>
  <c r="G24" i="14"/>
  <c r="D24" i="14"/>
  <c r="C24" i="14"/>
  <c r="B24" i="14"/>
  <c r="A24" i="14"/>
  <c r="J23" i="14"/>
  <c r="I23" i="14"/>
  <c r="H23" i="14"/>
  <c r="G23" i="14"/>
  <c r="D23" i="14"/>
  <c r="C23" i="14"/>
  <c r="B23" i="14"/>
  <c r="A23" i="14"/>
  <c r="J22" i="14"/>
  <c r="I22" i="14"/>
  <c r="H22" i="14"/>
  <c r="G22" i="14"/>
  <c r="D22" i="14"/>
  <c r="C22" i="14"/>
  <c r="B22" i="14"/>
  <c r="A22" i="14"/>
  <c r="J21" i="14"/>
  <c r="I21" i="14"/>
  <c r="H21" i="14"/>
  <c r="G21" i="14"/>
  <c r="D21" i="14"/>
  <c r="C21" i="14"/>
  <c r="B21" i="14"/>
  <c r="A21" i="14"/>
  <c r="J20" i="14"/>
  <c r="I20" i="14"/>
  <c r="H20" i="14"/>
  <c r="G20" i="14"/>
  <c r="D20" i="14"/>
  <c r="C20" i="14"/>
  <c r="B20" i="14"/>
  <c r="A20" i="14"/>
  <c r="J19" i="14"/>
  <c r="I19" i="14"/>
  <c r="H19" i="14"/>
  <c r="G19" i="14"/>
  <c r="D19" i="14"/>
  <c r="C19" i="14"/>
  <c r="B19" i="14"/>
  <c r="A19" i="14"/>
  <c r="J18" i="14"/>
  <c r="I18" i="14"/>
  <c r="H18" i="14"/>
  <c r="G18" i="14"/>
  <c r="D18" i="14"/>
  <c r="C18" i="14"/>
  <c r="B18" i="14"/>
  <c r="A18" i="14"/>
  <c r="J17" i="14"/>
  <c r="I17" i="14"/>
  <c r="H17" i="14"/>
  <c r="G17" i="14"/>
  <c r="D17" i="14"/>
  <c r="C17" i="14"/>
  <c r="B17" i="14"/>
  <c r="A17" i="14"/>
  <c r="J16" i="14"/>
  <c r="I16" i="14"/>
  <c r="H16" i="14"/>
  <c r="G16" i="14"/>
  <c r="D16" i="14"/>
  <c r="C16" i="14"/>
  <c r="B16" i="14"/>
  <c r="A16" i="14"/>
  <c r="J15" i="14"/>
  <c r="I15" i="14"/>
  <c r="H15" i="14"/>
  <c r="G15" i="14"/>
  <c r="D15" i="14"/>
  <c r="C15" i="14"/>
  <c r="B15" i="14"/>
  <c r="A15" i="14"/>
  <c r="J14" i="14"/>
  <c r="I14" i="14"/>
  <c r="H14" i="14"/>
  <c r="G14" i="14"/>
  <c r="D14" i="14"/>
  <c r="C14" i="14"/>
  <c r="B14" i="14"/>
  <c r="A14" i="14"/>
  <c r="J13" i="14"/>
  <c r="I13" i="14"/>
  <c r="H13" i="14"/>
  <c r="G13" i="14"/>
  <c r="D13" i="14"/>
  <c r="C13" i="14"/>
  <c r="B13" i="14"/>
  <c r="A13" i="14"/>
  <c r="J12" i="14"/>
  <c r="I12" i="14"/>
  <c r="H12" i="14"/>
  <c r="G12" i="14"/>
  <c r="D12" i="14"/>
  <c r="C12" i="14"/>
  <c r="B12" i="14"/>
  <c r="A12" i="14"/>
  <c r="J11" i="14"/>
  <c r="I11" i="14"/>
  <c r="H11" i="14"/>
  <c r="G11" i="14"/>
  <c r="D11" i="14"/>
  <c r="C11" i="14"/>
  <c r="B11" i="14"/>
  <c r="A11" i="14"/>
  <c r="J10" i="14"/>
  <c r="I10" i="14"/>
  <c r="H10" i="14"/>
  <c r="G10" i="14"/>
  <c r="D10" i="14"/>
  <c r="C10" i="14"/>
  <c r="B10" i="14"/>
  <c r="A10" i="14"/>
  <c r="J9" i="14"/>
  <c r="I9" i="14"/>
  <c r="H9" i="14"/>
  <c r="G9" i="14"/>
  <c r="D9" i="14"/>
  <c r="C9" i="14"/>
  <c r="B9" i="14"/>
  <c r="A9" i="14"/>
  <c r="J8" i="14"/>
  <c r="I8" i="14"/>
  <c r="H8" i="14"/>
  <c r="G8" i="14"/>
  <c r="D8" i="14"/>
  <c r="C8" i="14"/>
  <c r="B8" i="14"/>
  <c r="A8" i="14"/>
  <c r="J7" i="14"/>
  <c r="I7" i="14"/>
  <c r="H7" i="14"/>
  <c r="G7" i="14"/>
  <c r="D7" i="14"/>
  <c r="C7" i="14"/>
  <c r="B7" i="14"/>
  <c r="A7" i="14"/>
  <c r="J6" i="14"/>
  <c r="I6" i="14"/>
  <c r="H6" i="14"/>
  <c r="G6" i="14"/>
  <c r="D6" i="14"/>
  <c r="C6" i="14"/>
  <c r="B6" i="14"/>
  <c r="A6" i="14"/>
  <c r="J5" i="14"/>
  <c r="I5" i="14"/>
  <c r="H5" i="14"/>
  <c r="G5" i="14"/>
  <c r="D5" i="14"/>
  <c r="C5" i="14"/>
  <c r="B5" i="14"/>
  <c r="A5" i="14"/>
  <c r="J4" i="14"/>
  <c r="I4" i="14"/>
  <c r="H4" i="14"/>
  <c r="G4" i="14"/>
  <c r="D4" i="14"/>
  <c r="C4" i="14"/>
  <c r="B4" i="14"/>
  <c r="A4" i="14"/>
  <c r="J3" i="14"/>
  <c r="I3" i="14"/>
  <c r="H3" i="14"/>
  <c r="D3" i="14"/>
  <c r="C3" i="14"/>
  <c r="B3" i="14"/>
  <c r="J2" i="14"/>
  <c r="I2" i="14"/>
  <c r="H2" i="14"/>
  <c r="D2" i="14"/>
  <c r="C2" i="14"/>
  <c r="B2" i="14"/>
  <c r="G1" i="14"/>
  <c r="A1" i="14"/>
  <c r="I24" i="12"/>
  <c r="H24" i="12"/>
  <c r="G24" i="12"/>
  <c r="F24" i="12"/>
  <c r="I23" i="12"/>
  <c r="H23" i="12"/>
  <c r="G23" i="12"/>
  <c r="F23" i="12"/>
  <c r="E23" i="12"/>
  <c r="D23" i="12"/>
  <c r="C23" i="12"/>
  <c r="I22" i="12"/>
  <c r="H22" i="12"/>
  <c r="G22" i="12"/>
  <c r="F22" i="12"/>
  <c r="E22" i="12"/>
  <c r="D22" i="12"/>
  <c r="C22" i="12"/>
  <c r="I21" i="12"/>
  <c r="H21" i="12"/>
  <c r="G21" i="12"/>
  <c r="F21" i="12"/>
  <c r="E21" i="12"/>
  <c r="D21" i="12"/>
  <c r="C21" i="12"/>
  <c r="I20" i="12"/>
  <c r="H20" i="12"/>
  <c r="G20" i="12"/>
  <c r="F20" i="12"/>
  <c r="E20" i="12"/>
  <c r="D20" i="12"/>
  <c r="C20" i="12"/>
  <c r="I19" i="12"/>
  <c r="H19" i="12"/>
  <c r="G19" i="12"/>
  <c r="F19" i="12"/>
  <c r="E19" i="12"/>
  <c r="D19" i="12"/>
  <c r="C19" i="12"/>
  <c r="I18" i="12"/>
  <c r="H18" i="12"/>
  <c r="G18" i="12"/>
  <c r="F18" i="12"/>
  <c r="E18" i="12"/>
  <c r="D18" i="12"/>
  <c r="C18" i="12"/>
  <c r="I17" i="12"/>
  <c r="H17" i="12"/>
  <c r="G17" i="12"/>
  <c r="F17" i="12"/>
  <c r="E17" i="12"/>
  <c r="D17" i="12"/>
  <c r="C17" i="12"/>
  <c r="I16" i="12"/>
  <c r="H16" i="12"/>
  <c r="G16" i="12"/>
  <c r="F16" i="12"/>
  <c r="E16" i="12"/>
  <c r="E24" i="12" s="1"/>
  <c r="D16" i="12"/>
  <c r="D24" i="12" s="1"/>
  <c r="C16" i="12"/>
  <c r="C24" i="12" s="1"/>
  <c r="I15" i="12"/>
  <c r="H15" i="12"/>
  <c r="G15" i="12"/>
  <c r="F15" i="12"/>
  <c r="E15" i="12"/>
  <c r="D15" i="12"/>
  <c r="C15" i="12"/>
  <c r="I14" i="12"/>
  <c r="H14" i="12"/>
  <c r="G14" i="12"/>
  <c r="F14" i="12"/>
  <c r="E14" i="12"/>
  <c r="D14" i="12"/>
  <c r="C14" i="12"/>
  <c r="I13" i="12"/>
  <c r="H13" i="12"/>
  <c r="G13" i="12"/>
  <c r="F13" i="12"/>
  <c r="E13" i="12"/>
  <c r="D13" i="12"/>
  <c r="C13" i="12"/>
  <c r="I12" i="12"/>
  <c r="H12" i="12"/>
  <c r="G12" i="12"/>
  <c r="F12" i="12"/>
  <c r="E12" i="12"/>
  <c r="D12" i="12"/>
  <c r="C12" i="12"/>
  <c r="I11" i="12"/>
  <c r="H11" i="12"/>
  <c r="G11" i="12"/>
  <c r="F11" i="12"/>
  <c r="E11" i="12"/>
  <c r="D11" i="12"/>
  <c r="C11" i="12"/>
  <c r="I10" i="12"/>
  <c r="H10" i="12"/>
  <c r="G10" i="12"/>
  <c r="F10" i="12"/>
  <c r="E10" i="12"/>
  <c r="D10" i="12"/>
  <c r="C10" i="12"/>
  <c r="I9" i="12"/>
  <c r="H9" i="12"/>
  <c r="G9" i="12"/>
  <c r="F9" i="12"/>
  <c r="E9" i="12"/>
  <c r="D9" i="12"/>
  <c r="C9" i="12"/>
  <c r="I8" i="12"/>
  <c r="H8" i="12"/>
  <c r="G8" i="12"/>
  <c r="F8" i="12"/>
  <c r="E8" i="12"/>
  <c r="D8" i="12"/>
  <c r="C8" i="12"/>
  <c r="I7" i="12"/>
  <c r="H7" i="12"/>
  <c r="G7" i="12"/>
  <c r="F7" i="12"/>
  <c r="E7" i="12"/>
  <c r="D7" i="12"/>
  <c r="C7" i="12"/>
  <c r="I6" i="12"/>
  <c r="H6" i="12"/>
  <c r="G6" i="12"/>
  <c r="F6" i="12"/>
  <c r="E6" i="12"/>
  <c r="D6" i="12"/>
  <c r="C6" i="12"/>
  <c r="I5" i="12"/>
  <c r="H5" i="12"/>
  <c r="G5" i="12"/>
  <c r="F5" i="12"/>
  <c r="E5" i="12"/>
  <c r="D5" i="12"/>
  <c r="C5" i="12"/>
  <c r="I4" i="12"/>
  <c r="H4" i="12"/>
  <c r="G4" i="12"/>
  <c r="F4" i="12"/>
  <c r="E4" i="12"/>
  <c r="D4" i="12"/>
  <c r="C4" i="12"/>
  <c r="I3" i="12"/>
  <c r="H3" i="12"/>
  <c r="G3" i="12"/>
  <c r="F3" i="12"/>
  <c r="E3" i="12"/>
  <c r="D3" i="12"/>
  <c r="C3" i="12"/>
  <c r="I2" i="12"/>
  <c r="H2" i="12"/>
  <c r="G2" i="12"/>
  <c r="F2" i="12"/>
  <c r="E2" i="12"/>
  <c r="D2" i="12"/>
  <c r="C2" i="12"/>
  <c r="C81" i="10"/>
  <c r="C32" i="10"/>
  <c r="J8" i="10"/>
  <c r="J7" i="10"/>
  <c r="L1" i="9"/>
  <c r="A1" i="9"/>
  <c r="C24" i="4"/>
  <c r="B228" i="2"/>
  <c r="C603" i="1"/>
  <c r="C5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0000-000001000000}">
      <text>
        <r>
          <rPr>
            <sz val="10"/>
            <color rgb="FF000000"/>
            <rFont val="Arial"/>
            <scheme val="minor"/>
          </rPr>
          <t xml:space="preserve">нема записів
</t>
        </r>
      </text>
    </comment>
    <comment ref="A7" authorId="0" shapeId="0" xr:uid="{00000000-0006-0000-0000-000002000000}">
      <text>
        <r>
          <rPr>
            <sz val="10"/>
            <color rgb="FF000000"/>
            <rFont val="Arial"/>
            <scheme val="minor"/>
          </rPr>
          <t xml:space="preserve">нема записів
</t>
        </r>
      </text>
    </comment>
    <comment ref="A14" authorId="0" shapeId="0" xr:uid="{00000000-0006-0000-0000-000003000000}">
      <text>
        <r>
          <rPr>
            <sz val="10"/>
            <color rgb="FF000000"/>
            <rFont val="Arial"/>
            <scheme val="minor"/>
          </rPr>
          <t xml:space="preserve">нема в ПЗ
</t>
        </r>
      </text>
    </comment>
    <comment ref="A29" authorId="0" shapeId="0" xr:uid="{00000000-0006-0000-0000-000004000000}">
      <text>
        <r>
          <rPr>
            <sz val="10"/>
            <color rgb="FF000000"/>
            <rFont val="Arial"/>
            <scheme val="minor"/>
          </rPr>
          <t xml:space="preserve">нема в ПЗ
</t>
        </r>
      </text>
    </comment>
    <comment ref="A39" authorId="0" shapeId="0" xr:uid="{00000000-0006-0000-0000-000005000000}">
      <text>
        <r>
          <rPr>
            <sz val="10"/>
            <color rgb="FF000000"/>
            <rFont val="Arial"/>
            <scheme val="minor"/>
          </rPr>
          <t xml:space="preserve">нема в ПЗ
</t>
        </r>
      </text>
    </comment>
    <comment ref="A94" authorId="0" shapeId="0" xr:uid="{00000000-0006-0000-0000-000006000000}">
      <text>
        <r>
          <rPr>
            <sz val="10"/>
            <color rgb="FF000000"/>
            <rFont val="Arial"/>
            <scheme val="minor"/>
          </rPr>
          <t xml:space="preserve">нема в скулоджі
</t>
        </r>
      </text>
    </comment>
    <comment ref="A176" authorId="0" shapeId="0" xr:uid="{00000000-0006-0000-0000-000007000000}">
      <text>
        <r>
          <rPr>
            <sz val="10"/>
            <color rgb="FF000000"/>
            <rFont val="Arial"/>
            <scheme val="minor"/>
          </rPr>
          <t xml:space="preserve">
</t>
        </r>
      </text>
    </comment>
    <comment ref="A240" authorId="0" shapeId="0" xr:uid="{00000000-0006-0000-0000-000008000000}">
      <text>
        <r>
          <rPr>
            <sz val="10"/>
            <color rgb="FF000000"/>
            <rFont val="Arial"/>
            <scheme val="minor"/>
          </rPr>
          <t>нема в ПЗ</t>
        </r>
      </text>
    </comment>
    <comment ref="A331" authorId="0" shapeId="0" xr:uid="{00000000-0006-0000-0000-000009000000}">
      <text>
        <r>
          <rPr>
            <sz val="10"/>
            <color rgb="FF000000"/>
            <rFont val="Arial"/>
            <scheme val="minor"/>
          </rPr>
          <t>нема записів</t>
        </r>
      </text>
    </comment>
    <comment ref="A374" authorId="0" shapeId="0" xr:uid="{00000000-0006-0000-0000-00000A000000}">
      <text>
        <r>
          <rPr>
            <sz val="10"/>
            <color rgb="FF000000"/>
            <rFont val="Arial"/>
            <scheme val="minor"/>
          </rPr>
          <t xml:space="preserve">нема в ПЗ
</t>
        </r>
      </text>
    </comment>
    <comment ref="A385" authorId="0" shapeId="0" xr:uid="{00000000-0006-0000-0000-00000B000000}">
      <text>
        <r>
          <rPr>
            <sz val="10"/>
            <color rgb="FF000000"/>
            <rFont val="Arial"/>
            <scheme val="minor"/>
          </rPr>
          <t xml:space="preserve">нема групи
</t>
        </r>
      </text>
    </comment>
    <comment ref="A388" authorId="0" shapeId="0" xr:uid="{00000000-0006-0000-0000-00000C000000}">
      <text>
        <r>
          <rPr>
            <sz val="10"/>
            <color rgb="FF000000"/>
            <rFont val="Arial"/>
            <scheme val="minor"/>
          </rPr>
          <t xml:space="preserve">нема в ПЗ
</t>
        </r>
      </text>
    </comment>
    <comment ref="A445" authorId="0" shapeId="0" xr:uid="{00000000-0006-0000-0000-00000D000000}">
      <text>
        <r>
          <rPr>
            <sz val="10"/>
            <color rgb="FF000000"/>
            <rFont val="Arial"/>
            <scheme val="minor"/>
          </rPr>
          <t xml:space="preserve">нема групи у скулоджи
</t>
        </r>
      </text>
    </comment>
    <comment ref="A468" authorId="0" shapeId="0" xr:uid="{00000000-0006-0000-0000-00000E000000}">
      <text>
        <r>
          <rPr>
            <sz val="10"/>
            <color rgb="FF000000"/>
            <rFont val="Arial"/>
            <scheme val="minor"/>
          </rPr>
          <t>нема записів</t>
        </r>
      </text>
    </comment>
    <comment ref="A477" authorId="0" shapeId="0" xr:uid="{00000000-0006-0000-0000-00000F000000}">
      <text>
        <r>
          <rPr>
            <sz val="10"/>
            <color rgb="FF000000"/>
            <rFont val="Arial"/>
            <scheme val="minor"/>
          </rPr>
          <t xml:space="preserve">нема в ПЗ
</t>
        </r>
      </text>
    </comment>
    <comment ref="A480" authorId="0" shapeId="0" xr:uid="{00000000-0006-0000-0000-000010000000}">
      <text>
        <r>
          <rPr>
            <sz val="10"/>
            <color rgb="FF000000"/>
            <rFont val="Arial"/>
            <scheme val="minor"/>
          </rPr>
          <t xml:space="preserve">нема в ПЗ
</t>
        </r>
      </text>
    </comment>
    <comment ref="A483" authorId="0" shapeId="0" xr:uid="{00000000-0006-0000-0000-000011000000}">
      <text>
        <r>
          <rPr>
            <sz val="10"/>
            <color rgb="FF000000"/>
            <rFont val="Arial"/>
            <scheme val="minor"/>
          </rPr>
          <t>нема записів</t>
        </r>
      </text>
    </comment>
    <comment ref="A491" authorId="0" shapeId="0" xr:uid="{00000000-0006-0000-0000-000012000000}">
      <text>
        <r>
          <rPr>
            <sz val="10"/>
            <color rgb="FF000000"/>
            <rFont val="Arial"/>
            <scheme val="minor"/>
          </rPr>
          <t xml:space="preserve">нема в ПЗ
</t>
        </r>
      </text>
    </comment>
    <comment ref="A501" authorId="0" shapeId="0" xr:uid="{00000000-0006-0000-0000-000013000000}">
      <text>
        <r>
          <rPr>
            <sz val="10"/>
            <color rgb="FF000000"/>
            <rFont val="Arial"/>
            <scheme val="minor"/>
          </rPr>
          <t>нема записів</t>
        </r>
      </text>
    </comment>
    <comment ref="C501" authorId="0" shapeId="0" xr:uid="{00000000-0006-0000-0000-000014000000}">
      <text>
        <r>
          <rPr>
            <sz val="10"/>
            <color rgb="FF000000"/>
            <rFont val="Arial"/>
            <scheme val="minor"/>
          </rPr>
          <t>https://t.me/a_beverly</t>
        </r>
      </text>
    </comment>
    <comment ref="A510" authorId="0" shapeId="0" xr:uid="{00000000-0006-0000-0000-000015000000}">
      <text>
        <r>
          <rPr>
            <sz val="10"/>
            <color rgb="FF000000"/>
            <rFont val="Arial"/>
            <scheme val="minor"/>
          </rPr>
          <t xml:space="preserve">нема в ПЗ
</t>
        </r>
      </text>
    </comment>
    <comment ref="A514" authorId="0" shapeId="0" xr:uid="{00000000-0006-0000-0000-000016000000}">
      <text>
        <r>
          <rPr>
            <sz val="10"/>
            <color rgb="FF000000"/>
            <rFont val="Arial"/>
            <scheme val="minor"/>
          </rPr>
          <t>Нема в ПЗ</t>
        </r>
      </text>
    </comment>
    <comment ref="A523" authorId="0" shapeId="0" xr:uid="{00000000-0006-0000-0000-000017000000}">
      <text>
        <r>
          <rPr>
            <sz val="10"/>
            <color rgb="FF000000"/>
            <rFont val="Arial"/>
            <scheme val="minor"/>
          </rPr>
          <t>нема в ПЗ</t>
        </r>
      </text>
    </comment>
    <comment ref="A527" authorId="0" shapeId="0" xr:uid="{00000000-0006-0000-0000-000018000000}">
      <text>
        <r>
          <rPr>
            <sz val="10"/>
            <color rgb="FF000000"/>
            <rFont val="Arial"/>
            <scheme val="minor"/>
          </rPr>
          <t>нема в ПЗ</t>
        </r>
      </text>
    </comment>
    <comment ref="A528" authorId="0" shapeId="0" xr:uid="{00000000-0006-0000-0000-000019000000}">
      <text>
        <r>
          <rPr>
            <sz val="10"/>
            <color rgb="FF000000"/>
            <rFont val="Arial"/>
            <scheme val="minor"/>
          </rPr>
          <t xml:space="preserve">нема в ПЗ
</t>
        </r>
      </text>
    </comment>
    <comment ref="A530" authorId="0" shapeId="0" xr:uid="{00000000-0006-0000-0000-00001A000000}">
      <text>
        <r>
          <rPr>
            <sz val="10"/>
            <color rgb="FF000000"/>
            <rFont val="Arial"/>
            <scheme val="minor"/>
          </rPr>
          <t xml:space="preserve">нема в ПЗ
</t>
        </r>
      </text>
    </comment>
    <comment ref="A532" authorId="0" shapeId="0" xr:uid="{00000000-0006-0000-0000-00001B000000}">
      <text>
        <r>
          <rPr>
            <sz val="10"/>
            <color rgb="FF000000"/>
            <rFont val="Arial"/>
            <scheme val="minor"/>
          </rPr>
          <t xml:space="preserve">нема в ПЗ
</t>
        </r>
      </text>
    </comment>
    <comment ref="A535" authorId="0" shapeId="0" xr:uid="{00000000-0006-0000-0000-00001C000000}">
      <text>
        <r>
          <rPr>
            <sz val="10"/>
            <color rgb="FF000000"/>
            <rFont val="Arial"/>
            <scheme val="minor"/>
          </rPr>
          <t>нема записів</t>
        </r>
      </text>
    </comment>
    <comment ref="A537" authorId="0" shapeId="0" xr:uid="{00000000-0006-0000-0000-00001D000000}">
      <text>
        <r>
          <rPr>
            <sz val="10"/>
            <color rgb="FF000000"/>
            <rFont val="Arial"/>
            <scheme val="minor"/>
          </rPr>
          <t>нема в пз</t>
        </r>
      </text>
    </comment>
    <comment ref="A539" authorId="0" shapeId="0" xr:uid="{00000000-0006-0000-0000-00001E000000}">
      <text>
        <r>
          <rPr>
            <sz val="10"/>
            <color rgb="FF000000"/>
            <rFont val="Arial"/>
            <scheme val="minor"/>
          </rPr>
          <t>нема в ПЗ</t>
        </r>
      </text>
    </comment>
    <comment ref="A548" authorId="0" shapeId="0" xr:uid="{00000000-0006-0000-0000-00001F000000}">
      <text>
        <r>
          <rPr>
            <sz val="10"/>
            <color rgb="FF000000"/>
            <rFont val="Arial"/>
            <scheme val="minor"/>
          </rPr>
          <t>нема в ПЗ</t>
        </r>
      </text>
    </comment>
    <comment ref="A554" authorId="0" shapeId="0" xr:uid="{00000000-0006-0000-0000-000020000000}">
      <text>
        <r>
          <rPr>
            <sz val="10"/>
            <color rgb="FF000000"/>
            <rFont val="Arial"/>
            <scheme val="minor"/>
          </rPr>
          <t>старт 19.12</t>
        </r>
      </text>
    </comment>
    <comment ref="A555" authorId="0" shapeId="0" xr:uid="{00000000-0006-0000-0000-000021000000}">
      <text>
        <r>
          <rPr>
            <sz val="10"/>
            <color rgb="FF000000"/>
            <rFont val="Arial"/>
            <scheme val="minor"/>
          </rPr>
          <t>старт 10.12</t>
        </r>
      </text>
    </comment>
    <comment ref="A560" authorId="0" shapeId="0" xr:uid="{00000000-0006-0000-0000-000022000000}">
      <text>
        <r>
          <rPr>
            <sz val="10"/>
            <color rgb="FF000000"/>
            <rFont val="Arial"/>
            <scheme val="minor"/>
          </rPr>
          <t>нема записів</t>
        </r>
      </text>
    </comment>
    <comment ref="A568" authorId="0" shapeId="0" xr:uid="{00000000-0006-0000-0000-000023000000}">
      <text>
        <r>
          <rPr>
            <sz val="10"/>
            <color rgb="FF000000"/>
            <rFont val="Arial"/>
            <scheme val="minor"/>
          </rPr>
          <t>нема в ПЗ</t>
        </r>
      </text>
    </comment>
    <comment ref="A570" authorId="0" shapeId="0" xr:uid="{00000000-0006-0000-0000-000024000000}">
      <text>
        <r>
          <rPr>
            <sz val="10"/>
            <color rgb="FF000000"/>
            <rFont val="Arial"/>
            <scheme val="minor"/>
          </rPr>
          <t>нема в ПЗ</t>
        </r>
      </text>
    </comment>
    <comment ref="A586" authorId="0" shapeId="0" xr:uid="{00000000-0006-0000-0000-000025000000}">
      <text>
        <r>
          <rPr>
            <sz val="10"/>
            <color rgb="FF000000"/>
            <rFont val="Arial"/>
            <scheme val="minor"/>
          </rPr>
          <t>нема в ПЗ</t>
        </r>
      </text>
    </comment>
    <comment ref="A596" authorId="0" shapeId="0" xr:uid="{00000000-0006-0000-0000-000026000000}">
      <text>
        <r>
          <rPr>
            <sz val="10"/>
            <color rgb="FF000000"/>
            <rFont val="Arial"/>
            <scheme val="minor"/>
          </rPr>
          <t xml:space="preserve">нема в ПЗ
</t>
        </r>
      </text>
    </comment>
    <comment ref="A598" authorId="0" shapeId="0" xr:uid="{00000000-0006-0000-0000-000027000000}">
      <text>
        <r>
          <rPr>
            <sz val="10"/>
            <color rgb="FF000000"/>
            <rFont val="Arial"/>
            <scheme val="minor"/>
          </rPr>
          <t xml:space="preserve">нема в ПЗ
</t>
        </r>
      </text>
    </comment>
    <comment ref="A610" authorId="0" shapeId="0" xr:uid="{00000000-0006-0000-0000-000028000000}">
      <text>
        <r>
          <rPr>
            <sz val="10"/>
            <color rgb="FF000000"/>
            <rFont val="Arial"/>
            <scheme val="minor"/>
          </rPr>
          <t>нема записів</t>
        </r>
      </text>
    </comment>
    <comment ref="A627" authorId="0" shapeId="0" xr:uid="{00000000-0006-0000-0000-000029000000}">
      <text>
        <r>
          <rPr>
            <sz val="10"/>
            <color rgb="FF000000"/>
            <rFont val="Arial"/>
            <scheme val="minor"/>
          </rPr>
          <t xml:space="preserve">не веде заняття
</t>
        </r>
      </text>
    </comment>
    <comment ref="A635" authorId="0" shapeId="0" xr:uid="{00000000-0006-0000-0000-00002A000000}">
      <text>
        <r>
          <rPr>
            <sz val="10"/>
            <color rgb="FF000000"/>
            <rFont val="Arial"/>
            <scheme val="minor"/>
          </rPr>
          <t xml:space="preserve">Не нашла в ПЗ
</t>
        </r>
      </text>
    </comment>
    <comment ref="A638" authorId="0" shapeId="0" xr:uid="{00000000-0006-0000-0000-00002B000000}">
      <text>
        <r>
          <rPr>
            <sz val="10"/>
            <color rgb="FF000000"/>
            <rFont val="Arial"/>
            <scheme val="minor"/>
          </rPr>
          <t xml:space="preserve">нема в ПЗ
</t>
        </r>
      </text>
    </comment>
    <comment ref="A644" authorId="0" shapeId="0" xr:uid="{00000000-0006-0000-0000-00002C000000}">
      <text>
        <r>
          <rPr>
            <sz val="10"/>
            <color rgb="FF000000"/>
            <rFont val="Arial"/>
            <scheme val="minor"/>
          </rPr>
          <t>Хоче повернутись, в процесі</t>
        </r>
      </text>
    </comment>
    <comment ref="A660" authorId="0" shapeId="0" xr:uid="{00000000-0006-0000-0000-00002D000000}">
      <text>
        <r>
          <rPr>
            <sz val="10"/>
            <color rgb="FF000000"/>
            <rFont val="Arial"/>
            <scheme val="minor"/>
          </rPr>
          <t xml:space="preserve">нет записів
</t>
        </r>
      </text>
    </comment>
    <comment ref="A673" authorId="0" shapeId="0" xr:uid="{00000000-0006-0000-0000-00002E000000}">
      <text>
        <r>
          <rPr>
            <sz val="10"/>
            <color rgb="FF000000"/>
            <rFont val="Arial"/>
            <scheme val="minor"/>
          </rPr>
          <t xml:space="preserve">нема в ПЗ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74" authorId="0" shapeId="0" xr:uid="{00000000-0006-0000-0100-000001000000}">
      <text>
        <r>
          <rPr>
            <sz val="10"/>
            <color rgb="FF000000"/>
            <rFont val="Arial"/>
            <scheme val="minor"/>
          </rPr>
          <t>від Наталії Голди</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32" authorId="0" shapeId="0" xr:uid="{00000000-0006-0000-0300-000001000000}">
      <text>
        <r>
          <rPr>
            <sz val="10"/>
            <color rgb="FF000000"/>
            <rFont val="Arial"/>
            <scheme val="minor"/>
          </rPr>
          <t>старт 24.09</t>
        </r>
      </text>
    </comment>
    <comment ref="B33" authorId="0" shapeId="0" xr:uid="{00000000-0006-0000-0300-000002000000}">
      <text>
        <r>
          <rPr>
            <sz val="10"/>
            <color rgb="FF000000"/>
            <rFont val="Arial"/>
            <scheme val="minor"/>
          </rPr>
          <t>нема в ПЗ</t>
        </r>
      </text>
    </comment>
    <comment ref="B34" authorId="0" shapeId="0" xr:uid="{00000000-0006-0000-0300-000003000000}">
      <text>
        <r>
          <rPr>
            <sz val="10"/>
            <color rgb="FF000000"/>
            <rFont val="Arial"/>
            <scheme val="minor"/>
          </rPr>
          <t xml:space="preserve">не знаходжу в ПЗ
</t>
        </r>
      </text>
    </comment>
    <comment ref="B42" authorId="0" shapeId="0" xr:uid="{00000000-0006-0000-0300-000004000000}">
      <text>
        <r>
          <rPr>
            <sz val="10"/>
            <color rgb="FF000000"/>
            <rFont val="Arial"/>
            <scheme val="minor"/>
          </rPr>
          <t xml:space="preserve">нема в ПЗ
</t>
        </r>
      </text>
    </comment>
    <comment ref="B44" authorId="0" shapeId="0" xr:uid="{00000000-0006-0000-0300-000005000000}">
      <text>
        <r>
          <rPr>
            <sz val="10"/>
            <color rgb="FF000000"/>
            <rFont val="Arial"/>
            <scheme val="minor"/>
          </rPr>
          <t xml:space="preserve">нет записів
</t>
        </r>
      </text>
    </comment>
    <comment ref="B50" authorId="0" shapeId="0" xr:uid="{00000000-0006-0000-0300-000006000000}">
      <text>
        <r>
          <rPr>
            <sz val="10"/>
            <color rgb="FF000000"/>
            <rFont val="Arial"/>
            <scheme val="minor"/>
          </rPr>
          <t xml:space="preserve">нема в ПЗ
</t>
        </r>
      </text>
    </comment>
    <comment ref="B52" authorId="0" shapeId="0" xr:uid="{00000000-0006-0000-0300-000007000000}">
      <text>
        <r>
          <rPr>
            <sz val="10"/>
            <color rgb="FF000000"/>
            <rFont val="Arial"/>
            <scheme val="minor"/>
          </rPr>
          <t>нема в ПЗ</t>
        </r>
      </text>
    </comment>
    <comment ref="B54" authorId="0" shapeId="0" xr:uid="{00000000-0006-0000-0300-000008000000}">
      <text>
        <r>
          <rPr>
            <sz val="10"/>
            <color rgb="FF000000"/>
            <rFont val="Arial"/>
            <scheme val="minor"/>
          </rPr>
          <t>старт 19.12</t>
        </r>
      </text>
    </comment>
    <comment ref="B55" authorId="0" shapeId="0" xr:uid="{00000000-0006-0000-0300-000009000000}">
      <text>
        <r>
          <rPr>
            <sz val="10"/>
            <color rgb="FF000000"/>
            <rFont val="Arial"/>
            <scheme val="minor"/>
          </rPr>
          <t>старт 10.12</t>
        </r>
      </text>
    </comment>
    <comment ref="B66" authorId="0" shapeId="0" xr:uid="{00000000-0006-0000-0300-00000A000000}">
      <text>
        <r>
          <rPr>
            <sz val="10"/>
            <color rgb="FF000000"/>
            <rFont val="Arial"/>
            <scheme val="minor"/>
          </rPr>
          <t>нема записів</t>
        </r>
      </text>
    </comment>
    <comment ref="C66" authorId="0" shapeId="0" xr:uid="{00000000-0006-0000-0300-00000B000000}">
      <text>
        <r>
          <rPr>
            <sz val="10"/>
            <color rgb="FF000000"/>
            <rFont val="Arial"/>
            <scheme val="minor"/>
          </rPr>
          <t>https://t.me/a_beverly</t>
        </r>
      </text>
    </comment>
    <comment ref="B121" authorId="0" shapeId="0" xr:uid="{00000000-0006-0000-0300-00000C000000}">
      <text>
        <r>
          <rPr>
            <sz val="10"/>
            <color rgb="FF000000"/>
            <rFont val="Arial"/>
            <scheme val="minor"/>
          </rPr>
          <t>не веде заняття</t>
        </r>
      </text>
    </comment>
    <comment ref="B125" authorId="0" shapeId="0" xr:uid="{00000000-0006-0000-0300-00000D000000}">
      <text>
        <r>
          <rPr>
            <sz val="10"/>
            <color rgb="FF000000"/>
            <rFont val="Arial"/>
            <scheme val="minor"/>
          </rPr>
          <t xml:space="preserve">нема записів
</t>
        </r>
      </text>
    </comment>
  </commentList>
</comments>
</file>

<file path=xl/sharedStrings.xml><?xml version="1.0" encoding="utf-8"?>
<sst xmlns="http://schemas.openxmlformats.org/spreadsheetml/2006/main" count="26369" uniqueCount="10083">
  <si>
    <t>Напрямок (курс)</t>
  </si>
  <si>
    <t>Березень 2024</t>
  </si>
  <si>
    <t>Лютий 2024</t>
  </si>
  <si>
    <t>Січень 2024</t>
  </si>
  <si>
    <t>Жовтень</t>
  </si>
  <si>
    <t>Слайд</t>
  </si>
  <si>
    <t>Контакт ТГ</t>
  </si>
  <si>
    <t>Пошта</t>
  </si>
  <si>
    <t>ТЛ</t>
  </si>
  <si>
    <t>Статус</t>
  </si>
  <si>
    <t>GameDev</t>
  </si>
  <si>
    <t>Roblox</t>
  </si>
  <si>
    <t>Minecraft</t>
  </si>
  <si>
    <t>Scratch</t>
  </si>
  <si>
    <t>Math</t>
  </si>
  <si>
    <t>Procreate (малювання)</t>
  </si>
  <si>
    <t>Digital Design</t>
  </si>
  <si>
    <t>Design Junior</t>
  </si>
  <si>
    <t>Python</t>
  </si>
  <si>
    <t>FE Jun</t>
  </si>
  <si>
    <t>FrontEnd</t>
  </si>
  <si>
    <t>SoftSkills</t>
  </si>
  <si>
    <t>NPS 11</t>
  </si>
  <si>
    <t>Зубер Микита</t>
  </si>
  <si>
    <t>@SatDev</t>
  </si>
  <si>
    <t>nikitazuber@gmail.com</t>
  </si>
  <si>
    <t>Лонжанська (Мазурик) Діана</t>
  </si>
  <si>
    <t>Працює</t>
  </si>
  <si>
    <t>Вересень</t>
  </si>
  <si>
    <t>Десна Анастасія</t>
  </si>
  <si>
    <t>https://docs.google.com/presentation/d/16N6IacX2SzYhv4Rndya3WQzKD0YIl-Vt/edit?usp=sharing&amp;ouid=107295466553034241104&amp;rtpof=true&amp;sd=true</t>
  </si>
  <si>
    <t>@nastasia_dsn</t>
  </si>
  <si>
    <t>ndesna@gmail.com</t>
  </si>
  <si>
    <t>Іванішена Юлія</t>
  </si>
  <si>
    <t>Резерв</t>
  </si>
  <si>
    <t>Дмитришин Артур</t>
  </si>
  <si>
    <t>@talllesty</t>
  </si>
  <si>
    <t>arturdmytryshynn@gmail.com</t>
  </si>
  <si>
    <t>Звільнено</t>
  </si>
  <si>
    <t>Даниленко Роман</t>
  </si>
  <si>
    <t>Даниленко Роман.pptx</t>
  </si>
  <si>
    <t>@desquik</t>
  </si>
  <si>
    <t>romano.danylenko@gmail.com</t>
  </si>
  <si>
    <t>Сербін Олександр</t>
  </si>
  <si>
    <t>Червень</t>
  </si>
  <si>
    <t>Єсаулов Олександр</t>
  </si>
  <si>
    <t>@thunderblessed</t>
  </si>
  <si>
    <t>shura.esaulow2018@gmail.com</t>
  </si>
  <si>
    <t>Угленко Олена</t>
  </si>
  <si>
    <t>Угленко Олена.pptx</t>
  </si>
  <si>
    <t>@OlenaUh</t>
  </si>
  <si>
    <t>lenkolenchik@gmail.com</t>
  </si>
  <si>
    <t>Максименко Аліна</t>
  </si>
  <si>
    <t>плюс</t>
  </si>
  <si>
    <t>Пивовар Михайло</t>
  </si>
  <si>
    <t>@Miha_piv</t>
  </si>
  <si>
    <t>pivovarm550@gmail.com</t>
  </si>
  <si>
    <t>Євсюкова Юлія</t>
  </si>
  <si>
    <t>@JuliaEvsukova</t>
  </si>
  <si>
    <t>yulia88evsukova@gmail.com</t>
  </si>
  <si>
    <t>Тарасович Тетяна</t>
  </si>
  <si>
    <t>Паславська Юлія</t>
  </si>
  <si>
    <t>@Y_Paslavska</t>
  </si>
  <si>
    <t>paslavska0000@gmail.com</t>
  </si>
  <si>
    <t>New</t>
  </si>
  <si>
    <t>н</t>
  </si>
  <si>
    <t>Ніколаєв Владислав</t>
  </si>
  <si>
    <t>@Gregor_Lewshiy</t>
  </si>
  <si>
    <t>kalinavladd@gmail.com</t>
  </si>
  <si>
    <t>Маковська Анна</t>
  </si>
  <si>
    <t>Торговець Лесь</t>
  </si>
  <si>
    <t>cv.pdf</t>
  </si>
  <si>
    <t>@lordor1gamer</t>
  </si>
  <si>
    <t>les.torgovets@gmail.com</t>
  </si>
  <si>
    <t>Моно</t>
  </si>
  <si>
    <t>Дуднік Лідія</t>
  </si>
  <si>
    <t>@lidiiadudnik</t>
  </si>
  <si>
    <t>lidiya2139@gmail.com</t>
  </si>
  <si>
    <t>-</t>
  </si>
  <si>
    <t>Максимова Софія</t>
  </si>
  <si>
    <t>@Sofiawisdom</t>
  </si>
  <si>
    <t>solarwisdom29@gmail.com</t>
  </si>
  <si>
    <t>табличка</t>
  </si>
  <si>
    <t>Заїка Вадим</t>
  </si>
  <si>
    <t>@vadim_v2000</t>
  </si>
  <si>
    <t>melisa228822@gmail.com</t>
  </si>
  <si>
    <t>Терентьєва Влада</t>
  </si>
  <si>
    <t>Шевченко Віталій</t>
  </si>
  <si>
    <t>Шевченко Віталій.pptx</t>
  </si>
  <si>
    <t>@gradussus</t>
  </si>
  <si>
    <t>shevchenkovitaliy20@gmail.com</t>
  </si>
  <si>
    <t>Мащенко Єлизавета</t>
  </si>
  <si>
    <t>@liza_mashchenko</t>
  </si>
  <si>
    <t>lizaveta.m.171@gmail.com</t>
  </si>
  <si>
    <t>Почтар Анастасія</t>
  </si>
  <si>
    <t>@nastya_pochtar</t>
  </si>
  <si>
    <t>nastya.pochtar@gmail.com</t>
  </si>
  <si>
    <t>Піцик Єгор</t>
  </si>
  <si>
    <t>https://t.me/egorLs</t>
  </si>
  <si>
    <t>egor.pitzyk@gmail.com</t>
  </si>
  <si>
    <t>Торенко Ілля</t>
  </si>
  <si>
    <t>@YuuSakuma</t>
  </si>
  <si>
    <t>ilya.torenko@gmail.com</t>
  </si>
  <si>
    <t>Ваколюк Сергій</t>
  </si>
  <si>
    <t>Ваколюк Сергій.pptx</t>
  </si>
  <si>
    <t>@serhii_vakoliuk</t>
  </si>
  <si>
    <t>s.vakoliuk@gmail.com</t>
  </si>
  <si>
    <t>Рудика Ірина</t>
  </si>
  <si>
    <t>@ingi_gerda</t>
  </si>
  <si>
    <t>iraruira@gmail.com</t>
  </si>
  <si>
    <t>Зборовський Олександр</t>
  </si>
  <si>
    <t>@dormyyy</t>
  </si>
  <si>
    <t>zborovskyi.oleksandr@gmail.com</t>
  </si>
  <si>
    <t>Клим Андрій</t>
  </si>
  <si>
    <t>Клим Андрій.pptx</t>
  </si>
  <si>
    <t>@KaMinu</t>
  </si>
  <si>
    <t>klym.andriy14@gmail.com</t>
  </si>
  <si>
    <t>Прокопенко Євгеній</t>
  </si>
  <si>
    <t>@capsl</t>
  </si>
  <si>
    <t>caps0307@gmail.com</t>
  </si>
  <si>
    <t>Білоус Богдан</t>
  </si>
  <si>
    <t>@Bogdaddy_usa</t>
  </si>
  <si>
    <t>body0204@gmail.com</t>
  </si>
  <si>
    <t>Корнієнко Інна</t>
  </si>
  <si>
    <t>Корнієнко Інна.pptx</t>
  </si>
  <si>
    <t>@InnaKorni</t>
  </si>
  <si>
    <t>inna.kornieko@gmail.com</t>
  </si>
  <si>
    <t>Микитчук Катерина</t>
  </si>
  <si>
    <t>@Katerina_trut</t>
  </si>
  <si>
    <t>mykytchuk.kate@gmail.com</t>
  </si>
  <si>
    <t>Азберг Едгар</t>
  </si>
  <si>
    <t>Азберг Едгар.pptx</t>
  </si>
  <si>
    <t>@NanoScorpion</t>
  </si>
  <si>
    <t>edgarasberg@gmail.com</t>
  </si>
  <si>
    <t>Нарадько Юліана</t>
  </si>
  <si>
    <t>@paimony</t>
  </si>
  <si>
    <t>vasenkouliana@gmail.com</t>
  </si>
  <si>
    <t>Дадашьянц Артем</t>
  </si>
  <si>
    <t>@ketronix_dev</t>
  </si>
  <si>
    <t>ketronix2@gmail.com</t>
  </si>
  <si>
    <t>Лисенко Олександра</t>
  </si>
  <si>
    <t>Мелещук Максим</t>
  </si>
  <si>
    <t xml:space="preserve">Мелещук Максим </t>
  </si>
  <si>
    <t>@magistroos</t>
  </si>
  <si>
    <t>vovkmaster@gmail.com</t>
  </si>
  <si>
    <t>Брегеда Олена</t>
  </si>
  <si>
    <t>@Elena_Bregeda</t>
  </si>
  <si>
    <t>bregeda.e@gmail.com</t>
  </si>
  <si>
    <t>Гудзь Іван</t>
  </si>
  <si>
    <t>@ivankogudz</t>
  </si>
  <si>
    <t>gudz.vanyagoiteenswork@gmail.com</t>
  </si>
  <si>
    <t>Олексієнко Віталіна</t>
  </si>
  <si>
    <t>@Vitalina_Oleksiienko</t>
  </si>
  <si>
    <t>vitalina_oleksienko@yahoo.com</t>
  </si>
  <si>
    <t>Озімінська (Терентьєва) Влада</t>
  </si>
  <si>
    <t>Перепелиця Тимур</t>
  </si>
  <si>
    <t>@Perepel_T</t>
  </si>
  <si>
    <t>devsspacegame@gmail.com</t>
  </si>
  <si>
    <t>Карліна Дар'я</t>
  </si>
  <si>
    <t>@KarlinaDaria</t>
  </si>
  <si>
    <t>karlina.darya@gmail.com</t>
  </si>
  <si>
    <t>Горецький Євген</t>
  </si>
  <si>
    <t>@itmynick</t>
  </si>
  <si>
    <t>gevina42@gmail.com</t>
  </si>
  <si>
    <t>Полєщук Єгор</t>
  </si>
  <si>
    <t>@egorpoleshuk</t>
  </si>
  <si>
    <t>egorpoleshuk6@gmail.com</t>
  </si>
  <si>
    <t>Бобров Кирил</t>
  </si>
  <si>
    <t>Бобров Кирило</t>
  </si>
  <si>
    <t>@kir_illkin</t>
  </si>
  <si>
    <t>k.e.bobrov@gmail.com</t>
  </si>
  <si>
    <t>Колеснік Дмитро</t>
  </si>
  <si>
    <t>Колеснік Дмитро.pptx</t>
  </si>
  <si>
    <t>@hedimin</t>
  </si>
  <si>
    <t>hedimin675@gmail.com</t>
  </si>
  <si>
    <t>Гусєва Єлизавета</t>
  </si>
  <si>
    <t>@elibette</t>
  </si>
  <si>
    <t>lizavetahusieva@gmail.com</t>
  </si>
  <si>
    <t>Оджиковська Анна</t>
  </si>
  <si>
    <t>Бородін Ярослав</t>
  </si>
  <si>
    <t>@yaroslav_bz</t>
  </si>
  <si>
    <t>yaroslav9borodin@gmail.com</t>
  </si>
  <si>
    <t>Мартинюк Максим</t>
  </si>
  <si>
    <t>@rast1ch</t>
  </si>
  <si>
    <t>rast1ch2286@gmail.com</t>
  </si>
  <si>
    <t>Лангільде Мирослав</t>
  </si>
  <si>
    <t>https://t.me/m_langilde</t>
  </si>
  <si>
    <t>miroslav.langilde@gmail.com</t>
  </si>
  <si>
    <t>звільнено - не контактний з дітьми, має низькі софт скіли, не достатньо харизматичний та розкутий, має скаргу від кхм з першого ж уроку</t>
  </si>
  <si>
    <t>Логвиненко Олександр</t>
  </si>
  <si>
    <t>@Morra_May</t>
  </si>
  <si>
    <t>morramay94@gmail.com</t>
  </si>
  <si>
    <t>Пустова Юлія</t>
  </si>
  <si>
    <t>Солонинка Андрій</t>
  </si>
  <si>
    <t>@Solonynka10</t>
  </si>
  <si>
    <t>andriysolonynka10@gmail.com</t>
  </si>
  <si>
    <t>Кравченко Юлія</t>
  </si>
  <si>
    <t>@Uliko09 (https://t.me/Uliko09)</t>
  </si>
  <si>
    <t>yulia.kravchenko08@gmail.com</t>
  </si>
  <si>
    <t>Швед Назарій</t>
  </si>
  <si>
    <t>@Nazariy_Shved</t>
  </si>
  <si>
    <t>nazariyshved04@gmail.com</t>
  </si>
  <si>
    <t>Нечипуренко Міхаела</t>
  </si>
  <si>
    <t>Нечепуренко Міхаела.pptx</t>
  </si>
  <si>
    <t>@Mihaelak29</t>
  </si>
  <si>
    <t>mihaelak29@gmail.com</t>
  </si>
  <si>
    <t>Корчовий Максим</t>
  </si>
  <si>
    <t>@zick_fleming</t>
  </si>
  <si>
    <t>maksimkorchevoi@gmail.com</t>
  </si>
  <si>
    <t>Сюнякова Анжела</t>
  </si>
  <si>
    <t>syunyakova26@gmail.com</t>
  </si>
  <si>
    <t>Прокопчук Олександр</t>
  </si>
  <si>
    <t>@ReyJ0</t>
  </si>
  <si>
    <t>sprok2005@gmail.com</t>
  </si>
  <si>
    <t>Самарська Софія</t>
  </si>
  <si>
    <t>@smrsk_s</t>
  </si>
  <si>
    <t>sofya.samarskaja@gmail.com</t>
  </si>
  <si>
    <t>Бабак Андрій</t>
  </si>
  <si>
    <t>@GreeNAMO</t>
  </si>
  <si>
    <t>andreybabak101@gmail.com</t>
  </si>
  <si>
    <t>Полякова Альбіна</t>
  </si>
  <si>
    <t>@albina_poliakova</t>
  </si>
  <si>
    <t>encobella89@gmail.com</t>
  </si>
  <si>
    <t>Соколова Ірина</t>
  </si>
  <si>
    <t>@Quanandry</t>
  </si>
  <si>
    <t>irasokolova25@ukr.net</t>
  </si>
  <si>
    <t>Луцик Даніїл</t>
  </si>
  <si>
    <t>Луцик Даніїл.pptx</t>
  </si>
  <si>
    <t>@lutsik_daniil</t>
  </si>
  <si>
    <t>daniil@lutsik.com</t>
  </si>
  <si>
    <t>Мих Анастасія</t>
  </si>
  <si>
    <t>Петришин Оксана</t>
  </si>
  <si>
    <t>@OksanaP_7</t>
  </si>
  <si>
    <t>petryshyn.v.oksana@gmail.com</t>
  </si>
  <si>
    <t>Даниленко Данил</t>
  </si>
  <si>
    <t>@DanilenkoDanil</t>
  </si>
  <si>
    <t>danilenkodanil74@gmail.com</t>
  </si>
  <si>
    <t>Гончар Микита</t>
  </si>
  <si>
    <t>Гончар Нікіта.pdf</t>
  </si>
  <si>
    <t>@nikita_honchar</t>
  </si>
  <si>
    <t>nekittutacckii@gmail.com</t>
  </si>
  <si>
    <t>Магар Владислав</t>
  </si>
  <si>
    <t>@vladyslavmahar</t>
  </si>
  <si>
    <t>maharvladyslav@gmail.com</t>
  </si>
  <si>
    <t>Душенко Тарас</t>
  </si>
  <si>
    <t>Душенко Тарас.pptx</t>
  </si>
  <si>
    <t>@dusenkot</t>
  </si>
  <si>
    <t>dusenkot@gmail.com</t>
  </si>
  <si>
    <t>Ліщук Ігор</t>
  </si>
  <si>
    <t>@Igor_Lish</t>
  </si>
  <si>
    <t>lishchukis98@gmail.com</t>
  </si>
  <si>
    <t>Поліщук Остап</t>
  </si>
  <si>
    <t>@ostapolishchuk</t>
  </si>
  <si>
    <t>ostapolishchuk@gmail.com</t>
  </si>
  <si>
    <t>Шостак Сергій</t>
  </si>
  <si>
    <t>@ShostakSerhii</t>
  </si>
  <si>
    <t>shostakserhii94@gmail.com</t>
  </si>
  <si>
    <t>Зеньо Роман</t>
  </si>
  <si>
    <t>@zeno385</t>
  </si>
  <si>
    <t>zeno385@gmail.com</t>
  </si>
  <si>
    <t>Висоцький Ярослав</t>
  </si>
  <si>
    <t>@vysotskyi9</t>
  </si>
  <si>
    <t>manypresents34@gmail.com</t>
  </si>
  <si>
    <t>Зимін Федір</t>
  </si>
  <si>
    <t>@fimikfm</t>
  </si>
  <si>
    <t>zimikfm@gmail.com</t>
  </si>
  <si>
    <t>Стойка Філіп</t>
  </si>
  <si>
    <t>@philipww</t>
  </si>
  <si>
    <t>fileo2003@gmail.com</t>
  </si>
  <si>
    <t>Калиста Юлія</t>
  </si>
  <si>
    <t>Калиста  Юлія</t>
  </si>
  <si>
    <t>@Jul_designer</t>
  </si>
  <si>
    <t>kalusta.yu.v@gmail.com</t>
  </si>
  <si>
    <t>Іпатенко Володимир</t>
  </si>
  <si>
    <t>@Volodymyr_Wise</t>
  </si>
  <si>
    <t>ipatenkovolodymyr5@gmail.com</t>
  </si>
  <si>
    <t>Хоменко Олександр</t>
  </si>
  <si>
    <t>Хоменко Олександр.pptx</t>
  </si>
  <si>
    <t>@sebastian_pereirooo</t>
  </si>
  <si>
    <t>khomenkos196@gmail.com</t>
  </si>
  <si>
    <t>Денисюк Михайло</t>
  </si>
  <si>
    <t>@MishaDen95</t>
  </si>
  <si>
    <t>denmisha34@gmail.com</t>
  </si>
  <si>
    <t>Засадюк Альона</t>
  </si>
  <si>
    <t>@alenka_zas</t>
  </si>
  <si>
    <t>alenka3acgoit@gmail.com</t>
  </si>
  <si>
    <t>Мазурик Діана</t>
  </si>
  <si>
    <t>@mdiana09</t>
  </si>
  <si>
    <t>mazurikdana@gmail.com</t>
  </si>
  <si>
    <t>Бур'ян Олександра</t>
  </si>
  <si>
    <t>@alexartee</t>
  </si>
  <si>
    <t>sashaaleksandra38@gmail.com</t>
  </si>
  <si>
    <t>Грачова Анна</t>
  </si>
  <si>
    <t>@anna_20_03</t>
  </si>
  <si>
    <t>anna.hrachova91@gmail.com</t>
  </si>
  <si>
    <t>Рибінський Валентин</t>
  </si>
  <si>
    <t>Рибінський Валентин.pptx</t>
  </si>
  <si>
    <t>@ValekExe</t>
  </si>
  <si>
    <t>erohinv56@gmail.com</t>
  </si>
  <si>
    <t>@anna_odzhykovska</t>
  </si>
  <si>
    <t>a.odzhykovska@goiteens.global.</t>
  </si>
  <si>
    <t>Корнійчук Олександра</t>
  </si>
  <si>
    <t>@korniychukalex</t>
  </si>
  <si>
    <t>alexandrakorniichuk@gmail.com</t>
  </si>
  <si>
    <t>Максимів Яна</t>
  </si>
  <si>
    <t>Максимів Яна.pptx</t>
  </si>
  <si>
    <t>@YanaMks</t>
  </si>
  <si>
    <t>ivankamaksymiv019@gmail.com</t>
  </si>
  <si>
    <t>Бейда Вадим</t>
  </si>
  <si>
    <t>@VBeida</t>
  </si>
  <si>
    <t>beyda.vadim@gmail.com</t>
  </si>
  <si>
    <t>Артюх Володимир</t>
  </si>
  <si>
    <t>@Vovs_Art</t>
  </si>
  <si>
    <t>vovavovsart@gmail.com</t>
  </si>
  <si>
    <t>Бондаренко Ольга</t>
  </si>
  <si>
    <t>@Bond_Olha</t>
  </si>
  <si>
    <t>olgabondarenko.ua.kh@gmail.com</t>
  </si>
  <si>
    <t>Герасимюк В'ячеслав</t>
  </si>
  <si>
    <t>@CrossCriss</t>
  </si>
  <si>
    <t>herasimyukviacheslav@gmail.com</t>
  </si>
  <si>
    <t>Росахата Марина</t>
  </si>
  <si>
    <t>Росахата Марина.pptx</t>
  </si>
  <si>
    <t>@Rosakhatay</t>
  </si>
  <si>
    <t>marinarosahataya@gmail.com</t>
  </si>
  <si>
    <t>Соколовський Андрій</t>
  </si>
  <si>
    <t>@Soan1488 (https://t.me/Soan1488)</t>
  </si>
  <si>
    <t>andrisokolovskiy@gmail.com</t>
  </si>
  <si>
    <t>Закружний Андрій</t>
  </si>
  <si>
    <t>@VorOn1209</t>
  </si>
  <si>
    <t>abdrey192020@gmail.com</t>
  </si>
  <si>
    <t>Чичуга Віталій</t>
  </si>
  <si>
    <t>@Vitalii_Car_Kemping (https://t.me/Vitalii_Car_Kemping)</t>
  </si>
  <si>
    <t>vitaliichychuha@gmail.com</t>
  </si>
  <si>
    <t>@Serbyn_S</t>
  </si>
  <si>
    <t>serbin.sasha1@gmail.com</t>
  </si>
  <si>
    <t>Єфременко Єлизавета</t>
  </si>
  <si>
    <t>@yelizavetall</t>
  </si>
  <si>
    <t>lizzzie.ok@gmail.com</t>
  </si>
  <si>
    <t>Кулєєв Владислав</t>
  </si>
  <si>
    <t>@vladislove21446</t>
  </si>
  <si>
    <t>vladys.kuleev@gmail.com</t>
  </si>
  <si>
    <t>Дєдова Ірина</t>
  </si>
  <si>
    <t>макогон</t>
  </si>
  <si>
    <t>id0962525095@gmail.com</t>
  </si>
  <si>
    <t>З державною сфери, тому десь не до кінця може бути розкутою. Але цікава жінка, гарний саморозвиток, багато знань - поставила вже її на групи</t>
  </si>
  <si>
    <t>Калін Максим</t>
  </si>
  <si>
    <t>@KamiloV26</t>
  </si>
  <si>
    <t>kalinm270603@gmail.com</t>
  </si>
  <si>
    <t>Тищенко Сергій</t>
  </si>
  <si>
    <t>@Sergey_Tyschenko</t>
  </si>
  <si>
    <t>sergey.tyschenko@gmail.com</t>
  </si>
  <si>
    <t>Копия Лисенко Олександра – копія</t>
  </si>
  <si>
    <t>@sanovna</t>
  </si>
  <si>
    <t>o.lysenko@goiteens.ua</t>
  </si>
  <si>
    <t>Сало Ольга</t>
  </si>
  <si>
    <t>Сало Ольга.pptx</t>
  </si>
  <si>
    <t>@Olga_0023</t>
  </si>
  <si>
    <t>ovteacher23@gmail.com</t>
  </si>
  <si>
    <t>Загоруйко Ксенія</t>
  </si>
  <si>
    <t>@miolnii</t>
  </si>
  <si>
    <t>theksena@gmail.com</t>
  </si>
  <si>
    <t>Юртін Сергій</t>
  </si>
  <si>
    <t>@Sergey_2717</t>
  </si>
  <si>
    <t>serg.yurtin.21@gmail.com</t>
  </si>
  <si>
    <t>Даневич Галина</t>
  </si>
  <si>
    <t>Даневич Галина.pdf</t>
  </si>
  <si>
    <t>galina.omelyanyuk@gmail.com</t>
  </si>
  <si>
    <t>Джеммель Віолетта</t>
  </si>
  <si>
    <t>@violetta197</t>
  </si>
  <si>
    <t>violadzhemmel@gmail.com</t>
  </si>
  <si>
    <t>Привалов Станіслав</t>
  </si>
  <si>
    <t>@DoubleDamages</t>
  </si>
  <si>
    <t>staamode02@gmail.com</t>
  </si>
  <si>
    <t>Фауст Артем</t>
  </si>
  <si>
    <t>Фауст Артем.pptx</t>
  </si>
  <si>
    <t>@ArtemyFaust</t>
  </si>
  <si>
    <t>artemyfaust@gmail.com</t>
  </si>
  <si>
    <t>Буланова Ангеліна</t>
  </si>
  <si>
    <t>@Bulanovali</t>
  </si>
  <si>
    <t>angelinka096@gmail.com</t>
  </si>
  <si>
    <t>Калинчук Іван</t>
  </si>
  <si>
    <t>@joankalin</t>
  </si>
  <si>
    <t>vankalin3@gmail.com</t>
  </si>
  <si>
    <t>Титаренко Маргарита</t>
  </si>
  <si>
    <t>https://docs.google.com/presentation/d/1OoSOhPXD-KBR9RgdDfXjsPd0WyXbjpwvxUi9nTSaDDk/edit?usp=sharing</t>
  </si>
  <si>
    <t>@margo_ti</t>
  </si>
  <si>
    <t>margotytarenko04@gmail.com</t>
  </si>
  <si>
    <t>Конасова Ольга</t>
  </si>
  <si>
    <t>Конасова Ольга.pptx</t>
  </si>
  <si>
    <t>@olgalviv</t>
  </si>
  <si>
    <t>olga.yajunska@gmail.com</t>
  </si>
  <si>
    <t>Вєшкін Єгор</t>
  </si>
  <si>
    <t>@yegor_veshkin</t>
  </si>
  <si>
    <t>yegor.post.ptr@gmail.com</t>
  </si>
  <si>
    <t>Файдюк Тарас</t>
  </si>
  <si>
    <t>@tarassssssssssssssss</t>
  </si>
  <si>
    <t>taras.fid@gmail.com</t>
  </si>
  <si>
    <t>Ружицький Роман</t>
  </si>
  <si>
    <t>@Jason_Brody_HM</t>
  </si>
  <si>
    <t>brodyj250@gmail.com</t>
  </si>
  <si>
    <t>Перловська Анна</t>
  </si>
  <si>
    <t>Перловська Анна.pptx</t>
  </si>
  <si>
    <t>@Nightshe</t>
  </si>
  <si>
    <t>tigrik1705@gmail.com</t>
  </si>
  <si>
    <t>Кевхаян Єлизавета</t>
  </si>
  <si>
    <t>@LizaKevkhaian</t>
  </si>
  <si>
    <t>lizakevkhaian16@gmail.com</t>
  </si>
  <si>
    <t>Стецько Дмитро</t>
  </si>
  <si>
    <t>@matazikl</t>
  </si>
  <si>
    <t>steckomita@gmail.com</t>
  </si>
  <si>
    <t>Шкумбатюк Богдана</t>
  </si>
  <si>
    <t>@Bohdana228</t>
  </si>
  <si>
    <t>bohdana.shkumbatiuk@gmail.com</t>
  </si>
  <si>
    <t>Федорук Олеся</t>
  </si>
  <si>
    <t>@ofedoruk</t>
  </si>
  <si>
    <t>vladimirovna1996@gmail.com</t>
  </si>
  <si>
    <t>Бігун Дар’я</t>
  </si>
  <si>
    <t>Бігун Дар'я</t>
  </si>
  <si>
    <t>@dashaarts</t>
  </si>
  <si>
    <t>begundariaa@gmail.com</t>
  </si>
  <si>
    <t>Старушок Валентин</t>
  </si>
  <si>
    <t>@I1nk3r</t>
  </si>
  <si>
    <t>l1nk3rino@gmail.com</t>
  </si>
  <si>
    <t>Миц Віталій</t>
  </si>
  <si>
    <t>@Vitaliy_Myts</t>
  </si>
  <si>
    <t>myts.vitaliy@gmail.com</t>
  </si>
  <si>
    <t>Огороднік Микола</t>
  </si>
  <si>
    <t>Огороднік Микола.pptx</t>
  </si>
  <si>
    <t>@nick1138</t>
  </si>
  <si>
    <t>kolyaogorodnick@gmail.com</t>
  </si>
  <si>
    <t>Зиблий Максим</t>
  </si>
  <si>
    <t>@qoTGhost (https://t.me/qoTGhost)</t>
  </si>
  <si>
    <t>qotghost@gmail.com</t>
  </si>
  <si>
    <t>Панчишин Святослав</t>
  </si>
  <si>
    <t>@Neobast</t>
  </si>
  <si>
    <t>sama25920@gmail.com</t>
  </si>
  <si>
    <t>Букша Данило</t>
  </si>
  <si>
    <t>@tear9ropp</t>
  </si>
  <si>
    <t>bustichyt@gmail.com</t>
  </si>
  <si>
    <t>A</t>
  </si>
  <si>
    <t>Карабчук Богдана</t>
  </si>
  <si>
    <t>@bohdanka25</t>
  </si>
  <si>
    <t>Галенко Богдана</t>
  </si>
  <si>
    <t>@Bohdana_Halenko (https://t.me/Bohdana_Halenko)</t>
  </si>
  <si>
    <t>halenkobohdana@gmail.com</t>
  </si>
  <si>
    <t>Андреєв Артур</t>
  </si>
  <si>
    <t>Андреєв Артур.pptx</t>
  </si>
  <si>
    <t>@a_andreyev</t>
  </si>
  <si>
    <t>mr.arthur.andreyev@gmail.com</t>
  </si>
  <si>
    <t>Матвієнко Володимир</t>
  </si>
  <si>
    <t>Матвієнко Володимир.pptx</t>
  </si>
  <si>
    <t>@HogHord</t>
  </si>
  <si>
    <t>hoghord@gmail.com</t>
  </si>
  <si>
    <t>Миголь Марія</t>
  </si>
  <si>
    <t>@MMashaMi</t>
  </si>
  <si>
    <t>mashamihol0812@gmail.com</t>
  </si>
  <si>
    <t>Нурієва Валерія</t>
  </si>
  <si>
    <t>@vaaaleeerkaaa</t>
  </si>
  <si>
    <t>valeriianurieva@gmail.com</t>
  </si>
  <si>
    <t>Бугайов Костянтин</t>
  </si>
  <si>
    <t>@penoplastiz</t>
  </si>
  <si>
    <t>sounddummies@gmail.com</t>
  </si>
  <si>
    <t>Піскова Юлія</t>
  </si>
  <si>
    <t>@yuliia_piskova</t>
  </si>
  <si>
    <t>youliabieber@gmail.com</t>
  </si>
  <si>
    <t>Брусова Оксана</t>
  </si>
  <si>
    <t>@oksana_b89</t>
  </si>
  <si>
    <t>28ksunya@gmail.com</t>
  </si>
  <si>
    <t>Струк Наталія</t>
  </si>
  <si>
    <t>@struknp</t>
  </si>
  <si>
    <t>struknp@gmail.com</t>
  </si>
  <si>
    <t>Третьяк Олександра</t>
  </si>
  <si>
    <t>Григор'єва Олеся</t>
  </si>
  <si>
    <t>@kamidere16</t>
  </si>
  <si>
    <t>hryhorievaoleksandra1609@gmail.com</t>
  </si>
  <si>
    <t>П‘єц Адріана</t>
  </si>
  <si>
    <t>@Adriana_Piets</t>
  </si>
  <si>
    <t>adriannna5775@gmail.com</t>
  </si>
  <si>
    <t>Бурлак Володимир</t>
  </si>
  <si>
    <t>@salad_a</t>
  </si>
  <si>
    <t>kriovkriv@gmail.com</t>
  </si>
  <si>
    <t>Туровська Лора</t>
  </si>
  <si>
    <t>@urbanstationn</t>
  </si>
  <si>
    <t>thelaurest@gmail.com</t>
  </si>
  <si>
    <t>Загороднюк (Страшок) Яна</t>
  </si>
  <si>
    <t>Страшок Яна</t>
  </si>
  <si>
    <t>@yana_strashok</t>
  </si>
  <si>
    <t>jane.strashok@gmail.com</t>
  </si>
  <si>
    <t>Максименко Аліна.pptx</t>
  </si>
  <si>
    <t>@adelhide</t>
  </si>
  <si>
    <t>maximenko.alina.060419@gmail.com</t>
  </si>
  <si>
    <t>Кучерук Ольга</t>
  </si>
  <si>
    <t>@olha_kucheruk</t>
  </si>
  <si>
    <t>olhakucheruk36@gmail.com</t>
  </si>
  <si>
    <t>Тесленко Тетяна</t>
  </si>
  <si>
    <t>@teslenko_tetiana</t>
  </si>
  <si>
    <t>tetianalviv@gmail.com</t>
  </si>
  <si>
    <t>Дуже сподобалась Таня, гарний досвід і її власні софти, схоже на високому рівні, дуже чекатиму її на Синхро, гадаю, вона буде потужною викладачкою.</t>
  </si>
  <si>
    <t>Усенко Уляна</t>
  </si>
  <si>
    <t>@ulianaysenko</t>
  </si>
  <si>
    <t>ulianaysenko@gmail.com</t>
  </si>
  <si>
    <t>Гунько Ольга</t>
  </si>
  <si>
    <t>@mss_explo</t>
  </si>
  <si>
    <t>olu698950@gmail.com</t>
  </si>
  <si>
    <t>Платонова Марина</t>
  </si>
  <si>
    <t>@Ri_Mari_na</t>
  </si>
  <si>
    <t>mamarina876@gmail.com</t>
  </si>
  <si>
    <t>Захарчук Денис</t>
  </si>
  <si>
    <t>Захарчук Денис.pptx</t>
  </si>
  <si>
    <t>@lawlanden</t>
  </si>
  <si>
    <t>den.zakharchuk.02@gmail.com</t>
  </si>
  <si>
    <t>Тичинська Юлія</t>
  </si>
  <si>
    <t>@jtychynska</t>
  </si>
  <si>
    <t>jtychynska@gmail.com</t>
  </si>
  <si>
    <t>Романів Юліана</t>
  </si>
  <si>
    <t>@yuliana19076</t>
  </si>
  <si>
    <t>youlia.romaniv@gmail.com</t>
  </si>
  <si>
    <t>Костяк Марія</t>
  </si>
  <si>
    <t>@maria_kostyak</t>
  </si>
  <si>
    <t>mariiakostiak@gmail.com</t>
  </si>
  <si>
    <t>Середа Тетяна</t>
  </si>
  <si>
    <t xml:space="preserve">Середа Тетяна </t>
  </si>
  <si>
    <t>@SeredaTV123</t>
  </si>
  <si>
    <t>t.sereda.kyiv@gmail.com</t>
  </si>
  <si>
    <t>Оспанова Віта</t>
  </si>
  <si>
    <t>@Vita_Ospanova</t>
  </si>
  <si>
    <t>ospanovavita@gmail.com</t>
  </si>
  <si>
    <t>Головачов Данііл</t>
  </si>
  <si>
    <t>@worldofii</t>
  </si>
  <si>
    <t>golovachev.d.official@gmail.com</t>
  </si>
  <si>
    <t>Стасюк Роман</t>
  </si>
  <si>
    <t>@Roman_Stray</t>
  </si>
  <si>
    <t>kill7your7idols7@gmail.com</t>
  </si>
  <si>
    <t>Доморацька Валерія</t>
  </si>
  <si>
    <t>@vixydixy</t>
  </si>
  <si>
    <t>valeriadomoratska@gmail.com</t>
  </si>
  <si>
    <t>Наумова Марія</t>
  </si>
  <si>
    <t>@marian369</t>
  </si>
  <si>
    <t>m.a.naumova16@gmail.com</t>
  </si>
  <si>
    <t>Бакулевська Юлія</t>
  </si>
  <si>
    <t>@Yulia_Bakulevska</t>
  </si>
  <si>
    <t>bakulewska@gmail.com</t>
  </si>
  <si>
    <t>Томчук Наталя</t>
  </si>
  <si>
    <t>@natalia_tomchuk</t>
  </si>
  <si>
    <t>natalyatomchuk95@gmail.com</t>
  </si>
  <si>
    <t>Дмитренко Катерина</t>
  </si>
  <si>
    <t>@k_dmytrenko</t>
  </si>
  <si>
    <t>dmitkate@gmail.com</t>
  </si>
  <si>
    <t>Сітко Віта</t>
  </si>
  <si>
    <t>@vitasitko</t>
  </si>
  <si>
    <t>sivey111@gmail.com</t>
  </si>
  <si>
    <t>Чех Роман</t>
  </si>
  <si>
    <t>@romachekh</t>
  </si>
  <si>
    <t>rceh6499@gmail.com</t>
  </si>
  <si>
    <t>Бровенко Борис</t>
  </si>
  <si>
    <t>@Banti141</t>
  </si>
  <si>
    <t>broaenko@gmail.com</t>
  </si>
  <si>
    <t>Миршавка Анастасія</t>
  </si>
  <si>
    <t>@anasteijji</t>
  </si>
  <si>
    <t>mirschavka.nastya@gmail.com</t>
  </si>
  <si>
    <t>Шульга Дмитро</t>
  </si>
  <si>
    <t>Шульга Дмитро.pdf</t>
  </si>
  <si>
    <t>@shulga_goiteens</t>
  </si>
  <si>
    <t>docent123abc@gmail.com</t>
  </si>
  <si>
    <t>Блінова Карина</t>
  </si>
  <si>
    <t>@karyna_blinova</t>
  </si>
  <si>
    <t>blinovakarina0803@gmail.com</t>
  </si>
  <si>
    <t>Переверзєва Діана</t>
  </si>
  <si>
    <t>@dianazeva</t>
  </si>
  <si>
    <t>dianazeva77@gmail.com</t>
  </si>
  <si>
    <t>Знак Орест</t>
  </si>
  <si>
    <t>@orestznak</t>
  </si>
  <si>
    <t>orestznak@gmail.com</t>
  </si>
  <si>
    <t>Гайдур Ксенія</t>
  </si>
  <si>
    <t>@kassiatime</t>
  </si>
  <si>
    <t>kseniiahaidur@gmail.com</t>
  </si>
  <si>
    <t>Філоненко Василь</t>
  </si>
  <si>
    <t>@Vasyl_Fil</t>
  </si>
  <si>
    <t>filonenko.vasyl96@gmail.com</t>
  </si>
  <si>
    <t>Дуденко Аліса</t>
  </si>
  <si>
    <t>@adlissss</t>
  </si>
  <si>
    <t>dudenkoalisa1@gmail.com</t>
  </si>
  <si>
    <t>Кисельов Данило</t>
  </si>
  <si>
    <t>@D_Kiselov</t>
  </si>
  <si>
    <t>danius2003@gmail.com</t>
  </si>
  <si>
    <t>Пузіно Тимур</t>
  </si>
  <si>
    <t>@blackdezor</t>
  </si>
  <si>
    <t>puzino000@gmail.com</t>
  </si>
  <si>
    <t>Кучер Наталя</t>
  </si>
  <si>
    <t>Кучер Наталія</t>
  </si>
  <si>
    <t>@NataNovak</t>
  </si>
  <si>
    <t>natalkakucher20@gmail.com</t>
  </si>
  <si>
    <t>Свідерський Кирил</t>
  </si>
  <si>
    <t>@kaizer_Svidersky</t>
  </si>
  <si>
    <t>kirsvidersk@gmail.com</t>
  </si>
  <si>
    <t>Бровченко Вікторія</t>
  </si>
  <si>
    <t>@viki_bys</t>
  </si>
  <si>
    <t>vikibro02@gmail.com</t>
  </si>
  <si>
    <t>Данилович Олег</t>
  </si>
  <si>
    <t>@Alegka0</t>
  </si>
  <si>
    <t>olegdanilovic19@gmail.com</t>
  </si>
  <si>
    <t>Оджиковська Світлана</t>
  </si>
  <si>
    <t>@svetlanaodzhykovska</t>
  </si>
  <si>
    <t>odjikovska@gmail.com</t>
  </si>
  <si>
    <t>Січкар Денис</t>
  </si>
  <si>
    <t>@sichkarden</t>
  </si>
  <si>
    <t>sichkardenis5@gmail.com</t>
  </si>
  <si>
    <t>@juliapstv</t>
  </si>
  <si>
    <t>y.pustova@goiteens.global</t>
  </si>
  <si>
    <t>Сляднєв Максим</t>
  </si>
  <si>
    <t>@IceSoul_kh</t>
  </si>
  <si>
    <t>maksim.sliadniev@gmail.com</t>
  </si>
  <si>
    <t>звільнено</t>
  </si>
  <si>
    <t>Стецюк Валерія</t>
  </si>
  <si>
    <t>@Valeria_Stetsiuk</t>
  </si>
  <si>
    <t>valeriastecuk061@gmail.com</t>
  </si>
  <si>
    <t>Козловська Аліна</t>
  </si>
  <si>
    <t>@grinalina</t>
  </si>
  <si>
    <t>alinakozlovska17@gmail.com</t>
  </si>
  <si>
    <t>Солод Тетяна</t>
  </si>
  <si>
    <t>@Tantiana_Solod</t>
  </si>
  <si>
    <t>tanyushka.solod@gmail.com</t>
  </si>
  <si>
    <t>Савчук Тетяна</t>
  </si>
  <si>
    <t>@kamushonok</t>
  </si>
  <si>
    <t>tetyana.v.savchuk@gmail.com</t>
  </si>
  <si>
    <t>Озімінська Влада</t>
  </si>
  <si>
    <t>@vladatrntv</t>
  </si>
  <si>
    <t>vladatrntv@gmail.com</t>
  </si>
  <si>
    <t>Савченко Олександра</t>
  </si>
  <si>
    <t>@sasha_ux_ui</t>
  </si>
  <si>
    <t>sonya.savko@gmail.com</t>
  </si>
  <si>
    <t>Ковбасюк Ілона</t>
  </si>
  <si>
    <t>@Ilona_Light</t>
  </si>
  <si>
    <t>mail.li.light@gmail.com</t>
  </si>
  <si>
    <t>Грекова Євгенія</t>
  </si>
  <si>
    <t>@eug_g_enia (https://t.me/eug_g_enia)</t>
  </si>
  <si>
    <t>jeka.greckova@gmail.com</t>
  </si>
  <si>
    <t>Миколенко Карина</t>
  </si>
  <si>
    <t>@MikolenkoKarina</t>
  </si>
  <si>
    <t>karina.mykolenko@gmail.com</t>
  </si>
  <si>
    <t>Костюк Юлія</t>
  </si>
  <si>
    <t>Шаблон картки викладача – копія (1).pptx</t>
  </si>
  <si>
    <t>@Yulia_Kostiukkk</t>
  </si>
  <si>
    <t>kostiuk.julia395@gmail.com</t>
  </si>
  <si>
    <t>@tetiana_story</t>
  </si>
  <si>
    <t>tetjana.tarasovych.cv@gmail.com</t>
  </si>
  <si>
    <t>Богданова Ольга</t>
  </si>
  <si>
    <t>@OlhaTrener</t>
  </si>
  <si>
    <t>bogdanova111112@gmail.com</t>
  </si>
  <si>
    <t>Проскурка Марія</t>
  </si>
  <si>
    <t>Проскурка Марія.pptx</t>
  </si>
  <si>
    <t>@mariiaavdeeva</t>
  </si>
  <si>
    <t>mm4773108@gmail.com</t>
  </si>
  <si>
    <t>Самойленко Костянтин</t>
  </si>
  <si>
    <t>@Stando_powah</t>
  </si>
  <si>
    <t>greenelderberry@gmail.com</t>
  </si>
  <si>
    <t>Бусова Альона</t>
  </si>
  <si>
    <t>@alona_busova</t>
  </si>
  <si>
    <t>alona.busova@gmail.com</t>
  </si>
  <si>
    <t>Мисан Марія</t>
  </si>
  <si>
    <t>Копия преза шаблон Мисан М.І..pptx</t>
  </si>
  <si>
    <t>@mysan_m</t>
  </si>
  <si>
    <t>marijka20003@gmail.com</t>
  </si>
  <si>
    <t>Іваненко Дмитро</t>
  </si>
  <si>
    <t>Іваненко Дмитро.pptx</t>
  </si>
  <si>
    <t>@id_geo</t>
  </si>
  <si>
    <t>dmytro.ivanenko@gmail.com</t>
  </si>
  <si>
    <t xml:space="preserve">Дроботюк Андрій </t>
  </si>
  <si>
    <t>Дроботюк Андрій</t>
  </si>
  <si>
    <t>@Dro5zd (https://t.me/Dro5zd)</t>
  </si>
  <si>
    <t>adrobotyuk@gmail.com</t>
  </si>
  <si>
    <t>Беркій Дмитро</t>
  </si>
  <si>
    <t>@dima_berk</t>
  </si>
  <si>
    <t>berkiy.dm@gmail.com</t>
  </si>
  <si>
    <t>Павленко Тарас</t>
  </si>
  <si>
    <t>@Pavlenko_org</t>
  </si>
  <si>
    <t>trspavlenko@gmail.com</t>
  </si>
  <si>
    <t>Севрук Антон</t>
  </si>
  <si>
    <t>@Anton_Sevruk</t>
  </si>
  <si>
    <t>sevrukanton3@gmail.com</t>
  </si>
  <si>
    <t>Грицик Анна</t>
  </si>
  <si>
    <t>anna.hrytsyk1@gmail.com</t>
  </si>
  <si>
    <t>Біднюк Неля</t>
  </si>
  <si>
    <t>Біднюк Неля.pptx</t>
  </si>
  <si>
    <t>@Nelya_Bidnuk</t>
  </si>
  <si>
    <t>ztudo2315@gmail.com</t>
  </si>
  <si>
    <t xml:space="preserve">Житонбаєв Антон </t>
  </si>
  <si>
    <t>Житонбаєв Антон</t>
  </si>
  <si>
    <t>@Anton_Zhytonbaiev (https://t.me/Anton_Zhytonbaiev)</t>
  </si>
  <si>
    <t>anton.zhytonbaiev.dev@gmail.com</t>
  </si>
  <si>
    <t>Пелячик Юлія</t>
  </si>
  <si>
    <t>@yulchiksss</t>
  </si>
  <si>
    <t>yuliapelia19@gmail.com</t>
  </si>
  <si>
    <t>Кримлов Данило</t>
  </si>
  <si>
    <t>@krym_love (https://t.me/krym_love)</t>
  </si>
  <si>
    <t>danil.krymlov@gmail.com</t>
  </si>
  <si>
    <t>Дубяга Микита</t>
  </si>
  <si>
    <t>@Nekit0324</t>
  </si>
  <si>
    <t>dubiaha887@gmail.com</t>
  </si>
  <si>
    <t>Грінько Сергій</t>
  </si>
  <si>
    <t>@GSergeyko</t>
  </si>
  <si>
    <t>grinya.0895@gmail.com</t>
  </si>
  <si>
    <t>Кисельов Іван</t>
  </si>
  <si>
    <t>@ivankyselov</t>
  </si>
  <si>
    <t>kyselovinfo@gmail.com</t>
  </si>
  <si>
    <t>Духота Ігор</t>
  </si>
  <si>
    <t>@IgorDaFatKit (https://t.me/IgorDaFatKit)</t>
  </si>
  <si>
    <t>bujhtyz228@gmail.com</t>
  </si>
  <si>
    <t>Попов Олег</t>
  </si>
  <si>
    <t>Попов Олег.pptx</t>
  </si>
  <si>
    <t>@olartmod</t>
  </si>
  <si>
    <t>olartmod@gmail.com</t>
  </si>
  <si>
    <t>Грищенко Наталія</t>
  </si>
  <si>
    <t>@HrNataliya</t>
  </si>
  <si>
    <t>informatyka.apogey@gmail.com</t>
  </si>
  <si>
    <t>Рижа Олена</t>
  </si>
  <si>
    <t>@Olena_Ryzha</t>
  </si>
  <si>
    <t>elenaryzaa04@gmail.com</t>
  </si>
  <si>
    <t>Обенко Олександр</t>
  </si>
  <si>
    <t>@designer_sanek</t>
  </si>
  <si>
    <t>designersanek@gmail.com</t>
  </si>
  <si>
    <t xml:space="preserve">Курочка Олена </t>
  </si>
  <si>
    <t>Курочка Олена</t>
  </si>
  <si>
    <t>@kurochka_olena (https://t.me/kurochka_olena)</t>
  </si>
  <si>
    <t>k@bos-info.com</t>
  </si>
  <si>
    <t>Микитюк Анастасія</t>
  </si>
  <si>
    <t>@padryzhka</t>
  </si>
  <si>
    <t>nastia17553@gmail.com</t>
  </si>
  <si>
    <t>Євсюкова Олександра</t>
  </si>
  <si>
    <t>@a_yevsyukova</t>
  </si>
  <si>
    <t>alexandra.yevsyukova@gmail.com</t>
  </si>
  <si>
    <t>Палій Андрій</t>
  </si>
  <si>
    <t>@palyaaaa</t>
  </si>
  <si>
    <t>andrii.palii.b@gmail.com</t>
  </si>
  <si>
    <t>Титаренко Милослава</t>
  </si>
  <si>
    <t>Титаренко Мирослава</t>
  </si>
  <si>
    <t>@mila_tyt</t>
  </si>
  <si>
    <t>milatitarenko2004@gmail.com</t>
  </si>
  <si>
    <t>Писаренко Марія</t>
  </si>
  <si>
    <t>@Mashkaaap</t>
  </si>
  <si>
    <t>itmariia2019@gmail.com</t>
  </si>
  <si>
    <t>Блізнякова Олена</t>
  </si>
  <si>
    <t>@Bliznyakova</t>
  </si>
  <si>
    <t>elenabliz23@gmail.com</t>
  </si>
  <si>
    <t>Бойчук Вікторія</t>
  </si>
  <si>
    <t>@victoriyaboichyk</t>
  </si>
  <si>
    <t>victoriyaboichyk@gmail.com</t>
  </si>
  <si>
    <t>Земський Олександр</t>
  </si>
  <si>
    <t>@steotw</t>
  </si>
  <si>
    <t>vistaa9@gmail.com</t>
  </si>
  <si>
    <t>Дігтяренко Валентин</t>
  </si>
  <si>
    <t>@oystrch</t>
  </si>
  <si>
    <t>baggins999@gmail.com</t>
  </si>
  <si>
    <t>Згардан Євгеній</t>
  </si>
  <si>
    <t>@Stockfish81</t>
  </si>
  <si>
    <t>zgardan19@ukr.net</t>
  </si>
  <si>
    <t>Корнієнко Юлія</t>
  </si>
  <si>
    <t>Корнієнко Юлія.pptx</t>
  </si>
  <si>
    <t>@luly_sv20</t>
  </si>
  <si>
    <t>ulakornienko78@gmail.com</t>
  </si>
  <si>
    <t>Максимець Юлія</t>
  </si>
  <si>
    <t>@Yulii_M</t>
  </si>
  <si>
    <t>ohra2007@gmail.com</t>
  </si>
  <si>
    <t>Радіонова Антоніна</t>
  </si>
  <si>
    <t>@Antonina_radionova</t>
  </si>
  <si>
    <t>antoninarodinova@gmail.com</t>
  </si>
  <si>
    <t>Явтушенко Вікторія</t>
  </si>
  <si>
    <t>@torytargett</t>
  </si>
  <si>
    <t>vikian1684@gmail.com</t>
  </si>
  <si>
    <t>Украінчук Артем</t>
  </si>
  <si>
    <t>@ar_ukr</t>
  </si>
  <si>
    <t>artem.ukrainchuk@gmail.com</t>
  </si>
  <si>
    <t>Врабіє Варвара</t>
  </si>
  <si>
    <t>@zhenadepytata4</t>
  </si>
  <si>
    <t>vrabie.varechka@gmail.com</t>
  </si>
  <si>
    <t>Головата Маріанна</t>
  </si>
  <si>
    <t>@marianna_cat (https://t.me/marianna_cat)</t>
  </si>
  <si>
    <t>marianna.dudiak@gmail.com</t>
  </si>
  <si>
    <t>Гоник Михайло</t>
  </si>
  <si>
    <t>@M15h9an</t>
  </si>
  <si>
    <t>maximqwerbich@gmail.com</t>
  </si>
  <si>
    <t>Скрипник Дар'я</t>
  </si>
  <si>
    <t>@d9riia</t>
  </si>
  <si>
    <t>daria.skrypnyk2@gmail.com</t>
  </si>
  <si>
    <t>Супчан Катерина</t>
  </si>
  <si>
    <t>@Kate_Supchan</t>
  </si>
  <si>
    <t>kate.supchan08@gmail.com</t>
  </si>
  <si>
    <t>Пивовар Альона</t>
  </si>
  <si>
    <t>https://docs.google.com/presentation/d/14KLuRtjIkyrD_l21Tdm580VIxLdUnjlTOuUbLwQshKo/edit?usp=sharing</t>
  </si>
  <si>
    <t>@olyona_p</t>
  </si>
  <si>
    <t>alonapyvovar@gmail.com</t>
  </si>
  <si>
    <t xml:space="preserve">Литвинов Володимир </t>
  </si>
  <si>
    <t>@vovaclaun</t>
  </si>
  <si>
    <t>vovalitvinov385@gmail.com</t>
  </si>
  <si>
    <t>Кушнір Дмитро</t>
  </si>
  <si>
    <t>@kushads</t>
  </si>
  <si>
    <t>dimakusha09@gmail.com</t>
  </si>
  <si>
    <t>Кекляк Анна</t>
  </si>
  <si>
    <t>@anetttt_k</t>
  </si>
  <si>
    <t>dsgn.annett@gmail.com</t>
  </si>
  <si>
    <t>@aqniradnam</t>
  </si>
  <si>
    <t>oleksantret@gmail.com</t>
  </si>
  <si>
    <t>Новоженова Марина</t>
  </si>
  <si>
    <t>@MarynaNovo</t>
  </si>
  <si>
    <t>galytskam@gmail.com</t>
  </si>
  <si>
    <t>Пирогова Анастасія</t>
  </si>
  <si>
    <t>@Nastia_Pirogova</t>
  </si>
  <si>
    <t>pirogova.anastasiia@gmail.com</t>
  </si>
  <si>
    <t>Яценко Віктор</t>
  </si>
  <si>
    <t>@Viktor_Yatsenko</t>
  </si>
  <si>
    <t>yavo700700@gmail.com</t>
  </si>
  <si>
    <t>Севрук Ірина</t>
  </si>
  <si>
    <t>Севрук  Ірина</t>
  </si>
  <si>
    <t>@Sevruk_I</t>
  </si>
  <si>
    <t>irinasevruk922@gmail.com</t>
  </si>
  <si>
    <t>Федів Анастасія</t>
  </si>
  <si>
    <t>@NastiaFediv</t>
  </si>
  <si>
    <t>nastiafediv@gmail.com</t>
  </si>
  <si>
    <t>Андрухів Віта</t>
  </si>
  <si>
    <t>@vita_andrukhiv</t>
  </si>
  <si>
    <t>vitandrukhiv@gmail.com</t>
  </si>
  <si>
    <t>Нільга Софія</t>
  </si>
  <si>
    <t>Нільга Софія.pptx</t>
  </si>
  <si>
    <t>@RaiNScer</t>
  </si>
  <si>
    <t>nlgs1337@gmail.com</t>
  </si>
  <si>
    <t>Хлусов Євген</t>
  </si>
  <si>
    <t>@hlusov_evg</t>
  </si>
  <si>
    <t>hlusovevgeniy21@gmail.com</t>
  </si>
  <si>
    <t>Легостинова Анна</t>
  </si>
  <si>
    <t>@legostinova25</t>
  </si>
  <si>
    <t>legostinova1job@gmail.com</t>
  </si>
  <si>
    <t>Стулень Олексій</t>
  </si>
  <si>
    <t>@stule_o</t>
  </si>
  <si>
    <t>ookno16@gmail.com</t>
  </si>
  <si>
    <t>Гордова Анна</t>
  </si>
  <si>
    <t>Гордова Анна.pptx</t>
  </si>
  <si>
    <t>@annaathlete</t>
  </si>
  <si>
    <t>netta.sunny@gmail.com</t>
  </si>
  <si>
    <t>Волошиненко Тетяна</t>
  </si>
  <si>
    <t>@tanyaaa_56</t>
  </si>
  <si>
    <t>tanya.voloshinenko@gmail.com</t>
  </si>
  <si>
    <t>Свід Ірина</t>
  </si>
  <si>
    <t>@SvidIrinka</t>
  </si>
  <si>
    <t>irinasvid33@gmail.com</t>
  </si>
  <si>
    <t>Борецька Софія</t>
  </si>
  <si>
    <t>@Kayzerka</t>
  </si>
  <si>
    <t>sophiyaboretska@gmail.com</t>
  </si>
  <si>
    <t>Палига Марина</t>
  </si>
  <si>
    <t xml:space="preserve">Палига Марина </t>
  </si>
  <si>
    <t>@Lav_Marin</t>
  </si>
  <si>
    <t>makedonia97@gmail.com</t>
  </si>
  <si>
    <t>Корольова Олександра</t>
  </si>
  <si>
    <t>@ryzhayaaaaaaaaaaa</t>
  </si>
  <si>
    <t>inprix.el@gmail.com</t>
  </si>
  <si>
    <t>Середняк Катерина</t>
  </si>
  <si>
    <t>@silencevall</t>
  </si>
  <si>
    <t>katyaserednyakk@gmail.com</t>
  </si>
  <si>
    <t>Шийка Олена</t>
  </si>
  <si>
    <t>@olenashyika</t>
  </si>
  <si>
    <t>olenashyyka@gmail.com</t>
  </si>
  <si>
    <t>Коврига Аліна</t>
  </si>
  <si>
    <t>@Alina0212</t>
  </si>
  <si>
    <t>alkovryga@gmail.com</t>
  </si>
  <si>
    <t>Бутовська Марина</t>
  </si>
  <si>
    <t>Бутовська Марина.pptx</t>
  </si>
  <si>
    <t>@Mari_nab</t>
  </si>
  <si>
    <t>butovskamarina@gmail.com</t>
  </si>
  <si>
    <t>Каськів Володимир</t>
  </si>
  <si>
    <t>Каськів Володимир.pptx</t>
  </si>
  <si>
    <t>@Volodymyr_kaskiv</t>
  </si>
  <si>
    <t>kaskiv11@gmail.com</t>
  </si>
  <si>
    <t>Ващук Анастасія</t>
  </si>
  <si>
    <t>@vvnnastiaa</t>
  </si>
  <si>
    <t>nastyavaschuk09@gmail.com</t>
  </si>
  <si>
    <t>Волдаєва Анна</t>
  </si>
  <si>
    <t>@AnnaVoldaieva</t>
  </si>
  <si>
    <t>avoldaeva22@gmail.com</t>
  </si>
  <si>
    <t>Харуца Олександр</t>
  </si>
  <si>
    <t>https://docs.google.com/presentation/d/e/2PACX-1vRxcNPnoYG3v9__Wg9kF6CVTdExtTJXa-ytA56J9VRDq0CtShQEza4aoQ-_Fdg7buSv6qEfbI6KlSg5/pub?start=false&amp;loop=false&amp;delayms=3000</t>
  </si>
  <si>
    <t>@a_haruca</t>
  </si>
  <si>
    <t>al.haruca@gmail.com</t>
  </si>
  <si>
    <t>Жеронкін Антон</t>
  </si>
  <si>
    <t>@a_zheron</t>
  </si>
  <si>
    <t>antonzheron@gmail.com</t>
  </si>
  <si>
    <t>Гайченя Олена</t>
  </si>
  <si>
    <t>@Elenka_Rad</t>
  </si>
  <si>
    <t>gachok82@ukr.net</t>
  </si>
  <si>
    <t>Таценко Катерина</t>
  </si>
  <si>
    <t>@KaterynaTatsenko</t>
  </si>
  <si>
    <t>resolutions.one@gmail.com</t>
  </si>
  <si>
    <t>Анщук Олександр</t>
  </si>
  <si>
    <t>@Aircorridor</t>
  </si>
  <si>
    <t>aircorridor@proton.me</t>
  </si>
  <si>
    <t>Коркішко Ілля</t>
  </si>
  <si>
    <t>@Bruhdudee</t>
  </si>
  <si>
    <t>ilyakorckishko@gmail.com</t>
  </si>
  <si>
    <t>Кацедан Віктор</t>
  </si>
  <si>
    <t>@ViktorKatsedan</t>
  </si>
  <si>
    <t>viktor.katsedan@gmail.com</t>
  </si>
  <si>
    <t>Ширяєва Єлизавета</t>
  </si>
  <si>
    <t>@lzvtshrv</t>
  </si>
  <si>
    <t>yelyzavetashyriaieva@gmail.com</t>
  </si>
  <si>
    <t>Листопад</t>
  </si>
  <si>
    <t>Кміть Анна</t>
  </si>
  <si>
    <t>@lwndln</t>
  </si>
  <si>
    <t>lwndln17@gmail.com</t>
  </si>
  <si>
    <t>Квітка Таісія</t>
  </si>
  <si>
    <t>@kvitka_design</t>
  </si>
  <si>
    <t>champion010397@gmail.com</t>
  </si>
  <si>
    <t>Перекрест Станіслав</t>
  </si>
  <si>
    <t>@MChief1337</t>
  </si>
  <si>
    <t>stanislavperekrest92@gmail.com</t>
  </si>
  <si>
    <t>Дементєєв Дмитро</t>
  </si>
  <si>
    <t>Дементьєв Дмитро.pptx</t>
  </si>
  <si>
    <t>@acutapugione</t>
  </si>
  <si>
    <t>acuta.pugione@gmail.com</t>
  </si>
  <si>
    <t>Білоус Поліна</t>
  </si>
  <si>
    <t>@bombiteen</t>
  </si>
  <si>
    <t>polina.belous.2002.pb@gmail.com</t>
  </si>
  <si>
    <t>Шадура Владислав</t>
  </si>
  <si>
    <t>@Kotia_ra</t>
  </si>
  <si>
    <t>vladsadura4@gmail.com</t>
  </si>
  <si>
    <t>Карташов Микита</t>
  </si>
  <si>
    <t>@Mykyta_Kartashov</t>
  </si>
  <si>
    <t>nikkart22@gmail.com</t>
  </si>
  <si>
    <t>Кривенко Михайло</t>
  </si>
  <si>
    <t>@MishaKrivenko</t>
  </si>
  <si>
    <t>krivenkomihail10@gmail.com</t>
  </si>
  <si>
    <t>Прокопенко Валентин</t>
  </si>
  <si>
    <t>@asyncfunction</t>
  </si>
  <si>
    <t>prokopdev@gmail.com</t>
  </si>
  <si>
    <t>Левонтюк Інна</t>
  </si>
  <si>
    <t>@douxmyrtille</t>
  </si>
  <si>
    <t>inna.levontiuk@gmail.com</t>
  </si>
  <si>
    <t>Помогаєв Костянтин</t>
  </si>
  <si>
    <t>Помогаєв Костянтин.pptx</t>
  </si>
  <si>
    <t>@pomogaev_k</t>
  </si>
  <si>
    <t>konstantin_help@ukr.net</t>
  </si>
  <si>
    <t>Плаксій Ярослав</t>
  </si>
  <si>
    <t>@yaroslav_plaksii (https://t.me/yaroslav_plaksii)</t>
  </si>
  <si>
    <t>plaksii.yaroslav@gmail.com</t>
  </si>
  <si>
    <t>Рабодзей Світлана</t>
  </si>
  <si>
    <t>@svitlana_vvv</t>
  </si>
  <si>
    <t>rabodzey.svitlana.v@gmail.com</t>
  </si>
  <si>
    <t>Рибкіна Олена</t>
  </si>
  <si>
    <t>@Rybkina_Olena</t>
  </si>
  <si>
    <t>lenarybkina30@gmail.com</t>
  </si>
  <si>
    <t>Дементєєва Вероніка</t>
  </si>
  <si>
    <t>@veronikadementieieva</t>
  </si>
  <si>
    <t>veronikasilakova740@gmail.com</t>
  </si>
  <si>
    <t>Александрова Євгенія</t>
  </si>
  <si>
    <t>@Zhenalex</t>
  </si>
  <si>
    <t>evgenia.aleksandrova.hk@gmail.com</t>
  </si>
  <si>
    <t>Моісеєва Тетяна</t>
  </si>
  <si>
    <t>@MoiseevaTanya</t>
  </si>
  <si>
    <t>tanya.ll.moiseeva@gmail.com</t>
  </si>
  <si>
    <t>Кропивко Влад</t>
  </si>
  <si>
    <t>@vladkropyvko</t>
  </si>
  <si>
    <t>v.kropyvko@goiteens.ua</t>
  </si>
  <si>
    <t>Журавель Ірина</t>
  </si>
  <si>
    <t>@iryna_zhuravel</t>
  </si>
  <si>
    <t>irendudko07@gmail.com</t>
  </si>
  <si>
    <t>Бегма Андрій</t>
  </si>
  <si>
    <t>Бегма Андрій.pptx</t>
  </si>
  <si>
    <t>@abegma</t>
  </si>
  <si>
    <t>abegma137@gmail.com</t>
  </si>
  <si>
    <t>Кондюк Катерина</t>
  </si>
  <si>
    <t>@treoplewoman</t>
  </si>
  <si>
    <t>kondiuk.kateryna@gmail.com</t>
  </si>
  <si>
    <t>Брикайло Ольга</t>
  </si>
  <si>
    <t>@Olya_Brykaylo</t>
  </si>
  <si>
    <t>oligka3@ukr.net</t>
  </si>
  <si>
    <t>Поляков Михайло</t>
  </si>
  <si>
    <t>@Skolzkiy_Bear</t>
  </si>
  <si>
    <t>m.polyakov2013@gmail.com</t>
  </si>
  <si>
    <t>Орлеан Єлизавета</t>
  </si>
  <si>
    <t>@Ellie_Line</t>
  </si>
  <si>
    <t>elizaorlean@gmail.com</t>
  </si>
  <si>
    <t>Корсунський-Марченко Дмитро</t>
  </si>
  <si>
    <t>@DmytroKors</t>
  </si>
  <si>
    <t>korsunskiid@gmail.com</t>
  </si>
  <si>
    <t>Тимків Людмила</t>
  </si>
  <si>
    <t>@tymkiv_liudmyla</t>
  </si>
  <si>
    <t>liudmylatymkiv@gmail.com</t>
  </si>
  <si>
    <t>Білецька Ірина</t>
  </si>
  <si>
    <t>@Arinka_Nikita</t>
  </si>
  <si>
    <t>biletskayairina7777@gmail.com</t>
  </si>
  <si>
    <t>Гончаренко Анна</t>
  </si>
  <si>
    <t>@AnnaaGoncharenko</t>
  </si>
  <si>
    <t>goncharenko.anua@gmail.com</t>
  </si>
  <si>
    <t>Гриневич Олена</t>
  </si>
  <si>
    <t>@AsufarutoAi</t>
  </si>
  <si>
    <t>elenagrinevich20@gmail.com</t>
  </si>
  <si>
    <t>Шелемеха Марія</t>
  </si>
  <si>
    <t>@knagynya_ukr_art05</t>
  </si>
  <si>
    <t>senitraart@gmail.com</t>
  </si>
  <si>
    <t>Завада Валерія</t>
  </si>
  <si>
    <t>@Zavada_Valeriia</t>
  </si>
  <si>
    <t>lera.zavada21@gmail.com</t>
  </si>
  <si>
    <t>Большунова Олена</t>
  </si>
  <si>
    <t>Большунова Олена.pptx</t>
  </si>
  <si>
    <t>@OlenaBolshunova</t>
  </si>
  <si>
    <t>bolshunovaolena@gmail.com</t>
  </si>
  <si>
    <t>Середенко Євгенія</t>
  </si>
  <si>
    <t>пробні</t>
  </si>
  <si>
    <t>EvgeniyaAFL</t>
  </si>
  <si>
    <t>seredenko.evgeniya@gmail.com</t>
  </si>
  <si>
    <t>Дзівідзінська Мар'яна</t>
  </si>
  <si>
    <t>@Dzividzinska</t>
  </si>
  <si>
    <t>marianadzividzinska04@gmail.com</t>
  </si>
  <si>
    <t>Івасенко Катерина</t>
  </si>
  <si>
    <t>@ivasenkovaa</t>
  </si>
  <si>
    <t>katyaivasenko2017@gmail.com</t>
  </si>
  <si>
    <t>Рубінський Ілля</t>
  </si>
  <si>
    <t>@ilya_rubinsky</t>
  </si>
  <si>
    <t>ilya.rubinsky@gmail.com</t>
  </si>
  <si>
    <t>Поляренко Олена</t>
  </si>
  <si>
    <t>@opoliarenk</t>
  </si>
  <si>
    <t>poliarny.olen@gmail.com</t>
  </si>
  <si>
    <t>Іваненко Ірина</t>
  </si>
  <si>
    <t>@IrysyaIvanenko</t>
  </si>
  <si>
    <t>10031976ua@gmail.com</t>
  </si>
  <si>
    <t>Кулібабіна Анна</t>
  </si>
  <si>
    <t>@Anna_Kulibabina</t>
  </si>
  <si>
    <t>anna.kulibabina@gmail.com</t>
  </si>
  <si>
    <t>Гула Андрій</t>
  </si>
  <si>
    <t>@Andriy_Hula</t>
  </si>
  <si>
    <t>hula17design@gmail.com</t>
  </si>
  <si>
    <t>Синяговська Анна</t>
  </si>
  <si>
    <t>@syniahovska_a</t>
  </si>
  <si>
    <t>anna.syniahovska@gmail.com</t>
  </si>
  <si>
    <t>Травкіна Мар'яна</t>
  </si>
  <si>
    <t>@Mariannaaaaaaaa8</t>
  </si>
  <si>
    <t>mariannaaaa159@gmail.com</t>
  </si>
  <si>
    <t>Дітчик Вікторія</t>
  </si>
  <si>
    <t>@vika8957</t>
  </si>
  <si>
    <t>viktoria.ditchyk@gmail.com</t>
  </si>
  <si>
    <t>Веретенников Владислав</t>
  </si>
  <si>
    <t>@teachergeek</t>
  </si>
  <si>
    <t>litwinkowitch@gmail.com</t>
  </si>
  <si>
    <t>https://docs.google.com/spreadsheets/d/1JZhEfMTiwIFQJkfB0bJR7koRGiKKbzBLtqRc1bYSrvQ/edit?usp=drive_link</t>
  </si>
  <si>
    <t>5375 4115 0536 0482</t>
  </si>
  <si>
    <t>Шулєшко Дар'я</t>
  </si>
  <si>
    <t>@dariashulesh</t>
  </si>
  <si>
    <t>shuleshkodasha@gmail.com</t>
  </si>
  <si>
    <t>Осман Карим</t>
  </si>
  <si>
    <t>@karimka_1</t>
  </si>
  <si>
    <t>karimosman20125@gmail.com</t>
  </si>
  <si>
    <t>Ніжник Кирило</t>
  </si>
  <si>
    <t>Ніжник Кирилл</t>
  </si>
  <si>
    <t>@kirill_nizhnik</t>
  </si>
  <si>
    <t>kiril.niznik@gmail.com</t>
  </si>
  <si>
    <t>Войтенко Юлія</t>
  </si>
  <si>
    <t>@fubinaka</t>
  </si>
  <si>
    <t>voytenko3365@gmail.com</t>
  </si>
  <si>
    <t>Курилюк Юлія</t>
  </si>
  <si>
    <t>@YuliaKuryliuk</t>
  </si>
  <si>
    <t>nyurba@gmail.com</t>
  </si>
  <si>
    <t>Ромащук Анастасія</t>
  </si>
  <si>
    <t>@n_nastia2</t>
  </si>
  <si>
    <t>romashuk11@gmail.com</t>
  </si>
  <si>
    <t>Сафонова Тетяна</t>
  </si>
  <si>
    <t>safonovat17@gmail.com</t>
  </si>
  <si>
    <t>Мамченко Владислава</t>
  </si>
  <si>
    <t>@VladyslavaMamchenko</t>
  </si>
  <si>
    <t>mivisha.net@gmail.com</t>
  </si>
  <si>
    <t>Максименко Інна</t>
  </si>
  <si>
    <t>@inna_maksymenko</t>
  </si>
  <si>
    <t>sofinna@bigmir.net</t>
  </si>
  <si>
    <t>Хас Зоряна</t>
  </si>
  <si>
    <t>@khaszor</t>
  </si>
  <si>
    <t>zoryanakhasss@gmail.com</t>
  </si>
  <si>
    <t>Щетиніна Ольга</t>
  </si>
  <si>
    <t>Ольга Щетиніна</t>
  </si>
  <si>
    <t>@olga_shchetynina</t>
  </si>
  <si>
    <t>shchetininaolga.bdpu@gmail.com</t>
  </si>
  <si>
    <t>Дебольський Олександр</t>
  </si>
  <si>
    <t>@oleksandrDOS</t>
  </si>
  <si>
    <t>oldebolkan@gmail.com</t>
  </si>
  <si>
    <t>Стрельникова Кристина</t>
  </si>
  <si>
    <t>@kristi_strelnykova</t>
  </si>
  <si>
    <t>shiershavina@gmail.com</t>
  </si>
  <si>
    <t>Губарєв Владислав</t>
  </si>
  <si>
    <t>Губарєв Влад</t>
  </si>
  <si>
    <t>@Pe3yc</t>
  </si>
  <si>
    <t>darkmus@ukr.net</t>
  </si>
  <si>
    <t>Царьова Юлія</t>
  </si>
  <si>
    <t>Царьова Юлія.pptx</t>
  </si>
  <si>
    <t>@tsarevajuliya</t>
  </si>
  <si>
    <t>tsarevadancer@gmail.com</t>
  </si>
  <si>
    <t>Орлова Світлана</t>
  </si>
  <si>
    <t>@OrlovaSvitlana (https://t.me/OrlovaSvitlana)</t>
  </si>
  <si>
    <t>722osa@gmail.com</t>
  </si>
  <si>
    <t>Савчук Валерія</t>
  </si>
  <si>
    <t>@Rosa_Zukkerman</t>
  </si>
  <si>
    <t>savtschuk1513@gmail.com</t>
  </si>
  <si>
    <t>Маланюк Ростислав</t>
  </si>
  <si>
    <t>Маланюк Ростислав.pptx</t>
  </si>
  <si>
    <t>@Rostyslav_Malaniuk</t>
  </si>
  <si>
    <t>rostyslav.malaniuk@gmail.com</t>
  </si>
  <si>
    <t>Галіброда Анатолій</t>
  </si>
  <si>
    <t>@galibroda</t>
  </si>
  <si>
    <t>halibrodaas@gmail.com</t>
  </si>
  <si>
    <t>Підвальна Олександра</t>
  </si>
  <si>
    <t>@kinkaang</t>
  </si>
  <si>
    <t>sasha23p4b8@gmail.com</t>
  </si>
  <si>
    <t>Сенечин Анатолій</t>
  </si>
  <si>
    <t>@I097231</t>
  </si>
  <si>
    <t>anatoliysynecun2016@gmail.com</t>
  </si>
  <si>
    <t>Коваленко Людмила</t>
  </si>
  <si>
    <t>Коваленко Людмила.pptx</t>
  </si>
  <si>
    <t>@Liudmyla_Kovalenko</t>
  </si>
  <si>
    <t>lyuda_kova@ukr.net</t>
  </si>
  <si>
    <t>Руденко Юлія</t>
  </si>
  <si>
    <t>@yulii_rudenko</t>
  </si>
  <si>
    <t>justupina@gmail.com</t>
  </si>
  <si>
    <t>Гензерська Марія</t>
  </si>
  <si>
    <t>@Genzerska</t>
  </si>
  <si>
    <t>genzerska@gmail.com</t>
  </si>
  <si>
    <t>Іванченко Анастасія</t>
  </si>
  <si>
    <t>@ivanchenko_anastasia</t>
  </si>
  <si>
    <t>anastasyaivanchenko374@gmail.com</t>
  </si>
  <si>
    <t>Лагутіна Оксана</t>
  </si>
  <si>
    <t>@lahutinaa</t>
  </si>
  <si>
    <t>oksankalahutina@gmail.com</t>
  </si>
  <si>
    <t>Михайленко Юлія</t>
  </si>
  <si>
    <t>@yuliya_mykhailenko</t>
  </si>
  <si>
    <t>mikhaylenkoyuliya@gmail.com</t>
  </si>
  <si>
    <t>Криворученко Анастасія</t>
  </si>
  <si>
    <t>@nastia_krivoruchenko</t>
  </si>
  <si>
    <t>nastiakrivoruchenko@gmail.com</t>
  </si>
  <si>
    <t>Бондар Марина</t>
  </si>
  <si>
    <t>Бондар Марина.pptx</t>
  </si>
  <si>
    <t>@deasdfg</t>
  </si>
  <si>
    <t>bondarm592@gmail.com</t>
  </si>
  <si>
    <t>Шейко Ростислав</t>
  </si>
  <si>
    <t>@arg3ntuum</t>
  </si>
  <si>
    <t>0mrdenials0@gmail.com</t>
  </si>
  <si>
    <t>Дєдова Оксана</t>
  </si>
  <si>
    <t xml:space="preserve">@ksusha_diedova </t>
  </si>
  <si>
    <t>o.dedova@ukr.net</t>
  </si>
  <si>
    <t>Старокожев Святослав</t>
  </si>
  <si>
    <t>Старокожев Святослав.pptx</t>
  </si>
  <si>
    <t>@hunny_rabbit</t>
  </si>
  <si>
    <t>slaventiysvat@gmail.com</t>
  </si>
  <si>
    <t>Петік Марина</t>
  </si>
  <si>
    <t>Петік Мирина</t>
  </si>
  <si>
    <t>@marynapetik</t>
  </si>
  <si>
    <t>marinapaketik@gmail.com</t>
  </si>
  <si>
    <t>Боднар Юлія</t>
  </si>
  <si>
    <t>@YuliaIvanishena</t>
  </si>
  <si>
    <t>y.ivanishena@goiteens.global</t>
  </si>
  <si>
    <t>Каширіна Альона</t>
  </si>
  <si>
    <t>@Solar1100</t>
  </si>
  <si>
    <t>kashirinaalyona46@gmail.com</t>
  </si>
  <si>
    <t>Дмитрук Олександра</t>
  </si>
  <si>
    <t>@sasha_dmytruk</t>
  </si>
  <si>
    <t>sasha.dmytruk12@gmail.com</t>
  </si>
  <si>
    <t>Орловська Надія</t>
  </si>
  <si>
    <t>Орловська – копія</t>
  </si>
  <si>
    <t>@metushnya</t>
  </si>
  <si>
    <t>nadiaor251@gmail.com</t>
  </si>
  <si>
    <t>Кучеренко Максим</t>
  </si>
  <si>
    <t>Кучеренко Максим.pptx</t>
  </si>
  <si>
    <t>@im4xs</t>
  </si>
  <si>
    <t>mxm.kucherenko@gmail.com</t>
  </si>
  <si>
    <t>Аверчук Юлія</t>
  </si>
  <si>
    <t>@sekretieva</t>
  </si>
  <si>
    <t>avercuku@gmail.com</t>
  </si>
  <si>
    <t>Кривошия Марина</t>
  </si>
  <si>
    <t>@marina_kryvoshyia</t>
  </si>
  <si>
    <t>marina.kryvoshiya@gmail.com</t>
  </si>
  <si>
    <t>Греськів Тетяна</t>
  </si>
  <si>
    <t>@hv_tania</t>
  </si>
  <si>
    <t>tanja.hreskiv3@gmail.com</t>
  </si>
  <si>
    <t>Пасічник Вікторія</t>
  </si>
  <si>
    <t>Презентация без названия</t>
  </si>
  <si>
    <t>@coffee_duck2</t>
  </si>
  <si>
    <t>vika.pasechnik74@gmail.com</t>
  </si>
  <si>
    <t>Гаврилюк Артур</t>
  </si>
  <si>
    <t>Гаврилюк Артур.pptx – копія.pptx</t>
  </si>
  <si>
    <t>@anoverdose13</t>
  </si>
  <si>
    <t>angelofdeath010904@gmail.com</t>
  </si>
  <si>
    <t>Малеш Юрій</t>
  </si>
  <si>
    <t>@nechihman1</t>
  </si>
  <si>
    <t>dfyrsrdf@gmail.com</t>
  </si>
  <si>
    <t>Серпень</t>
  </si>
  <si>
    <t>Спесивцева Анастасія</t>
  </si>
  <si>
    <t>@Ana_Solarrr (https://t.me/Ana_Solarrr)</t>
  </si>
  <si>
    <t>anastacia.spesivtseva@gmail.com</t>
  </si>
  <si>
    <t>Мироненко Геннадій</t>
  </si>
  <si>
    <t>@hennadiimyr</t>
  </si>
  <si>
    <t>gennadii24myr@gmail.com</t>
  </si>
  <si>
    <t>Міщенко Єгор</t>
  </si>
  <si>
    <t>@Yehorafk</t>
  </si>
  <si>
    <t>dp.workmail.yehor@gmail.com</t>
  </si>
  <si>
    <t>Бережанська Марина</t>
  </si>
  <si>
    <t>@arina_lex</t>
  </si>
  <si>
    <t>berezhanska.maryna@gmail.com</t>
  </si>
  <si>
    <t>Іщенко Микола</t>
  </si>
  <si>
    <t>@WorkingYkraine</t>
  </si>
  <si>
    <t>ish.myk0la@gmail.com</t>
  </si>
  <si>
    <t>Брух Анна</t>
  </si>
  <si>
    <t>@prost_ania (https://t.me/prost_ania)</t>
  </si>
  <si>
    <t>brukh.anna2000@gmail.com</t>
  </si>
  <si>
    <t>Безвух Сергій</t>
  </si>
  <si>
    <t>Безвух Сергій.pptx</t>
  </si>
  <si>
    <t>@Sergij_Bezvuh</t>
  </si>
  <si>
    <t>sbezvuch@ukr.net</t>
  </si>
  <si>
    <t>Лабунець Неля</t>
  </si>
  <si>
    <t>@nelya_labunets</t>
  </si>
  <si>
    <t>nelyalabunets@gmail.com</t>
  </si>
  <si>
    <t>Гайдук Іван</t>
  </si>
  <si>
    <t>Гайдук Іван.pptx</t>
  </si>
  <si>
    <t>@gaiduk2094</t>
  </si>
  <si>
    <t>gaiduk94ivan@gmail.com</t>
  </si>
  <si>
    <t>Семченко Анастасія</t>
  </si>
  <si>
    <t>@alyciadrianova</t>
  </si>
  <si>
    <t>anastasiia.semchenko@gmail.com</t>
  </si>
  <si>
    <t>Іщенко Лілія</t>
  </si>
  <si>
    <t>@Ishchenko_Liliia</t>
  </si>
  <si>
    <t>lvishchenko23@gmail.com</t>
  </si>
  <si>
    <t>Резніченко Лілія</t>
  </si>
  <si>
    <t>@ReLiAlex</t>
  </si>
  <si>
    <t>reznichencolilya@ukr.net</t>
  </si>
  <si>
    <t>Карпій Віталій</t>
  </si>
  <si>
    <t>@vykarpii</t>
  </si>
  <si>
    <t>vitalykarpii@gmail.com</t>
  </si>
  <si>
    <t>Сапун Олена</t>
  </si>
  <si>
    <t>@Olena_Sapun</t>
  </si>
  <si>
    <t>lmk05081988@gmail.com</t>
  </si>
  <si>
    <t>Зелений Ярослав</t>
  </si>
  <si>
    <t>@caporegimez (https://t.me/caporegimez)</t>
  </si>
  <si>
    <t>yaroslavzelenyi@gmail.com</t>
  </si>
  <si>
    <t>Козловська Анастасія</t>
  </si>
  <si>
    <t>@Plafioi</t>
  </si>
  <si>
    <t>djessika.lis@gmail.com</t>
  </si>
  <si>
    <t>Кравчик Олена</t>
  </si>
  <si>
    <t>@Olena023 (https://t.me/Olena023)</t>
  </si>
  <si>
    <t>olenka.kravchyk@gmail.com</t>
  </si>
  <si>
    <t>Педь Єлизавета</t>
  </si>
  <si>
    <t>@betty_lkrnk</t>
  </si>
  <si>
    <t>elizabethped25@gmail.com</t>
  </si>
  <si>
    <t>Дьогтяр Артур</t>
  </si>
  <si>
    <t>Артур Дьогтяр</t>
  </si>
  <si>
    <t>@ar4xgod</t>
  </si>
  <si>
    <t>artyrdogtar@gmail.com</t>
  </si>
  <si>
    <t>B</t>
  </si>
  <si>
    <t>Шевчук Богдан</t>
  </si>
  <si>
    <t>@bogdan_shevchuk</t>
  </si>
  <si>
    <t>bogdan225577@ukr.net</t>
  </si>
  <si>
    <t>Щербакова Анастасія</t>
  </si>
  <si>
    <t>озловсь@anasthesia_s</t>
  </si>
  <si>
    <t>samanta66613@gmail.com</t>
  </si>
  <si>
    <t>Кондратюк Богдан</t>
  </si>
  <si>
    <t>@Coding_teacher</t>
  </si>
  <si>
    <t>boplan1985@gmail.com</t>
  </si>
  <si>
    <t>Дмитриєвський Юрій-Георгій</t>
  </si>
  <si>
    <t>@RedBigFox</t>
  </si>
  <si>
    <t>masterfolk888@gmail.com</t>
  </si>
  <si>
    <t xml:space="preserve">Махов Данило </t>
  </si>
  <si>
    <t>@belyashvcmetahe</t>
  </si>
  <si>
    <t>dmahovbvc@gmail.com</t>
  </si>
  <si>
    <t>Ковтало Оксана</t>
  </si>
  <si>
    <t>@Oxana591</t>
  </si>
  <si>
    <t>oxanak591@gmail.com</t>
  </si>
  <si>
    <t>Музика Вікторія</t>
  </si>
  <si>
    <t>@vicky_just_vicky</t>
  </si>
  <si>
    <t>vikyna731@gmail.com</t>
  </si>
  <si>
    <t>Посацький Роман</t>
  </si>
  <si>
    <t>@posatsky</t>
  </si>
  <si>
    <t>posatsky@gmail.com</t>
  </si>
  <si>
    <t>Яремчук Юлія</t>
  </si>
  <si>
    <t>@Seliwange (https://t.me/Seliwange)</t>
  </si>
  <si>
    <t>yulyawa@meta.ua</t>
  </si>
  <si>
    <t>Денікевич Лілія</t>
  </si>
  <si>
    <t>Денікевич картка викладача</t>
  </si>
  <si>
    <t>@Liliiya_zu</t>
  </si>
  <si>
    <t>denikevych@gmail.com</t>
  </si>
  <si>
    <t>Сенчило Андрій</t>
  </si>
  <si>
    <t>@owl_sifu</t>
  </si>
  <si>
    <t>andrey231102@gmail.com</t>
  </si>
  <si>
    <t>Чорнолуцька Світлана</t>
  </si>
  <si>
    <t>@ch_svitlana</t>
  </si>
  <si>
    <t>chornolutska.svitlana@gmail.com</t>
  </si>
  <si>
    <t>Овечко Анастасія</t>
  </si>
  <si>
    <t>@sgaip07</t>
  </si>
  <si>
    <t>nastiyovechko2003@gmail.com</t>
  </si>
  <si>
    <t>Зуза Інна</t>
  </si>
  <si>
    <t>Зуза Інна.pdf</t>
  </si>
  <si>
    <t>@InnaZuza</t>
  </si>
  <si>
    <t>abccamp2014@gmail.com</t>
  </si>
  <si>
    <t>Раскіна Анастасія</t>
  </si>
  <si>
    <t>@raskina_asia</t>
  </si>
  <si>
    <t>gostinina.anastasiya@gmail.com</t>
  </si>
  <si>
    <t>Коваль Світлана</t>
  </si>
  <si>
    <t>Коваль Світлана.pptx</t>
  </si>
  <si>
    <t>@SV_abcd</t>
  </si>
  <si>
    <t>workerworker21@gmail.com</t>
  </si>
  <si>
    <t>Ковердій Олександра</t>
  </si>
  <si>
    <t>@Liss_88S</t>
  </si>
  <si>
    <t>vi8314499@gmail.com</t>
  </si>
  <si>
    <t>Рамський Ігор</t>
  </si>
  <si>
    <t>@red_dark_butterfly</t>
  </si>
  <si>
    <t>ramskyihor@gmail.com</t>
  </si>
  <si>
    <t>Педос Анастасія</t>
  </si>
  <si>
    <t>Копия Шаблон картки викладача</t>
  </si>
  <si>
    <t>@riokahi</t>
  </si>
  <si>
    <t>pedosnr@gmail.com</t>
  </si>
  <si>
    <t>Гапак Наталія</t>
  </si>
  <si>
    <t>@NataliHapak</t>
  </si>
  <si>
    <t>hapaknataliia@gmail.com</t>
  </si>
  <si>
    <t>Туліка Валерія</t>
  </si>
  <si>
    <t>Туліка  Валерія</t>
  </si>
  <si>
    <t>@used_to_be1579</t>
  </si>
  <si>
    <t>leratulika@ukr.net</t>
  </si>
  <si>
    <t>Кіраль Христина</t>
  </si>
  <si>
    <t>@Khrystinochka</t>
  </si>
  <si>
    <t>kiralkrystina@gmail.com</t>
  </si>
  <si>
    <t>Симоненко Анна</t>
  </si>
  <si>
    <t>@anna7symonenko</t>
  </si>
  <si>
    <t>nyura070503@gmail.com</t>
  </si>
  <si>
    <t>Верзун Катерина</t>
  </si>
  <si>
    <t>@kkkkkkkkkkk3</t>
  </si>
  <si>
    <t>katerinaverzun@gmail.com</t>
  </si>
  <si>
    <t>Бадя Ірина</t>
  </si>
  <si>
    <t>@ira_goit</t>
  </si>
  <si>
    <t>i.badia@goit.ua</t>
  </si>
  <si>
    <t xml:space="preserve">Шапран Едуард </t>
  </si>
  <si>
    <t>Шапран Едуард</t>
  </si>
  <si>
    <t>@crazzy_fox_777</t>
  </si>
  <si>
    <t>shapran450@gmail.com</t>
  </si>
  <si>
    <t xml:space="preserve">Кравчук Ольга </t>
  </si>
  <si>
    <t>Кравчук Ольга</t>
  </si>
  <si>
    <t>@olly_kravchuk</t>
  </si>
  <si>
    <t>kravchuk.olga2803@gmail.com</t>
  </si>
  <si>
    <t>Дейлік Марія</t>
  </si>
  <si>
    <t>ДЕЙЛІК МАРІЯ</t>
  </si>
  <si>
    <t>@dxkugirima</t>
  </si>
  <si>
    <t>mariiadeilikx@gmail.com</t>
  </si>
  <si>
    <t>Крючкова Юлія</t>
  </si>
  <si>
    <t xml:space="preserve">Крючкова Юлія </t>
  </si>
  <si>
    <t>@yuliia_03</t>
  </si>
  <si>
    <t>kriuchkova.yuliia@gmail.com</t>
  </si>
  <si>
    <t>Мількова Анастасія</t>
  </si>
  <si>
    <t>@AnastasiaDesigner</t>
  </si>
  <si>
    <t>anastasia.m.designer@gmail.com</t>
  </si>
  <si>
    <t>Фараонова Альона</t>
  </si>
  <si>
    <t>@Faraonova</t>
  </si>
  <si>
    <t>garpuna@gmail.com</t>
  </si>
  <si>
    <t>Гаврилюк Микита</t>
  </si>
  <si>
    <t>@kronomius</t>
  </si>
  <si>
    <t>goroseey@icloud.com</t>
  </si>
  <si>
    <t>Кулеш Іван</t>
  </si>
  <si>
    <t>Кулеш Іван.pptx</t>
  </si>
  <si>
    <t>@vankulesh</t>
  </si>
  <si>
    <t>ivankulesh0200@gmail.com</t>
  </si>
  <si>
    <t>Новохатько Наталя</t>
  </si>
  <si>
    <t>Новохатько Наталія</t>
  </si>
  <si>
    <t>@NataliaNovohatko</t>
  </si>
  <si>
    <t>novohatko123456789@gmail.com</t>
  </si>
  <si>
    <t>Грозний Богдан</t>
  </si>
  <si>
    <t>@bo_groznyi</t>
  </si>
  <si>
    <t>furalex24@gmail.com</t>
  </si>
  <si>
    <t>Лисенко Ілля</t>
  </si>
  <si>
    <t>Лисенко Ілля.pdf</t>
  </si>
  <si>
    <t>@O_ilya_0</t>
  </si>
  <si>
    <t>ilyalisenko12@gmail.com</t>
  </si>
  <si>
    <t>Гапук Олег</t>
  </si>
  <si>
    <t>@olehhapuk</t>
  </si>
  <si>
    <t>oleggapuk20@gmail.com</t>
  </si>
  <si>
    <t>Нігматулліна Жасмін</t>
  </si>
  <si>
    <t>@djansinka</t>
  </si>
  <si>
    <t>jasmina_pozitif@icloud.com</t>
  </si>
  <si>
    <t>Цікавий підхід, помітно, що досвід роботи психологом.  Гіпервідповідальна.  Може брати заміни через тривогу (м.Київ)</t>
  </si>
  <si>
    <t>Колісниченко Юлія</t>
  </si>
  <si>
    <t>Юлія Колісниченко</t>
  </si>
  <si>
    <t>@kolisyuliia</t>
  </si>
  <si>
    <t>kolisnychenkojulia@gmail.com</t>
  </si>
  <si>
    <t>Глушаниця Роман</t>
  </si>
  <si>
    <t>@roman_rhome</t>
  </si>
  <si>
    <t>r.glyshanitsya@gmail.com</t>
  </si>
  <si>
    <t>Білоус Андрій</t>
  </si>
  <si>
    <t>@PalkaVKoleso</t>
  </si>
  <si>
    <t>kobaltohak@gmail.com</t>
  </si>
  <si>
    <t>Юзькова Інна</t>
  </si>
  <si>
    <t>@inna_yuzkova</t>
  </si>
  <si>
    <t>yuzkova97@gmail.com</t>
  </si>
  <si>
    <t>Денисов Михайло</t>
  </si>
  <si>
    <t>Денисов Михайло.pptx</t>
  </si>
  <si>
    <t>@mikhailmid</t>
  </si>
  <si>
    <t>mykhailo.denysov@gmail.com</t>
  </si>
  <si>
    <t>Рурак Катерина</t>
  </si>
  <si>
    <t>@katia_rurak</t>
  </si>
  <si>
    <t>xxxxxkate01@gmail.com</t>
  </si>
  <si>
    <t>Бондаренко Ілля</t>
  </si>
  <si>
    <t>@bondar200</t>
  </si>
  <si>
    <t>illiabondarenko2804@gmail.com</t>
  </si>
  <si>
    <t>Кутья Лада</t>
  </si>
  <si>
    <t>@Ladissia</t>
  </si>
  <si>
    <t>lada.snowflake03@gmail.com</t>
  </si>
  <si>
    <t>Коник Олександр</t>
  </si>
  <si>
    <t>@Sunchino</t>
  </si>
  <si>
    <t>saniakonyk@gmail.com</t>
  </si>
  <si>
    <t>Бабінський Олександр</t>
  </si>
  <si>
    <t>Бабінський Олександр.pptx</t>
  </si>
  <si>
    <t>@oleksandr_babinskyi</t>
  </si>
  <si>
    <t>oleksandrzavara@gmail.com</t>
  </si>
  <si>
    <t xml:space="preserve">Шпак Катерина </t>
  </si>
  <si>
    <t>https://docs.google.com/presentation/d/12mS7oT0zZQk8c9WZ-9e_6IT14aaonGDeOBDkLp1bIWE/edit?usp=sharing</t>
  </si>
  <si>
    <t>@kkaterynass</t>
  </si>
  <si>
    <t>kateshpak201571@gmail.com</t>
  </si>
  <si>
    <t>Трофимова Анастасія</t>
  </si>
  <si>
    <t>@nastiatrofimova</t>
  </si>
  <si>
    <t>1anastasiatrofimova@gmail.com</t>
  </si>
  <si>
    <t>Белікова Катерина</t>
  </si>
  <si>
    <t>@katya_belikova</t>
  </si>
  <si>
    <t>katerynabelikova@gmail.com</t>
  </si>
  <si>
    <t>Борщ Владислав</t>
  </si>
  <si>
    <t>https://docs.google.com/presentation/d/1zVUsOpRsl7KcvoUwIlIMJl6sO9zMGVGLH3s6NoQbd6Q/edit?usp=sharing</t>
  </si>
  <si>
    <t>@borcsh_man</t>
  </si>
  <si>
    <t>borcsman1@gmail.com</t>
  </si>
  <si>
    <t>Ряшко Дарина</t>
  </si>
  <si>
    <t>Ряшко Дарина.pptx</t>
  </si>
  <si>
    <t>@d_ryashko</t>
  </si>
  <si>
    <t>darynaryashko@gmail.com</t>
  </si>
  <si>
    <t>Лапченко Іван</t>
  </si>
  <si>
    <t>@vanya_nya</t>
  </si>
  <si>
    <t>lapchenko.vanya@gmail.com</t>
  </si>
  <si>
    <t>Кроковна Катерина</t>
  </si>
  <si>
    <t>Кроковна Катерина.pptx</t>
  </si>
  <si>
    <t>@prostokisunya</t>
  </si>
  <si>
    <t>krokovnayak@gmail.com</t>
  </si>
  <si>
    <t>Ростокін Андрій</t>
  </si>
  <si>
    <t>@RostokinAndrey</t>
  </si>
  <si>
    <t>andrey.rostokin@gmail.com</t>
  </si>
  <si>
    <t>Дашко Марта</t>
  </si>
  <si>
    <t>@martadashko</t>
  </si>
  <si>
    <t>13martadashko31@gmail.com</t>
  </si>
  <si>
    <t>Скакун Любов</t>
  </si>
  <si>
    <t>@Lubaskakun</t>
  </si>
  <si>
    <t>lubaskakun2607@gmail.com</t>
  </si>
  <si>
    <t>Пекшина Сабіна</t>
  </si>
  <si>
    <t>Пекшина Сабіна.pptx</t>
  </si>
  <si>
    <t>@Sabina_Pekshina</t>
  </si>
  <si>
    <t>sabina.psa@gmail.com</t>
  </si>
  <si>
    <t>Зайцева Марина</t>
  </si>
  <si>
    <t>Прис@tanyaaa_56</t>
  </si>
  <si>
    <t>zaicevamv15@gmail.com</t>
  </si>
  <si>
    <t>Дмитренко Юлія</t>
  </si>
  <si>
    <t>@lia_m</t>
  </si>
  <si>
    <t>yuliiadmytrenko.in@gmail.com</t>
  </si>
  <si>
    <t>Садова Юлія</t>
  </si>
  <si>
    <t>@Sadovaya_Yulia</t>
  </si>
  <si>
    <t>yuliazawizion@gmail.com</t>
  </si>
  <si>
    <t>Жуковін Олександр</t>
  </si>
  <si>
    <t>@AleksandrZhukovin</t>
  </si>
  <si>
    <t>sashokzuk@gmail.com</t>
  </si>
  <si>
    <t>Савченко Дар'я</t>
  </si>
  <si>
    <t>@DoriSavchenko</t>
  </si>
  <si>
    <t>dsavchenn@gmail.com</t>
  </si>
  <si>
    <t>Лисін Богдан</t>
  </si>
  <si>
    <t>@MathCrow</t>
  </si>
  <si>
    <t>yura.lusin@gmail.com</t>
  </si>
  <si>
    <t>Нікітюк Юлія</t>
  </si>
  <si>
    <t>@yulia_nikitiuk</t>
  </si>
  <si>
    <t>missis.kvashuk@gmail.com</t>
  </si>
  <si>
    <t>Дубина Микола</t>
  </si>
  <si>
    <t>Дубина Микола.pptx</t>
  </si>
  <si>
    <t>@mykola_dubyna</t>
  </si>
  <si>
    <t>mykola22dubyna@gmail.com</t>
  </si>
  <si>
    <t>Бойко Богдан</t>
  </si>
  <si>
    <t>@bbv_rpz10k</t>
  </si>
  <si>
    <t>puboyko@gmail.com</t>
  </si>
  <si>
    <t>Чурілов Євген</t>
  </si>
  <si>
    <t>@Infoche89</t>
  </si>
  <si>
    <t>infoche89@gmail.com</t>
  </si>
  <si>
    <t>Андреєв Віктор</t>
  </si>
  <si>
    <t>@AndreievViktor</t>
  </si>
  <si>
    <t>vikt.andreew2018@gmail.com</t>
  </si>
  <si>
    <t>Ковалюк Дмитро</t>
  </si>
  <si>
    <t>@dmytro_kovalyuk</t>
  </si>
  <si>
    <t>dmytro.kovalyuk@gmail.com</t>
  </si>
  <si>
    <t>Дудка Інна</t>
  </si>
  <si>
    <t>@innand</t>
  </si>
  <si>
    <t>inna94@i.ua</t>
  </si>
  <si>
    <t>Васильєва Ганна</t>
  </si>
  <si>
    <t>Васильєва Ганна.pptx</t>
  </si>
  <si>
    <t>@hannavasylyeva</t>
  </si>
  <si>
    <t>h.v.vasylyeva@hotmail.com</t>
  </si>
  <si>
    <t>Єськов Михайло</t>
  </si>
  <si>
    <t xml:space="preserve">@threedking </t>
  </si>
  <si>
    <t>threedking3dk@gmail.com</t>
  </si>
  <si>
    <t>Зеленова Єлизавета</t>
  </si>
  <si>
    <t>Зеленова Єлизавата</t>
  </si>
  <si>
    <t>@Betsybethh</t>
  </si>
  <si>
    <t>betsy.lz@ukr.net</t>
  </si>
  <si>
    <t>Шигін Михайло</t>
  </si>
  <si>
    <t>Шигін Михайло.pptx</t>
  </si>
  <si>
    <t>@johnglagol</t>
  </si>
  <si>
    <t>shyhinm@gmail.com</t>
  </si>
  <si>
    <t>Поротіков Михайло</t>
  </si>
  <si>
    <t>@mishaporotikow</t>
  </si>
  <si>
    <t>mishaporotikow@gmail.com</t>
  </si>
  <si>
    <t>Шарко Максим</t>
  </si>
  <si>
    <t>Шарко Максим.pptx</t>
  </si>
  <si>
    <t>@maks_sharko10 (https://t.me/maks_sharko10)</t>
  </si>
  <si>
    <t>maks.sharko02@gmail.com</t>
  </si>
  <si>
    <t>Кубанцев Сергій</t>
  </si>
  <si>
    <t>@skuub96</t>
  </si>
  <si>
    <t>casimirurh@gmail.com</t>
  </si>
  <si>
    <t>Чав'як Тетяна</t>
  </si>
  <si>
    <t>Дергобузова Валерія</t>
  </si>
  <si>
    <t>@brandashmg</t>
  </si>
  <si>
    <t>valeradergo@gmail.com</t>
  </si>
  <si>
    <t>Чмелюк Карина</t>
  </si>
  <si>
    <t>karynachmeliuk@gmail.com</t>
  </si>
  <si>
    <t>Крутько Дмитро</t>
  </si>
  <si>
    <t>@mr_silentium_engine</t>
  </si>
  <si>
    <t>krutko769@gmail.com</t>
  </si>
  <si>
    <t>Дем'яник Дмитро</t>
  </si>
  <si>
    <t>Дем’яник Дмитро</t>
  </si>
  <si>
    <t>@r1eaktor</t>
  </si>
  <si>
    <t>ddm8vkzxcvk@gmail.com</t>
  </si>
  <si>
    <t>Шаповалова Аліна</t>
  </si>
  <si>
    <t>@Sapovalova_Alina</t>
  </si>
  <si>
    <t>yermolenkoalina888@gmail.com</t>
  </si>
  <si>
    <t>Шимончук Анастасія</t>
  </si>
  <si>
    <t>@SAnastasia_02</t>
  </si>
  <si>
    <t>nastyashipucka15@gmail.com</t>
  </si>
  <si>
    <t>Калагастова Яна</t>
  </si>
  <si>
    <t>@kalagastova</t>
  </si>
  <si>
    <t>y.kalagastova@goit.ua</t>
  </si>
  <si>
    <t>Деревляний Давид</t>
  </si>
  <si>
    <t>@vanderwiy</t>
  </si>
  <si>
    <t>derevlianyi03@gmail.com</t>
  </si>
  <si>
    <t>Савіцький Іван</t>
  </si>
  <si>
    <t>@savikyan</t>
  </si>
  <si>
    <t>savikyan@gmail.com</t>
  </si>
  <si>
    <t>Липень</t>
  </si>
  <si>
    <t>Нагорна Маргарита</t>
  </si>
  <si>
    <t>https://docs.google.com/presentation/d/1OX1MgTb3lHkikbLimmMz0X9RIOQcxe96As1rdRTa3vw/edit?usp=sharing</t>
  </si>
  <si>
    <t>@mnahorna</t>
  </si>
  <si>
    <t>margaritafesenko@gmail.com</t>
  </si>
  <si>
    <t>Захарченко Наталя</t>
  </si>
  <si>
    <t>https://docs.google.com/presentation/d/1e6VnOYl4K4v6tDHUf46OgmayThRhNcHtXQizYWOngkc/edit?usp=sharing</t>
  </si>
  <si>
    <t>@nataliZAKHARCHENKO</t>
  </si>
  <si>
    <t>natashanv0795@gmail.com</t>
  </si>
  <si>
    <t>Гудзь Ірина</t>
  </si>
  <si>
    <t>@irunahudz</t>
  </si>
  <si>
    <t>iruna.hudz@gmail.com</t>
  </si>
  <si>
    <t>Хуснутдінов Арсен</t>
  </si>
  <si>
    <t>@yxurgxd</t>
  </si>
  <si>
    <t>sendro301@gmail.com</t>
  </si>
  <si>
    <t>Пайдик Карина</t>
  </si>
  <si>
    <t>@k_vendetta_k</t>
  </si>
  <si>
    <t>kkary006@gmail.com</t>
  </si>
  <si>
    <t>Нікішина Катерина</t>
  </si>
  <si>
    <t>@NikishynaK</t>
  </si>
  <si>
    <t>katja.frol1@gmail.com</t>
  </si>
  <si>
    <t>Чуріков Дмитро</t>
  </si>
  <si>
    <t>@StoryTellerX</t>
  </si>
  <si>
    <t>ds.churikov85@gmail.com</t>
  </si>
  <si>
    <t>Козлов Сергій</t>
  </si>
  <si>
    <t>@lionext</t>
  </si>
  <si>
    <t>lionext.studio@gmail.com</t>
  </si>
  <si>
    <t>Качмар Святослав</t>
  </si>
  <si>
    <t>@pompodare</t>
  </si>
  <si>
    <t>poedgar@ukr.net</t>
  </si>
  <si>
    <t>Запорожець Олексій</t>
  </si>
  <si>
    <t>@alexname04</t>
  </si>
  <si>
    <t>aleksname04@gmail.com</t>
  </si>
  <si>
    <t>Казбанова Ксенія</t>
  </si>
  <si>
    <t>@mov_pics</t>
  </si>
  <si>
    <t>kazbanovaksenia@gmail.com</t>
  </si>
  <si>
    <t>Чичкарьов Євген</t>
  </si>
  <si>
    <t>@jackych2022</t>
  </si>
  <si>
    <t>chychkarovea@gmail.com</t>
  </si>
  <si>
    <t>Велика Анна</t>
  </si>
  <si>
    <t>https://docs.google.com/presentation/d/1VPDaAlAK1R6ufnOiPqH26qiJC1wlpg34AH8F6qumqyo/edit?usp=sharing</t>
  </si>
  <si>
    <t>@Ann_Velikaya</t>
  </si>
  <si>
    <t>anna.velikaya.ua@gmail.com</t>
  </si>
  <si>
    <t>Образцова Богдана</t>
  </si>
  <si>
    <t>@danaobraz</t>
  </si>
  <si>
    <t>danaobraz745@gmail.com</t>
  </si>
  <si>
    <t>Семенов Артем</t>
  </si>
  <si>
    <t>@semenovart20</t>
  </si>
  <si>
    <t>artemsemenov15@gmail.com</t>
  </si>
  <si>
    <t>Лободенко Юлія</t>
  </si>
  <si>
    <t>@Lobodenko11</t>
  </si>
  <si>
    <t>lobodenko.yulia11@gmail.com</t>
  </si>
  <si>
    <t>Доброскок Юлія</t>
  </si>
  <si>
    <t>https://docs.google.com/presentation/d/1BAWz5wSnmhjibM9DytuVWqoUY-c8rfhlmyihTfw8zrM/edit?usp=share_link</t>
  </si>
  <si>
    <t>@Yuliyadobroskok</t>
  </si>
  <si>
    <t>yuliya.dobroskok5@gmail.com</t>
  </si>
  <si>
    <t>Мостовий Віталій</t>
  </si>
  <si>
    <t>@vetal050</t>
  </si>
  <si>
    <t>vetal05most@gmail.com</t>
  </si>
  <si>
    <t>Звенигородський Назар</t>
  </si>
  <si>
    <t>@zvnazar</t>
  </si>
  <si>
    <t>zvnazar2006@gmail.com</t>
  </si>
  <si>
    <t>Рихтик Даніель</t>
  </si>
  <si>
    <t>https://docs.google.com/presentation/d/1xSzedL2Py1JBul6dwwLdfLjyJsKthEfN/edit?usp=sharing&amp;ouid=107295466553034241104&amp;rtpof=true&amp;sd=true</t>
  </si>
  <si>
    <t>@TortZolotoyKluchik</t>
  </si>
  <si>
    <t>ryklik95@gmail.com</t>
  </si>
  <si>
    <t>Герасимов Владислав</t>
  </si>
  <si>
    <t>@vlados778</t>
  </si>
  <si>
    <t>olegklicko60@gmail.com</t>
  </si>
  <si>
    <t>Золотарьов Артем</t>
  </si>
  <si>
    <t>@MmMedovik</t>
  </si>
  <si>
    <t>mtgooo8800@gmail.com</t>
  </si>
  <si>
    <t>Дьогтяр Руслан</t>
  </si>
  <si>
    <t>@diohtiar</t>
  </si>
  <si>
    <t>ruslandogtar@gmail.com</t>
  </si>
  <si>
    <t>Усевич Наталі</t>
  </si>
  <si>
    <t>@nusevich</t>
  </si>
  <si>
    <t>nataliusevich19@gmail.com</t>
  </si>
  <si>
    <t>Легеза Назарій</t>
  </si>
  <si>
    <t>@Nazariuse</t>
  </si>
  <si>
    <t>nazarplay13@gmail.com</t>
  </si>
  <si>
    <t>Василевський Дмитро</t>
  </si>
  <si>
    <t>@Dima_Tiger (https://t.me/Dima_Tiger)</t>
  </si>
  <si>
    <t>diwasilewskii@gmail.com</t>
  </si>
  <si>
    <t>Желєзна Вікторія</t>
  </si>
  <si>
    <t>https://docs.google.com/presentation/d/1O2uSXInByyoioLatXThuCr0uIzWpncWbAjpBKnTFr1I/edit?usp=sharing</t>
  </si>
  <si>
    <t>@vikazhel</t>
  </si>
  <si>
    <t>vickazhel@gmail.com</t>
  </si>
  <si>
    <t>Свириденко Володимир</t>
  </si>
  <si>
    <t>@J_Volodya</t>
  </si>
  <si>
    <t>vladymyr.svyrydenko2004@gmail.com</t>
  </si>
  <si>
    <t>Васько Богдан</t>
  </si>
  <si>
    <t>@Demiguise_o_o</t>
  </si>
  <si>
    <t>bodyasan26@gmail.com</t>
  </si>
  <si>
    <t>Мацібура Валерія</t>
  </si>
  <si>
    <t>https://docs.google.com/presentation/d/1prwEBi45qklEWOq9sr_xfL_JzUvphW0ixfZsHM6QipI/edit?usp=sharing</t>
  </si>
  <si>
    <t>@valmats</t>
  </si>
  <si>
    <t>lavireall@gmail.com</t>
  </si>
  <si>
    <t>Маніленко Наталія</t>
  </si>
  <si>
    <t>Маніленко  Наталія</t>
  </si>
  <si>
    <t>@NatManilenko</t>
  </si>
  <si>
    <t>manilenko2017@gmail.com</t>
  </si>
  <si>
    <t>Гурчин Олександр</t>
  </si>
  <si>
    <t>@aleks_wf</t>
  </si>
  <si>
    <t>w.alleks.w@gmail.com</t>
  </si>
  <si>
    <t>Шевченко Світлана</t>
  </si>
  <si>
    <t>@Spathiphyllums</t>
  </si>
  <si>
    <t>svetikcheva@gmail.com</t>
  </si>
  <si>
    <t>Сопотницька Анастасія</t>
  </si>
  <si>
    <t>@a_sopotnytska</t>
  </si>
  <si>
    <t>nastyasopotnytska@gmail.com</t>
  </si>
  <si>
    <t>Шевченко Дар'я</t>
  </si>
  <si>
    <t>@zhyva_lin</t>
  </si>
  <si>
    <t>davishev11@gmail.com</t>
  </si>
  <si>
    <t>Гук Надія</t>
  </si>
  <si>
    <t>Презентація Гук Н.М. 1</t>
  </si>
  <si>
    <t>@NadiaGuk</t>
  </si>
  <si>
    <t>nadguk@ukr.net</t>
  </si>
  <si>
    <t>Носкова Анастасія</t>
  </si>
  <si>
    <t>@AnesthesiaTon</t>
  </si>
  <si>
    <t>noskova.anastasiia.ua@gmail.com</t>
  </si>
  <si>
    <t>Журавель Галина</t>
  </si>
  <si>
    <t>@ZhuravelH</t>
  </si>
  <si>
    <t>dzebbby@ukr.net</t>
  </si>
  <si>
    <t>Мегель Ірина</t>
  </si>
  <si>
    <t>@irina_mehel</t>
  </si>
  <si>
    <t>irinamegel@gmail.com</t>
  </si>
  <si>
    <t>Радзивилюк Наталія</t>
  </si>
  <si>
    <t>@nataliia_radzyvyliuk</t>
  </si>
  <si>
    <t>nradzyvyliuk07@gmail.com</t>
  </si>
  <si>
    <t>Лупій Анастасія</t>
  </si>
  <si>
    <t>@LupiiAnastasiia</t>
  </si>
  <si>
    <t>nastay.0020@gmail.com</t>
  </si>
  <si>
    <t>Мякота Ярослав</t>
  </si>
  <si>
    <t>@yareccky</t>
  </si>
  <si>
    <t>yaroslav.myakota@gmail.com</t>
  </si>
  <si>
    <t>Кривуля Ілля</t>
  </si>
  <si>
    <t>ilya.krivulyaf011@gmail.com</t>
  </si>
  <si>
    <t>Мендалюк Наталія</t>
  </si>
  <si>
    <t>@nmendaliuk</t>
  </si>
  <si>
    <t>kondratyuknatasha@gmail.com</t>
  </si>
  <si>
    <t>Фромель Іванна</t>
  </si>
  <si>
    <t>Фромель Іванка</t>
  </si>
  <si>
    <t>@ivanka_fromel</t>
  </si>
  <si>
    <t>ivankafromel@gmail.com</t>
  </si>
  <si>
    <t>Ковальчук Євген</t>
  </si>
  <si>
    <t>@Evge989</t>
  </si>
  <si>
    <t>kovalchyck.jeka@gmail.com</t>
  </si>
  <si>
    <t>Радочина Дар‘я</t>
  </si>
  <si>
    <t>@dari_jooy</t>
  </si>
  <si>
    <t>daryaradochyna@gmail.com</t>
  </si>
  <si>
    <t>Самойленко Роксолана</t>
  </si>
  <si>
    <t>@roksolanasamoilenko</t>
  </si>
  <si>
    <t>rosjasamojlenko@gmail.com</t>
  </si>
  <si>
    <t>Назаренко Сергій</t>
  </si>
  <si>
    <t>@Serginaz</t>
  </si>
  <si>
    <t>sn131219954687@gmail.com</t>
  </si>
  <si>
    <t>Ширяєв Микита</t>
  </si>
  <si>
    <t>@NikitaMJF</t>
  </si>
  <si>
    <t>nikita.shiriaev.illich@gmail.com</t>
  </si>
  <si>
    <t>Гук Олексій</t>
  </si>
  <si>
    <t>@Chlenistonogy</t>
  </si>
  <si>
    <t>yagukolo@gmail.com</t>
  </si>
  <si>
    <t>Малік Дмитро</t>
  </si>
  <si>
    <t>@Stalt4</t>
  </si>
  <si>
    <t>mdima4266@gmail.com</t>
  </si>
  <si>
    <t>Сидоренко Єлизавета</t>
  </si>
  <si>
    <t>@YelizavetaSidorenko</t>
  </si>
  <si>
    <t>sidorenkoliza791@gmail.com</t>
  </si>
  <si>
    <t>Нагорна Катерина</t>
  </si>
  <si>
    <t>@kitnahorna (https://t.me/kitnahorna)</t>
  </si>
  <si>
    <t>kitnahorna@gmail.com</t>
  </si>
  <si>
    <t>Когутенко Марія</t>
  </si>
  <si>
    <t>@Miriliya</t>
  </si>
  <si>
    <t>mari.kogutenko@gmail.com</t>
  </si>
  <si>
    <t>Тітова Анна</t>
  </si>
  <si>
    <t>@Ananet_annet</t>
  </si>
  <si>
    <t>titova1415@gmail.com</t>
  </si>
  <si>
    <t>Казанок Анжеліка</t>
  </si>
  <si>
    <t>@AnzhelikaKazanok</t>
  </si>
  <si>
    <t>anzhelika.kazanok@gmail.com</t>
  </si>
  <si>
    <t>Лісний Ігор</t>
  </si>
  <si>
    <t>@lsnhhh</t>
  </si>
  <si>
    <t>lisnyihor@gmail.com</t>
  </si>
  <si>
    <t>Глущак Лідія</t>
  </si>
  <si>
    <t xml:space="preserve">@Lida_2812 </t>
  </si>
  <si>
    <t>glusaklida38@gmail.com</t>
  </si>
  <si>
    <t>Антонюк Роксолана</t>
  </si>
  <si>
    <t>@goldro21</t>
  </si>
  <si>
    <t>goldro1802@gmail.com</t>
  </si>
  <si>
    <t>Архангельська Єлизавета</t>
  </si>
  <si>
    <t>@iamluzam</t>
  </si>
  <si>
    <t>arkhel@ukr.net</t>
  </si>
  <si>
    <t>Миколаєнко Вікторія</t>
  </si>
  <si>
    <t>@Toriyamv</t>
  </si>
  <si>
    <t>teachergimn16@gmail.com</t>
  </si>
  <si>
    <t>Стуконога Єлизавета</t>
  </si>
  <si>
    <t>Стуконога Єлизавета.pptx</t>
  </si>
  <si>
    <t>@el_llisaa</t>
  </si>
  <si>
    <t>ellizavetta3@gmail.com</t>
  </si>
  <si>
    <t>Сергєєв Василь</t>
  </si>
  <si>
    <t xml:space="preserve">@Fics14 </t>
  </si>
  <si>
    <t>the2producer@gmail.com</t>
  </si>
  <si>
    <t>Пивовар Андрій</t>
  </si>
  <si>
    <t>@pivavasik</t>
  </si>
  <si>
    <t>andreuspivovarus@gmail.com</t>
  </si>
  <si>
    <t>Бутко Карина</t>
  </si>
  <si>
    <t>@BytkoKarina</t>
  </si>
  <si>
    <t>karinagulenko29@gmail.com</t>
  </si>
  <si>
    <t>Носенко Данило</t>
  </si>
  <si>
    <t>Носенко Данило.pptx</t>
  </si>
  <si>
    <t>@scammers_hait</t>
  </si>
  <si>
    <t>auxilium0701@gmail.com</t>
  </si>
  <si>
    <t>Макарова Анастасія</t>
  </si>
  <si>
    <t>https://t.me/patsyukMakarova</t>
  </si>
  <si>
    <t>makarova2521@gmail.com</t>
  </si>
  <si>
    <t>Заїка Олександра</t>
  </si>
  <si>
    <t>@Alexandra_Zaika</t>
  </si>
  <si>
    <t>zaikadesign01@gmail.com</t>
  </si>
  <si>
    <t>Дацюк Богдан</t>
  </si>
  <si>
    <t>@Bohdandatsiuk</t>
  </si>
  <si>
    <t>datcukbogdan@gmail.com</t>
  </si>
  <si>
    <t xml:space="preserve">Старжицький Владислав </t>
  </si>
  <si>
    <t>@Vladislav_Starzhitskiy</t>
  </si>
  <si>
    <t>vladstarzhitskiy@gmail.com</t>
  </si>
  <si>
    <t xml:space="preserve">Хуснутдінов Антон </t>
  </si>
  <si>
    <t>Хуснутдінов Антон</t>
  </si>
  <si>
    <t>@antbek</t>
  </si>
  <si>
    <t>ant3dstudio@gmail.com</t>
  </si>
  <si>
    <t>Барабан Сергій</t>
  </si>
  <si>
    <t>@barabanSV</t>
  </si>
  <si>
    <t>serg@politex.org.ua</t>
  </si>
  <si>
    <t>Харківський Ігор</t>
  </si>
  <si>
    <t>@Diamomd545</t>
  </si>
  <si>
    <t>igormma2006@gmail.com</t>
  </si>
  <si>
    <t>Удовенко Наталя</t>
  </si>
  <si>
    <t>Удовенко Наталія.pptx</t>
  </si>
  <si>
    <t>Nata Udov</t>
  </si>
  <si>
    <t>natudov2012@gmail.com</t>
  </si>
  <si>
    <t>Панчишин Данило</t>
  </si>
  <si>
    <t>@ergsunf0</t>
  </si>
  <si>
    <t>0ergsunf0@gmail.com</t>
  </si>
  <si>
    <t>Берестень Дмитро</t>
  </si>
  <si>
    <t>@dmitryberesten</t>
  </si>
  <si>
    <t>dmitryberesten@gmail.com</t>
  </si>
  <si>
    <t>Горбань Ілля</t>
  </si>
  <si>
    <t>@kakstifler</t>
  </si>
  <si>
    <t>gorban.ilyxa@ukr.net</t>
  </si>
  <si>
    <t>Зінченко Гліб</t>
  </si>
  <si>
    <t>@MelvinOff</t>
  </si>
  <si>
    <t>glebzinchenko1@gmail.com</t>
  </si>
  <si>
    <t>Климкович Іван</t>
  </si>
  <si>
    <t>@IvanKlymkovych</t>
  </si>
  <si>
    <t>ivan_klymkovych@ukr.net</t>
  </si>
  <si>
    <t>Сметан Єлизавета</t>
  </si>
  <si>
    <t>@lizakrotova</t>
  </si>
  <si>
    <t>krotovaliza@gmail.com</t>
  </si>
  <si>
    <t>Козлюк Мирослава</t>
  </si>
  <si>
    <t>@Kozliuk_Myroslava</t>
  </si>
  <si>
    <t>myroslava.kozliuk@gmail.com</t>
  </si>
  <si>
    <t>Мельничук Ірина</t>
  </si>
  <si>
    <t>@solitaria_devocion</t>
  </si>
  <si>
    <t>melnichyk.irina17@gmail.com</t>
  </si>
  <si>
    <t>Бєлова Кристина</t>
  </si>
  <si>
    <t>@kristina1028</t>
  </si>
  <si>
    <t>k.belova1028@gmail.com</t>
  </si>
  <si>
    <t>Притуленко Артем</t>
  </si>
  <si>
    <t>@ridan23</t>
  </si>
  <si>
    <t>a.h.prytulenko@gmail.com</t>
  </si>
  <si>
    <t>Демчук Марта</t>
  </si>
  <si>
    <t>@martikd</t>
  </si>
  <si>
    <t>martikdemchuk@gmail.com</t>
  </si>
  <si>
    <t>Шац Євген</t>
  </si>
  <si>
    <t>@SheoHug</t>
  </si>
  <si>
    <t>sheohug@gmail.com</t>
  </si>
  <si>
    <t>Кірін Олег</t>
  </si>
  <si>
    <t>@cyperleg</t>
  </si>
  <si>
    <t>hikarokirin@gmail.com</t>
  </si>
  <si>
    <t>Жабко Олександр</t>
  </si>
  <si>
    <t>@OleksandrZha</t>
  </si>
  <si>
    <t>zhabko.914@gmail.com</t>
  </si>
  <si>
    <t>Дерев'янко Володимир</t>
  </si>
  <si>
    <t>@Volodymyr_Derevianko</t>
  </si>
  <si>
    <t>masssterlom@gmail.com</t>
  </si>
  <si>
    <t>Суханова Валерія</t>
  </si>
  <si>
    <t>@karkadada</t>
  </si>
  <si>
    <t xml:space="preserve">pterodactelll23@gmail.com
</t>
  </si>
  <si>
    <t>Швадченко Альона</t>
  </si>
  <si>
    <t>Альона Швадченко</t>
  </si>
  <si>
    <t>@alyona_shvd</t>
  </si>
  <si>
    <t>alyona.shvd@gmail.com</t>
  </si>
  <si>
    <t>Клименко Олександра</t>
  </si>
  <si>
    <t>https://t.me/oleksandra_klymenko</t>
  </si>
  <si>
    <t>oleksandra20017@gmail.com</t>
  </si>
  <si>
    <t>Угриновська Оксана</t>
  </si>
  <si>
    <t>@OKuhrynovska</t>
  </si>
  <si>
    <t>oksanaira40@gmail.com</t>
  </si>
  <si>
    <t>Рибіна Юлія</t>
  </si>
  <si>
    <t>@rybina_julia</t>
  </si>
  <si>
    <t>julia.rybin@gmail.com</t>
  </si>
  <si>
    <t>Новак Олена</t>
  </si>
  <si>
    <t>@Olena_Sergiivna_Novak</t>
  </si>
  <si>
    <t>lenysiknovichok@gmail.com</t>
  </si>
  <si>
    <t>Дувінський Денис</t>
  </si>
  <si>
    <t>@denys_duvin</t>
  </si>
  <si>
    <t>denys.duvinskyi@gmail.com</t>
  </si>
  <si>
    <t>Гаврилюк Євген</t>
  </si>
  <si>
    <t>@nmsppr</t>
  </si>
  <si>
    <t>evgeniy.gavriluk1@gmail.com</t>
  </si>
  <si>
    <t>Ширій-Ярема Вероніка</t>
  </si>
  <si>
    <t>@XiaoAGA</t>
  </si>
  <si>
    <t>poshta.veroniky@gmail.com</t>
  </si>
  <si>
    <t>Дорофій Тетяна</t>
  </si>
  <si>
    <t>@Wandering_sparkles</t>
  </si>
  <si>
    <t>tatiana.dorofiy@gmail.com</t>
  </si>
  <si>
    <t>Романіхін Кирил</t>
  </si>
  <si>
    <t>@romanikhin_k</t>
  </si>
  <si>
    <t>jenezisofficial@gmail.com</t>
  </si>
  <si>
    <t>П’янкова Вікторія</t>
  </si>
  <si>
    <t>@viktoria_piankova</t>
  </si>
  <si>
    <t>tnstp35@gmail.com</t>
  </si>
  <si>
    <t>Улянкін Нікіта</t>
  </si>
  <si>
    <t>Ульянкін Нікіта.pptx</t>
  </si>
  <si>
    <t>@llBigBigll</t>
  </si>
  <si>
    <t>nikitaulyankin@gmail.com</t>
  </si>
  <si>
    <t>Токар Іван</t>
  </si>
  <si>
    <t>@IITokar</t>
  </si>
  <si>
    <t>ivantokar1999@gmail.com</t>
  </si>
  <si>
    <t>Шевченко Ілля</t>
  </si>
  <si>
    <t>@ilya889</t>
  </si>
  <si>
    <t>ilua.shevchenko889@gmail.com</t>
  </si>
  <si>
    <t>Борболюк Юлія</t>
  </si>
  <si>
    <t>@ullljta</t>
  </si>
  <si>
    <t>uliaborboluk5@gmail.com</t>
  </si>
  <si>
    <t>Муравйов Євген</t>
  </si>
  <si>
    <t>@Eugenii_o</t>
  </si>
  <si>
    <t>eugenemurrv@gmail.com</t>
  </si>
  <si>
    <t>Шевченко Катерина</t>
  </si>
  <si>
    <t>shevchencko.katiunka@gmail.com</t>
  </si>
  <si>
    <t>Єфременко Євгенія</t>
  </si>
  <si>
    <t>@YevheniiaVY</t>
  </si>
  <si>
    <t>teacheryefremenko@gmail.com</t>
  </si>
  <si>
    <t>Кириленко Дарина</t>
  </si>
  <si>
    <t>@darinakirilenko</t>
  </si>
  <si>
    <t>dar.kyrylenko@gmail.com</t>
  </si>
  <si>
    <t>Бочаров Євген</t>
  </si>
  <si>
    <t>@Eugene_Bocharov</t>
  </si>
  <si>
    <t>4003498@gmail.com</t>
  </si>
  <si>
    <t>Ходіс Анна</t>
  </si>
  <si>
    <t>@Flower123413</t>
  </si>
  <si>
    <t>ann325612@gmail.com</t>
  </si>
  <si>
    <t>Веренко Любов</t>
  </si>
  <si>
    <t xml:space="preserve">Веренко Любов </t>
  </si>
  <si>
    <t>@Liubov_VI</t>
  </si>
  <si>
    <t>verenkolyubov@gmail.com</t>
  </si>
  <si>
    <t>Лихач Віктор</t>
  </si>
  <si>
    <t>@vitia_st_904</t>
  </si>
  <si>
    <t>vitalihac@gmail.com</t>
  </si>
  <si>
    <t>Коваленко Віталій</t>
  </si>
  <si>
    <t>@Roumstar</t>
  </si>
  <si>
    <t>vitalik.kowalencko21@gmail.com</t>
  </si>
  <si>
    <t>Бєлашов Іван</t>
  </si>
  <si>
    <t>Іван Бєлашов</t>
  </si>
  <si>
    <t>@ivanek17</t>
  </si>
  <si>
    <t>belashov17@gmail.com</t>
  </si>
  <si>
    <t>Пташинський Ярослав</t>
  </si>
  <si>
    <t>@Ptaha21</t>
  </si>
  <si>
    <t>ptashinskiy.yarik@icloud.com</t>
  </si>
  <si>
    <t>Нікуліна Марина</t>
  </si>
  <si>
    <t>@nikulina_maryna</t>
  </si>
  <si>
    <t>nikulinatech@gmail.com</t>
  </si>
  <si>
    <t>Литвин Антон</t>
  </si>
  <si>
    <t>Литвин Антон.pptx</t>
  </si>
  <si>
    <t>@Lytvyn_Anton</t>
  </si>
  <si>
    <t>makretingofficer@gmail.com</t>
  </si>
  <si>
    <t>Ющишин Валентин</t>
  </si>
  <si>
    <t>@Valentyn_Y</t>
  </si>
  <si>
    <t>valya.bogdanyuk@gmail.com</t>
  </si>
  <si>
    <t>Мельниченко Марія</t>
  </si>
  <si>
    <t>@melnbv</t>
  </si>
  <si>
    <t>melnbv4@gmail.com</t>
  </si>
  <si>
    <t>Заяць Ольга</t>
  </si>
  <si>
    <t>@olha_zaiats</t>
  </si>
  <si>
    <t>zaiats.olga16@gmail.com</t>
  </si>
  <si>
    <t>Медвєдєв Платон</t>
  </si>
  <si>
    <t>@Ekachcka</t>
  </si>
  <si>
    <t>medviedievplaton@gmail.com</t>
  </si>
  <si>
    <t>Бородін Богдан</t>
  </si>
  <si>
    <t>@Gegareyg</t>
  </si>
  <si>
    <t>thisisbogdan@gmail.com</t>
  </si>
  <si>
    <t>Бистрова Юлія</t>
  </si>
  <si>
    <t>@yulia_lula</t>
  </si>
  <si>
    <t xml:space="preserve"> gulie_melnichenko@ukr.net</t>
  </si>
  <si>
    <t>Пінчук Тетяна</t>
  </si>
  <si>
    <t>@Tasha9897</t>
  </si>
  <si>
    <t>inuktasha@gmail.com</t>
  </si>
  <si>
    <t>Богданюк Вадим</t>
  </si>
  <si>
    <t>https://t.me/vadim_tech_skill</t>
  </si>
  <si>
    <t>v.bogdaniukgoit@gmail.com</t>
  </si>
  <si>
    <t>Адамовська Ірина</t>
  </si>
  <si>
    <t>@i_adamovska</t>
  </si>
  <si>
    <t>teplokom@meta.ua</t>
  </si>
  <si>
    <t>Округіна Анна</t>
  </si>
  <si>
    <t>Округіна Анна.pptx</t>
  </si>
  <si>
    <t>https://t.me/ANNAOKRUHINA</t>
  </si>
  <si>
    <t>annaokrugina09@gmail.com</t>
  </si>
  <si>
    <t>Тараканов Олександр</t>
  </si>
  <si>
    <t>@y_hromosoma</t>
  </si>
  <si>
    <t>tarakanov22@yahoo.com</t>
  </si>
  <si>
    <t>Сковордіна Олександра</t>
  </si>
  <si>
    <t>@lexie_designing</t>
  </si>
  <si>
    <t>o.skovordina@gmail.com</t>
  </si>
  <si>
    <t xml:space="preserve">Лисенко Катерина </t>
  </si>
  <si>
    <t>Лисенко Катерина</t>
  </si>
  <si>
    <t>@katrinalysenko</t>
  </si>
  <si>
    <t>2202987@gmail.com</t>
  </si>
  <si>
    <t>Бігоцька Олександра</t>
  </si>
  <si>
    <t>@bigotska</t>
  </si>
  <si>
    <t>abigotska@gmail.com</t>
  </si>
  <si>
    <t>Форостян Любава</t>
  </si>
  <si>
    <t>@liubbava</t>
  </si>
  <si>
    <t>lubava399@gmail.com</t>
  </si>
  <si>
    <t>Чайковський Віталій</t>
  </si>
  <si>
    <t>@VitaliiChaikovskyi</t>
  </si>
  <si>
    <t>garber1329@gmail.com</t>
  </si>
  <si>
    <t>Лящина Єлизавета</t>
  </si>
  <si>
    <t>lyaschina.liza0503@gmail.com</t>
  </si>
  <si>
    <t>Дужий Максим</t>
  </si>
  <si>
    <t>@Maksim_Page</t>
  </si>
  <si>
    <t>max5436d@gmail.com</t>
  </si>
  <si>
    <t>Данчишин Андрій</t>
  </si>
  <si>
    <t>@scdeeer</t>
  </si>
  <si>
    <t>danchyshy.andriy@gmail.com</t>
  </si>
  <si>
    <t>Бачуріна Вікторія</t>
  </si>
  <si>
    <t>@viktoriia_bach</t>
  </si>
  <si>
    <t>bachurina.1112@gmail.com</t>
  </si>
  <si>
    <t>Жулковська Анастасія</t>
  </si>
  <si>
    <t>@anastasiia_zhulkovska</t>
  </si>
  <si>
    <t>nzulkovska@gmail.com</t>
  </si>
  <si>
    <t>Маєш Єлизавета</t>
  </si>
  <si>
    <t>@art1242</t>
  </si>
  <si>
    <t>natashaart1221@gmail.com</t>
  </si>
  <si>
    <t>Ярощук Дмитро</t>
  </si>
  <si>
    <t>@Dmitriy_Yaroshchuk</t>
  </si>
  <si>
    <t>dima030215@gmail.com</t>
  </si>
  <si>
    <t>Дубовик Дмитро</t>
  </si>
  <si>
    <t>@flashbackd</t>
  </si>
  <si>
    <t>flashbackd@gmail.com</t>
  </si>
  <si>
    <t>Моздалевський Микита</t>
  </si>
  <si>
    <t>@nikitosnikitich</t>
  </si>
  <si>
    <t>nvm.nikita@gmail.com</t>
  </si>
  <si>
    <t>Шевчук Влад (ментор)</t>
  </si>
  <si>
    <t>@s_h_3_v_a</t>
  </si>
  <si>
    <t>Загородній Андрій</t>
  </si>
  <si>
    <t>@AndriyWork</t>
  </si>
  <si>
    <t>andriyzahorodniy@gmail.com</t>
  </si>
  <si>
    <t>Орманжи Вікторія</t>
  </si>
  <si>
    <t>Вікторія Орманжи</t>
  </si>
  <si>
    <t>@mrs_orm</t>
  </si>
  <si>
    <t>victoriamatveev@gmail.com</t>
  </si>
  <si>
    <t>Білик Марія-Катерина</t>
  </si>
  <si>
    <t>@Mashlikk</t>
  </si>
  <si>
    <t>bilykmaria2004@gmail.com</t>
  </si>
  <si>
    <t>https://docs.google.com/spreadsheets/d/1Oxa2gviSJoj-SFNA8IQ39XS2xzom5EszbNlGj_BXKJY/edit?usp=sharing</t>
  </si>
  <si>
    <t>Гумен Світлана</t>
  </si>
  <si>
    <t>Світлана Гумен</t>
  </si>
  <si>
    <t>@Svitolada</t>
  </si>
  <si>
    <t>svitoladah@gmail.com</t>
  </si>
  <si>
    <t>Сорока Карина</t>
  </si>
  <si>
    <t>@Karina_Soroka</t>
  </si>
  <si>
    <t>ax9016bi@gmail.com</t>
  </si>
  <si>
    <t>Петричук Марія</t>
  </si>
  <si>
    <t>@mashapetrychuk</t>
  </si>
  <si>
    <t>mashapetrychuk@gmail.com</t>
  </si>
  <si>
    <t>https://docs.google.com/spreadsheets/d/1Fnh-kb7wSLewYkg0oPR9TsBDXHPYMv1_Kv_YV-VQyoM/edit?usp=sharing</t>
  </si>
  <si>
    <t>Сковородкіна Наталья</t>
  </si>
  <si>
    <t>Сковородкіна Наталя</t>
  </si>
  <si>
    <t>@Natalia_Skovorodkina</t>
  </si>
  <si>
    <t>nataliatyustina@gmail.com</t>
  </si>
  <si>
    <t>Кінев Вадим</t>
  </si>
  <si>
    <t>Кінєв Вадим</t>
  </si>
  <si>
    <t>@vadym_kiniev</t>
  </si>
  <si>
    <t>vkinev6@gmail.com</t>
  </si>
  <si>
    <t>Царьова Юлія Анатоліївна</t>
  </si>
  <si>
    <t>@juliatsarova</t>
  </si>
  <si>
    <t>tsariova.julia@gmail.com</t>
  </si>
  <si>
    <t>Льорчак Яна</t>
  </si>
  <si>
    <t>@Yana_Lorchak</t>
  </si>
  <si>
    <t>jokertony777@gmail.com</t>
  </si>
  <si>
    <t>Чижик Ганна</t>
  </si>
  <si>
    <t>@Tomiko_84</t>
  </si>
  <si>
    <t>annakijich@gmail.com</t>
  </si>
  <si>
    <t>Копистко Максим</t>
  </si>
  <si>
    <t>https://docs.google.com/presentation/d/1P_e4J5_m7iMzsZkPG-OHV-SYE7IhrID85GBy8N193gE/edit?usp=sharing</t>
  </si>
  <si>
    <t>@skimman</t>
  </si>
  <si>
    <t>maksym.kopystko@gmail.com</t>
  </si>
  <si>
    <t>Кошевой Владислав</t>
  </si>
  <si>
    <t>https://docs.google.com/presentation/d/1R6ne6mboVbRXbAdciuVnFeF9PB606-dn/edit?usp=sharing&amp;ouid=107295466553034241104&amp;rtpof=true&amp;sd=true</t>
  </si>
  <si>
    <t>@kiwigi</t>
  </si>
  <si>
    <t>kiwigiproduction@gmail.com</t>
  </si>
  <si>
    <t>Краснянський Тимур</t>
  </si>
  <si>
    <t>@krasnianskiy</t>
  </si>
  <si>
    <t>gohim322@gmail.com</t>
  </si>
  <si>
    <t>Литовченко Наталя</t>
  </si>
  <si>
    <t>@NataljaLitovchenko</t>
  </si>
  <si>
    <t>litovchenko.natalja@gmail.com</t>
  </si>
  <si>
    <t>Малюк Анастасія</t>
  </si>
  <si>
    <t>@maliuk_anastasia</t>
  </si>
  <si>
    <t>nastia20032004@gmail.com</t>
  </si>
  <si>
    <t>Мірошник Софія</t>
  </si>
  <si>
    <t>@mia_filosofia</t>
  </si>
  <si>
    <t>miros9294@gmail.com</t>
  </si>
  <si>
    <t>Гладких Олександр</t>
  </si>
  <si>
    <t>@gladja</t>
  </si>
  <si>
    <t>gladkih.alexander@gmail.com</t>
  </si>
  <si>
    <t>Макхотка Ігор</t>
  </si>
  <si>
    <t>@TheFazeFox</t>
  </si>
  <si>
    <t>karantinciki@gmail.com</t>
  </si>
  <si>
    <t>Марасін Іван</t>
  </si>
  <si>
    <t>@ivanmarasin</t>
  </si>
  <si>
    <t>Матвєєв Максим</t>
  </si>
  <si>
    <t>@TheMatveev</t>
  </si>
  <si>
    <t>thematveev21@gmail.com</t>
  </si>
  <si>
    <t>Медвєдєв Іван</t>
  </si>
  <si>
    <t>@ivan_medvedew</t>
  </si>
  <si>
    <t>mediol26@gmail.com</t>
  </si>
  <si>
    <t>Панченко Єлизавета</t>
  </si>
  <si>
    <t>Панченко Ліза</t>
  </si>
  <si>
    <t>@lllizabeth</t>
  </si>
  <si>
    <t>yelizaveta.panchenko@gmail.com</t>
  </si>
  <si>
    <t>Олійник Тетяна</t>
  </si>
  <si>
    <t>@tanyaoliin</t>
  </si>
  <si>
    <t>oltanyaleon@gmail.com</t>
  </si>
  <si>
    <t>П'ятков Микола</t>
  </si>
  <si>
    <t>@nikolay3553</t>
  </si>
  <si>
    <t>pytkovnikolay007@gmail.com</t>
  </si>
  <si>
    <t>Зозуля Дмитро</t>
  </si>
  <si>
    <t>@badgerwannabe</t>
  </si>
  <si>
    <t>Пеленський Ростислав</t>
  </si>
  <si>
    <t>@rostyslavpelenskyi</t>
  </si>
  <si>
    <t>pelenskiy.r@gmail.com</t>
  </si>
  <si>
    <t>Лисенко Марія</t>
  </si>
  <si>
    <t>@charmchai_01</t>
  </si>
  <si>
    <t>Хрептик Вікторія</t>
  </si>
  <si>
    <t>@vikusy_a_k</t>
  </si>
  <si>
    <t>viktoriakhreptyk@gmail.com</t>
  </si>
  <si>
    <t>Пічурін Вадим</t>
  </si>
  <si>
    <t>в бесіді GOITEENS TEAM Pichurin Vadym</t>
  </si>
  <si>
    <t>vadympichurin@gmail.com</t>
  </si>
  <si>
    <t>Пташко Катерина</t>
  </si>
  <si>
    <t>@kptashko</t>
  </si>
  <si>
    <t>katia.ptashko@gmail.com</t>
  </si>
  <si>
    <t>Гарбуз Наталія</t>
  </si>
  <si>
    <t>Наталія Гарбуз</t>
  </si>
  <si>
    <t>@N_harbuz</t>
  </si>
  <si>
    <t>gns0888@gmail.com</t>
  </si>
  <si>
    <t>Редька Марина</t>
  </si>
  <si>
    <t>@IriskaPodDozdem</t>
  </si>
  <si>
    <t>marinaredka1@gmail.com</t>
  </si>
  <si>
    <t>Титаренко Юлія</t>
  </si>
  <si>
    <t>@J23fff</t>
  </si>
  <si>
    <t>Yulatitat@gmail.com</t>
  </si>
  <si>
    <t>Будзь Анастасія</t>
  </si>
  <si>
    <t>Будзь Анастасія.pptx</t>
  </si>
  <si>
    <t>@BudzNastya</t>
  </si>
  <si>
    <t>a.budz@goiteens.ua</t>
  </si>
  <si>
    <t>Корнелюк Наталія</t>
  </si>
  <si>
    <t>@nataliikorn</t>
  </si>
  <si>
    <t>knf13@ukr.net</t>
  </si>
  <si>
    <t>Єфімов Данило</t>
  </si>
  <si>
    <t>Данило Єфімов</t>
  </si>
  <si>
    <t>@ak1nad</t>
  </si>
  <si>
    <t>d_efimov@knu.ua</t>
  </si>
  <si>
    <t>Лучкіна Ярина</t>
  </si>
  <si>
    <t>@yasminisias</t>
  </si>
  <si>
    <t>luckinaara@gmail.com</t>
  </si>
  <si>
    <t>Тимошенко Анна</t>
  </si>
  <si>
    <t>@lyssapin</t>
  </si>
  <si>
    <t>anetka9856@gmail.com</t>
  </si>
  <si>
    <t>Родімкіна Надія</t>
  </si>
  <si>
    <t>@nadiia_me_ua</t>
  </si>
  <si>
    <t>nadiiarodimkina@gmail.com</t>
  </si>
  <si>
    <t>Скрипка Дмитро</t>
  </si>
  <si>
    <t>@SkiesFall_01</t>
  </si>
  <si>
    <t>dark.reaper.destroyer@gmail.com</t>
  </si>
  <si>
    <t>Онищук Софія</t>
  </si>
  <si>
    <t>Софія Онищук</t>
  </si>
  <si>
    <t>@sofiiaonyshchuk</t>
  </si>
  <si>
    <t>onyahchuksophia2004@gmail.com</t>
  </si>
  <si>
    <t>Куць Дар‘я</t>
  </si>
  <si>
    <t>Куць Дарʼя</t>
  </si>
  <si>
    <t>@d_zavgorodnia</t>
  </si>
  <si>
    <t>d.zavgorodniaa@gmail.com</t>
  </si>
  <si>
    <t>bohdanka.oparanyuk@gmail.com</t>
  </si>
  <si>
    <t>Щегельський Гліб</t>
  </si>
  <si>
    <t>@hleppps</t>
  </si>
  <si>
    <t>shchehelskyi.hlieb@gmail.com</t>
  </si>
  <si>
    <t>Вачинич Марія</t>
  </si>
  <si>
    <t>https://docs.google.com/presentation/d/1-UaPI_C_K7NH9jRCaDTOZfATfzSdOS-CGhBpFNd8aeg/edit?usp=sharing</t>
  </si>
  <si>
    <t>@vachynych</t>
  </si>
  <si>
    <t>mvachynych@gmail.com</t>
  </si>
  <si>
    <t>Токовенко Олексій</t>
  </si>
  <si>
    <t>@atokovenko</t>
  </si>
  <si>
    <t>tokovenko93@gmail.com</t>
  </si>
  <si>
    <t>Кожухов Данило</t>
  </si>
  <si>
    <t>@danik_PVL</t>
  </si>
  <si>
    <t>kozhukhov2017@gmail.com</t>
  </si>
  <si>
    <t>Полянічкін Антон</t>
  </si>
  <si>
    <t>@polyanichkin1</t>
  </si>
  <si>
    <t>antonpolyanichkin@gmail.com</t>
  </si>
  <si>
    <t>Касьянова Наталія</t>
  </si>
  <si>
    <t>@Talya_Kasianova</t>
  </si>
  <si>
    <t xml:space="preserve"> </t>
  </si>
  <si>
    <t>Діденко Данило</t>
  </si>
  <si>
    <t>@repsnvm</t>
  </si>
  <si>
    <t>diddanik123@gmail.com</t>
  </si>
  <si>
    <t>Швець Олексій (ментор)</t>
  </si>
  <si>
    <t>@Japanese_culture_lover</t>
  </si>
  <si>
    <t>svecaleksej86@gmail.com</t>
  </si>
  <si>
    <t>Худий Ярослав</t>
  </si>
  <si>
    <t>@Sumbiit</t>
  </si>
  <si>
    <t>yaruk202020@gmail.com</t>
  </si>
  <si>
    <t>Матющенко Валерія</t>
  </si>
  <si>
    <t>@matiusha_va</t>
  </si>
  <si>
    <t>valeriia.matiushchenko@gmail.com</t>
  </si>
  <si>
    <t>Каур Дар'я</t>
  </si>
  <si>
    <t>Каур Дар’я</t>
  </si>
  <si>
    <t>@d_ariak</t>
  </si>
  <si>
    <t>kaurdasha0525@gmail.com</t>
  </si>
  <si>
    <t>Баркевич Діана</t>
  </si>
  <si>
    <t>https://docs.google.com/presentation/d/1QRxVlmatIOqZzW-vBc90XCyMIVxrwlP0/edit?usp=sharing&amp;ouid=107295466553034241104&amp;rtpof=true&amp;sd=true</t>
  </si>
  <si>
    <t>@dbrkvch</t>
  </si>
  <si>
    <t>diana.barkevich@gmail.com</t>
  </si>
  <si>
    <t>Татарчук Аліна</t>
  </si>
  <si>
    <t>@alina1tat2</t>
  </si>
  <si>
    <t>alina1tat2@gmail.com</t>
  </si>
  <si>
    <t>Герасімов В'ячеслав</t>
  </si>
  <si>
    <t>@Slaer98</t>
  </si>
  <si>
    <t>slava.herasymov@gmail.com</t>
  </si>
  <si>
    <t>Гункевич Еріка</t>
  </si>
  <si>
    <t>@big_i_motik</t>
  </si>
  <si>
    <t>erica45hunkevych@gmail.com</t>
  </si>
  <si>
    <t>Гришан Діана</t>
  </si>
  <si>
    <t>@diigorevna</t>
  </si>
  <si>
    <t>diana.hryshan@gmail.com</t>
  </si>
  <si>
    <t>Малюга Ірина</t>
  </si>
  <si>
    <t>@MaliugovaIrina</t>
  </si>
  <si>
    <t>irinam3340@gmail.com</t>
  </si>
  <si>
    <t>Кобильська Дар'я</t>
  </si>
  <si>
    <t>Кобильська Дарія</t>
  </si>
  <si>
    <t>@daria_ave</t>
  </si>
  <si>
    <t>kobylskadaria@gmail.com</t>
  </si>
  <si>
    <t>Рижий Юрій</t>
  </si>
  <si>
    <t>@Yuriy_Ryzhyy</t>
  </si>
  <si>
    <t>erechs4@gmail.com</t>
  </si>
  <si>
    <t>Вальчевський Василь</t>
  </si>
  <si>
    <t>@VasyaV95</t>
  </si>
  <si>
    <t>vasyavalchevskiy@gmail.com</t>
  </si>
  <si>
    <t>Айвазян Маріам</t>
  </si>
  <si>
    <t>Айвазян  Маріам</t>
  </si>
  <si>
    <t>@Ai_mariam</t>
  </si>
  <si>
    <t>mariamro89@gmail.com</t>
  </si>
  <si>
    <t>Зарічний Михайло</t>
  </si>
  <si>
    <t>@hazardLinus</t>
  </si>
  <si>
    <t>mjee245@gmail.com</t>
  </si>
  <si>
    <t>Ходченко Федір</t>
  </si>
  <si>
    <t>https://docs.google.com/presentation/d/137OzTpg5HEWPfUOwtW4_igJZEituntas8OWLCIIU9iM/edit?usp=share_link</t>
  </si>
  <si>
    <t>@xFED0</t>
  </si>
  <si>
    <t>nearexternal@gmail.com</t>
  </si>
  <si>
    <t>Комиса Юрій</t>
  </si>
  <si>
    <t>@yurikomysa</t>
  </si>
  <si>
    <t>yurikomysa@gmail.com</t>
  </si>
  <si>
    <t>Безуглий Сергій</t>
  </si>
  <si>
    <t>@serhii_57</t>
  </si>
  <si>
    <t>bezuglyjs037@gmail.com</t>
  </si>
  <si>
    <t>Войтович Карина</t>
  </si>
  <si>
    <t>@karina_vtvch</t>
  </si>
  <si>
    <t>karina.vtvch@ukr.net</t>
  </si>
  <si>
    <t>Смолінський Андрій</t>
  </si>
  <si>
    <t>@Andreano_smolino</t>
  </si>
  <si>
    <t>awful.braid@gmail.com</t>
  </si>
  <si>
    <t>Швацька Тетяна</t>
  </si>
  <si>
    <t>@TatShvatska</t>
  </si>
  <si>
    <t>tat.shvatska@gmail.com</t>
  </si>
  <si>
    <t>Якимець Мар'яна</t>
  </si>
  <si>
    <t>в бесіді GOITEENS TEAM</t>
  </si>
  <si>
    <t>zinchykmv@gmail.com</t>
  </si>
  <si>
    <t>Ясіновська Софія</t>
  </si>
  <si>
    <t>https://docs.google.com/presentation/d/10785hQP4kk_oA2d2LL2GaHG7Ys5JX2edU9sstfm3X2k/edit?usp=sharing</t>
  </si>
  <si>
    <t>https://t.me/Sofia_Ptashkovska</t>
  </si>
  <si>
    <t>sofiayasinovska@gmail.com</t>
  </si>
  <si>
    <t>Яцура Микита</t>
  </si>
  <si>
    <t>@yatsura_nikita</t>
  </si>
  <si>
    <t>yatsuranikita@gmail.com</t>
  </si>
  <si>
    <t>Чудик Тетяна</t>
  </si>
  <si>
    <t>https://docs.google.com/presentation/d/1t2wnVRulTQqI_zfQiV6thZ9nlf8gpryLcpl6lH53944/edit?usp=share_link</t>
  </si>
  <si>
    <t>@tetichudyk</t>
  </si>
  <si>
    <t>tetianachudik@gmail.com</t>
  </si>
  <si>
    <t>Єфременюк Катерина</t>
  </si>
  <si>
    <t>https://docs.google.com/presentation/d/1oe_LB1epCKS-tbKAlRB1zqRHa3z579MCSZHpSmjBfmI/edit?usp=sharing</t>
  </si>
  <si>
    <t>@inspirante_k</t>
  </si>
  <si>
    <t>efremeniuk@gmail.com</t>
  </si>
  <si>
    <t>Кішечко Станіслав</t>
  </si>
  <si>
    <t xml:space="preserve">Кішечко Станіслав </t>
  </si>
  <si>
    <t>@stanislavkishechko</t>
  </si>
  <si>
    <t>stanislavkishechko@gmail.com</t>
  </si>
  <si>
    <t>Зарб Марина</t>
  </si>
  <si>
    <t>@Sunny_days_in_autamn</t>
  </si>
  <si>
    <t>zarb.maryna@gmail.com</t>
  </si>
  <si>
    <t>Чорноус Юлія</t>
  </si>
  <si>
    <t>@Yuliaa_00</t>
  </si>
  <si>
    <t>juliaww018@gmail.com</t>
  </si>
  <si>
    <t>Волковницький Роман</t>
  </si>
  <si>
    <t>@Volkovnitskiy</t>
  </si>
  <si>
    <t>jetcraker@gmail.com</t>
  </si>
  <si>
    <t>Щегорцов Максим</t>
  </si>
  <si>
    <t>@Maxshche</t>
  </si>
  <si>
    <t>m.shchehortsov@gmail.com</t>
  </si>
  <si>
    <t>Молчанова Оксана</t>
  </si>
  <si>
    <t>@Bohdaniwna</t>
  </si>
  <si>
    <t>smowchan1006@gmail.com</t>
  </si>
  <si>
    <t>Слюсар Володимир</t>
  </si>
  <si>
    <t>@volodriv</t>
  </si>
  <si>
    <t>volodriv@gmail.com</t>
  </si>
  <si>
    <t>Ільніцька Юлія</t>
  </si>
  <si>
    <t>@juliailnitska</t>
  </si>
  <si>
    <t>juliailnitstska@gmail.com</t>
  </si>
  <si>
    <t>Єрошкіна Оксана</t>
  </si>
  <si>
    <t>Єрошкіна Ксенія</t>
  </si>
  <si>
    <t>@Yevxenia</t>
  </si>
  <si>
    <t>yevkseniya@gmail.com</t>
  </si>
  <si>
    <t>Галушка Кирило</t>
  </si>
  <si>
    <t>@kirillgalushka</t>
  </si>
  <si>
    <t>galushkakir@gmail.com</t>
  </si>
  <si>
    <t>Вовченко Аліна</t>
  </si>
  <si>
    <t>https://t.me/olegivnaaaa</t>
  </si>
  <si>
    <t>alinka.starostaa@gmail.com</t>
  </si>
  <si>
    <t>Кафтан Микита</t>
  </si>
  <si>
    <t>@KikitaGolowa</t>
  </si>
  <si>
    <t>mojunglefan@gmail.com</t>
  </si>
  <si>
    <t>Калаур Марина</t>
  </si>
  <si>
    <t>@kalaur_marina</t>
  </si>
  <si>
    <t>marynagreen2004@gmail.com</t>
  </si>
  <si>
    <t>Гуменюк Василь</t>
  </si>
  <si>
    <t>https://docs.google.com/presentation/d/1vAhwT1AkuOioPQb7SrnNFi9TBBgPwus4TXQ2lmSPVmM/edit?usp=sharing</t>
  </si>
  <si>
    <t>@vg_kot</t>
  </si>
  <si>
    <t>gumenyuk1991baz@gmail.com</t>
  </si>
  <si>
    <t>Шейкіна Поліна</t>
  </si>
  <si>
    <t>@pollysheik</t>
  </si>
  <si>
    <t>pollysheik25@gmail.com</t>
  </si>
  <si>
    <t>Борейчук Вікторія</t>
  </si>
  <si>
    <t>@feja_bloom</t>
  </si>
  <si>
    <t>viktoriiaboreichuk@gmail.com</t>
  </si>
  <si>
    <t>Норчук Ростислав</t>
  </si>
  <si>
    <t>@Merroy</t>
  </si>
  <si>
    <t>rostislove.norchuk@gmail.com</t>
  </si>
  <si>
    <t>Золотов Микита</t>
  </si>
  <si>
    <t>@gamedev_N</t>
  </si>
  <si>
    <t>elonthelike@gmail.com</t>
  </si>
  <si>
    <t>Кузьо Андрій</t>
  </si>
  <si>
    <t>@AndriyKuzo</t>
  </si>
  <si>
    <t>andriy281197@gmail.com</t>
  </si>
  <si>
    <t>Литвин Олександр</t>
  </si>
  <si>
    <t>@TraineeBeba</t>
  </si>
  <si>
    <t>klesh308@gmail.com</t>
  </si>
  <si>
    <t>Мірошникова Рената</t>
  </si>
  <si>
    <t>@jejgkrrm</t>
  </si>
  <si>
    <t>rmiroshnykova@gmail.com</t>
  </si>
  <si>
    <t>Ніжник Юлія</t>
  </si>
  <si>
    <t>Ніжнік Юлія</t>
  </si>
  <si>
    <t>@nizhnikjulia</t>
  </si>
  <si>
    <t>popov.julia.popov@gmail.com</t>
  </si>
  <si>
    <t>5375414125939776</t>
  </si>
  <si>
    <t>Баркова Марія</t>
  </si>
  <si>
    <t>@Mariia_Barkova</t>
  </si>
  <si>
    <t>mariia.barkova.pl@gmail.com</t>
  </si>
  <si>
    <t>Кришталь Олександр</t>
  </si>
  <si>
    <t>@uupak</t>
  </si>
  <si>
    <t>alexxkryshtal@gmail.com</t>
  </si>
  <si>
    <t>Гаденко Тетяна</t>
  </si>
  <si>
    <t>@Tatiana_27G</t>
  </si>
  <si>
    <t>gadenkotanya@gmail.com</t>
  </si>
  <si>
    <t>Рижко Олена</t>
  </si>
  <si>
    <t>@olenaryzhkoo</t>
  </si>
  <si>
    <t>olenarizko17@gmail.com</t>
  </si>
  <si>
    <t>Власенко Наталія</t>
  </si>
  <si>
    <t>@NataliiaVlasenk0</t>
  </si>
  <si>
    <t>gorohovatskaja@gmail.com</t>
  </si>
  <si>
    <t>Криловська Анастасія</t>
  </si>
  <si>
    <t>@alincor</t>
  </si>
  <si>
    <t>nastyajaguar154@gmail.com</t>
  </si>
  <si>
    <t>Ленська Лада</t>
  </si>
  <si>
    <t>@lenskaya_lada</t>
  </si>
  <si>
    <t>lada.lenskaya38@gmail.com</t>
  </si>
  <si>
    <t>Татаренков Іван</t>
  </si>
  <si>
    <t>@lukantatarenkov</t>
  </si>
  <si>
    <t>lukantatarenkov@gmail.com</t>
  </si>
  <si>
    <t>Васильчук Софія</t>
  </si>
  <si>
    <t>@solyarka39</t>
  </si>
  <si>
    <t>sonyavasilchuk@gmail.com</t>
  </si>
  <si>
    <t>Макогон Ірина</t>
  </si>
  <si>
    <t>@makiiraa</t>
  </si>
  <si>
    <t>Ira25Maka@gmail.com</t>
  </si>
  <si>
    <t>Войтенко Катерина</t>
  </si>
  <si>
    <t xml:space="preserve">Войтенко Катерина </t>
  </si>
  <si>
    <t>Соколо</t>
  </si>
  <si>
    <t>katrin_voit@ukr.net</t>
  </si>
  <si>
    <t xml:space="preserve">Колле Ольга </t>
  </si>
  <si>
    <t>@yallollya</t>
  </si>
  <si>
    <t>olyakolle09@gmail.com</t>
  </si>
  <si>
    <t>Говорун Ірина</t>
  </si>
  <si>
    <t>Ірина Говорун</t>
  </si>
  <si>
    <t>@irinagov22</t>
  </si>
  <si>
    <t>irinagov@ukr.net</t>
  </si>
  <si>
    <t>Москальова Марина</t>
  </si>
  <si>
    <t>@uiuxmarina</t>
  </si>
  <si>
    <t>marina.moskaleva.work@gmail.com</t>
  </si>
  <si>
    <t>Наваленко-Ганоцька Юлія</t>
  </si>
  <si>
    <t>Наваленко Юлія</t>
  </si>
  <si>
    <t>@Guldesign2023</t>
  </si>
  <si>
    <t>btryulia@gmail.com</t>
  </si>
  <si>
    <t>Клеха Єгор</t>
  </si>
  <si>
    <t>@jegorklekha</t>
  </si>
  <si>
    <t>klekhaegorka@gmail.com</t>
  </si>
  <si>
    <t>Парахненко Тетяна</t>
  </si>
  <si>
    <t>@tiriy</t>
  </si>
  <si>
    <t>tatianalapko7@gmail.com</t>
  </si>
  <si>
    <t>Клоченок Олександра</t>
  </si>
  <si>
    <t>@alexakkkl</t>
  </si>
  <si>
    <t>klochenok.ss@gmail.com</t>
  </si>
  <si>
    <t>Косточка Вікторія</t>
  </si>
  <si>
    <t>@vikadesigner</t>
  </si>
  <si>
    <t>vikakostochka16@gmail.com</t>
  </si>
  <si>
    <t>Костюк Оксана</t>
  </si>
  <si>
    <t>Костюк  Оксана</t>
  </si>
  <si>
    <t>@kosoks2332</t>
  </si>
  <si>
    <t>oksana.kostiuk.y@gmail.com</t>
  </si>
  <si>
    <t>Глодян Анастасія</t>
  </si>
  <si>
    <t>Глодян Анастасiя</t>
  </si>
  <si>
    <t>@AnastasiHlo</t>
  </si>
  <si>
    <t>hlodyan.anastasia@gmail.com</t>
  </si>
  <si>
    <t>Савченко Карина</t>
  </si>
  <si>
    <t>@svchnk_karina</t>
  </si>
  <si>
    <t>horukhakaryna@gmail.com</t>
  </si>
  <si>
    <t>Гончар Катерина</t>
  </si>
  <si>
    <t>https://docs.google.com/presentation/d/1sYnDdF0eaHA0p0KpMnNXwxLae_afUDJ3hnmDnZMMM7w/edit#slide=id.g18011cc932d_0_249</t>
  </si>
  <si>
    <t>@kathonchar</t>
  </si>
  <si>
    <t>K.r.honchar@gmail.com</t>
  </si>
  <si>
    <t>Зінич Євгеній</t>
  </si>
  <si>
    <t>@yevhenii_zinych</t>
  </si>
  <si>
    <t>yevhenii.zinich@gmail.com</t>
  </si>
  <si>
    <t>Пархомова Катерина</t>
  </si>
  <si>
    <t>@kateryna_parkhomova</t>
  </si>
  <si>
    <t>katya872019@gmail.com</t>
  </si>
  <si>
    <t>Рубченко Андрій</t>
  </si>
  <si>
    <t>@ONE_REY</t>
  </si>
  <si>
    <t>rubchenko01@gmail.com</t>
  </si>
  <si>
    <t>Бондар Юлія</t>
  </si>
  <si>
    <t>@iskra_art</t>
  </si>
  <si>
    <t>jlibon76@gmail.com</t>
  </si>
  <si>
    <t>Столярова Ірина</t>
  </si>
  <si>
    <t>@iryna_stoliarova</t>
  </si>
  <si>
    <t>iryna.stoliarovaa@gmail.com</t>
  </si>
  <si>
    <t>Свідзінська Ульяна</t>
  </si>
  <si>
    <t>@svidziinskaya</t>
  </si>
  <si>
    <t>usvidzinska@gmail.com</t>
  </si>
  <si>
    <t>Локайчук Анастасія</t>
  </si>
  <si>
    <t xml:space="preserve">Локайчук Анастасія </t>
  </si>
  <si>
    <t>@Lockaichuk</t>
  </si>
  <si>
    <t>anastasiia.lokaichuk@gmail.com</t>
  </si>
  <si>
    <t>Прокопова Єлизавета</t>
  </si>
  <si>
    <t>@LizabethPro</t>
  </si>
  <si>
    <t>lizaswon@gmail.com</t>
  </si>
  <si>
    <t>Кузовкіна Олександра</t>
  </si>
  <si>
    <t>Кузовкіна  Олександра</t>
  </si>
  <si>
    <t>@AlexK456</t>
  </si>
  <si>
    <t>kuzovkinaa1996@gmail.com</t>
  </si>
  <si>
    <t>Ненадович Тетяна</t>
  </si>
  <si>
    <t>@TetyanaNV</t>
  </si>
  <si>
    <t>nenadovichtv@gmail.com</t>
  </si>
  <si>
    <t>Николенко Андрій</t>
  </si>
  <si>
    <t>@AndriiNykolenko</t>
  </si>
  <si>
    <t>nikolandre14@gmail.com</t>
  </si>
  <si>
    <t>Сєркова Тетяна</t>
  </si>
  <si>
    <t>@srkv_tanya</t>
  </si>
  <si>
    <t>just.tanik@gmail.com</t>
  </si>
  <si>
    <t>Полов'ян Денис</t>
  </si>
  <si>
    <t>Полов’ян Денис</t>
  </si>
  <si>
    <t>@denisqb</t>
  </si>
  <si>
    <t>denispolovyan@gmail.com</t>
  </si>
  <si>
    <t>Ілуца Галина</t>
  </si>
  <si>
    <t>@gilutsa</t>
  </si>
  <si>
    <t>gilutsa09@gmail.com</t>
  </si>
  <si>
    <t>Коваленко Аліна</t>
  </si>
  <si>
    <t>@shtrihovochkaa</t>
  </si>
  <si>
    <t>a2004k1@gmail.com</t>
  </si>
  <si>
    <t>Манько Сергій</t>
  </si>
  <si>
    <t>@Serg_Manko</t>
  </si>
  <si>
    <t>MSA01051984@gmail.com</t>
  </si>
  <si>
    <t>Коваленко Сергій</t>
  </si>
  <si>
    <t xml:space="preserve">Коваленко  Сергій </t>
  </si>
  <si>
    <t>@serhulick</t>
  </si>
  <si>
    <t>brusencov1999@gmail.com</t>
  </si>
  <si>
    <t>Кріль Єлизавета</t>
  </si>
  <si>
    <t>@kelizzavetta</t>
  </si>
  <si>
    <t>yelyzaveta.k02@ukr.net</t>
  </si>
  <si>
    <t>Мельніков Роман</t>
  </si>
  <si>
    <t>@Roma_Kotie</t>
  </si>
  <si>
    <t>romanmelnikov221@gmail.com</t>
  </si>
  <si>
    <t>Саватєєв Володимир</t>
  </si>
  <si>
    <t>@shardvova</t>
  </si>
  <si>
    <t>vova3421vova@gmail.com</t>
  </si>
  <si>
    <t>Плаз Анна</t>
  </si>
  <si>
    <t>@asenmery</t>
  </si>
  <si>
    <t>suteinbekku@gmail.com</t>
  </si>
  <si>
    <t>Дешук Ангеліна</t>
  </si>
  <si>
    <t>Дешук  Ангеліна</t>
  </si>
  <si>
    <t>@taetae_23</t>
  </si>
  <si>
    <t>angelinadesuk@gmail.com</t>
  </si>
  <si>
    <t>Філонюк Анна</t>
  </si>
  <si>
    <t>@annten10</t>
  </si>
  <si>
    <t>efremenkoannajob@gmail.com</t>
  </si>
  <si>
    <t>Рибальченко Катерина</t>
  </si>
  <si>
    <t>@rybalchenko_k</t>
  </si>
  <si>
    <t>rybalchenko.kateryna10@gmail.com</t>
  </si>
  <si>
    <t>Примак Дарина</t>
  </si>
  <si>
    <t>@P_Darina</t>
  </si>
  <si>
    <t>darina452@gmail.com</t>
  </si>
  <si>
    <t>Гришко Поліна</t>
  </si>
  <si>
    <t>Гришко  Поліна</t>
  </si>
  <si>
    <t>@poliiaan</t>
  </si>
  <si>
    <t>polinagrishko2@gmail.com</t>
  </si>
  <si>
    <t>Григоряк Назар</t>
  </si>
  <si>
    <t>@grigoryak_n</t>
  </si>
  <si>
    <t>чайкnazargrigoryakk@gmail.com</t>
  </si>
  <si>
    <t>Бабій Юлія</t>
  </si>
  <si>
    <t>Юлія Бабій</t>
  </si>
  <si>
    <t>@bb_yulia</t>
  </si>
  <si>
    <t>jullybabij02@gmail.com</t>
  </si>
  <si>
    <t>Стрілецький Яків</t>
  </si>
  <si>
    <t>@Streleckij</t>
  </si>
  <si>
    <t>streleczkij1996@gmail.com</t>
  </si>
  <si>
    <t>Стельник Оксана</t>
  </si>
  <si>
    <t>@OksanaStel1</t>
  </si>
  <si>
    <t>oksanastel45@gmail.com</t>
  </si>
  <si>
    <t>Дегтяр Альона</t>
  </si>
  <si>
    <t>@all_Cunning</t>
  </si>
  <si>
    <t>pasha2001760@gmail.com</t>
  </si>
  <si>
    <t>Качуєвська Вікторія</t>
  </si>
  <si>
    <t xml:space="preserve">Качуєвська Вікторія </t>
  </si>
  <si>
    <t>@somouu</t>
  </si>
  <si>
    <t>vika.k.07042006@gmail.com</t>
  </si>
  <si>
    <t>Яскульська Христина</t>
  </si>
  <si>
    <t>@Chrysstia</t>
  </si>
  <si>
    <t>yaskulskahrystyna@gmail.com</t>
  </si>
  <si>
    <t>Пижик Віолета</t>
  </si>
  <si>
    <t>@Violet_Pyzyk</t>
  </si>
  <si>
    <t>in.vonderland@gmail.com</t>
  </si>
  <si>
    <t>Малишева Олександра</t>
  </si>
  <si>
    <t>@Oleksandra_Malysheva</t>
  </si>
  <si>
    <t>malyshevaoleksandra18@gmail.com</t>
  </si>
  <si>
    <t>Дика Поліна</t>
  </si>
  <si>
    <t>@PolinaDyka</t>
  </si>
  <si>
    <t>polina.dyka@gmail.com</t>
  </si>
  <si>
    <t>Доля Руслан</t>
  </si>
  <si>
    <t>@DolyaRuslan</t>
  </si>
  <si>
    <t>ruslandolya2023@gmail.com</t>
  </si>
  <si>
    <t>Маргаріт Марина</t>
  </si>
  <si>
    <t>@margaritm13</t>
  </si>
  <si>
    <t>margaritm13@gmail.com</t>
  </si>
  <si>
    <t>Баннікова Софія</t>
  </si>
  <si>
    <t>@Mak_Sofochka</t>
  </si>
  <si>
    <t>makshnakneks0@gmail.com</t>
  </si>
  <si>
    <t>Охотніков Едуард</t>
  </si>
  <si>
    <t>@edya_o</t>
  </si>
  <si>
    <t>eduardohotnikov@gmail.com</t>
  </si>
  <si>
    <t>Білецька Вероніка</t>
  </si>
  <si>
    <t xml:space="preserve">Білецька Вероніка </t>
  </si>
  <si>
    <t>@biletskavv</t>
  </si>
  <si>
    <t>nika8548@gmail.com</t>
  </si>
  <si>
    <t>Тараненко Олена</t>
  </si>
  <si>
    <t>@O_Monsterovna</t>
  </si>
  <si>
    <t>lent@ukr.net</t>
  </si>
  <si>
    <t>Яковенко Дмитро</t>
  </si>
  <si>
    <t>@mr_dmitro_yakovenko</t>
  </si>
  <si>
    <t>mr.dmitriy.yakovenko@gmail.com</t>
  </si>
  <si>
    <t>Завальна Юлія</t>
  </si>
  <si>
    <t>@Zavyliua</t>
  </si>
  <si>
    <t>zavalnayliua@gmail.com</t>
  </si>
  <si>
    <t>Гвоздецька Лариса</t>
  </si>
  <si>
    <t>@Lora_hv</t>
  </si>
  <si>
    <t>Lar.hvozdetska@gmail.com</t>
  </si>
  <si>
    <t>Старовойт Анна</t>
  </si>
  <si>
    <t>@anyasrvn</t>
  </si>
  <si>
    <t>anyastarovojt@icloud.com</t>
  </si>
  <si>
    <t>Шевцова Вероніка</t>
  </si>
  <si>
    <t>@Vrnk_Nika</t>
  </si>
  <si>
    <t>veronika.shevtsova@ucu.edu.ua</t>
  </si>
  <si>
    <t>Корольова Віра</t>
  </si>
  <si>
    <t>@VeraKorolyova72</t>
  </si>
  <si>
    <t>korolyova.v@ukr.net</t>
  </si>
  <si>
    <t>Шуленко Тетяна</t>
  </si>
  <si>
    <t>@shulenkot</t>
  </si>
  <si>
    <t>shulenkot@gmail.com</t>
  </si>
  <si>
    <t>Ляшенко Анжеліка</t>
  </si>
  <si>
    <t>@likalsnk</t>
  </si>
  <si>
    <t>anjelika.liashenko@gmail.com</t>
  </si>
  <si>
    <t>Шкода Дмитро</t>
  </si>
  <si>
    <t>@dima4962</t>
  </si>
  <si>
    <t>dimashkoda2000@gmail.com</t>
  </si>
  <si>
    <t>Келлер Владислав</t>
  </si>
  <si>
    <t xml:space="preserve">Келлер Владислав </t>
  </si>
  <si>
    <t>@skiff7777</t>
  </si>
  <si>
    <t>skiffvlad90@gmail.com</t>
  </si>
  <si>
    <t>Карлова Анастасія</t>
  </si>
  <si>
    <t xml:space="preserve">Карлова Анастасія </t>
  </si>
  <si>
    <t>@karlovaska</t>
  </si>
  <si>
    <t>kirav6248@gmail.com</t>
  </si>
  <si>
    <t>Яцимірська Ольга</t>
  </si>
  <si>
    <t>@olalakola</t>
  </si>
  <si>
    <t>yatsymirska@gmail.com</t>
  </si>
  <si>
    <t>Третяк Мар'яна</t>
  </si>
  <si>
    <t xml:space="preserve">Третяк Мар'яна </t>
  </si>
  <si>
    <t>@tretiakm</t>
  </si>
  <si>
    <t>mariannatretiak27@gmail.com</t>
  </si>
  <si>
    <t>Святенко Андрій</t>
  </si>
  <si>
    <t>@andrewDeveloperr</t>
  </si>
  <si>
    <t>minexminex0@gmail.com</t>
  </si>
  <si>
    <t>Микитюк Юліанна</t>
  </si>
  <si>
    <t>@koricq</t>
  </si>
  <si>
    <t>mikitukulianna@gmail.com</t>
  </si>
  <si>
    <t>Гєєнко Наталія</t>
  </si>
  <si>
    <t xml:space="preserve">Гєєнко Наталія </t>
  </si>
  <si>
    <t>@ref8lex</t>
  </si>
  <si>
    <t>nataligeenko@gmail.com</t>
  </si>
  <si>
    <t>Гусарська Наталія</t>
  </si>
  <si>
    <t>Гусарська Наталя</t>
  </si>
  <si>
    <t>@Nata_17071976</t>
  </si>
  <si>
    <t>gusarskaja2017@gmail.com</t>
  </si>
  <si>
    <t>Полюхович Анастасія</t>
  </si>
  <si>
    <t>@rsmaydf</t>
  </si>
  <si>
    <t>nastiapoliukhovych10@gmail.com</t>
  </si>
  <si>
    <t>Городецька Анастасія</t>
  </si>
  <si>
    <t>@shesaidwhy</t>
  </si>
  <si>
    <t>gorodetskann@gmail.com</t>
  </si>
  <si>
    <t>Зацаринна Марина</t>
  </si>
  <si>
    <t>@maruna_zatsarunna</t>
  </si>
  <si>
    <t>zacarinnaamarina9@gmail.com</t>
  </si>
  <si>
    <t>Абрамович Олександр</t>
  </si>
  <si>
    <t>@NixonNumber1</t>
  </si>
  <si>
    <t>alannikolaev936@gmail.com</t>
  </si>
  <si>
    <t>Кислун Андрій</t>
  </si>
  <si>
    <t>@anon175443</t>
  </si>
  <si>
    <t>andy.kislun@gmail.com</t>
  </si>
  <si>
    <t>Ляшенко Поліна</t>
  </si>
  <si>
    <t>@villiam_b</t>
  </si>
  <si>
    <t>cool.pollinka@gmail.com</t>
  </si>
  <si>
    <t>Тихонова Марія</t>
  </si>
  <si>
    <t>@mtykhonova</t>
  </si>
  <si>
    <t>MariaTykhonova@gmail.com</t>
  </si>
  <si>
    <t>Кеван Олександр</t>
  </si>
  <si>
    <t>@kevan_O</t>
  </si>
  <si>
    <t>kevanoleksandr@gmail.com</t>
  </si>
  <si>
    <t>Мандзя Андрій</t>
  </si>
  <si>
    <t>@burb3rrys</t>
  </si>
  <si>
    <t>andrii.mandzia@gmail.com</t>
  </si>
  <si>
    <t>Гурʼєва Наталія</t>
  </si>
  <si>
    <t>@vi_natali</t>
  </si>
  <si>
    <t>natalagureva16@gmail.com</t>
  </si>
  <si>
    <t>Гойна Іван</t>
  </si>
  <si>
    <t xml:space="preserve">Гойна Іван </t>
  </si>
  <si>
    <t>@never1existed</t>
  </si>
  <si>
    <t>hoina_ivan@ukr.net</t>
  </si>
  <si>
    <t>Дмитриєвський Олексій</t>
  </si>
  <si>
    <t>@oleksa_dm</t>
  </si>
  <si>
    <t>kartli713@gmail.com</t>
  </si>
  <si>
    <t>Новосільська Марія</t>
  </si>
  <si>
    <t>Новосільська  Марія</t>
  </si>
  <si>
    <t>@novos_mar</t>
  </si>
  <si>
    <t>1975novosilma@gmail.com</t>
  </si>
  <si>
    <t>Коваль Анастасія</t>
  </si>
  <si>
    <t>@nkovaal</t>
  </si>
  <si>
    <t>anastasikovaal24@gmail.com</t>
  </si>
  <si>
    <t>Авраменко Марія</t>
  </si>
  <si>
    <t>@avvram</t>
  </si>
  <si>
    <t>mariia.avram@gmail.com</t>
  </si>
  <si>
    <t>Рибаков Владислав</t>
  </si>
  <si>
    <t>@Idislikekurkuma</t>
  </si>
  <si>
    <t>ЛМС: fabikig1@gmail.com
Заняття: nouftein@gmail.com</t>
  </si>
  <si>
    <t>Новак Дмитро</t>
  </si>
  <si>
    <t xml:space="preserve">Новак Дмитро </t>
  </si>
  <si>
    <t>@Astaniell</t>
  </si>
  <si>
    <t>novdmiol@gmail.com</t>
  </si>
  <si>
    <t>Гулак Антоніна</t>
  </si>
  <si>
    <t>@tonia_hulak</t>
  </si>
  <si>
    <t>bonia.mk@gmail.com</t>
  </si>
  <si>
    <t>Федаш Наталія</t>
  </si>
  <si>
    <t>@in_sent</t>
  </si>
  <si>
    <t>nataliiafedash@icloud.com</t>
  </si>
  <si>
    <t>Клименко Анна</t>
  </si>
  <si>
    <t>@ris3_and_shin3</t>
  </si>
  <si>
    <t>klymenkotutodna@gmail.com</t>
  </si>
  <si>
    <t>Боровко Римма</t>
  </si>
  <si>
    <t>@rymmabo</t>
  </si>
  <si>
    <t>rymma.bo@gmail.com</t>
  </si>
  <si>
    <t>Куліш Юлія</t>
  </si>
  <si>
    <t xml:space="preserve">Куліш Юлія викладач </t>
  </si>
  <si>
    <t>@kulish_juli</t>
  </si>
  <si>
    <t>kulish.julia2236@gmail.com</t>
  </si>
  <si>
    <t>Фотеско Владислав</t>
  </si>
  <si>
    <t>@Spektraz</t>
  </si>
  <si>
    <t>foteskin18@gmail.com</t>
  </si>
  <si>
    <t>Левченко Марія</t>
  </si>
  <si>
    <t>@levchenkomariaa</t>
  </si>
  <si>
    <t>levcenkomaria777@gmail.com</t>
  </si>
  <si>
    <t>Кириловська Вероніка</t>
  </si>
  <si>
    <t xml:space="preserve">Кириловська Вероніка </t>
  </si>
  <si>
    <t>@NikKy_W</t>
  </si>
  <si>
    <t>veronika-kirilovska@ukr.net</t>
  </si>
  <si>
    <t>Говорун Маргаріта</t>
  </si>
  <si>
    <t>@margo_meki</t>
  </si>
  <si>
    <t>margarita.govorun29@gmail.com</t>
  </si>
  <si>
    <t>Ільющенко Марія</t>
  </si>
  <si>
    <t>@MaryIlyushenko</t>
  </si>
  <si>
    <t>kentlittle388@gmail.com</t>
  </si>
  <si>
    <t>Бібікова Єлизавета</t>
  </si>
  <si>
    <t>@liza_bibikova</t>
  </si>
  <si>
    <t>elizavetabibikova@gmail.com</t>
  </si>
  <si>
    <t>Харченко Анна</t>
  </si>
  <si>
    <t xml:space="preserve">Анна Харченко </t>
  </si>
  <si>
    <t>@anna_kharchenko2</t>
  </si>
  <si>
    <t>anna284782@gmail.com</t>
  </si>
  <si>
    <t>Фесак Вікторія</t>
  </si>
  <si>
    <t>@viktysua</t>
  </si>
  <si>
    <t>vfesak203@gmail.com</t>
  </si>
  <si>
    <t>Ващик Лілія</t>
  </si>
  <si>
    <t>@Liliya_vashchik</t>
  </si>
  <si>
    <t>Vashchik14@gmail.com</t>
  </si>
  <si>
    <t>Ратушна Наталія</t>
  </si>
  <si>
    <t>@Natalia_Ratushnaya</t>
  </si>
  <si>
    <t>ratushnayanatasha20@gmail.com</t>
  </si>
  <si>
    <t>Гладун Анастасія</t>
  </si>
  <si>
    <t>@nastia_gladun</t>
  </si>
  <si>
    <t>nastia.gladun@gmail.com</t>
  </si>
  <si>
    <t>Осипенко Ганна</t>
  </si>
  <si>
    <t xml:space="preserve">Анна Осипенко </t>
  </si>
  <si>
    <t>@hanna_kalina</t>
  </si>
  <si>
    <t>0668049297a@gmail.com</t>
  </si>
  <si>
    <t>Сліпович Наталія</t>
  </si>
  <si>
    <t xml:space="preserve">Сліпович Наталія </t>
  </si>
  <si>
    <t>@natalyaslipovich</t>
  </si>
  <si>
    <t>мандзя</t>
  </si>
  <si>
    <t>Бабич Оксана</t>
  </si>
  <si>
    <t xml:space="preserve">Бабич Оксана </t>
  </si>
  <si>
    <t>@oksana_babych</t>
  </si>
  <si>
    <t>dunka.illustrator@gmail.com</t>
  </si>
  <si>
    <t>Чернишева Олександра</t>
  </si>
  <si>
    <t>@alexaa_psy</t>
  </si>
  <si>
    <t>altomiron20.20@gmail.com</t>
  </si>
  <si>
    <t>Грудень</t>
  </si>
  <si>
    <t>Струкова Марина</t>
  </si>
  <si>
    <t xml:space="preserve">Струкова Марина </t>
  </si>
  <si>
    <t>@M20Strukovacc2020</t>
  </si>
  <si>
    <t>strukova0112@gmail.com</t>
  </si>
  <si>
    <t>Лук'янець Аліса</t>
  </si>
  <si>
    <t xml:space="preserve">Лук’янець Аліса </t>
  </si>
  <si>
    <t>@lukyanets_a</t>
  </si>
  <si>
    <t>alicelukyanets@gmail.com</t>
  </si>
  <si>
    <t>Різнічок Ірина</t>
  </si>
  <si>
    <t>@irinaaadler</t>
  </si>
  <si>
    <t>adlerirane@gmail.com</t>
  </si>
  <si>
    <t>Корнюк Владислав</t>
  </si>
  <si>
    <t>@KyunRock</t>
  </si>
  <si>
    <t>vvk2005vvk97@gmail.com</t>
  </si>
  <si>
    <t>Нагорна Ірина</t>
  </si>
  <si>
    <t>@INahorna</t>
  </si>
  <si>
    <t>ivolobyeva@ukr.net</t>
  </si>
  <si>
    <t>Рожко Олена</t>
  </si>
  <si>
    <t>Рожко Олена .pptx</t>
  </si>
  <si>
    <t>@OlenaRozko</t>
  </si>
  <si>
    <t>olenarozko46@gmail.com</t>
  </si>
  <si>
    <t>Іваненко Дмитро Володимирович</t>
  </si>
  <si>
    <t xml:space="preserve"> Іваненко Дмитро </t>
  </si>
  <si>
    <t>@dims_designer</t>
  </si>
  <si>
    <t>dmytroo.ivanenko@gmail.com</t>
  </si>
  <si>
    <t>Чекун Сергій</t>
  </si>
  <si>
    <t>@oChekushka</t>
  </si>
  <si>
    <t>chekun.sergiy@gmail.com</t>
  </si>
  <si>
    <t>Романюк Лілія</t>
  </si>
  <si>
    <t>Романюк Лілія.pptx</t>
  </si>
  <si>
    <t>@lylyanochka</t>
  </si>
  <si>
    <t>lylyanochka@gmail.com</t>
  </si>
  <si>
    <t>Вонярха (Філоненко) Вероніка</t>
  </si>
  <si>
    <t>Вонярха Вероніка</t>
  </si>
  <si>
    <t>@Roni_Mars</t>
  </si>
  <si>
    <t>marsdyrashka44@gmail.com</t>
  </si>
  <si>
    <t>Васильєва Ірина</t>
  </si>
  <si>
    <t>Васильєва Ірина.pptx</t>
  </si>
  <si>
    <t>@irinarsy</t>
  </si>
  <si>
    <t>irirusna@gmail.com</t>
  </si>
  <si>
    <t>Олефіренко Ярослав</t>
  </si>
  <si>
    <t>@fineput</t>
  </si>
  <si>
    <t>yaroslavadimovit@gmail.com</t>
  </si>
  <si>
    <t>Вишневський Руслан</t>
  </si>
  <si>
    <t>@zzerovo</t>
  </si>
  <si>
    <t>storageruslannumberone@gmail.com</t>
  </si>
  <si>
    <t>Євстігнєєва Єлизавета</t>
  </si>
  <si>
    <t>@elizart_designer</t>
  </si>
  <si>
    <t>design.photo.LYS@gmail.com</t>
  </si>
  <si>
    <t>Руда Катерина</t>
  </si>
  <si>
    <t xml:space="preserve">Руда Катерина </t>
  </si>
  <si>
    <t>@divkozavr</t>
  </si>
  <si>
    <t>katyahorya3003@gmail.com</t>
  </si>
  <si>
    <t>Малахова Зоя</t>
  </si>
  <si>
    <t>@terraWein</t>
  </si>
  <si>
    <t>zara.xeon0@gmail.com</t>
  </si>
  <si>
    <t>Серафімов Ілля</t>
  </si>
  <si>
    <t xml:space="preserve">Серафімов Ілля </t>
  </si>
  <si>
    <t>@serafimov_psy</t>
  </si>
  <si>
    <t>bozhevilnuy@gmail.com</t>
  </si>
  <si>
    <t>Твердохліб Єлизавета</t>
  </si>
  <si>
    <t xml:space="preserve">Твердохліб Єлизавета </t>
  </si>
  <si>
    <t>@lizaxlib</t>
  </si>
  <si>
    <t>yetverdokhlibye@gmail.com</t>
  </si>
  <si>
    <t>Борисова Ксенія</t>
  </si>
  <si>
    <t xml:space="preserve">Борисова Ксенія </t>
  </si>
  <si>
    <t>@borysova_sketch</t>
  </si>
  <si>
    <t>borisovak860@gmail.com</t>
  </si>
  <si>
    <t>Солончак Станіслав</t>
  </si>
  <si>
    <t>@stasyammb</t>
  </si>
  <si>
    <t>solonchak88@icloud.com</t>
  </si>
  <si>
    <t>Романцов Дмитро</t>
  </si>
  <si>
    <t xml:space="preserve">Романцов Дмитро </t>
  </si>
  <si>
    <t>@cashtan54</t>
  </si>
  <si>
    <t>romantsovmitya1@gmail.com</t>
  </si>
  <si>
    <t>Михайленко Людмила</t>
  </si>
  <si>
    <t>@Mykhailenko_Liudmyla</t>
  </si>
  <si>
    <t>liudmylapoltavets@gmail.com</t>
  </si>
  <si>
    <t>Хижняк Марія</t>
  </si>
  <si>
    <t>@ransicese</t>
  </si>
  <si>
    <t>mpak48714@gmail.com</t>
  </si>
  <si>
    <t>Акритова Аліна</t>
  </si>
  <si>
    <t>Аліна Акритова</t>
  </si>
  <si>
    <t>@alirozalli</t>
  </si>
  <si>
    <t>akrutova2005@gmail.com</t>
  </si>
  <si>
    <t>Чубик Марія</t>
  </si>
  <si>
    <t>Марія Чубик</t>
  </si>
  <si>
    <t>@mariachubyk</t>
  </si>
  <si>
    <t>mariachubyk@gmail.com</t>
  </si>
  <si>
    <t>Волинець Андрій</t>
  </si>
  <si>
    <t>@fen0men2053</t>
  </si>
  <si>
    <t>volynetsanmy@gmail.com</t>
  </si>
  <si>
    <t>Семенюк Катерина</t>
  </si>
  <si>
    <t>@Katya_Semeniuk</t>
  </si>
  <si>
    <t>katyasemeniuk@gmail.com</t>
  </si>
  <si>
    <t>Нестругіна Юлія</t>
  </si>
  <si>
    <t xml:space="preserve">Нестругіна Юлія </t>
  </si>
  <si>
    <t>@reron_jul</t>
  </si>
  <si>
    <t>yulianestrugina@gmail.com</t>
  </si>
  <si>
    <t>Андрощук Анна</t>
  </si>
  <si>
    <t>@fukuro_dz</t>
  </si>
  <si>
    <t>anya.androschuk@gmail.com</t>
  </si>
  <si>
    <t>Холодняк Станіслав</t>
  </si>
  <si>
    <t>@Blackwh_ite</t>
  </si>
  <si>
    <t>stanislavh2002@gmail.com</t>
  </si>
  <si>
    <t>Пономарчук Анастасія</t>
  </si>
  <si>
    <t xml:space="preserve">Пономарчук Анастасія </t>
  </si>
  <si>
    <t>@ann_soul</t>
  </si>
  <si>
    <t>podarimnenebo399@gmail.com</t>
  </si>
  <si>
    <t>Карпенко Зоряна</t>
  </si>
  <si>
    <t>@zorianakarpenko</t>
  </si>
  <si>
    <t>karpenkozoriana@gmail.com</t>
  </si>
  <si>
    <t>Ушакова Ольга</t>
  </si>
  <si>
    <t xml:space="preserve">Ушакова Ольга </t>
  </si>
  <si>
    <t>@OlgaUshakova19</t>
  </si>
  <si>
    <t>helliok31@gmail.com</t>
  </si>
  <si>
    <t>Кондратюк Олександр</t>
  </si>
  <si>
    <t>@alex_kondratiuk</t>
  </si>
  <si>
    <t>alex_kondr@outlook.com</t>
  </si>
  <si>
    <t>Савчин Анастасія</t>
  </si>
  <si>
    <t>@Nastya_Savchyn</t>
  </si>
  <si>
    <t>nastyasavchyn034@gmail.com</t>
  </si>
  <si>
    <t>Куценко Олександр</t>
  </si>
  <si>
    <t>@fstv_electro</t>
  </si>
  <si>
    <t>tomoesanya@gmail.com</t>
  </si>
  <si>
    <t>Билень Оксана</t>
  </si>
  <si>
    <t>@OksanaBylen</t>
  </si>
  <si>
    <t>oksanabylen@ukr.net</t>
  </si>
  <si>
    <t>Козаков Данило</t>
  </si>
  <si>
    <t>@sseitc</t>
  </si>
  <si>
    <t>danylo.kozakov.cv@gmail.com</t>
  </si>
  <si>
    <t>Сорока Каріна</t>
  </si>
  <si>
    <t>@sorrroka_karrrina</t>
  </si>
  <si>
    <t>dg9-20sorokakarina@ukr.net</t>
  </si>
  <si>
    <t>Дубограй Анна-Марія</t>
  </si>
  <si>
    <t>@ann_dbgr</t>
  </si>
  <si>
    <t>dubograyao@gmail.com</t>
  </si>
  <si>
    <t>Ільчук Вадим</t>
  </si>
  <si>
    <t>@Stepfars</t>
  </si>
  <si>
    <t xml:space="preserve">StFarYo@gmail.com        </t>
  </si>
  <si>
    <t>Гончаров Сергій</t>
  </si>
  <si>
    <t>@gvess</t>
  </si>
  <si>
    <t>goncharov.s.work@gmail.com</t>
  </si>
  <si>
    <t>Галайко Віталій</t>
  </si>
  <si>
    <t>@Vitalii_halaiko</t>
  </si>
  <si>
    <t>vitalijgalajko91@gmail.com</t>
  </si>
  <si>
    <t>Тараненко Анастасія</t>
  </si>
  <si>
    <t xml:space="preserve">Тараненко Анастасія </t>
  </si>
  <si>
    <t>@with_art_in_the_heart</t>
  </si>
  <si>
    <t>anastasiataranenko.art@gmail.com</t>
  </si>
  <si>
    <t>Бараненко Владислав</t>
  </si>
  <si>
    <t>@Ultrapromax3001</t>
  </si>
  <si>
    <t>vladbaranenko2006@gmail.com</t>
  </si>
  <si>
    <t>Бугайова Ярослава</t>
  </si>
  <si>
    <t>@endlessbuthelpless</t>
  </si>
  <si>
    <t>bugwyr@gmail.com</t>
  </si>
  <si>
    <t>Малишенко Катерина</t>
  </si>
  <si>
    <t>@Katrin1r</t>
  </si>
  <si>
    <t>ekatjamalish@gmail.com</t>
  </si>
  <si>
    <t>Січень</t>
  </si>
  <si>
    <t>Щобак Юрій</t>
  </si>
  <si>
    <t>@shchobakart</t>
  </si>
  <si>
    <t>petersonborison@gmail.com</t>
  </si>
  <si>
    <t>Сокол Тетяна</t>
  </si>
  <si>
    <t>@tanyatanya1801</t>
  </si>
  <si>
    <t>tanyasokol1801@gmail.com</t>
  </si>
  <si>
    <t>Клещ Катерина</t>
  </si>
  <si>
    <t xml:space="preserve">Катерина Клещ </t>
  </si>
  <si>
    <t>@KatiaKV</t>
  </si>
  <si>
    <t>katyaka1993@outlook.com</t>
  </si>
  <si>
    <t>Животова Аглая</t>
  </si>
  <si>
    <t>@grib0cm</t>
  </si>
  <si>
    <t>gribglasha@gmail.com</t>
  </si>
  <si>
    <t>Єрохін Єгор</t>
  </si>
  <si>
    <t>@yer0ha</t>
  </si>
  <si>
    <t>egor.yerokhin@gmail.com</t>
  </si>
  <si>
    <t>Босой Олена</t>
  </si>
  <si>
    <t>@Olena_Bosoi</t>
  </si>
  <si>
    <t>bosoiolena@gmail.com</t>
  </si>
  <si>
    <t>Тарнавський Владислав</t>
  </si>
  <si>
    <t>@th0rnfrog</t>
  </si>
  <si>
    <t>tarnavsijvlad@gmail.com</t>
  </si>
  <si>
    <t>Мудрик Денис</t>
  </si>
  <si>
    <t>@mudryk_denys</t>
  </si>
  <si>
    <t>mudrykdenys07@gmail.com</t>
  </si>
  <si>
    <t>Івашура Ольга</t>
  </si>
  <si>
    <t>@OLha_Ivashura</t>
  </si>
  <si>
    <t>ivolga40379@gmail.com</t>
  </si>
  <si>
    <t>Полосьмак Вероніка</t>
  </si>
  <si>
    <t>@vplsmk</t>
  </si>
  <si>
    <t>vplsmk1@gmail.com</t>
  </si>
  <si>
    <t>Костюченко Полiна</t>
  </si>
  <si>
    <t>@a_polyna</t>
  </si>
  <si>
    <t>polidezigner@gmail.com</t>
  </si>
  <si>
    <t>Колгашева Альона</t>
  </si>
  <si>
    <t>@kolgash</t>
  </si>
  <si>
    <t>kolgasheva065@gmail.com</t>
  </si>
  <si>
    <t>Карплюк Юлія</t>
  </si>
  <si>
    <t>Карплюк Юлія.pptx</t>
  </si>
  <si>
    <t>@Juliya_Karplyuk</t>
  </si>
  <si>
    <t>juliakarpliuk@gmail.com</t>
  </si>
  <si>
    <t>Трифонов Денис</t>
  </si>
  <si>
    <t>@Sir_Shal</t>
  </si>
  <si>
    <t>dremmettlathopbrown@gmail.com</t>
  </si>
  <si>
    <t>Мушин Тетяна</t>
  </si>
  <si>
    <t>@tania_mushyn</t>
  </si>
  <si>
    <t>mtetiana7878@gmail.com</t>
  </si>
  <si>
    <t>Григоришен Олександр</t>
  </si>
  <si>
    <t>@OleksandrHryhoryshen</t>
  </si>
  <si>
    <t>ogrigorisen@gmail.com</t>
  </si>
  <si>
    <t>Джевжик Андрій</t>
  </si>
  <si>
    <t>@A3333222</t>
  </si>
  <si>
    <t>dzhevzhik2022@gmail.com</t>
  </si>
  <si>
    <t>Зарицька Євгенія</t>
  </si>
  <si>
    <t>@zarytskaye</t>
  </si>
  <si>
    <t>zarytskayevheniia@gmail.com</t>
  </si>
  <si>
    <t>Домажирська Неля</t>
  </si>
  <si>
    <t>Неля Домажирська</t>
  </si>
  <si>
    <t>@Nelia_Domazhyrska</t>
  </si>
  <si>
    <t>domazirskanela@gmail.com</t>
  </si>
  <si>
    <t>Кахновець Богдан</t>
  </si>
  <si>
    <t>@Kravetsc</t>
  </si>
  <si>
    <t>bodya20082005@gmail.com</t>
  </si>
  <si>
    <t>Безматірних Надія</t>
  </si>
  <si>
    <t>@Nadi_Bezmatirnyh</t>
  </si>
  <si>
    <t>bezmaternih1981@gmail.com</t>
  </si>
  <si>
    <t>Шевченко Вікторія</t>
  </si>
  <si>
    <t>@viiittorri</t>
  </si>
  <si>
    <t>shevthenkovika102005@gmail.com</t>
  </si>
  <si>
    <t>Василега Поліна</t>
  </si>
  <si>
    <t>@Polina_Vasilega</t>
  </si>
  <si>
    <t>polina.vasilega87@gmail.com</t>
  </si>
  <si>
    <t>Юшманова Анастасія</t>
  </si>
  <si>
    <t>@vendetta_lv</t>
  </si>
  <si>
    <t>kukuzyaha2006@gmail.com</t>
  </si>
  <si>
    <t>Мазурчак Лідія</t>
  </si>
  <si>
    <t>вол</t>
  </si>
  <si>
    <t>mazurchak.lida@gmail.com</t>
  </si>
  <si>
    <t>Пипченко Наталія</t>
  </si>
  <si>
    <t>@Natusiia</t>
  </si>
  <si>
    <t>pypchenko.natalia@gmail.com</t>
  </si>
  <si>
    <t>Жук Анна</t>
  </si>
  <si>
    <t>Анна Жук</t>
  </si>
  <si>
    <t>@anryyyyyyyyy</t>
  </si>
  <si>
    <t>Annkenry0319@gmail.com</t>
  </si>
  <si>
    <t>Артеменко Дмитро</t>
  </si>
  <si>
    <t>@Dmitro_Artemenko</t>
  </si>
  <si>
    <t>artemenkodima573@gmail.com</t>
  </si>
  <si>
    <t>Джалладова Ірада</t>
  </si>
  <si>
    <t>@profdzhalladova</t>
  </si>
  <si>
    <t>idzhalladova@gmail.com</t>
  </si>
  <si>
    <t>Непрядкіна Ірина</t>
  </si>
  <si>
    <t>@irinanepryadkina</t>
  </si>
  <si>
    <t>nepryadkina@gmail.com</t>
  </si>
  <si>
    <t>Горбунов Юрій</t>
  </si>
  <si>
    <t>@G18U11</t>
  </si>
  <si>
    <t>urijnet@gmail.com</t>
  </si>
  <si>
    <t>Петеляк Юлія</t>
  </si>
  <si>
    <t>@yuliia_peteliak</t>
  </si>
  <si>
    <t>ruriko0olle@gmail.com</t>
  </si>
  <si>
    <t>Ротай Віра</t>
  </si>
  <si>
    <t>@virarotai</t>
  </si>
  <si>
    <t>rvv9n65@gmail.com</t>
  </si>
  <si>
    <t>Ільченко Карина</t>
  </si>
  <si>
    <t>@karina_satarivna</t>
  </si>
  <si>
    <t>workpopel@gmail.com</t>
  </si>
  <si>
    <t>Таченко Оксана</t>
  </si>
  <si>
    <t>@OxyGeeenn</t>
  </si>
  <si>
    <t>17oksanatachenko@gmail.com</t>
  </si>
  <si>
    <t>Мороз Ольга</t>
  </si>
  <si>
    <t>@OliaMoroz21</t>
  </si>
  <si>
    <t>olisone2003@gmail.com</t>
  </si>
  <si>
    <t>Солодкий Микола</t>
  </si>
  <si>
    <t>@solodkii03</t>
  </si>
  <si>
    <t>mikolasolodkij6@gmail.com</t>
  </si>
  <si>
    <t>Ясінська Юлія</t>
  </si>
  <si>
    <t xml:space="preserve">Ясінська Юлія </t>
  </si>
  <si>
    <t>@dreamscorpionbell</t>
  </si>
  <si>
    <t>dreamscorpionbell@gmail.com</t>
  </si>
  <si>
    <t>Ухов Остап</t>
  </si>
  <si>
    <t>@IchHabeFrosch</t>
  </si>
  <si>
    <t>ostapuhov56@gmail.com</t>
  </si>
  <si>
    <t>Ружина Марія</t>
  </si>
  <si>
    <t>@msruzhyna</t>
  </si>
  <si>
    <t>ms.ant@ukr.net</t>
  </si>
  <si>
    <t>Івасик Лілія</t>
  </si>
  <si>
    <t>@Liliata</t>
  </si>
  <si>
    <t>liliat.ivasyk@gmail.com</t>
  </si>
  <si>
    <t>Шендюх Тетяна</t>
  </si>
  <si>
    <t>Шендюх Тетяна.pptx</t>
  </si>
  <si>
    <t>@tetianashendiuh</t>
  </si>
  <si>
    <t>tsenduh@gmail.com</t>
  </si>
  <si>
    <t>Білик Інеса</t>
  </si>
  <si>
    <t>@InesaBilyk</t>
  </si>
  <si>
    <t>inesa.bilyk@gmail.com</t>
  </si>
  <si>
    <t>Бойко Наталія</t>
  </si>
  <si>
    <t>@Nataliia_2024</t>
  </si>
  <si>
    <t>nataboyko569@gmail.com</t>
  </si>
  <si>
    <t>Полєшко Аліна</t>
  </si>
  <si>
    <t>@Poliessh</t>
  </si>
  <si>
    <t>alinkapolieshko83@gmail.com</t>
  </si>
  <si>
    <t>Пушкарьова Дарʼя</t>
  </si>
  <si>
    <t>Пушкарьова Дар’я</t>
  </si>
  <si>
    <t>@dariapushkareva20</t>
  </si>
  <si>
    <t>dasha.k.pushkareva@gmail.com</t>
  </si>
  <si>
    <t>Любич-Роман Оксана</t>
  </si>
  <si>
    <t xml:space="preserve">Любич-Роман Оксана </t>
  </si>
  <si>
    <t>@Oxanaroman</t>
  </si>
  <si>
    <t>oxana1976oksana@gmail.com</t>
  </si>
  <si>
    <t>Сафонов Іван</t>
  </si>
  <si>
    <t>@sfkli</t>
  </si>
  <si>
    <t>safa1320@gmail.com</t>
  </si>
  <si>
    <t>Рибак Артем</t>
  </si>
  <si>
    <t>@Sefrautic</t>
  </si>
  <si>
    <t>nouftein@protonmail.com</t>
  </si>
  <si>
    <t>Пономаренко Сергій</t>
  </si>
  <si>
    <t>@sergiy_psm</t>
  </si>
  <si>
    <t>admin-sergiy.ponomarenko-ipt@lll.kpi.ua</t>
  </si>
  <si>
    <t>Малага Анжеліка</t>
  </si>
  <si>
    <t>@Likamalaga</t>
  </si>
  <si>
    <t>likamalaga@gmail.com</t>
  </si>
  <si>
    <t>Тарасенко Кирило</t>
  </si>
  <si>
    <t xml:space="preserve">Тарасенко Кирило </t>
  </si>
  <si>
    <t>@foreachKir</t>
  </si>
  <si>
    <t>kirilltarasenko2021@gmail.com</t>
  </si>
  <si>
    <t>Віннічук Олександра</t>
  </si>
  <si>
    <t>@MooonOl</t>
  </si>
  <si>
    <t>oleksandravinnichuksv@gmail.com</t>
  </si>
  <si>
    <t>Зиборова Вікторія</t>
  </si>
  <si>
    <t>@Zyborova</t>
  </si>
  <si>
    <t>vita@berestoveschool77.ukr.education</t>
  </si>
  <si>
    <t>Полєєва Тетяна</t>
  </si>
  <si>
    <t>@Stefania_mama</t>
  </si>
  <si>
    <t>decornusik@gmail.com</t>
  </si>
  <si>
    <t>Макарцов Ігор</t>
  </si>
  <si>
    <t>@penep</t>
  </si>
  <si>
    <t>makartsovigor@gmail.com</t>
  </si>
  <si>
    <t>Копина Христина</t>
  </si>
  <si>
    <t>@shozahrystia</t>
  </si>
  <si>
    <t>khrystynakopyna24@gmail.com</t>
  </si>
  <si>
    <t>Павліщева Анна</t>
  </si>
  <si>
    <t>@Anna15061980</t>
  </si>
  <si>
    <t>anna15061980@gmail.com</t>
  </si>
  <si>
    <t>Огієнко Данило</t>
  </si>
  <si>
    <t>@vypadkovyj_chuvak</t>
  </si>
  <si>
    <t>ohiienko.danylo@gmail.com</t>
  </si>
  <si>
    <t>Погрібний Анатолій</t>
  </si>
  <si>
    <t>@idk999999999</t>
  </si>
  <si>
    <t>faketopyt2005@gmail.com</t>
  </si>
  <si>
    <t>Бєловенцева Марина</t>
  </si>
  <si>
    <t xml:space="preserve">Бєловенцева Марина </t>
  </si>
  <si>
    <t>@lonely_admiral</t>
  </si>
  <si>
    <t>m.beloventseva@gmail.com</t>
  </si>
  <si>
    <t>Хайчіна Яна</t>
  </si>
  <si>
    <t>@yana06070</t>
  </si>
  <si>
    <t>yana06060687@gmail.com</t>
  </si>
  <si>
    <t>Михайлевська Наталія</t>
  </si>
  <si>
    <t>@lvivjany</t>
  </si>
  <si>
    <t>0509kozak@gmail.com</t>
  </si>
  <si>
    <t>Діденко Юлія</t>
  </si>
  <si>
    <t>@teachdidenko</t>
  </si>
  <si>
    <t>yulia.didenko2@gmail.com</t>
  </si>
  <si>
    <t>Лютий</t>
  </si>
  <si>
    <t>Кордіяка Юрій</t>
  </si>
  <si>
    <t>@yurik_kk</t>
  </si>
  <si>
    <t>urakordiaka6@gmail.com</t>
  </si>
  <si>
    <t>Смоктій Анна</t>
  </si>
  <si>
    <t>@AnnaBielov</t>
  </si>
  <si>
    <t>annsmok18@gmail.com</t>
  </si>
  <si>
    <t>Боровікова Марина</t>
  </si>
  <si>
    <t>@marisha_bv</t>
  </si>
  <si>
    <t>marynabv4@gmail.com</t>
  </si>
  <si>
    <t>Криворученко Наталія</t>
  </si>
  <si>
    <t>@Natalia_krivoruchenko</t>
  </si>
  <si>
    <t>nataliakrivorucenko5@gmail.com</t>
  </si>
  <si>
    <t>Сергійчук Богдан</t>
  </si>
  <si>
    <t>@bsergijtchuk</t>
  </si>
  <si>
    <t>b.sergijtchuk@gmail.com</t>
  </si>
  <si>
    <t>Чернов Тимур</t>
  </si>
  <si>
    <t>@linex220w</t>
  </si>
  <si>
    <t>slavkintim@gmail.com</t>
  </si>
  <si>
    <t>Янчук Володимир</t>
  </si>
  <si>
    <t>@volan4ik3</t>
  </si>
  <si>
    <t>yanc359@gmail.com</t>
  </si>
  <si>
    <t>Фоменко Дмитро</t>
  </si>
  <si>
    <t>@mrvuuu</t>
  </si>
  <si>
    <t>fozaken@gmail.com</t>
  </si>
  <si>
    <t>Біляшевич Ірина</t>
  </si>
  <si>
    <t>@Iryna_Evgenivna</t>
  </si>
  <si>
    <t>brrusya3@gmail.com</t>
  </si>
  <si>
    <t>Жалоба Богдан</t>
  </si>
  <si>
    <t>@bodya273</t>
  </si>
  <si>
    <t>bodya273242@gmail.com</t>
  </si>
  <si>
    <t>Балясова Анна</t>
  </si>
  <si>
    <t>@Ann_mare</t>
  </si>
  <si>
    <t>annbaliasova@gmail.com</t>
  </si>
  <si>
    <t>Мартинюк Вікторія</t>
  </si>
  <si>
    <t>@vika_martyniuk1</t>
  </si>
  <si>
    <t>vikamart838@gmail.com</t>
  </si>
  <si>
    <t>Чорна Вікторія</t>
  </si>
  <si>
    <t xml:space="preserve">Чорна Вікторія </t>
  </si>
  <si>
    <t>@Victoria_Chorna</t>
  </si>
  <si>
    <t>vikuliachorna2002@gmail.com</t>
  </si>
  <si>
    <t>Шуст Денис</t>
  </si>
  <si>
    <t>@dendev4</t>
  </si>
  <si>
    <t>denshust2000@gmail.com</t>
  </si>
  <si>
    <t>Трубчанінов Павло</t>
  </si>
  <si>
    <t>@pavlotrubchaninov</t>
  </si>
  <si>
    <t>paveltrubchaninov@gmail.com</t>
  </si>
  <si>
    <t>Ахметова Вікторія</t>
  </si>
  <si>
    <t>@VikMa_8</t>
  </si>
  <si>
    <t>sunnyfunny2108@gmail.com</t>
  </si>
  <si>
    <t>Матвійчук Леся</t>
  </si>
  <si>
    <t>@lllesiart</t>
  </si>
  <si>
    <t>drawlesart@gmail.com</t>
  </si>
  <si>
    <t>Матяш Вікторія</t>
  </si>
  <si>
    <t xml:space="preserve">Матяш Вікторія </t>
  </si>
  <si>
    <t>@Vikamatiash</t>
  </si>
  <si>
    <t>matiash.teach@gmail.com</t>
  </si>
  <si>
    <t>Ванда Вікторія</t>
  </si>
  <si>
    <t>@vanda_vika</t>
  </si>
  <si>
    <t>viktoriia.l.vanda@gmail.com</t>
  </si>
  <si>
    <t>Жук Дмитро</t>
  </si>
  <si>
    <t>@best_m1ner</t>
  </si>
  <si>
    <t>dmitriy_zhuk_2002@ukr.net</t>
  </si>
  <si>
    <t>Бондарчук Вероніка</t>
  </si>
  <si>
    <t>@Veronika_bont</t>
  </si>
  <si>
    <t>nikabondarchuk777@gmail.com</t>
  </si>
  <si>
    <t>Нікуліна Наталія</t>
  </si>
  <si>
    <t>@SunshineNNO</t>
  </si>
  <si>
    <t>nikulina.nataliya2015@gmail.com</t>
  </si>
  <si>
    <t>Смотрова Ольга</t>
  </si>
  <si>
    <t>@olga_smotrova</t>
  </si>
  <si>
    <t>olgahikaritattoo@gmail.com</t>
  </si>
  <si>
    <t>Лубенець Гюльнара</t>
  </si>
  <si>
    <t>@GylnaraL</t>
  </si>
  <si>
    <t>gyulnara1108@gmail.com</t>
  </si>
  <si>
    <t>Валенчук Світлана</t>
  </si>
  <si>
    <t xml:space="preserve">Валенчук Світлана </t>
  </si>
  <si>
    <t>@svalenchuk</t>
  </si>
  <si>
    <t>svalenchukk@gmail.com</t>
  </si>
  <si>
    <t>Хруленко Єлизавета</t>
  </si>
  <si>
    <t>Хруленко Єлизавета-Вікторія</t>
  </si>
  <si>
    <t>@elizavetaviktoria</t>
  </si>
  <si>
    <t>lizahryl@gmail.com</t>
  </si>
  <si>
    <t>Постоєнко Олег</t>
  </si>
  <si>
    <t xml:space="preserve">@Oleg_Pioneer </t>
  </si>
  <si>
    <t>olegpioneer09@gmail.com</t>
  </si>
  <si>
    <t>Переверзева Емілія</t>
  </si>
  <si>
    <t>@emilypereverzeva</t>
  </si>
  <si>
    <t>emeleya123@gmail.com</t>
  </si>
  <si>
    <t>Власенко Захар</t>
  </si>
  <si>
    <t>@rbdg213</t>
  </si>
  <si>
    <t>defens213@gmail.com</t>
  </si>
  <si>
    <t>Фрей Олеся</t>
  </si>
  <si>
    <t>@OlesiaFrei</t>
  </si>
  <si>
    <t>olesyafrey25@gmail.com</t>
  </si>
  <si>
    <t>Вергун Андрій</t>
  </si>
  <si>
    <t>@Andrey_Verhun</t>
  </si>
  <si>
    <t>andrreyvergun@gmail.com</t>
  </si>
  <si>
    <t>Залозний Вадим</t>
  </si>
  <si>
    <t>@Gydiniys</t>
  </si>
  <si>
    <t>vadimmroz@gmail.com</t>
  </si>
  <si>
    <t>Ніколаєва Вікторія</t>
  </si>
  <si>
    <t>Ніколаєва  Вікторія</t>
  </si>
  <si>
    <t>@ita_ya_telegram</t>
  </si>
  <si>
    <t>socionics.time@gmail.com</t>
  </si>
  <si>
    <t>Мельнічук Анастасія</t>
  </si>
  <si>
    <t>@JellicoeArt</t>
  </si>
  <si>
    <t>anastasiia.melnichuck@gmail.com</t>
  </si>
  <si>
    <t>Демидов Петро</t>
  </si>
  <si>
    <t>@scibob</t>
  </si>
  <si>
    <t>MegaSuperPhysics@gmail.com</t>
  </si>
  <si>
    <t>Скрипка Андрій</t>
  </si>
  <si>
    <t>@ar_t_s</t>
  </si>
  <si>
    <t>andruskripka@gmail.com</t>
  </si>
  <si>
    <t>Косовський Павло</t>
  </si>
  <si>
    <t>@PashiIo</t>
  </si>
  <si>
    <t>pavvvelkosss@gmail.com</t>
  </si>
  <si>
    <t>Авдашкова Альона</t>
  </si>
  <si>
    <t xml:space="preserve">Альона Авдашкова  </t>
  </si>
  <si>
    <t>@alionaavdashkova</t>
  </si>
  <si>
    <t>aliona.avdashkova@gmail.com</t>
  </si>
  <si>
    <t>Сальков Андрій</t>
  </si>
  <si>
    <t>@andrewsalkov</t>
  </si>
  <si>
    <t>salkov323@gmail.com</t>
  </si>
  <si>
    <t>Махниборода Анастасія</t>
  </si>
  <si>
    <t>@Anastasia0038</t>
  </si>
  <si>
    <t>anastasia.mahniboroda2024@gmail.com</t>
  </si>
  <si>
    <t>Корнєва Тетяна</t>
  </si>
  <si>
    <t>@TK0998</t>
  </si>
  <si>
    <t>4.4.aynat.4.4@gmail.com</t>
  </si>
  <si>
    <t>Хаврук Дарина</t>
  </si>
  <si>
    <t>@khdaryna</t>
  </si>
  <si>
    <t>dk@netagency.com.ua</t>
  </si>
  <si>
    <t>Березень</t>
  </si>
  <si>
    <t>Борисов Артур</t>
  </si>
  <si>
    <t>@Arch1S</t>
  </si>
  <si>
    <t>arch1s.a.b.v@gmail.com</t>
  </si>
  <si>
    <t>Тупиця Вікторія</t>
  </si>
  <si>
    <t>@viki29866</t>
  </si>
  <si>
    <t>comf001878@gmail.com</t>
  </si>
  <si>
    <t>Баннікова Єлизавета</t>
  </si>
  <si>
    <t>@OblomovM</t>
  </si>
  <si>
    <t>lizacdc98@gmail.com</t>
  </si>
  <si>
    <t>Погребняк Микита</t>
  </si>
  <si>
    <t>@pogmyk</t>
  </si>
  <si>
    <t>mykyta.pogrebnyak@gmail.com</t>
  </si>
  <si>
    <t>Волковська Лілія</t>
  </si>
  <si>
    <t>@artliliaa</t>
  </si>
  <si>
    <t>volkovska.lili@gmail.com</t>
  </si>
  <si>
    <t>Баскін Ростислав</t>
  </si>
  <si>
    <t>@W1nt567</t>
  </si>
  <si>
    <t>ronibaskin10@gmail.com</t>
  </si>
  <si>
    <t>Медведовський Іван</t>
  </si>
  <si>
    <t>@icevayer</t>
  </si>
  <si>
    <t>ivanmedvedovskiyq@gmail.com</t>
  </si>
  <si>
    <t>Пінчук Максим</t>
  </si>
  <si>
    <t>@omaksyme</t>
  </si>
  <si>
    <t>pinchuk.marketing@gmail.com</t>
  </si>
  <si>
    <t>Лісова Вікторія</t>
  </si>
  <si>
    <t>@Forest_Dwellerr</t>
  </si>
  <si>
    <t>vktoriyou@gmail.com</t>
  </si>
  <si>
    <t>Богачевська Валентина</t>
  </si>
  <si>
    <t>@valijj</t>
  </si>
  <si>
    <t>Valentinjick000@gmail.com</t>
  </si>
  <si>
    <t>Карманов Владислав</t>
  </si>
  <si>
    <t>@s1num_m</t>
  </si>
  <si>
    <t>karmanovvlad25@gmail.com</t>
  </si>
  <si>
    <t>Атаманюк Мар’яна</t>
  </si>
  <si>
    <t xml:space="preserve">Атаманюк Мар’яна </t>
  </si>
  <si>
    <t>@Maryuana_Atamanuk</t>
  </si>
  <si>
    <t>maryuana18@gmail.com</t>
  </si>
  <si>
    <t>Дмитрів Андрій</t>
  </si>
  <si>
    <t>@dmytrivdev</t>
  </si>
  <si>
    <t>dmitriw@i.ua</t>
  </si>
  <si>
    <t>Келлер Єгор</t>
  </si>
  <si>
    <t>@Grogegini</t>
  </si>
  <si>
    <t>grogegini@gmail.com</t>
  </si>
  <si>
    <t>Кирилишена Лілія</t>
  </si>
  <si>
    <t>@morsimmortalis</t>
  </si>
  <si>
    <t>morsimmortalis05@gmail.com</t>
  </si>
  <si>
    <t>Подопригор Валерія</t>
  </si>
  <si>
    <t>@lera_podopryhor</t>
  </si>
  <si>
    <t>lerapodopryhor@gmail.com</t>
  </si>
  <si>
    <t>Рогова Анастасія</t>
  </si>
  <si>
    <t>@rrogova</t>
  </si>
  <si>
    <t>nastia.rohova123@gmail.com</t>
  </si>
  <si>
    <t>Дідківська Ірина</t>
  </si>
  <si>
    <t>Дідківська  Ірина</t>
  </si>
  <si>
    <t>@IrynaDidkivska</t>
  </si>
  <si>
    <t>ididkivska@yahoo.com</t>
  </si>
  <si>
    <t>Шуба Карина</t>
  </si>
  <si>
    <t>Шуба Каріна</t>
  </si>
  <si>
    <t>@s_h_karina</t>
  </si>
  <si>
    <t>sh.karina.4538@gmail.com</t>
  </si>
  <si>
    <t>Кулешов Іван</t>
  </si>
  <si>
    <t>@Ivikong</t>
  </si>
  <si>
    <t>hhdfjgggd@gmail.com</t>
  </si>
  <si>
    <t>Вереницький Микола</t>
  </si>
  <si>
    <t>@Mykola_Verenytskyi</t>
  </si>
  <si>
    <t>verenitkiykol@gmail.com</t>
  </si>
  <si>
    <t>Опімах Данило</t>
  </si>
  <si>
    <t>@GodYatochka</t>
  </si>
  <si>
    <t>SameBrick@gmail.com</t>
  </si>
  <si>
    <t>Остропільська Вікторія.</t>
  </si>
  <si>
    <t>Остропільська Вікторія</t>
  </si>
  <si>
    <t>@agent_viktoria007</t>
  </si>
  <si>
    <t>v66221506@gmail.com</t>
  </si>
  <si>
    <t>Кірнос Анастасія</t>
  </si>
  <si>
    <t>@n2098</t>
  </si>
  <si>
    <t>kirnos.anastasya@gmail.com</t>
  </si>
  <si>
    <t>Опрісник Галина</t>
  </si>
  <si>
    <t>@Lyna_nami</t>
  </si>
  <si>
    <t>halynkahelena@gmail.com</t>
  </si>
  <si>
    <t>Рябий Андрій</t>
  </si>
  <si>
    <t>@kptfxwsx</t>
  </si>
  <si>
    <t>andriuryabui@gmail.com</t>
  </si>
  <si>
    <t>Катрич Кристина</t>
  </si>
  <si>
    <t>@kriskatdmi</t>
  </si>
  <si>
    <t>kriskatdmi@gmail.com</t>
  </si>
  <si>
    <t>Сивик Ігор</t>
  </si>
  <si>
    <t>@Igor_vvvy</t>
  </si>
  <si>
    <t>Igorsyvyk893@gmail.com</t>
  </si>
  <si>
    <t>Власенко Єлизавета</t>
  </si>
  <si>
    <t>@Elizaveta2119</t>
  </si>
  <si>
    <t>lizavlasenko14@gmail.com</t>
  </si>
  <si>
    <t>Розгон Світлана</t>
  </si>
  <si>
    <t>Розгон  Світлана</t>
  </si>
  <si>
    <t>@Sveta_dsgn</t>
  </si>
  <si>
    <t>xotabich18@gmail.com</t>
  </si>
  <si>
    <t>Мороз Єва</t>
  </si>
  <si>
    <t>@eva_ne_eva</t>
  </si>
  <si>
    <r>
      <rPr>
        <sz val="10"/>
        <color rgb="FF000000"/>
        <rFont val="Montserrat"/>
      </rPr>
      <t>@</t>
    </r>
    <r>
      <rPr>
        <u/>
        <sz val="10"/>
        <color rgb="FF1155CC"/>
        <rFont val="Montserrat"/>
      </rPr>
      <t>moroz_eva</t>
    </r>
  </si>
  <si>
    <t>eva2003moroz@gmail.com</t>
  </si>
  <si>
    <t>Фурзенко Карина</t>
  </si>
  <si>
    <t>Фурзенко Каріна</t>
  </si>
  <si>
    <t>@nullifierr</t>
  </si>
  <si>
    <t>furzenko.karina@gmail.com</t>
  </si>
  <si>
    <t>Данилюк Євгенія</t>
  </si>
  <si>
    <t>Данилюк  Євгенія</t>
  </si>
  <si>
    <t>@d_jenia</t>
  </si>
  <si>
    <t>jdanilyuck@gmail.com</t>
  </si>
  <si>
    <t>Луцик Наталія</t>
  </si>
  <si>
    <t>@naliworld</t>
  </si>
  <si>
    <t>nalilutsyk13@gmail.com</t>
  </si>
  <si>
    <t>Мірошниченко Максим</t>
  </si>
  <si>
    <t>@nnotenough</t>
  </si>
  <si>
    <t>maxstream282@gmail.com</t>
  </si>
  <si>
    <t>Верзун Уляна</t>
  </si>
  <si>
    <t>@iulianiya_ver</t>
  </si>
  <si>
    <t>uliana.verzun000@gmail.com</t>
  </si>
  <si>
    <t>Мишакова Ліана</t>
  </si>
  <si>
    <t>@Liana_MLB9</t>
  </si>
  <si>
    <t>teachermlb9@gmail.com</t>
  </si>
  <si>
    <t>Боровик Святослав</t>
  </si>
  <si>
    <t>@Rikki27</t>
  </si>
  <si>
    <t>sviatoslavpace@gmail.com</t>
  </si>
  <si>
    <t>Прус Марина</t>
  </si>
  <si>
    <t>@MarisyaPrus</t>
  </si>
  <si>
    <t>Prus.mmm22@gmail.com</t>
  </si>
  <si>
    <t>Боднарчук Олексій</t>
  </si>
  <si>
    <t>@Alex_bodnarchuk</t>
  </si>
  <si>
    <t>Olbody12@gmail.com</t>
  </si>
  <si>
    <t>Олійников Валентин</t>
  </si>
  <si>
    <t>@val_olein</t>
  </si>
  <si>
    <t>valoliinykov.work@gmail.com</t>
  </si>
  <si>
    <t>Ігнатов Дмитро</t>
  </si>
  <si>
    <t>@ihnatovDmytro</t>
  </si>
  <si>
    <t>ignatov1988@gmail.com</t>
  </si>
  <si>
    <t>Живкова Марія</t>
  </si>
  <si>
    <t>@sumnamariia</t>
  </si>
  <si>
    <t>mariazhivkova34@gmail.com</t>
  </si>
  <si>
    <t>Квітень</t>
  </si>
  <si>
    <t>Дацко Анастасія</t>
  </si>
  <si>
    <t>@nastyadatsko</t>
  </si>
  <si>
    <t>anastasiia.datskooo@gmail.com</t>
  </si>
  <si>
    <t>Хачатурова Ельвіра</t>
  </si>
  <si>
    <t>@heliill</t>
  </si>
  <si>
    <t>elya.hachaturova@gmail.com</t>
  </si>
  <si>
    <t>Озімінський Павло</t>
  </si>
  <si>
    <t>@oziminskyi</t>
  </si>
  <si>
    <t>pasha.oziminskyi@ukr.net</t>
  </si>
  <si>
    <t>Безноскович Дмитро</t>
  </si>
  <si>
    <t>@beznos1</t>
  </si>
  <si>
    <t>dmitrobeznoskovic@gmail.com</t>
  </si>
  <si>
    <t>Ахинько Анна</t>
  </si>
  <si>
    <t>@Removero</t>
  </si>
  <si>
    <t>alumi09876@gmail.com</t>
  </si>
  <si>
    <t>Скупейко Олег</t>
  </si>
  <si>
    <t>@oleh_skupeiko</t>
  </si>
  <si>
    <t>sov30082003@gmail.com</t>
  </si>
  <si>
    <t>Стець Матвій</t>
  </si>
  <si>
    <t>@mateeeyko</t>
  </si>
  <si>
    <t>matviy.stets@gmail.com</t>
  </si>
  <si>
    <t>Тищенко Владислава</t>
  </si>
  <si>
    <t>@tyshchenko_lada</t>
  </si>
  <si>
    <t>tishchenkolada@gmail.com</t>
  </si>
  <si>
    <t>Фокін Максим</t>
  </si>
  <si>
    <t>@fox123582</t>
  </si>
  <si>
    <t>foxmax.od.ua@gmail.com</t>
  </si>
  <si>
    <t>Рогачко Євгеній</t>
  </si>
  <si>
    <t>@skylosst</t>
  </si>
  <si>
    <t>sky.lord.old@gmail.com</t>
  </si>
  <si>
    <t>Зябченко Ірина</t>
  </si>
  <si>
    <t>@Ira_ziabchenko</t>
  </si>
  <si>
    <t>irazabcenko@gmail.com</t>
  </si>
  <si>
    <t>Абдельжаліл Іліас</t>
  </si>
  <si>
    <t>@L_Ilias_L</t>
  </si>
  <si>
    <t>dovara41@gmail.com</t>
  </si>
  <si>
    <t>ПІБ викладача</t>
  </si>
  <si>
    <t>Телеграм</t>
  </si>
  <si>
    <t>Напрямок</t>
  </si>
  <si>
    <t>Коли перевела</t>
  </si>
  <si>
    <t>Заповнив вільні слоти</t>
  </si>
  <si>
    <t>Зворотній зв'язок від школи</t>
  </si>
  <si>
    <t>Запис іспиту</t>
  </si>
  <si>
    <t>Взято в роботу ТЛ</t>
  </si>
  <si>
    <t>Хто забирає</t>
  </si>
  <si>
    <t>Комент від ТЛ</t>
  </si>
  <si>
    <t>Офер</t>
  </si>
  <si>
    <t>Резюме/лінк</t>
  </si>
  <si>
    <t>Слоти викладача</t>
  </si>
  <si>
    <t>2022 рік</t>
  </si>
  <si>
    <t>Design</t>
  </si>
  <si>
    <t>Анна</t>
  </si>
  <si>
    <t>Вікторія</t>
  </si>
  <si>
    <t>Олена Блізнякова</t>
  </si>
  <si>
    <t>380 66 575 17 27</t>
  </si>
  <si>
    <t>Soft Skills</t>
  </si>
  <si>
    <t>Гарно склала іспит, треба працювати над презентаціями. Дуже доросла, 32 роки стажу. Більше підходить на старші групи.  Вже є одна група (по Дізайну), можно планувати ще призначення</t>
  </si>
  <si>
    <t>Тетяна</t>
  </si>
  <si>
    <t>поставила в ПЗ</t>
  </si>
  <si>
    <t>Анастасія Шимончук</t>
  </si>
  <si>
    <t>Дуже приємна дівчинка. Іспит склала добре, можно назначати молодші групи</t>
  </si>
  <si>
    <t>Анна Волдаєва</t>
  </si>
  <si>
    <t>Є проблеми з презентацією, треба контролювати цей момент. Іспит склала не погано, але є куди зростати, отримала всі рекомендації. Приємна жінка, краще підійде на діток постарше</t>
  </si>
  <si>
    <t>поставила лише 1 групу, якщо все ок за 2 тижні буду додавати</t>
  </si>
  <si>
    <t>Добре склав іспит. Йому трохи важко проводити заняття українською, але у іншому нема зауважень. Приємний хлопець, готов вчитись</t>
  </si>
  <si>
    <t>Мирослава</t>
  </si>
  <si>
    <t>Марина Калаур</t>
  </si>
  <si>
    <t>Добре склала іспит, отримала фітбек, ще є куди рости. Добре сдала тести. Молодець. Вже є група, можно планувати ще призначення</t>
  </si>
  <si>
    <t>Анжеліка Казанок</t>
  </si>
  <si>
    <t xml:space="preserve">Дуже приємна. Добре навчалась, і класно сдала іспит. Прекрасно підійде на маленьких дітей, наприклад на Майнкрафт. </t>
  </si>
  <si>
    <t>Оксана Брусова</t>
  </si>
  <si>
    <t>380 97 413 94 96</t>
  </si>
  <si>
    <t>Непогано склала іспит, отримала фітбек, ще є куди рости. Добре сдала тести.  Вже є група, можно планувати ще призначення</t>
  </si>
  <si>
    <t xml:space="preserve">Дуже дуже приємний хлопець. Гарно склав іспит, тести в школі. Просто супер </t>
  </si>
  <si>
    <t>08-14.08.</t>
  </si>
  <si>
    <t>kasp0712@ukr.net</t>
  </si>
  <si>
    <t>Краще на діток більш дорослих, здається що з меньшими буде важко. Загалом приємна, відкрита</t>
  </si>
  <si>
    <t>Воробчук Віта</t>
  </si>
  <si>
    <t>@vitavorob4yk</t>
  </si>
  <si>
    <t>vitavorobchyk@gmail.com</t>
  </si>
  <si>
    <t>Digital Art</t>
  </si>
  <si>
    <t xml:space="preserve">Приємна, краще на дорослих. Іспит склала добре. </t>
  </si>
  <si>
    <t>@liziksurprizik</t>
  </si>
  <si>
    <t>Вогонь, дуже детально пояснює. Підійде на будь-який вік, буде на одній хвилі з дітьми</t>
  </si>
  <si>
    <t>Minecraft, Scratch</t>
  </si>
  <si>
    <t>Іспит склала не погано. Отримала фітбек, краще на доросліші групи. В цілому приємна та відкрита</t>
  </si>
  <si>
    <t>Ну за 20 хвилин не було жодного питання групі, тримаю її під питанням. Розповідала нудно та сухо. ПОСТАВИЛА В ПЗ</t>
  </si>
  <si>
    <t>Захарченко Наталія</t>
  </si>
  <si>
    <t>Natashanv0795@gmail.com</t>
  </si>
  <si>
    <t>Новачок в Роблокс, але старається. Іспит склала добре.  Дуже хвилювалася, але впоралась з запитаннями учнів.</t>
  </si>
  <si>
    <t>на групу таких рано ставити, оскільки діти таких ще не розуміють, тому поки на кінець серпня/вересень</t>
  </si>
  <si>
    <t xml:space="preserve">Михайло Поляков </t>
  </si>
  <si>
    <t>Roblox, GameDev</t>
  </si>
  <si>
    <t>Вікторія Явтушенко</t>
  </si>
  <si>
    <t>@torybank</t>
  </si>
  <si>
    <t>renodo@ukr.net</t>
  </si>
  <si>
    <t>Непогано склала іспит, треба працювати над презентаціями (забагато всього). Краще підійде на дорослих діток</t>
  </si>
  <si>
    <t>тяжкий випадок</t>
  </si>
  <si>
    <t>Тарас Файдюк</t>
  </si>
  <si>
    <t xml:space="preserve">Дуже крутий. Цікаво розповідає, дуже детально, видно що сам отримує задоволення. </t>
  </si>
  <si>
    <t>Аня Маковська</t>
  </si>
  <si>
    <t xml:space="preserve">Матющенко Валерия </t>
  </si>
  <si>
    <t>Гарно склала іспит, дуже детально все розповіла. Молодець</t>
  </si>
  <si>
    <t>Тетяна поки Ані нема</t>
  </si>
  <si>
    <t>Дорослий, нервував як хлопчина. Але дуже детально все розповів, краще мабуть на діток по старше, тому що з малими здається буде важкувато</t>
  </si>
  <si>
    <t>ПОСТАВИЛА В ПЗ</t>
  </si>
  <si>
    <t xml:space="preserve">Сергій Козлов </t>
  </si>
  <si>
    <t>Справжній програміст, все по ділу. Добре розбирається саме у програмування, менторив на роботі початківців. Отримав фітбек, що треба більше структурності на занятті. Усі тести склав добре</t>
  </si>
  <si>
    <t>Настя Мих</t>
  </si>
  <si>
    <t>поставлю в ПЗ</t>
  </si>
  <si>
    <t xml:space="preserve">Олена Большунова </t>
  </si>
  <si>
    <t>Дуже приємна, відкрита. Іспит пройшов добре. З завданнями школи впоралась</t>
  </si>
  <si>
    <t>Влада Терентьєва</t>
  </si>
  <si>
    <t>@vlavlada</t>
  </si>
  <si>
    <t>Дуже круто взаємодіяла з "дітьми", молодець.. Іспит пройшов добре. З завданнями школи впоралась на відмінно</t>
  </si>
  <si>
    <t>Трошки суха подача, отримала фітбек, буде виправляти. Все завдання виконала.</t>
  </si>
  <si>
    <t xml:space="preserve">будні не підходять </t>
  </si>
  <si>
    <t>Молодий хлопець, дуже добре виконував завдання, добре склав іспит. Підійде на будь який вік. Дуже приємний</t>
  </si>
  <si>
    <t xml:space="preserve">Добре склав іспит, дуже нервував, але детально все розказав/показав. Тести виконав добре. </t>
  </si>
  <si>
    <t>Не відповідає</t>
  </si>
  <si>
    <t>Чічкарєв Євген</t>
  </si>
  <si>
    <t xml:space="preserve">Викладач в універі 30 років, але розповідає дуже і дуже детально, навіть я зрозуміла тему))). Краще підійде на учнів доросліших. Отримав детальний фітбек, що потрібно більше залучати учнів. </t>
  </si>
  <si>
    <t>15-21.08.</t>
  </si>
  <si>
    <t>Ганна Велика</t>
  </si>
  <si>
    <t>Дуже приємна. Детально розповідає та одразу підкріплює теорію практикою. Добре склала тести та іспит</t>
  </si>
  <si>
    <t>Юлія Боднар</t>
  </si>
  <si>
    <t>додала до групи в телеграм, будемо підбирати групи з підходящим гравіком</t>
  </si>
  <si>
    <t>Катерина Барбіна</t>
  </si>
  <si>
    <t>@kate_barbina</t>
  </si>
  <si>
    <t>kate.barbina@gmail.com</t>
  </si>
  <si>
    <t>Дуже хвилювалась на іспиті, дуже скромна. Добре сдала тест. Підійде на більш дорослих</t>
  </si>
  <si>
    <t>Протас Юлія</t>
  </si>
  <si>
    <t>@Jules Protas</t>
  </si>
  <si>
    <t>pr.julia1998@gmail.com</t>
  </si>
  <si>
    <t xml:space="preserve">Іспит та тест склала добре, підійде на будь-які групи. </t>
  </si>
  <si>
    <t>Анна Оджиковська</t>
  </si>
  <si>
    <t>ПОСТАВИЛА В ПЗ, але вона ще думає чи підійде їй офер чи підійде програма. Чекає на офер</t>
  </si>
  <si>
    <t>Василь Філоненко</t>
  </si>
  <si>
    <t>vasyafilonenko1996@gmail.com</t>
  </si>
  <si>
    <t>"Свій у дошку", заняття пройшло на позитиві і цікаво. Отримав рекомендації щодо більшого інтерактиву. Підійде на групи 11+</t>
  </si>
  <si>
    <t xml:space="preserve">Марія Костяк </t>
  </si>
  <si>
    <t>Дуже приємна дівчина. Дуже хвилювалась, але добре подала інформацію, також створила цікавий інтерктив. Краще також на дітей 10+</t>
  </si>
  <si>
    <t>Lobodenko.yulia11@gmail.com</t>
  </si>
  <si>
    <t>Взагалі викладач інформатики, але трошки складно вести українською (багато дискурсивів). Отримала розгорнутий фітбек, всі зауваження прийняла</t>
  </si>
  <si>
    <t xml:space="preserve">Світлана Коваль </t>
  </si>
  <si>
    <t>Працювала викладачем у коледжі, тому краще на доросліших дітей. Склала іспит добре</t>
  </si>
  <si>
    <t xml:space="preserve">Євсюкова Юлія </t>
  </si>
  <si>
    <t>Краще на більш дорослі групи. Нема досвіду викладання, але працює над цим</t>
  </si>
  <si>
    <t>Design Jun, Design</t>
  </si>
  <si>
    <t xml:space="preserve">Дуже крута, круте заняття. На джуніор дизайн - вогонь. Вона зараз проходить навчання по Фігмі, тож можна буде її і на Digital art. Дуже багато слотів. </t>
  </si>
  <si>
    <t xml:space="preserve">Даніель Рихтик </t>
  </si>
  <si>
    <t>Впорався з іспитом. Добре склав тест. Виглядає досить молодо</t>
  </si>
  <si>
    <t>Мирося</t>
  </si>
  <si>
    <t>Роман Зеньо</t>
  </si>
  <si>
    <t>zeno385@yahoo.com</t>
  </si>
  <si>
    <t>Добре впорався з іспитом, прийняв усі зауваження. Дуже відкритий</t>
  </si>
  <si>
    <t>Юля Боднар</t>
  </si>
  <si>
    <t>будемо шукати зручні по розкладу групи)</t>
  </si>
  <si>
    <t>lysenkooleksandra@ukr.ne</t>
  </si>
  <si>
    <t>FrontEnd, Minecraft, Scratch,Roblox, Python</t>
  </si>
  <si>
    <t>Бомба, пушка ракета. Все дуже круто і класно. Має великий досвід викладання, знає багато напрямків.</t>
  </si>
  <si>
    <t>класна дівчина, працюємо))</t>
  </si>
  <si>
    <t>380 63 888 62 92</t>
  </si>
  <si>
    <t>Дуже цікавий чоловік. Дуже швидко говоре - це може бути проблемою, але я включила це до фітбеку, можна спробувати поправцювати. 
Прохання після проведення 1 заняття, написати мені для проведення ассессменту. Йому треба додаткова увага.</t>
  </si>
  <si>
    <t xml:space="preserve">Наталі Усевич </t>
  </si>
  <si>
    <t>Дуже приємна, все детально розповідає. Іспит склала добре</t>
  </si>
  <si>
    <t>Хоче групу у неділю, чекаю на таку, дівчинка квітлива, зможе впоратись з задачами.</t>
  </si>
  <si>
    <t>взагалі програміст С++, впорався з іспитом, але хвилювався і затягнув по таймінгу. З тестами впорався</t>
  </si>
  <si>
    <t>Олег Попов</t>
  </si>
  <si>
    <t>Були проблеми зі структурою заняття та укр. мовою.На пересдачі виправив усі помилки. Мова стала чиста. Краще на більш дорослих, тому що з маленькими дітьми не має досвіду</t>
  </si>
  <si>
    <t>у плані запусків є група</t>
  </si>
  <si>
    <t>Вікторія Желєзна</t>
  </si>
  <si>
    <t>Були зауваження до організації робочого простору, але на пересдачі все виправила, Дуже старається, молодець. Ще варто слідкувати на перших заняття від хвилювання може розгубитись, не кидати саму. Але вона ввійде в ритм</t>
  </si>
  <si>
    <t>Дуленко Данил</t>
  </si>
  <si>
    <t>@Grem0ri</t>
  </si>
  <si>
    <t>loliklord@gmail.com</t>
  </si>
  <si>
    <t xml:space="preserve">Дуже приємний хлопець. Детально розповідає матеріал, добре відповідає на питання. Іноді пролітають російські слова, але працює над цим активно. </t>
  </si>
  <si>
    <t>Сергій Безвух</t>
  </si>
  <si>
    <t>Дуже детально та зрозуміло розповідає, приємний. Іспит склав добре</t>
  </si>
  <si>
    <t>22-31.08.</t>
  </si>
  <si>
    <t>Іван Лапченко</t>
  </si>
  <si>
    <t xml:space="preserve">Приємний хлопець, добре склав іспит. Залучав дітей до роботи. Веде у нас пробні заняття. Вже працював викладачем у Кодланд. </t>
  </si>
  <si>
    <t>Валерія Мацібура</t>
  </si>
  <si>
    <t xml:space="preserve">Дуже класна, приємна. Має 1 рік досвіду репетитором, повністю дотрималась структури, все заняття у комунікації. </t>
  </si>
  <si>
    <t>поставила 2 викладачем на групу</t>
  </si>
  <si>
    <t>Олександр Жуковін</t>
  </si>
  <si>
    <t xml:space="preserve"> aleksandr_zhukovin1029@outlook.com</t>
  </si>
  <si>
    <t>Добре склав іспит, не мав досвіду викладачем, але готовий вчитись. На іспиті мало комунікував з учнями під час розбору нової теми, готовий виправлятись. Спокійний, приємний</t>
  </si>
  <si>
    <t>поки немає груп підходящих</t>
  </si>
  <si>
    <t>Олена Рижа</t>
  </si>
  <si>
    <t>Дуже приємна, добре комуніцює. більше 8 років викладає, тож добре знаходить підхід до дітей. Іспит склала добре. Краще на дітей 10+</t>
  </si>
  <si>
    <t>Таня</t>
  </si>
  <si>
    <t xml:space="preserve">Наталія Новохатько </t>
  </si>
  <si>
    <t>Іспит пройшов у постійній коммунікації, і це круто. Не було змоги засумувати. Дітям вона сподобається. Дуже приємна, активна</t>
  </si>
  <si>
    <t>Анастасія Сопотницька</t>
  </si>
  <si>
    <t>Дуже круто провела заняття. Детально розповіла, все заняття працювала з учнями, молодець одним словом. Дітям вона сподобається</t>
  </si>
  <si>
    <t>Дар'я Шевченко</t>
  </si>
  <si>
    <t>Design Jun</t>
  </si>
  <si>
    <t xml:space="preserve">Досвіду саме з дітьми не має, але готова вчитись. Добре склала іспит, трохи не вистачило коммунікації з учнями, але отримала фітбек, буде виправлятись. Дуже детально поясняю, молода, активна. </t>
  </si>
  <si>
    <t>Поставила в ПЗ</t>
  </si>
  <si>
    <t>Інеса Мельник</t>
  </si>
  <si>
    <t>@InessaMelnyk</t>
  </si>
  <si>
    <t>inessamelnik3@gmail.com</t>
  </si>
  <si>
    <t>Все супер. Дуже крутий урок підготувала. В постійній комунікації з дітьми. Позитивна, відкрита. Впорається з маленькими сто відсотків</t>
  </si>
  <si>
    <t>Анастасія Носкова</t>
  </si>
  <si>
    <t xml:space="preserve">Приємна, відкрита. Більше 7 років працює викладачем англійської. З іспитом впоралась. Більше підійде на учнів 12+ років. </t>
  </si>
  <si>
    <t>5-12.09.</t>
  </si>
  <si>
    <t>@inna_zuza</t>
  </si>
  <si>
    <t>Дуже приємна жінка, 2 роки досвід психології. Дуже хвилювалась на іспиті (в неї макбук, не дуже добре ще орієнтується в ньому, але навчається). Краще на вік 12+</t>
  </si>
  <si>
    <t>Чумак Богдан</t>
  </si>
  <si>
    <t>@BogdannC</t>
  </si>
  <si>
    <t>bogdanghost0@gmail.com</t>
  </si>
  <si>
    <t>Дуже позитивний хлопець. Круто подав матеріал, все дуже докладно. Більше 5 років досвід викладання. Молодець одним словом</t>
  </si>
  <si>
    <t>Має досвід репетитором і психологом. Приємна, легко знайде контакт навіть з маленькими дітками. В постійній коммунікації з учнями</t>
  </si>
  <si>
    <t>Міхол Марія</t>
  </si>
  <si>
    <t>38 050 713 2818</t>
  </si>
  <si>
    <t>Психолог 4+ років, також педагог-організатор 2+ роки. Дуже приємна. Краще на 10+ спочатку, постійна коммунікація з учнями, цікаов розповідає</t>
  </si>
  <si>
    <t>Олександр Бабінський</t>
  </si>
  <si>
    <t>@zavara_babinskyi</t>
  </si>
  <si>
    <t>Дуже приємний, працює психологом, пише книжки. Найкраще підійде на 10-11+ років. Дуже цікаво розповідає, знайде підхід до дітей</t>
  </si>
  <si>
    <t xml:space="preserve">Інна Юзькова </t>
  </si>
  <si>
    <t>@Pionia</t>
  </si>
  <si>
    <t>Вчитель молодших класів, тож має знайти спільну мову досить швидко. Приємна, трошки сухо подала матеріал на іспиті, однак використала дуже багато практики</t>
  </si>
  <si>
    <t>Молодий, дуже хотів працювати у нас (працює з нами друг). Добре закінчив школу, добре склав іспит. Отримав зауваження, готов працювати над ними, розвиватись.</t>
  </si>
  <si>
    <t>Дуже активний, навіть занадто. Непогано склав іспит, дуже детально все розказує. 1,5 роки комерційного досвіду, також займається репетиторством</t>
  </si>
  <si>
    <t>Поставила в ПЗ на 1 групу, поки візьме тільки 1</t>
  </si>
  <si>
    <t>@dmitry_shulga</t>
  </si>
  <si>
    <t>Дуже приємний, хвилювався на іспиті, але впорався з завданням. Молодий, має мало досвіду викладання (тільки починає), тому хвилюється. Але дуже круто все показує</t>
  </si>
  <si>
    <t>Аня Оджикоаська</t>
  </si>
  <si>
    <t>Богдан Кондратюк</t>
  </si>
  <si>
    <t>FrontEnd, FrontEnd Jun, Scratch</t>
  </si>
  <si>
    <t>Дуже великий досвід викладання, більше 15 років. Дуже детально розказує, а також знаходиться в постійній взаємодії з учнями. Використовує інтерактивні вправи, які цікаво робити. Іспит склав добре, молодець. Також на відмінно сдав тести с фронтенд джун та скретч.</t>
  </si>
  <si>
    <t>Юля</t>
  </si>
  <si>
    <t>Дуже приємна, досвіду викладачем не має, але видно що хоче, тому що добре засвоїла матеріал, і іспит склала дуже добре. Відкрита, позитивна. Молодець</t>
  </si>
  <si>
    <t>Аня</t>
  </si>
  <si>
    <t>А пз поставила</t>
  </si>
  <si>
    <t>Олександр Прокопчук</t>
  </si>
  <si>
    <t xml:space="preserve">ДУже молодий, його передав В'ячеслав. Він молодець, використав всі знання які отримав на школі. Старається. </t>
  </si>
  <si>
    <t>Іван Кулеш</t>
  </si>
  <si>
    <t>Молодець. Прийшов по рекомендації. Вивчав С++, досвіду викладання немає, але дуже добре засвоїв матеріали і споравчя з іспитом</t>
  </si>
  <si>
    <t>Олександра Лисенко</t>
  </si>
  <si>
    <t>Людмила Коваленко</t>
  </si>
  <si>
    <t>Приємна, є свої курси, які викладає 10 років готує дітей до школи + 5 років викладає софт скілз. Справилась добре. Є затримка інтернету треба послідкувати</t>
  </si>
  <si>
    <t>Кристина Стрельникова</t>
  </si>
  <si>
    <t>Приємна, її бажання ділитися на копиченними знаннями з дітьми. Добре склала іспит, дуже детально та на прикладах все розповідає.</t>
  </si>
  <si>
    <t>Єлизавета Сидоренко</t>
  </si>
  <si>
    <t>Дуже приємна, підійде на будь які групи. Працювала психологом у школі, тож знайде спільну мову з дітками</t>
  </si>
  <si>
    <t>Юлія Садова</t>
  </si>
  <si>
    <t>380 97 643 29 76</t>
  </si>
  <si>
    <t>Психолог, дуже спокійна. Добре розповідає, приводить приклади з життя. Краще підійде на діток 13+, адже з меньшими потрібно більше драйву</t>
  </si>
  <si>
    <t>Є досвід викладання, 2 роки. Студентка, дуже вмотивована, тема софт скілз дуже подобається. Весь іспит пройшов у коммунікації, що круто. Дуже приємна, підійде на будь який вік</t>
  </si>
  <si>
    <t xml:space="preserve">не зрозуміла, що вже пройшла адаптацію
</t>
  </si>
  <si>
    <t>Анна Тітова</t>
  </si>
  <si>
    <t>Молода дівчина, удже відкрита та позитивна. Є невеличкий досвід викладання. З іспитом впоралась добре. Підійде на будь які групи</t>
  </si>
  <si>
    <t>не відповіла на графіки</t>
  </si>
  <si>
    <t>Також молода дівчина, відкрита, позитивна. Є невеликий досвід. Дуже цікаві вправи дала на іспиті. Підійде на будь який вік</t>
  </si>
  <si>
    <t xml:space="preserve">Лісний Ігор </t>
  </si>
  <si>
    <t>Дуже приємний хлопець, цікаво розповідає. Готовий брати багато груп. Дуже детально розкрив тему на іспиті.  Не мав досвіду викладання, тільки проводив майстр класи</t>
  </si>
  <si>
    <t>в пз</t>
  </si>
  <si>
    <t>ann.istomina2003@gmail.com</t>
  </si>
  <si>
    <t>Design, Design Jun</t>
  </si>
  <si>
    <t>Відкрита, позитивна, креативна. Дуже круто впоралась з іспитом, тим більше що не має досвіду викладання. Молодець. Дуже структуровано і круто провела заняття (іспит)</t>
  </si>
  <si>
    <t>Спокійна, відкрита. Краще підійде для учнів 12+. Дуже детально розкрила тему іспиту, пройшло заняття у постійній коммунікації.</t>
  </si>
  <si>
    <t>Дуже крута. Чудово склала іспит, можна на будь який вік . Викладала корпоративну англійську, але з софт скілз впоралась на відмінно. З учнями 100% знайде спільну мову</t>
  </si>
  <si>
    <t>Півроку проводила тренінги, іншого досвіду викладання не має, досить молода. Але є дуже велике прагнення. Іспит склала добре. Краще на 11+</t>
  </si>
  <si>
    <t>Більше 3 років працює репетитором, відкрита, позитивна. Підійде на будь який вік, може брати багато групп</t>
  </si>
  <si>
    <t>Більше 5 років веде тренінги для діток з псіхології. Дуже пріємна та відкрита. Можно будь якій вік. Іспит склала добре</t>
  </si>
  <si>
    <t xml:space="preserve">Позитивній хлопець. Добре впорався з завданнями школи та іспитом. Репетитор з математики, мав досвід з більш дорослими дітьми, але сміливо можно ставити і на малих. </t>
  </si>
  <si>
    <t xml:space="preserve">Не має досвіду викладання, але має бажання навчатись. Добре склала іспит, на зауваження відреагувала, прийме до уваги. Молодець. </t>
  </si>
  <si>
    <t>@makarovaaaa</t>
  </si>
  <si>
    <t>Дуже сором'язлива і спокійна. Круто розповідає матеріал, все дуже детально та на прикладах. Більше 2,5 років процює розробником. Молодець одним словом</t>
  </si>
  <si>
    <t xml:space="preserve"> в пз на 1 листопада</t>
  </si>
  <si>
    <t>Андрій Бегма</t>
  </si>
  <si>
    <t>Спокійний, на іспиті хвилювався. Але впорався добре. Детально розповідає, показує все на прикладах. Є невеликий досвід викладання (близько півроку)</t>
  </si>
  <si>
    <t>На іспиті дуже квапився аби вкластися в таймінг, але видно що знає матеріал. Дуже детально все розповів, показав на прикладах. Є досвід викладачем, але 1:1.</t>
  </si>
  <si>
    <t>Дуже добре впорався з завданнями школи. Хвилювався на іспиті, але добре знає матеріал, дуже детально розповідає. Приємний. Трошки додати "драйву", це прийде згодом</t>
  </si>
  <si>
    <t>Приємний. Виникли проблеми з компьютером, але заняття провів (викрутився із ситуації) і впоравсяи не погано. Не вистачило коммунікації з учнями, отримав фітбек по цьому, прийняв.</t>
  </si>
  <si>
    <t>Дуже приємна дівчина, дітям зайде. Працює у нас МІКом. Виникли проблеми з інтернетом під час іспиту, але провела заняття добре</t>
  </si>
  <si>
    <t>Вікторія Карапиш</t>
  </si>
  <si>
    <t>В спілкуванні приємна, спільну мову знайшли. Завдання від ТЛ виконала швидко, чекаємо спільного дзвінка з більшими поясненнями роботи</t>
  </si>
  <si>
    <t>Відкрита, приємна. До нас прийшла по рекомендації КХМ (Владислава). З іспитом впоралась добре. Дітям вона сподобається</t>
  </si>
  <si>
    <t>Викладач 33+ роки, загалом не погано коммунікує. Пройшла пришвидшену школу. Не вистачає технічної підкованності, але це напрацюється. Має велике бажання з нами працювати</t>
  </si>
  <si>
    <t>Була на іспиті Наталії, загалом, дуже сподобався підхід до дітей, наявність запитань до них. Є над чим працювати, це деякі технічні моменти, а також таймінг заняття, про це все ми з нею поговоримо.</t>
  </si>
  <si>
    <t>Працює викладачем інформатики. На іспиті був "Шкільний" підхід. Але отримала фітбек, погодилась з ним повністю. також буде проходити на наступному тижні навчання на майнкрафт. Тож буде здавати ще один іспит. З зауваженнями погодилась, готова виправляти</t>
  </si>
  <si>
    <t>Буду старатися вплинути на підхід Юлії до навчання, на жаль, через те, що вона є викладачем у звичайній школі, заняття проводила занадто офіційно, діти люблять простоту та відкритість. Їй потрібно якраз таки працювати над комунікацією</t>
  </si>
  <si>
    <t>Дуже приємний хлопець. До нас прийшов по рекомендації.  Дітям зайде. Дуже добре впорався з тестами на школі, гарно склав іспит. Загалом молодець</t>
  </si>
  <si>
    <t>Карапиш Вікторія</t>
  </si>
  <si>
    <t>Дуже приємна дівчина, круто підготувалась до іспиту. Трохи не вистачило запитань до учнів, а в іншому все круто, молодець. Більше 2 років у дизайні, якщо все сподобається хотіла б навіть повну зайнятість
В неї нема ніку, тож надішлю контакт Ані</t>
  </si>
  <si>
    <t>Оджиковська</t>
  </si>
  <si>
    <t>стоїть в ПЗ на листопад</t>
  </si>
  <si>
    <t>Студент, дуже нервував на іспиті. Вивчає С# та Unity у універі, але пробуємо поки що на роблокс.  Досвіду викладацького немає, але дітям має зайти</t>
  </si>
  <si>
    <t>Сабіна Пекшина</t>
  </si>
  <si>
    <t>Зараз знаходиться в Англії, хоче багато груп,раніше мало досвід викладачем софт скілз, але напрямок закрили. Більше працювала з підлітками. З іспитам впоралась чудово</t>
  </si>
  <si>
    <t>https://goiteens.com/wp-content/uploads/cfdb7_uploads/1663849796-your-file-Reziume-Pekshyna-S.A.-vykladach-Soft-skills.pdf</t>
  </si>
  <si>
    <t>Єлизавета Сметан</t>
  </si>
  <si>
    <t>Front End</t>
  </si>
  <si>
    <t xml:space="preserve">Спокійна, дуже детально все пояснює. На іспиті також задіяла додаткову гру на початку (креативна). Досвід у фронтенді 4+ років. </t>
  </si>
  <si>
    <t>@Zverchik007</t>
  </si>
  <si>
    <t>Приємний. Нервував на іспиті, однак впорався добре. Тестування також склав добре</t>
  </si>
  <si>
    <t>https://www.linkedin.com/in/vitaliy-myts/</t>
  </si>
  <si>
    <t>Ірина Мельничук</t>
  </si>
  <si>
    <t>Подписала НДА, працює в Логке, но там нема Геймдев, а вона хоче викладати саме його, активна та дуже замотивована. Також знає скретч та пайтон, у майбутньому можна залучати. Дуже приємна, круто пояснює</t>
  </si>
  <si>
    <t>https://goiteens.com/wp-content/uploads/cfdb7_uploads/1664287010-your-file-CV-Iryna-Melnychuk.pdf</t>
  </si>
  <si>
    <t xml:space="preserve">Дуже приємна. 3 роки в дизайні, цікаво та доступно розповідає. </t>
  </si>
  <si>
    <t>https://www.linkedin.com/in/%D0%BA%D1%80%D0%B8%D1%81%D1%82%D0%B8%D0%BD%D0%B0-%D0%B1%D0%B5%D0%BB%D0%BE%D0%B2%D0%B0-9285821b4/</t>
  </si>
  <si>
    <t>FrontEnd/FrontEnd Jun</t>
  </si>
  <si>
    <t xml:space="preserve">Студентка, сором'язлива, приємна. Але розказує дуже добре. Можна на Джунів </t>
  </si>
  <si>
    <t>https://www.linkedin.com/in/mariana-dzividzinska-3a2b4b1a3/</t>
  </si>
  <si>
    <t>Шац Эвген</t>
  </si>
  <si>
    <t>Sheohug@gmail.com</t>
  </si>
  <si>
    <t>Викладач з 2015 року, пройшов екстрений іспит. Отримав фітбек, що потрібно більше коммунікувати з дітьми. Можливо далось в знаки, що на іспиті дорослі люди. Готовий взяти групу в пн</t>
  </si>
  <si>
    <t>17-23.10.</t>
  </si>
  <si>
    <t>Олег Кірін</t>
  </si>
  <si>
    <t>Дуже хвилювався на іспиті, тому дещо змазано розповідав. Отримав розвиваючий фітбек, тож треба дивитися перші заняття з ним. 1 рік досвіду мав у якості репетитора з математики</t>
  </si>
  <si>
    <t>Працює вчителем інформатики 1,5 роки. Приємний. на іспиті дуже детально розповідав. Трошки не вистачило комунікації з "учнями" але в цілому молодець</t>
  </si>
  <si>
    <t>https://www.linkedin.com/in/vladyslav-mahar-759a36174/</t>
  </si>
  <si>
    <t>Дуже хвилювалась. Немає викладацького досвіду, але має спікерський. З іспитом впоралась. Приємна та відкрита</t>
  </si>
  <si>
    <t>https://goiteens.com/wp-content/uploads/cfdb7_uploads/1664825950-your-file-CV_Dudka-Inna_vykladach-kursu.pdf</t>
  </si>
  <si>
    <t>20 років досвіду вчителем інформатики, дуже м'яка та спокійна. Зможе зацікавити маленьких учнів</t>
  </si>
  <si>
    <t>Приємний хлопець. Дуже детально розповідає, навіть більш поглиблено аніж у програмі. Магістратура на C#, досвіду з дітьми не має, але після проходження ШВ добре впорався з іспитом</t>
  </si>
  <si>
    <t>https://www.linkedin.com/in/dmytro-kolesnik-503b4a155/</t>
  </si>
  <si>
    <t>Студент, вивчає JS та C#, подобається працювати з дітьми. Близько 3 місяців викладає англійську. З іспитом впорався, не вистачило коммунікації (отримав фітбек з порадами)</t>
  </si>
  <si>
    <t>П‘янкова Вікторія</t>
  </si>
  <si>
    <t>@vorobyshekk</t>
  </si>
  <si>
    <t>Знає також скретч. Досвіду викладання майже немає, в університеті трохи був досвід менторства. Приємна, підійде на молодших діток.</t>
  </si>
  <si>
    <t>@klimstorlex</t>
  </si>
  <si>
    <t>Досвіду викладацького немає, студентка. Знає такоє скретч. Добре впорадась з завданнями на школі, на іспиті нервувала сильно, але впоралась. Змогла розкрити тему, показати все на практиці</t>
  </si>
  <si>
    <t>Дуже крута, 3 місяці досвіду репетиторства с++, дітям сподобається.Дуже вмотивована, налаштована працювати. ССтворила дуже цікавий проект на іспиті</t>
  </si>
  <si>
    <t>Дубина Микита</t>
  </si>
  <si>
    <t>@itsMeKolya</t>
  </si>
  <si>
    <t>Досвіду викладацького немає, але впорався добре. Іспит пройшов дуже структурно. Молодець. Зараз вивчає пайтон, тож в майбутньому зможу його вести</t>
  </si>
  <si>
    <t>Студент, дуже активний та вмотивований. Також знає скретч. Створив крутий проект на іспиті, молодець. Хвалювався і трохи квапився на початку, але потім заспокоївся і показав все дуже детально</t>
  </si>
  <si>
    <t>Дуже спокійний, є невеликий досвід викладання. Підійде краще на більш дорослих учнів. Все розповідає детально та структуровано</t>
  </si>
  <si>
    <t>Катерина Шевченко</t>
  </si>
  <si>
    <t>Дуже спокійна. Проходить в нас навчання на КХМ також. Краще підійде на доросліших діток. Іспит склала добре.</t>
  </si>
  <si>
    <t>юля боднар</t>
  </si>
  <si>
    <t xml:space="preserve">Студентка. Зараз має проблеми з інтернетом. Іспит склала непогано, не вистачає драйву, але відкрита до критики, хоче вдосконалюватись. </t>
  </si>
  <si>
    <t>Євген Бочаров</t>
  </si>
  <si>
    <t>За рекомендацією. Молодий. На іспиті не вистачило коммунікациї з учнями, але прийняв фітбек, буде працювати над цим</t>
  </si>
  <si>
    <t>Гадаю представлення не потрібно. Дуже круто склала іспит. Молодець</t>
  </si>
  <si>
    <t>боднар</t>
  </si>
  <si>
    <t>Муравйов Евгеній</t>
  </si>
  <si>
    <t>@Eugeny_Muravyov</t>
  </si>
  <si>
    <t>Студент 2 курс, досвіду викладання не має. Дуже хвилювався на іспиті, але загалом розповів і показав все що потрібно. Отримав рекомендації, що потрібно більше коммунікації з учнями.</t>
  </si>
  <si>
    <t>Є досвід викладання C++, іспит склав добре, не вистачило коммунікації, отримав рекомендації з ними згоден. В матеріалі розібрався. На зараз має технічні проблеми, тож варто оговорити дату старту групи так, аби він встиг їх вирішити</t>
  </si>
  <si>
    <t>Супер. має невеликий досвід ментроства, але подача матеріалу на іспиті була просто чудова. Все дуже структурно, в постійній коммунікації. Можна навіть пробувати на малюків</t>
  </si>
  <si>
    <t>Супер. Дуже круто розповідає, доступно. Мотивує, слухати хочеться. За освітою викладач інформатики. Дуже позитивний та відкритий</t>
  </si>
  <si>
    <t>Нікіта Улянкін</t>
  </si>
  <si>
    <t>Не має викладацького досвіду, але на іспиті показав себе добре. Трошки не вистачило коммунікації, отримав рекомендації. Але розповідає дуже докладно і зрозуміло</t>
  </si>
  <si>
    <t xml:space="preserve">Майже рік працювала репетитором з математики, зараз студентка. Дуже детально розповідає, приємна, можна на маленьких ставити. </t>
  </si>
  <si>
    <t>не відповідає</t>
  </si>
  <si>
    <t>Викладач інформатики 7 років. Дуже гарно коммунікує, тому з малечої зможе працювати. Створила чудову та цікаву гру на іспиті. Все добре</t>
  </si>
  <si>
    <t>krux@i.ua</t>
  </si>
  <si>
    <t>Приємний чоловік, на зовсім маленьких не підійде, краще трошки старше. На іспиті не вистачило коммунікації, отримав рекомендації. Готовий виправлятись</t>
  </si>
  <si>
    <t>Трохи не вистачило драйву на іспиті, хоче молодець, добре розібрався в темі. Повністю дотримався структури. Єдине на іспиті були проблеми з інтернетом, надіслав спідтест, зі шкидкісю все в порядку. Ссказав що подумає як уникнути проблем, вирішить це іншим ПК</t>
  </si>
  <si>
    <t>Дуже приємний, детально розповідає. Не вистачило трохи коммунікації. Дуже нервував, але це з досвідом напрацюється</t>
  </si>
  <si>
    <t>На іспиті трошки скучно розповідала, але в цілому розкрила тему та заняття було структурним. Дала рекомендації що для практики краще використовувати не тільки обговорення, але й ігри</t>
  </si>
  <si>
    <t>19 років, приємний, все розповідає дуже детально. Постійно перепитував чи все зрозуміло, але не вистачило саме коммунікації із запитаннями до учнів. Структурне заняття. В цілому молодець</t>
  </si>
  <si>
    <t>@Akfjjf21</t>
  </si>
  <si>
    <t>Роблокс</t>
  </si>
  <si>
    <t xml:space="preserve">Більше року викладає роблокс, 3 роки досвіду викладачем. Працює у іншій школи, підписує NDA.  Іспит склав добре, молодець. </t>
  </si>
  <si>
    <t>Софт</t>
  </si>
  <si>
    <t>8 місяців досвід репетиторства, приємний відкритий. На будь який вік підійде. Дуже круто коммунікує</t>
  </si>
  <si>
    <t>Майн</t>
  </si>
  <si>
    <t>Все дуже детально розповідає, з іспитом впорався. Заповнює паузи цикавими фактами та питаннями. Молодець. Трошки хвилювався і заплутався, але прийде з досвідом</t>
  </si>
  <si>
    <t>Дуже крута, подача матеріалу супер. Дітям - те що треба. Іспит пройшов у постійній коммунікації, дуже структурно та цікаво</t>
  </si>
  <si>
    <t xml:space="preserve">Приємний, але більше для діток постарше. Дуже детально розповідає, подача також гарна. Все структурно. </t>
  </si>
  <si>
    <t>@zaia_olia16</t>
  </si>
  <si>
    <t>Дуже приємна, дітям те що треба. Пояснює детально та зрозуміло. Дуже хвилювалась, але коммунікація супер.</t>
  </si>
  <si>
    <t xml:space="preserve">Майн  </t>
  </si>
  <si>
    <t>Добре пояснює, коммунікує. Заняття структурне. Також знає скретч. Викладацького досвіду немає, але впорався добре</t>
  </si>
  <si>
    <t>Дизайн Джуниор</t>
  </si>
  <si>
    <t>Дуже круто пройшла іспит. Зробила крутий проект. Пояснює детально і зрозуміло. Зараз вивчає UX дізайн</t>
  </si>
  <si>
    <t>Дуже спокійна, але розповідає добре і детально. Більше підійде на доросліші групи. Має невеликий досвід викладання скретч</t>
  </si>
  <si>
    <t>arturonelove@ukr.net</t>
  </si>
  <si>
    <t xml:space="preserve">Роблокс  </t>
  </si>
  <si>
    <t>Приємний, замотивований. Дуже добре пояснює. Досвіду викладання не має, але хоче розвиватись. Студент</t>
  </si>
  <si>
    <t xml:space="preserve">Лисенко Олександра </t>
  </si>
  <si>
    <t>@tantsui</t>
  </si>
  <si>
    <t>Дизайн Джуніор/Дизайн</t>
  </si>
  <si>
    <t>Приємна, відкрита. Добре пояснює. Може вести і звичайний і джуніор. Рік викладає живопис</t>
  </si>
  <si>
    <t xml:space="preserve">4 роки досвіду викладачем інформатики. М'яка та приємна. Все дуже детально розповідає і послідовно розповідає. </t>
  </si>
  <si>
    <t>@Annaokrugina</t>
  </si>
  <si>
    <t>Дизайн/Дизайн Джуніор</t>
  </si>
  <si>
    <t>Молода, приємна, позитивна. Дітчм з нею буде комфортно. Досвіду викладацького не має, але сповнена жаги навчитись і працювати</t>
  </si>
  <si>
    <t>Дизайн</t>
  </si>
  <si>
    <t>Не має викладацького досвіду, але круто впорався з іспитом. Провів дуже цікаве заняття,  дуже детально все розповів. Використовує проблемний підхід.</t>
  </si>
  <si>
    <t>5 років у дизайні, викладацького досвіду не має. Розглядає можливість повної зайнятості. На іспиті дуже нервувала, але все показує/розповідає дуже детально</t>
  </si>
  <si>
    <t>Marinarosahataya@gmail.com</t>
  </si>
  <si>
    <t>Дуже приємна, зараз в Ірландії. Добре провела заняття на іспиті, у постійній коммунікації, структурно. Молодець. Як такого викладацького досвіду не має, але проводила тренінги, навчання персоналу</t>
  </si>
  <si>
    <t>Приблизно 2 роки працював викладачем інформатики. Іспит пройшов структурно, трохи нервував, тож не все задумане вийшло. Але в цілому молодець</t>
  </si>
  <si>
    <t>https://djinni.co/home/inbox/12427695/</t>
  </si>
  <si>
    <t>https://t.me/sasha_ux_ui</t>
  </si>
  <si>
    <t>2 роки в дизайні, сама не викладала, але сім'я викладачів. Заняття пройшло круто, у постійній коммунікації. Дітям вона сподобається</t>
  </si>
  <si>
    <t>https://www.linkedin.com/in/sasha-savchenko-854a17229/</t>
  </si>
  <si>
    <t>Досвіду викладацького нема, але замотивований працювати. Постійно має світло. Дуже спокійний та врівноважений, з іспитом впорався добре</t>
  </si>
  <si>
    <t>Дуже мила та замотивована. Проводила пробні з англійскої мови, працювала в таборі, проводила вебінари з софт скілз. З іспитом впоралась на відмінно. Сподобається дітям будь якого віку</t>
  </si>
  <si>
    <t>Дуже приємна, відкрита. юа юх дизайнер 2+ роки досвіду фріланс+ комерційний, викладацького досвіду нема, менторила на роботі. Іспит склала добре, пояснює детально</t>
  </si>
  <si>
    <t>Був досвід викладання Скретч, Майнкрафт, але зараз вивчає С шарп, Юніті, тому іде на Роблокс. Дуже детально пояснює кожну дію, стриманий, приємний</t>
  </si>
  <si>
    <t>Фронтенд</t>
  </si>
  <si>
    <t>Закончил БК Фулстек в Гоит, досвіду викладання не має, але вмотивований працювати над собою, і вдосконалюватись. Приємний, хвилювався, розповідає добре</t>
  </si>
  <si>
    <t>https://t.me/posatsky</t>
  </si>
  <si>
    <t>Досвід викладання 8років (інформатика) + веде кружок 3д моделювання. Приємний, але дуже хвилювався на іспиті, тож не все вийшло з першого разу. Але впорався, молодець</t>
  </si>
  <si>
    <t>Приємна, є досвід викладання дизайну. Нервувала, але дуже детально пояснює, коментує кожний свій крок</t>
  </si>
  <si>
    <t>Оджиковська, пообщалась</t>
  </si>
  <si>
    <t>Дуже приємна і детально розповідає, молодець Діткам підійде на всі 100 відсотків</t>
  </si>
  <si>
    <t>Пайтон</t>
  </si>
  <si>
    <t>Приємний хлопець, добре знає матеріал. Є невеличкий суржик, важко підбирати українські слова. Загалом молодець</t>
  </si>
  <si>
    <t>поставила на групу</t>
  </si>
  <si>
    <t>https://t.me/YanaMks</t>
  </si>
  <si>
    <t>Майн, Дизайн Моушен</t>
  </si>
  <si>
    <t>Має досвід у викладанні майнкрафту. Не проходила школу, ознайомилась з матеріалами напрямку і склала іспит. Відкрита, приємна, з дітьми працювати вміє. Хоче багато груп</t>
  </si>
  <si>
    <t>Лисенко</t>
  </si>
  <si>
    <t xml:space="preserve">4 роки досвіду дизайнером, Позитивна. Дуже нервувала на іспиті, але впоралась, розповідає дуже детально. </t>
  </si>
  <si>
    <t>Оджиковська, група э</t>
  </si>
  <si>
    <t>Викладала англійську мову. На зараз немає компьютеру( тільки но виїхала за кордон) буде в січні. Розповідала детально, але не змогла продемонструвати</t>
  </si>
  <si>
    <t>Оджиковська, зустрілась</t>
  </si>
  <si>
    <t>Закінчив Шаг по фронтенду, але не має досвіду. З майнкрафтом розібрався, дуже замотивований, приємний. Детально розказує</t>
  </si>
  <si>
    <t xml:space="preserve">Лисенко </t>
  </si>
  <si>
    <t>@vladislove21446 (https://t.me/vladislove21446)</t>
  </si>
  <si>
    <t>2 роки вивчає Юніті, зараз закордоном, тож нема проблем зі світлом. Розповідає добре, але інколи монотонно. Треба слідкувати за ним,</t>
  </si>
  <si>
    <t>https://t.me/Mashkaaap</t>
  </si>
  <si>
    <t>Крута. Дуже активна, позитивна. Іспит склала відмінно, дотрималась структури, все детально розповіла</t>
  </si>
  <si>
    <t>Оджиковська, написала</t>
  </si>
  <si>
    <t>Фронтенд джуніор</t>
  </si>
  <si>
    <t>Приємний, хотів на дорослий фронт, але мало досвіду. Розповідає добре, структуровано. В цілому молодець, хоч і сильно нервував</t>
  </si>
  <si>
    <t>Молодий, приємний. Дуже детально розповідає, на прикладах.Цікаво слухати, матеріал розповідає цікаво. Досвіду викладання не має, але готовий вчитись</t>
  </si>
  <si>
    <t>не встигла поставити на групи, написав, що за сімейними причинами не може викладати наразі</t>
  </si>
  <si>
    <t>18 років досвіду у якості викладача. Дуже детально все розповідає, прямо розжовує матеріал. Отримав рекомендації, тому що деколи були важкі для дітей слова/терміни. Все прийняв. Приємний</t>
  </si>
  <si>
    <t>annesmesh07@gmail.com</t>
  </si>
  <si>
    <t>Рекомендація. Знаходиться в Польщі, тож проблем зі світлом немає. Приємний, добре коммунікує, добре розповідає матеріал</t>
  </si>
  <si>
    <t>+380682463683</t>
  </si>
  <si>
    <t>Є досвід викладання інформатики (7 років), цікава, добре розповідає, має проблемний підхід у викладанні. Дітям сподобається</t>
  </si>
  <si>
    <t>Мав незначний досвід викладання. Добре впорався з іспитом, гарно розповідає матеріал, комментує кожен крок</t>
  </si>
  <si>
    <t>@yuli4kaaaaaaaa</t>
  </si>
  <si>
    <t>Дуже приємна дівчина, дітям сподобається її подача матеріалу. Розповідає дуже добре. Досвіду викладацького не було</t>
  </si>
  <si>
    <t xml:space="preserve">4 роки досвіду дизайнером, добре та детально розповідає матеріал. Дуже замотивована на роботу. </t>
  </si>
  <si>
    <t>Є невеликий досвід викладання, зараз навчається на фронтенді. Орієнтована на дітей, подача матеріалу м'яка та цікава. Трошки шумить мікрофон, але займеться цією проблемою. Має генератор, тож працює навіть в умовах відсутності світла</t>
  </si>
  <si>
    <t>https://t.me/Katerina_trut</t>
  </si>
  <si>
    <t xml:space="preserve">Досвіду викладання немає, але займається навчанням на свому основному місці роботи. Дуже приємна і позитивна. Цікаво розповідає. </t>
  </si>
  <si>
    <t>Боднар</t>
  </si>
  <si>
    <t xml:space="preserve">Навчався на фронтенді, досвіду викладання не має. Але розповідає цікаво. Були проблеми з технікою, але все вирішили. Приємний, замотивований. </t>
  </si>
  <si>
    <t>@gradussus (https://t.me/gradussus)</t>
  </si>
  <si>
    <t xml:space="preserve">Викладацького досвіду немає, але дуже відкритий, приємний. Добре розповідає матеріал, цікаво. </t>
  </si>
  <si>
    <t>Вивчає С# та Unity, але має мало комерційного досвіду. Розповідає детально, приємний. Викладацького досвіду не має, але готовий навчатись</t>
  </si>
  <si>
    <t>Рекомендація. Дуже відкрита та приємна дівчина, викладацького досвіду не має, але дуже детально та чітко розповідає матеріал</t>
  </si>
  <si>
    <t>Мала викладацьку практику в університеті. Джуе відкрита, позивна, добре роз'яснює матеріал. Рекомендація</t>
  </si>
  <si>
    <t>@iryna_diedova</t>
  </si>
  <si>
    <t xml:space="preserve">Рекомендація, відкрита, приємна. Дуже детально все розповідає, кожен крок. </t>
  </si>
  <si>
    <t>krystina2209@gmail.com</t>
  </si>
  <si>
    <t>Працює в школі, приємна, активна. Дуже "про дітей". Пробне пройшло у постійній коммунікації, дуже детально все рассказує</t>
  </si>
  <si>
    <t>Зараз за кордоном, тому проблем зі світлом не буде. Приємна, має невеличкий досвід викладання. Розповідає детально та зрозуміло</t>
  </si>
  <si>
    <t>Викладав в іншій школі пів року, приємний. Подавався на початку, але пайтон все ж таки ближче</t>
  </si>
  <si>
    <t>Маковська</t>
  </si>
  <si>
    <t>2023 рік</t>
  </si>
  <si>
    <t>Січень 2023</t>
  </si>
  <si>
    <t>@fylyncode</t>
  </si>
  <si>
    <t>Геймдев</t>
  </si>
  <si>
    <t>Приємний, зараз навчається. Рік  досвіду. Має власні проекти. Дуже круто розповідає, пояснює</t>
  </si>
  <si>
    <t>Мих, написала</t>
  </si>
  <si>
    <t>https://t.me/M15h9an</t>
  </si>
  <si>
    <t>Приємний, дуже спокійний. Вчився у нас в Гоайті. Розповідає трішки сухо, але прагне навчатись + далось в знаки хвилювання</t>
  </si>
  <si>
    <t>Також студентка Гоайті, приємна, дуже про дітей. Хвилювалась, але розповіла дуже детально, простою мовою щоб було зрозуміло маленьким учням</t>
  </si>
  <si>
    <t>@rast1ch (https://t.me/rast1ch)</t>
  </si>
  <si>
    <t>Розробник, практики 1+. Розповідає гарно, з прикладами. Трошки не вистачило коммунікації, але фітбек прийняв, буде розвиватись</t>
  </si>
  <si>
    <t>потавили дзвінок на вівторок</t>
  </si>
  <si>
    <t xml:space="preserve">Педагог, психолог. Має досвід роботи в учбових установах. Цікаво розповідає, залучає до бесіди, наводить приклади з життя. </t>
  </si>
  <si>
    <t>Іванішена</t>
  </si>
  <si>
    <t>трои заскромний. подивимося, чи вистачить харизми для роботи з дітьми, , дуууже тихий, не лідер на зараз. дала зворотній зв'язок, сподіваюся, почує</t>
  </si>
  <si>
    <t>Приємна, відкрита. Досвіду викладача нема, але готова розвиватись. Пояснює дуже детально., коментує кожен крок. Рік досвіду дизайнером на фрілансі</t>
  </si>
  <si>
    <t>написала.</t>
  </si>
  <si>
    <t>Викладацького досвіду не має, але був досвід менторства на роботі, дуже подобається чомусь навчати. Розповідає детально і цікаво. Наводить приклади професійні приклади. Приємна, активна</t>
  </si>
  <si>
    <t>@Perepel_T (https://t.me/Perepel_T)</t>
  </si>
  <si>
    <t xml:space="preserve">4 роки досвіду. Дуже замотивований працювати. Пояснює матеріал цікаво і детально. Іспит пройшов чудово. </t>
  </si>
  <si>
    <t>Мих</t>
  </si>
  <si>
    <t xml:space="preserve">Войтович Карина </t>
  </si>
  <si>
    <t>Софти</t>
  </si>
  <si>
    <t>Досвід викладання півроку, викладає математику дітям. Дуже відкрита, позитивна. Цікаво розповідає. Пробне пройшло чудово</t>
  </si>
  <si>
    <t>прийнято, групи поставлю</t>
  </si>
  <si>
    <t xml:space="preserve">Є досвід репетиторства. Пробне пройшло добре, всі рекомендації отримав, готовий виправити недоліки. Приємний, спокійний. </t>
  </si>
  <si>
    <t>Працює репетитором з англійської, приємна, усміхнена. Цікаво розповідає, пробне склала відмінно</t>
  </si>
  <si>
    <t>Дуже приємна дівчина, має досвід графічного та веб дизайну. Дуже круто розповідає, цікаво. Зараз закордоном, але групи хоче брати з березня, думає що не буде можливості організувати тишу. Проте можно додатково це оговорити.</t>
  </si>
  <si>
    <t>@PearlSweets</t>
  </si>
  <si>
    <t>Приємна, має невеличкий досвід викладання. Пояснює добре та детально. До нас прийшла по рекомендації</t>
  </si>
  <si>
    <t xml:space="preserve">Стриманий, 1 рік досвіду пайтон розробником. Дуже добре розповідає, приводить гарні приклади з життя для кращого розуміння. </t>
  </si>
  <si>
    <t>Приємний, спокійний. 1 рік досвіду розробником. Розповідає цікаво. Іспит пройшов чудово</t>
  </si>
  <si>
    <t xml:space="preserve">Шаповалова Аліна </t>
  </si>
  <si>
    <t>Рекомендація. Досвіду викладання не має, але готова  навчатись і покращуватись. Дуже спокійна, сильно хвилювалась на пробному. Але іспит пройшов добре. Зараз закордоном</t>
  </si>
  <si>
    <t>не відповідає)</t>
  </si>
  <si>
    <t>Лютий 2023</t>
  </si>
  <si>
    <t>Nastya.pochtar@gmail.com</t>
  </si>
  <si>
    <t>Викладацький досвід півроку викладала англійську. Дуже позитивна, та замотивована. Цікаво проводить заняття.</t>
  </si>
  <si>
    <t>malanyukrostik@gmail.com</t>
  </si>
  <si>
    <t>Півроку комерційного досвіду. Іспит склав добре, трохи не вистачило саме коммунікації, але розповідає зрозуміло, з прикладами</t>
  </si>
  <si>
    <t>https://rabota.ua/ua/my/vacancies/9291612/applies?id=87831441-attach</t>
  </si>
  <si>
    <t>Знає джанго, добре розповідає, без зайвої води. Був на пришвидшеній адаптації</t>
  </si>
  <si>
    <t>поставили на групу, провів перше заняття</t>
  </si>
  <si>
    <t>@Nightshe (https://t.me/Nightshe)</t>
  </si>
  <si>
    <t>Комерційного досвіду не має, але робить проекти на Юніті, захотіла спробувати роблокс. Цікаво розповідає, зробила класний проект для іспиту</t>
  </si>
  <si>
    <t>Anna_Perlovska_CV_English.pdf</t>
  </si>
  <si>
    <t>Скретч</t>
  </si>
  <si>
    <t xml:space="preserve">Активний, студент, хоче багато групп. 1,5 роки викладає скретч для маленьких діток у частному садочку. Дуже детально все розжовує. </t>
  </si>
  <si>
    <t>@dusenkot (https://t.me/dusenkot)</t>
  </si>
  <si>
    <t>Студент інженерного, знає Луа, зараз закордоном. Приємний, відкритий, добре коммунікує, залучає до розмови. Заняття не схоже на лекцію.</t>
  </si>
  <si>
    <t>https://rabota.ua/ua/my/vacancies/9291612/applies?id=87791151-attach&amp;keyword=%D0%B4%D1%83%D1%88%D0%B5%D0%BD%D0%BA%D0%BE</t>
  </si>
  <si>
    <t>+380 95 923 06 05</t>
  </si>
  <si>
    <t>Більше року досвід викладачем роблокс, цікаво розповідає. Дуже хвилювалась на іспиті через те що мала значний перерив у практиці, але впоралась відмінно</t>
  </si>
  <si>
    <t>https://rabota.ua/ua/my/vacancies/9291612/applies?id=73087717-prof&amp;resumeId=21836156&amp;keyword=%D1%81%D0%B5%D0%B2%D1%80%D1%83%D0%BA</t>
  </si>
  <si>
    <t>@stule_o (https://t.me/stule_o)</t>
  </si>
  <si>
    <t>Дуже спокійний хлопець, рік комерційного досвіду. Розповідає дуже детально,  не залишається питань. З пробним впорався добре. Було зауваження по мікрофону, обіцяв виправити</t>
  </si>
  <si>
    <t>зв'язались, поки немаю груп щоб запропонувати</t>
  </si>
  <si>
    <t>https://rabota.ua/ua/my/vacancies/9291612/applies?id=87859554-attach&amp;keyword=%D1%81%D1%82%D1%83%D0%BB%D0%B5%D0%BD%D1%8C</t>
  </si>
  <si>
    <t>Роман Чех</t>
  </si>
  <si>
    <t>@khtos_yk2</t>
  </si>
  <si>
    <t>Студент, вчиться на журналіста, мав практику на місцевих телеканалах та досвід роботи з дітьми. Добре роз'яснює, в постійній коммунікації</t>
  </si>
  <si>
    <t>Непоганий хлопець, спрацюємось))</t>
  </si>
  <si>
    <t>Філіп Стойка</t>
  </si>
  <si>
    <t>Молодий, більше 2 років комерційного досвіду. Відчувається невпевненість в собі. Передем його старшому викладачеві, аби допоміг з програмою. Але пояснює детально. Дуже хвилювався</t>
  </si>
  <si>
    <t>https://www.linkedin.com/in/philip-stoika-7b7774154/</t>
  </si>
  <si>
    <t>@viktoriia_1112</t>
  </si>
  <si>
    <t>Студентка. Має 8 місяців досвід викладання англійської мови. Приємна, коммунікує постійно. Були проблеми з інтернетом (велика затримка зв'язку) пообіцяла виправити</t>
  </si>
  <si>
    <t>зв'язалась, будемо знайомитися</t>
  </si>
  <si>
    <t>@victoriyaboichyk (https://t.me/victoriyaboichyk)</t>
  </si>
  <si>
    <t>Має досвід викладання пайтону. Приємна жінка, все дуже детально та структурно.</t>
  </si>
  <si>
    <t>https://rabota.ua/ua/my/vacancies/9291612/applies?id=73210853-prof&amp;resumeId=19912839&amp;keyword=%D0%B1%D0%BE%D0%B9%D1%87%D1%83%D0%BA</t>
  </si>
  <si>
    <t>Є невеличкий досвід ментором. Дуже детально розповідає, спокійний. Дотримався структури. Хвилювався але впорався</t>
  </si>
  <si>
    <t>поспілкувались, хочу поставити його на групу кідсів 18 числа, чекаю відповіді</t>
  </si>
  <si>
    <t>muxacb9017@gmail.com</t>
  </si>
  <si>
    <t>Має досвід викладання, також знає скретч. Пробне провів відмінно</t>
  </si>
  <si>
    <t>3 місяці менторив студентом Пайтон, детально  розповідає, зрозумілою мовою. Хвилювався, але провів заняття добре</t>
  </si>
  <si>
    <t>https://www.linkedin.com/in/maksym-sharko-5b1b21213/</t>
  </si>
  <si>
    <t xml:space="preserve">Великий досвід викладання, проходила пришвидшену адаптацію. приємна, добре коммунікує. </t>
  </si>
  <si>
    <t>Працює у нас МІКом, добре розповідає, комунікує, приємна. Групи хоче з березня</t>
  </si>
  <si>
    <t>супер дівчинка, думаю спрацюємось., групи з березня поставимо))</t>
  </si>
  <si>
    <t>@EgorPoleshuk</t>
  </si>
  <si>
    <t xml:space="preserve">16 років, працює у нас МІК. Приємний, дуже такий "про дітей". Пояснює зрозумілою мовою. </t>
  </si>
  <si>
    <t>380 96 684 9067</t>
  </si>
  <si>
    <t>Lyaschina.Liza0503@gmail.com</t>
  </si>
  <si>
    <t>Має доступ репетиторства. Приємна, круто коммунікує. Пробне пройшло чудово</t>
  </si>
  <si>
    <t>Дівчинка приємна поставили на групи,  але є прохання до HR відділу, якщо це можливо - поясніть вимоги до робочого телеграму - Ім'я та Прізвище українською або англійською та нікнейм (без нього дуже не зручно)</t>
  </si>
  <si>
    <t>Дуже приємна, чудово провела пробне. Також знає скретч. Пояснює зрозуміло, для діток те що треба</t>
  </si>
  <si>
    <t>Має досвід репетиторства. Дуже хвилювалась, але розповідає добре та цікаво. На пробне підготувала кахут.</t>
  </si>
  <si>
    <t>Поспілкувалася,  Діана дуже харизматична, думаю, класно впишеться в команду.</t>
  </si>
  <si>
    <t>Савченко Дар’я</t>
  </si>
  <si>
    <t>380 95 881 6926</t>
  </si>
  <si>
    <t>Рекомендація. Любить дітей, добре провела заняття. Є проблеми з мікрофоном, але сказала що виправить. Пробне пройшло добре</t>
  </si>
  <si>
    <t xml:space="preserve">Дар'я більш тиха, але добре поспілкувалися, очікую на плідну співпрацю. </t>
  </si>
  <si>
    <t>Закінчує педагогічний, 4 курс. Приємний, спокійний. Добре пояснює; Були зауваження до камери, виправить. Іспит пройшов добре</t>
  </si>
  <si>
    <t>Володимир Матвієнко</t>
  </si>
  <si>
    <t>@HogHord (https://t.me/HogHord)</t>
  </si>
  <si>
    <t xml:space="preserve">Студент ГоІТ, приємний. Добре пояснює, все детально, спокійний. </t>
  </si>
  <si>
    <t>В'ячеслав Герасимюк</t>
  </si>
  <si>
    <t>@CrossCriss (https://t.me/CrossCriss)</t>
  </si>
  <si>
    <t>Приємний, пів роки комерційного досвіду. Детально пояснює. Хвилювався дуже</t>
  </si>
  <si>
    <t>звязалась, поставила на групу</t>
  </si>
  <si>
    <t>Олена Гайченя</t>
  </si>
  <si>
    <t>@Elenka_Rad (https://t.me/Elenka_Rad)</t>
  </si>
  <si>
    <t>з 2006 викладає іноземні мови, строга але приємна. На перший погляд краще підійде для більш дорослих учнів</t>
  </si>
  <si>
    <t>знайшли спільне бачення на навички для дітей, досить просунута в технологіях.  поставила на групи.  з недоліків - не деякі питання відповідала довго і не по темі.  прошу з велико. обережністю брати на софти людей 40+, я не проти таких, проте до них потрібно більше уваги особливо у деяких світоглядних речах. З Оленою наче все класно, сподіваюся на плідну співпрацю)</t>
  </si>
  <si>
    <t>Андрій Соколовський</t>
  </si>
  <si>
    <t>Дуже приємний, 4 роки працює тех. спеціалістом. Добре пояснює, постійно комунікує</t>
  </si>
  <si>
    <t>Індивідуальна адаптація. 3 роки досвіду комерційного. Дуже спокійний, трохи молотонний. Пояснює детально.. Треба дивитись у справі</t>
  </si>
  <si>
    <t>Дуже приємний, пояснює дуже детально. Постійно комунікую. Можна спробувати на маленьких</t>
  </si>
  <si>
    <t>https://www.linkedin.com/in/chichyga-vitalii/</t>
  </si>
  <si>
    <t>Студент, відкритий, приємний. Дітям сподобається. Розповідає детально</t>
  </si>
  <si>
    <t>Пробне пройшло чудово. Пояснює дуже круто і детально. Можна пробувати на маленьких. Знає скретч</t>
  </si>
  <si>
    <t>@go_your_way</t>
  </si>
  <si>
    <t>Цікавий, дуже хвилювався на пробному, бо то перший досвід. Але розповідає добре. Трошки впевненності і буде супер</t>
  </si>
  <si>
    <t>Півроку викладала образотворче мистецтво. Дуже позитивна, пробне пройшло у постійній комунікації, для софтів те що треба.</t>
  </si>
  <si>
    <t>класна дівчина, складає чудове враження</t>
  </si>
  <si>
    <t>https://rabota.ua/ua/my/vacancies/9291612/applies?id=88019901-attach&amp;keyword=%D0%B1%D0%BB%D1%96%D0%BD%D0%BE%D0%B2%D0%B0</t>
  </si>
  <si>
    <t>Березень 2023</t>
  </si>
  <si>
    <t>@penoplastiz (https://t.me/penoplastiz)</t>
  </si>
  <si>
    <t>8 місяців досвід розробником, 5 викладав Пайтон. На іспиті показав себе добре, добре пояснює</t>
  </si>
  <si>
    <t>@Sunchino (https://t.me/Sunchino)</t>
  </si>
  <si>
    <t xml:space="preserve">Має два роки досвіду репетиторства. На іспиті дуже хвилювався, але впорався, пояснив добре і детально. </t>
  </si>
  <si>
    <t>Викладач з 2014 року, 1 рік викладала софт скіли. Подача суховата, але вона готова навчатись. Краще на більш дорослі групи</t>
  </si>
  <si>
    <t>знов немає ніку в тг((((😫                                                                   
Недоліки:  сором'язлива, занижена самооцінка, не може говорити з дітьми як людина, а не як викладач, це може впливати на довіру дітей до неї.  Дуже завалюється на особистих питаннях, помітно хвилюється в такі моменти.                                      
Переваги: може бути цікава аналітичним мисленням, прийде на синхро - побачимо, чи є прогрес порівняно з тим, як проявила себе на адаптаційній зустрічі.</t>
  </si>
  <si>
    <t>@k_dmytrenko (https://t.me/k_dmytrenko)</t>
  </si>
  <si>
    <t>katerynadmytrenko97@gmail.com</t>
  </si>
  <si>
    <t>Досвіду викладацького немає, але дуже комунікабельна. Приємна. Іспит пройшла добре, краще на доросліших діток</t>
  </si>
  <si>
    <t>@vaaaleeerkaaa (https://t.me/vaaaleeerkaaa)</t>
  </si>
  <si>
    <t>dipstik93@gmail.com</t>
  </si>
  <si>
    <t>Супер. Дуже приємна та позитивна, розповідає простою мовою, дуже зрозуміло. На маленьких чудово підійде</t>
  </si>
  <si>
    <t>Трошки невпевнений в собі, але пояснює добре. Іноді пролітають "важкі" для розуміння слова, тож краще на групи більш дорослі</t>
  </si>
  <si>
    <t>Майн (взрослый)</t>
  </si>
  <si>
    <t xml:space="preserve">Приємний, непогано пояснює матеріал. Варто додавати більше комунікації під час заняття. </t>
  </si>
  <si>
    <t>Спокійний, розповідає детально, але трошки складною мовою, варто над цим працювати. Краще на доросліших</t>
  </si>
  <si>
    <t>@jkolis</t>
  </si>
  <si>
    <t>2+ роки викладає англійську та німецьку, на іспиті дуже добре себе проявила. Чудово комунікую, повністю розкрила тему</t>
  </si>
  <si>
    <t>Вау-ефекту досягнуто)))  Відразу додалася в усі чати, чудово опрацювала інструкцію, це мене в саме серце вразило))                                    Може ще не дуже впевнено, але має всі шанси просто на супер вау)  Поставила на групи</t>
  </si>
  <si>
    <t>Дівчина вогонь, дуже детально розповідає матеріал, цікава подача. На заняттях учні точно не засумують</t>
  </si>
  <si>
    <t>дала групу</t>
  </si>
  <si>
    <t>Студентка, вивчала C#, але дуже сподобався Роблокс, хоче розвиватись в цьому. Дуже детально все пояснює. Трошки не вистачило комунікації на іспиті, але прийняла всі зауваження, буде працювати над цим</t>
  </si>
  <si>
    <t>поставила на групи</t>
  </si>
  <si>
    <t>https://imgur.com/a/PTHgVz2</t>
  </si>
  <si>
    <t>yanderka.chan160906@gmail.com</t>
  </si>
  <si>
    <t>Дизайн Джун</t>
  </si>
  <si>
    <t>Дуже приємна, добре все роз'яснює. На занятті в постійній комунікації. Все структурно. Має викладацький досвід у художній школі. Знає канву та фотошоп, фотопію опановує</t>
  </si>
  <si>
    <t xml:space="preserve">Оджиковська </t>
  </si>
  <si>
    <t>1,5 роки викладав роблокс, але на іспиті дуже хвилювався. Йому важко дається українська, треба за цим постежити. Але розповідає дуже добре</t>
  </si>
  <si>
    <t>@yegor_veshkin (https://t.me/yegor_veshkin)</t>
  </si>
  <si>
    <t>1,5 роки працює з ЛУА, вирішив вивчити ще й роблокс, але на зараз "плаває" трошки в ньому. Передам його старшому викладачеві на більш посилену адаптацію саме за програмою. Краще зараз прямо не давати групу, а наприклад на кінець березня</t>
  </si>
  <si>
    <t>Приємний, студент. Добре розповідає. На іспиті трохи не вистачило комунікації, але загалом все добре</t>
  </si>
  <si>
    <t>Півроки працює дизайнером. Приємна, гарно розповідає. Трохи хвилювалась, бо це перший досвід, але загалом добре</t>
  </si>
  <si>
    <t>Дала групу</t>
  </si>
  <si>
    <t>Спокійній, врівноважений. Добре розповідає. Близько року працює дизайнером на фрілансі</t>
  </si>
  <si>
    <t xml:space="preserve">Дала поточту групу DA_1y_9_22 на момент фігми </t>
  </si>
  <si>
    <t>Тетяна Тесленко</t>
  </si>
  <si>
    <t>380 97 260 48 14</t>
  </si>
  <si>
    <t xml:space="preserve">3 роки досвіду викладання софтів, іспит склала добре. </t>
  </si>
  <si>
    <t xml:space="preserve">Софти  </t>
  </si>
  <si>
    <t xml:space="preserve">Дуже приємний. Іспит пройшов у постійній комунікації, дуже позитивно. </t>
  </si>
  <si>
    <t>Дуже класний хлопець, проАктивний, цікавий, на мою думку, може багато чого дати дітям. Може мати схожі складнощі, як я - складно працювати "в рамках", і розфокус уваги, коли хочеться все і зразу))  Але мені дуже окей, сподіваюся, зайде дітям)) Почне роботу за тиждень і тоді ж я поставлю на групи.  Чекаю його також на синхро з темою про громдянське суспільство або щось подібне)</t>
  </si>
  <si>
    <t>@kvitka0023</t>
  </si>
  <si>
    <t xml:space="preserve">Дизайн  </t>
  </si>
  <si>
    <t>1+ рік досвіду дізайнером. Чудово склала іспит.  Прекрасно комунікувала, дуже круто пояснює матеріал. Не підвела підсумки, але надали фітбек по цьому. Готова взяти групу на 25.03, проставили в ПЗ</t>
  </si>
  <si>
    <t>Домовляюсь про зустріч</t>
  </si>
  <si>
    <t xml:space="preserve">Іщенко Лілія </t>
  </si>
  <si>
    <t>Є викладацький досвід, трошки не вистачило комунікації, але пояснили цей момент, візбме до уваги. Розказує дуже детально. Готова взяти групу на 18.03, в ПЗ поставили</t>
  </si>
  <si>
    <t>Має групу</t>
  </si>
  <si>
    <t>Сергій Кубанцев</t>
  </si>
  <si>
    <t>3 роки досвіду. Краще підійде на більш дорослих, тож джунів не пропонуємо. Розповідає добре, дуже детально. Замало комунікації саме, але це з ним проговорили. На групу не ставили</t>
  </si>
  <si>
    <t>поставила групу</t>
  </si>
  <si>
    <t>@Valeria_Stetsiuk (https://t.me/Valeria_Stetsiuk)</t>
  </si>
  <si>
    <t>Приємна, викладацького досвіду не має, але непогано впоралась з іспитом. Не вистачило трошки комунікації, цей момент проробили, буде виправлятись. Краще на старших діток. Поставили в ПЗ на 31.03</t>
  </si>
  <si>
    <t>@Marianaaaaaaaaaaaaaaaaa</t>
  </si>
  <si>
    <t>Півроку викладала мови підліткам та дорослим. Приємна, іспит склала добре</t>
  </si>
  <si>
    <t>Має непогані задатки, талановита, але ще не розкрита як особистість (так мені здалося). Чекатиму, як пройдуть перші уроки))  Але вже помітно, що комунікабельна, емпатична, креативна)  На групи поставила</t>
  </si>
  <si>
    <t>2 роки розробляє ігри для плеймаркету. На іспиті показав себе добре. На всі питання відповів. Поставили в ПЗ на 21.03</t>
  </si>
  <si>
    <t>Перездавав іспит, сильно перехвилювався на першій спробі. Поки в ПЗ не ставили, передалі старшому викладачеві на адаптацію</t>
  </si>
  <si>
    <t>@Vita_Ospanova (https://t.me/Vita_Ospanova)</t>
  </si>
  <si>
    <t>Хвилювалася сильно, провела заняття добре, гарно пояснила, але трошки сухо. Надали рекомендації, віддали старшому викладачу на адаптацію. На більш дорослих діток. В ПЗ поки не ставили</t>
  </si>
  <si>
    <t>Томчук Наталія</t>
  </si>
  <si>
    <t>@nataliatomchuk</t>
  </si>
  <si>
    <t>Приємна, відкрита, подача простою мовою, якраз про діток. Але дуже сильно хвилювалась на іспиті. Передали старшому викладачу, для адаптації. В ПЗ поки не ставили. Починати тільки з 1 групи</t>
  </si>
  <si>
    <t>Проходила індивідуальну адаптацию, зараз передана до старшого викладача. Джуе приємна, активна,  повністю про дітей, тож дітям буде з нею комфортно. В ПЗ поки не поставили, не підходять графіки березня</t>
  </si>
  <si>
    <t>Приємна, працювала з дітками в таборі та сбрала участь у різноманітних конференціях у якості спікера з тем близьких до софт скілз. Використовувала багато практичних завдань, заняття було цікавим, постійно комунікувала, структура збережена повністю. Трішки близько камера. Хоче працювати з офісу</t>
  </si>
  <si>
    <t>Має дуже широкий світогляд. Може багато чого навчити дітей. Є проблема, що немає тихого місця, де проводити уроки</t>
  </si>
  <si>
    <t>Приємна, 2,5 роки працює вихователем у садочку, можливо якраз підійде на менших, але можна спробувати і на старших. Використовувала багато практичних завдань, заняття було цікавим, постійно комунікувала, трішки затягнула заняття, можна для маленьких ставити, структура збережена повністю, проговорила правила поведінки на початку заняття. Трішки близько камера.
Ще чекаю поки в Телеграм зніме приватність</t>
  </si>
  <si>
    <t>Цікава дівчина, має досвід роботи з дітьми як дефектолог, перепитувала, чи запропонуєм ми щось інше/більше, якщо викладання їй буле замало. Поставлена на групи</t>
  </si>
  <si>
    <t>Приємна, 2,5 роки працює дизайнером, спочатку графічним, зараз юі юх, паралельно вчиться на психолога, тому зацікавилась викладанням. Дуже детально все розповіла, не було, нажаль комунікації, в цілому заняття структурне, дуже приємна викладач. В ПЗ не поставили, не підходить графік</t>
  </si>
  <si>
    <t>Поставила групу</t>
  </si>
  <si>
    <t>Приємна, раніше викладала в університеті, зараз змінила роботу, але хоче працювати з дітьми і цікавить ІТ сфера в цілому. 
Мало експресії в спілкуванні- занадто спокійна, дуже хвилювалась, практику всю залишила на кінець заняття. Краще ставити на старших учнів.</t>
  </si>
  <si>
    <t xml:space="preserve">Гринько Сергій </t>
  </si>
  <si>
    <t>@GSergeyko (https://t.me/GSergeyko)</t>
  </si>
  <si>
    <t>Фронт Джун</t>
  </si>
  <si>
    <t>Дуже приємний, працював аніматором, HR, тому діткам супер буде, можливо Софти запропонувати. 
Добре комунікував, не було зовсім практики, вибрав цікавий сайт як приклад, трішки русизмів є. На іспиті була старший викладач, для джунів сказала, що нормально орієнтується. Всі зауваження пописала, цікавився чи можна буде потім перейти на ФЕ для підлітків. В ПЗ поставила на 25.03</t>
  </si>
  <si>
    <t>Пустова</t>
  </si>
  <si>
    <t>Студент, працював з роблокс, робить там інколи ігри, тому з Луа знайомий. Дуже хвюлювався на іспиті, спочатку намагався якось комунікувати, потім комунікації  не було зовсім, не було структури заняття, потрібно налаштувати звук- то нормальний, то дуже голосно. Всі рекомендації прописла. Ще не заповнив слоти.</t>
  </si>
  <si>
    <t>Дуже приємна, релевантного досвіду немає,  трохи працює, але більшість часу присвячує вихованню своїх дітей, ідеальна кандидатка на супер-маму, самостійно вивчає педагогіку, психологію, така дуже про дитячий розвиток, комунікабельна і приємно розповідає Круто комунікувала, можна як на маленьоких так і на підлітків, практика була на протязі всього заняття.</t>
  </si>
  <si>
    <t>Мені сподобалась, контактна, емпатична,  щодо книжок, які читає - це класно, я починала з цих самих книжок, але на зараз це трохи однобоко, але уроки софтів їй підуть на користь. Думаю, їй важливо буде отримати певне визнання у сфері викладання)</t>
  </si>
  <si>
    <t xml:space="preserve">Нігматулліна Жасмін </t>
  </si>
  <si>
    <t>@djansinka (https://t.me/djansinka)</t>
  </si>
  <si>
    <t>Приємна, нейропсихолог, підходить графік 19-20 у будні, хоче 1 групу, через декілька місяців 2. Дуже круті пояснення, трішки не вистачило комунікації, цікаві ідеї по відпочинку дітей на занятті, не було, як такої практики, думаю, що це тільки через те що у нас було міні-заняття- всі рекомендації прописала.</t>
  </si>
  <si>
    <t xml:space="preserve">Бровченко Вікторія </t>
  </si>
  <si>
    <t>Приємна, має гарний досвід викладання Скретч, працює в школі вже близько 7 років, шукає додаткову зайнятість. Дуже видно досвід викладача в школі. Трішки складні пояснення для маленьких діток і не вистачило комунікації під час практики, всі рекомендації прописала. Підходить група на 29.03</t>
  </si>
  <si>
    <t xml:space="preserve">Бакулевська Юлія </t>
  </si>
  <si>
    <t>Великий досвід викладання інформатики в школі, Скретч також знає на рівні шкільної програми, але готова розвиватись в цьому напрямку. Дуже поставлена мова, видно що має великий досвід викладачем, пояснює чудово, можна зовсім тіршки додати комунікації під час практики, а так супер. По вільним слотам не підходять групи.</t>
  </si>
  <si>
    <t>Приємний, спокійний, пройшов курси з геймдеву і постить свої власні проекти в плей маркет, загалом до 2х працює з юніті, але комерційного досвіду не було, було б круто ще додатково перевірити питаннями від технічного спеціаліста Позитивний, на занятті комунікував, гарно пояснював матеріал, ніби орієнтується в матеріалі непогано. Поставила на групу старт 18.04</t>
  </si>
  <si>
    <t>Приємна, студентка, ше в школі почала вивчати програмування та поглиблено C#, сподобалась платформа Роблокс, тому захотіла спробувати себе викладачем на даному напрямку. Комунікації не було зовсім, пояснювала дуже детально, план уроку і підсумки розповіла. Хвилювалась це було видно. Всі рекомендації прописала. В ПЗ не поставила, не підходить графік.</t>
  </si>
  <si>
    <t>@TanyaSafonova (https://t.me/TanyaSafonova)</t>
  </si>
  <si>
    <t>Приємна, 5 років працює репетитором (для дітей 1-5 клас по всіх предметах) та психологом (в основному, це діти 4-13 років). Можна ставити і на маленьких, підготувала цікаві практики для заняття, з структурою заняття трішки були проблеми, в цілому враження позитивні.</t>
  </si>
  <si>
    <t>Чудова кандидатка, дуже помітний якісний досвід. Вже поставила на групи, гадаю, буде дуже крута.</t>
  </si>
  <si>
    <t>Приємний, близько пів року комерційного, знає і Сшарп, і Верстку, але бекенд цікавіший, в подальшому розглядає викладання Пайтону. Позитивний викладач, багато комунікації було, були певні проблеми з інтернетом, проте не губився і заповнював вдало паузи. Завдання підготував не по темі, але цікаве.</t>
  </si>
  <si>
    <t>Квітень 2023</t>
  </si>
  <si>
    <t>Дуже приємна і комунікабельна, подобається викладати, зараз навчається на магістратурі на програмне забезпечення, також виконувала невеличкі завдання на фрілансі+власні пет проекти. Є чітка структура, класно комунікує і пояснює, не було зовсім практики, показала все на готових прикладах. Рекомендації прописала. Можна і на джунів. Поставила в ПЗ на 06.04</t>
  </si>
  <si>
    <t xml:space="preserve">Іванченко Анастасія </t>
  </si>
  <si>
    <t>Приємна, більше року викладає англійську для дітей та інші дисципліни для дошкільнят, цікавить тема софт скілз і новітні підходи до навчання у школах, може працювати з будь-яким віком. Хвилювалась, що було помітно, комунікація була, структура заняття збережена. Практику порекомендувала все ж розбивати по всьому заняттю. Дуже приємна, можна і на молодших і на старших.</t>
  </si>
  <si>
    <t>Рек, приємний, веселий, мав гарний досвід викладання діткам. 2 роки викладав в школі ментальної арифметики.
Цікавий викладач, викликає позитивні враження, цікаві приклади і підхід використовує. Краще на підлітків</t>
  </si>
  <si>
    <t xml:space="preserve">Враження: маленька, безвідповідальна, не дуже цілестпрямована, але з певним талантом дитина. Я передомовилась на ще одну зустріч, бо навіть інструкцію не прочитав.   Зате чесний. Я ще думаю.  </t>
  </si>
  <si>
    <t>Рек, приємна, студентка, навчається на програмуванні, хоче спробувати себе в новій ролі викладача, активна. Дуже хвилювалась, по структурі все зберегла, трішки не вистачило детальних пояснень, як то все робити, але схоже що це більше через хвилювання. Рекомендації прописала. Форму вільних слотів поки не заповнила.</t>
  </si>
  <si>
    <t xml:space="preserve">Платонова Марина </t>
  </si>
  <si>
    <t>На співбесіді була спокійною, дещо сумною, думаю, це пов'язано з тим, що вона з Херсону, сама виховує сина (він іноді може попадати  в кадр), але приємна, 10 років викладає інформатику у школі, з них 2-3 роки активно викладає Скретч.
Трішки малоемоційна, детально пояснила матеріал, не розбавляла його практикою, залишила всю практику на кінець заняття. Пояснення краще адаптувати для маленьких діток. Форму вільних слотів заповнила. Група на 15.04 не підходить графік.</t>
  </si>
  <si>
    <t xml:space="preserve">Кулібабіна Анна </t>
  </si>
  <si>
    <t>@Anna_Kulibabina (https://t.me/Anna_Kulibabina)</t>
  </si>
  <si>
    <t>Приємна, студентка Гоайті, вивчає Фулстек, цікаво спробувати Майн, в подальшому Фронт
Комунікувала добре, видно що дуже готувалась до іспиту, використовувала відразу приклад проекту складнішого, проговорили, що починати краще з простішого і далі ускладнювати. В цілому враження позитивні. Форму вільних слотів заповнила, підходить група 04.04.</t>
  </si>
  <si>
    <t>Дуже приємна, 3 роки працювала Ейчаром, 6,5 років працює психологом, пів року працювала з дітками з відхиленнями, більше підходять вихідні. На іспиті класно комунікувала, було багато практики, можна ставити як на діток так і на дорослих. Зауважень як таких не маю.</t>
  </si>
  <si>
    <t>Приємна, працювала репетитором з математики рік, студентка, навчається на розробника, знає с# та пайтон. Підготувала практичну частину не по темі іспиту, але цікаво, потрібно ще трішки освоюватись в програмі, розповідала дуже детально все. Коли дуже хвилюється може трішки заїкатись. Поставила в ПЗ на 12.04</t>
  </si>
  <si>
    <t xml:space="preserve">Дебольський Олександр  </t>
  </si>
  <si>
    <t>@oleksandrDOS (https://t.me/oleksandrDOS)</t>
  </si>
  <si>
    <t>Дуже спокійний, програмує на Луа 4 місяці, готовий розібратись з Роблоксом. В роблоксі орієнтується чудово, не було зовсім комунікації, прописала рекомендації. ВІльні слоти заповнив, в ПЗ не поставила, не бачу груп в квітні куди потрібен викладач</t>
  </si>
  <si>
    <t>Приємна, великий досвід роботи з дітьми, знає скретч на шкільному рівні, вже років 10 з ним працює, але хотіла б розвиватись в цьому напрямку більше. Пояснює добре, але дуже багато теорії дає одним масивом, прописала рекомендації, що потрібно адаптувати трішки пояснення для маленьких діток. Група на 15.04 не підходить</t>
  </si>
  <si>
    <t>Рек, навчався в GoIT, після того ще мав десь місяців 9 комерційного досвіду, хоче навчати щоб закріплювати і повторювати свої знанням і подобається ідея навчання програмуванню з дитинства. Пояснює цікаво, постійно комунікує- багато; не було зовсім живого кодування- одногрупник Тетяни Тарасенко (була присутня на іспиті, одногрупник з GoIT)-сказала що в плані кодування питань до нього не буде.  В ПЗ поставила на 06.04.</t>
  </si>
  <si>
    <t>@AnnaaGoncharenko (https://t.me/AnnaaGoncharenko)</t>
  </si>
  <si>
    <t>Приємна, за освітою викладач хімії, базові принципи викладання розуміє, 4 роки комерційного досвіду. На іспиті зберігла структуру заняття, підготувала цікаву презентацію, не було практики, але це через те що часу було відведено завсім не багато. В цілому враження позитивні, рекомендації прописла. Поставила в ПЗ на 06.04</t>
  </si>
  <si>
    <t>написала</t>
  </si>
  <si>
    <t>Диз Джун</t>
  </si>
  <si>
    <t>Приємна, 3 роки займається дизайном, був досвід викладання діткам малювання з канвою віксом і фотошопом працює. Класно подаяснює, не вкалалась трішки в таймінг, дуже позитивна. Поставила в ПЗ на 06.04</t>
  </si>
  <si>
    <t>2 роки займається дизайном, зараз на фрілансі, переважно веб дизайнер, працює з канвою і віксом і фотошопом. Не працювала з мовчунами, не вклалась в таймінг. Рекомендації прописала. В цілому враження позитивні.  Поставила в ПЗ на 06.04</t>
  </si>
  <si>
    <t xml:space="preserve">Карпій Віталій </t>
  </si>
  <si>
    <t>@vykarpii (https://t.me/vykarpii)</t>
  </si>
  <si>
    <t>Випускник Львівського політеху, пів року  в Єпамі проходить курс на Java.
Підготував цікавий проект, гарно пояснював, комунікація була, можна було б трішки детальніше пояснювати всі моменти, в цілому враження позитивні. Рекомендації прописала. Поставила в Пз на 06.05</t>
  </si>
  <si>
    <t xml:space="preserve">Гунько Ольга </t>
  </si>
  <si>
    <t>@mss_explo (https://t.me/mss_explo)</t>
  </si>
  <si>
    <t>17,5 років, тому трохи нервувала, приємна, їй дуже подобається наша компанія, на хакатоні зійняла 2 місце з Віксу, 1,5 роки досвіду з Вікс, Вордпрес, за освітою викладач кібербезпеки, викладала (Вікс чи Вордпрес) в американській компанії. 
Дуже хвилювалась на іспиті, потрібно трішки адаптувати пояснення для молодших учнів і не вистачило саме живого кодування. Рекомендації пописала,. В ПЗ не поставила, не бачу груп на квітень куди потрібен викладач.</t>
  </si>
  <si>
    <t xml:space="preserve">Богданова Ольга </t>
  </si>
  <si>
    <t>Приємна, 15 років викладала інформатику, також знає Скретч.
Двічі проходила іспит, перший майн- нажаль комп'ютер не витягує, потім скретч- дуже класно пояснює, для діток буде чудово, з рекомендацій- не давати на самостійне опрацювання ніякого матеріалу- прописала. В ПЗ поставила на групу 15.04</t>
  </si>
  <si>
    <t>Спокійна, 2 роки працює графічним дизайнером, ще до цього на фрілансі кілька років працювала, хоче передавати досвід та сама в такому віці зацікавилась дизайном, тому хоче бути наставником для дітей, близько місяця викладала в художні школі.
Трохи мало комунікаці, пояснює чудово, орієнтується в матеріалі.  Поставила в ПЗ на 02.05</t>
  </si>
  <si>
    <t>Плануємо зустріч</t>
  </si>
  <si>
    <t>Приємна, спокійна, 3 роки в дизайні, графічний дизайнер але і фігму знає. 
Заняття було чудове, детально все проговорила. 
Єдине зауваження- дуже розмите зображення.</t>
  </si>
  <si>
    <t>поставла на групи, хороша викладачка</t>
  </si>
  <si>
    <t>Рек, Приємна, мала пів року досвід репетиторства з англійської офлайн, цікава тема софт скілз і багато тем перекликаються з дисциплінами в універі.
Краще ставити на старші групи. Трішки переходить на лекцію, коли розповідає тему, класно комунікує на практичній частині.</t>
  </si>
  <si>
    <t xml:space="preserve">Євсюкова Олександра </t>
  </si>
  <si>
    <t>@a_yevsyukova (https://t.me/a_yevsyukova)</t>
  </si>
  <si>
    <t>Рек, Приємна, комунікабельна, більше працювала зі старшими дітками тому більш звичніше працювати з підлітками, але може брати будь-який вік, 22 роки викладає в університеті економічні дисципліни, зараз є вільний час і хоче спробувати для себе щось нове і роботу саме з дітьми.
Трішки було замало комунікації, періодично проскакують русизми (з Харкова) дуже старається це виправляти (не критично). Дуже приємна, пояснювала чудово. Рекомендації прописала. Поставила в ПЗ на 29.04</t>
  </si>
  <si>
    <t xml:space="preserve">Коркішко Ілля </t>
  </si>
  <si>
    <t>@Bruhdudee (https://t.me/Bruhdudee)</t>
  </si>
  <si>
    <t>illiakorkishko@gmail.com</t>
  </si>
  <si>
    <t>Фронт Джун/Фронт</t>
  </si>
  <si>
    <t>Реклмендація, дуже приємний, хоче Фронтенд, але по досвіду поки Фронтенд Джуніор, так як з досвіду лише пів року на фрілансі.
Не вистачило тільки живого кодування, комунікація- чудово, використовув в презентації скріни коду, дуже детально все пояснював, можна ставити і на джун. В ПЗ не поставила, не бачу груп в квітні куди потрібен викладач.</t>
  </si>
  <si>
    <t xml:space="preserve">Чорнолуцька Світлана </t>
  </si>
  <si>
    <t>Мік, приємна, з дітками гарно спільну мову знаходить, мала досвід в смм та проходила курси з дизайну, знає канву і фотошоп, вікс підвчить. Добре комунікувала  на іспиті, структуру заняття зберегла.З рекомендацій налаштувати розміщення камер і детальніше розібрати інструменти фотопії, дуже хвилювалась. В цілому враження позитивні. В ПЗ поставила на групу 14.04</t>
  </si>
  <si>
    <t xml:space="preserve">Третьяк Олександра </t>
  </si>
  <si>
    <t>МІК, приємна, активна, гарний досвід викладання і також викладали тренінги по темам софт скіллз, подобається навчати та спілкуватись з дітьми. 
Можна ставити як на молодших так і на старших, по іспиту взагалі жодних зауважень, комунікує чудово, пояснює цікаво.</t>
  </si>
  <si>
    <t>забрала</t>
  </si>
  <si>
    <t xml:space="preserve">Педос Анастасія </t>
  </si>
  <si>
    <t>Мік, приємна, спокійна, до нас був досвід роботи з людьми, але з дітьми плацювала лише у нас, подобається тебя софт скіллс тому хоче спробувати себе в новій ролі.
На іспиті багато комунікувала, було багато практики, структуру зберегла.</t>
  </si>
  <si>
    <t xml:space="preserve">Музика Вікторія </t>
  </si>
  <si>
    <t>@vicky_just_vicky (https://t.me/vicky_just_vicky)</t>
  </si>
  <si>
    <t xml:space="preserve">2 роки викладає англійську, дуже приємна, підійде на будь-який вік.
Супер позитивна, дуже класно підготувалась, не було хвилювання, можна ставити на маленьких і на дорослих, багато практики цікавої. </t>
  </si>
  <si>
    <t xml:space="preserve">Чмелюк Карина </t>
  </si>
  <si>
    <t>@aspirati0 (https://t.me/aspirati0)</t>
  </si>
  <si>
    <t>Студентка, 18 років, 1 рік комерційного досвіду, спокійна. Структуру заняття зберегла, комунікувала, не вистачило живого кодування, всі коди показувала на презентації- в матеріалі орієнтується. можна і на FE DJ. Поставила в ПЗ на 04.05 на джунів</t>
  </si>
  <si>
    <t>Дуже приємна, майже 4 роки працює графічним дизанером, але і завдання по вебу на роботі іноді виконую тому з програмою знайома, навчалась на киладача, мала практику викладання і взагалі подобається цей процес і застосування новітніх і цікавих методів в навчанні. Не завадить додати трішки комунікації в процесі саме пояснення матеріалу, в цілому враження позитивні, все дуже детально пояснювала, можна і на джунів. Може по вихідним, але 6.05 точно буде без зв'язку до 12, тому не поставила на групу 29.04</t>
  </si>
  <si>
    <t>Дизайн джун /Дизайн (в будущем)</t>
  </si>
  <si>
    <t xml:space="preserve">Рек, приємна, взагалі більше хотіла дизайн дорослий, але має не дуже великий досвід на фрілансі, проходили і зараз проходить різноманітні курси, тому домовились, що почте з дизайн джуніор (не всі платформи знає, але працювала в аналогічних) а потім зможе і дизайн дорослий брати в майбутньому. 
Не підводила підсумки, періодично проскакують русизми і багато звуку "е"- через те що намагється підібрати правильні слова, не критично, але потрібно чистити. Ну і додати ще комунікації, тому що окрім як "Які є питання?" нічого не було. Поставила в ПЗ на 20.04 </t>
  </si>
  <si>
    <t xml:space="preserve">Легостинова Аня </t>
  </si>
  <si>
    <t>Спокійна, близько двох років в дизайні, графічний дизайнер, знає канву і фотошоп, з вікс не працювала, але знає тільду, тому навчиться.
Основна проблема- малоемоційна, пояснює непогано.</t>
  </si>
  <si>
    <t xml:space="preserve">Пузіно Тимур </t>
  </si>
  <si>
    <t>@blackdezor (https://t.me/blackdezor)</t>
  </si>
  <si>
    <t>Приємний, трохи є проблеми з українською, підучить, хоча досить добре розмовляє, але можуть проскакувати російські слова, був зам тренера деякий час, в майбутньому може піти на Пайтон. Гарно підготувався до іспиту, познаходив багато скриптів, цікава практична частина, дійсно інколи важко сформулювати думку- не критично.</t>
  </si>
  <si>
    <t>Спокійний, близько трьох років працює з юніті, комерційний досвід та фріланс проекти, подобається розвиватись в цьому напрямку та цікаво спробувати викладання.
Пояснював добре, видно що орієнтується в матеріалі, не вистачило комунікації.</t>
  </si>
  <si>
    <t>@anasthesia8</t>
  </si>
  <si>
    <t>Зараз аспірант, займається по більшій частині науковою працею, також був досвід викладання, тема софт скілз перекликається з її научними інтересами + цікавить неповна зайнятість. Мало комунікації під час пояснення теорії, в цілому цікаві практичні, непогано пояснює. Потрібно налаштувати камеру і освітлення. Можна і на молодших і на доросліших.</t>
  </si>
  <si>
    <t>Декілька місяців викладав дизайн для дорослих в Бітрут екедемі        Рек, приємний, мав невеликий досвід викладання, в дизайні вже 5+ років, на початку працював графічним дизайнером, зараз переважно юа юх, хоче передавати свої знання та працювати з дітьми. Пояснює цікаво, але трішки може заїкатись інколи. Затягнув заняття, потрібнододати комунікації в процесі практики. Як на мене можна і на джунів ставити, якщо погодиться. Не підходять графіки вихідних днів.</t>
  </si>
  <si>
    <t>Софт(підлітки)</t>
  </si>
  <si>
    <t>Приємна, гарно поставлена мова, операційний менеджер в компанії, займалась навчанням персоналу, проходила курси з коучингу, з дітьми не працювала, але цікавить тема софт скілз та хочеться спробувати себе у чомусь новому, хоче почати з підлітків, бо з малими взагалі не мала досвіду. Гарно пояснює матеріал можна ставити на вік років з 10,  трішки розділила теорію і практику. Не завадить додати комунікацію під час пояснення теорії.</t>
  </si>
  <si>
    <t>Приємна, зараз працює вихователем в садочку до цього працювала психологом в садочку і в школі, хочеться розвиватись в темі близькій до психології та викладати. Гарно пояснює матеріал можна ставити на будь-який вік, трішки розділила теорію і практику. Не завадить додати комунікації під час пояснення теорії. Класно хвалила учнів</t>
  </si>
  <si>
    <t>Приємний, студент кібербезпеки, проходив курси по Пайтону, знає також с++
Пояснює класно, не вистачило комунікації.</t>
  </si>
  <si>
    <t>Приємна, на співбесіді хвилювалась, трохи дрижав голос, з часом пройде, 7 місяців досвіду з с++, знає також джаву, пайтон.
Хвилювалась дуже, не вистачило комунікації, пояснює ну дуже детально. Ознайомлюється з програмою геймдеву, цікавий і цей напрямок</t>
  </si>
  <si>
    <t>Додала актуальний/
змінив юзер нейм не можу знайти тепер</t>
  </si>
  <si>
    <t>@IceSoul_kh (https://t.me/IceSoul_kh)</t>
  </si>
  <si>
    <t>Приємний, цікавий, 10 років у сфері розробки ігор, з Юніті  1,2 роки.
Класно пояснює і комунікує, не вистачило тільки живого кодування. Видно що добре орієнтується в матеріалі. Знайшов помилки у нас в конспектах, які ж відразу і пояснив на іспиті у форматі завдання знайти помилку). Поставила в ПЗ на групу 03.05</t>
  </si>
  <si>
    <t>@palyaaaa (https://t.me/palyaaaa)</t>
  </si>
  <si>
    <t>Приємний, студент 4 курсу, знає Джаву, с++.
Підготував цікаву практику для заняття, комунікував, варто трішки детальніше пояснювати матеріал, в цілому враження позитивні.</t>
  </si>
  <si>
    <t>Приємна, має великий досвід викладання та підготовки дітей до різноманітних конкурсів з робототехніки, навіть міжнародних. Викладала скретч та також зацікавилось напрямком софт скілз, бо має досвід навчання тімбілдінгу, майнкрафт на жаль не подобається.
Гарно пояснює матеріал можна ставити на будь -який вік, трішки розділила теорію і практику. Не завадить додати комунікації під час пояснення теорії. Класно хвалила учнів. Склала іспит на софти. Телеграм ще має створити.</t>
  </si>
  <si>
    <t>@worldofii (https://t.me/worldofii)</t>
  </si>
  <si>
    <t>Glo Brand Master, проходив курси по Пайтону, хоче спробувати себе у новій сфері.
Пояснює непогано, присутня комунікаці, не вистачило живого кодування на занятті.</t>
  </si>
  <si>
    <t>@sunriseinyoureyes (https://t.me/sunriseinyoureyes)</t>
  </si>
  <si>
    <t>Рекомендація, приємна,але трохи хвилювалась, як такого досвіду викладання діткам не має, але любить діток, має досвід спілкування з ними, так як є молодші брати та сестри, зараз проходить курси по Фронтенду. Дуже хвилювалась, варто додати більше похвали під час пояснень, зберегла структуру заняття., здала іспит на майн.
Доздала іспит на софти. Багато комунікації, гарно пояснює, можна на будь-який вік.</t>
  </si>
  <si>
    <t>Терентьєва</t>
  </si>
  <si>
    <t>Дуже приємна, має гарний досвід викладання, переважно працює з підлітками (фінансова грамотність) та також працювала з меньшими дітками (викладала християнську етику)
Добре пояснює, трішки мало комунікації на поясненні теми, цікава практика.. Можна на будь-який вік.</t>
  </si>
  <si>
    <t>Рек, спокійна, рік викладала дітям укр мову(підлітки підготовка до ДПА і ЗНО), з мальми дітьми майже не працювала, але цікаво спробувати себе з різним віком.  Дуже хвилювалась, дуже багато практики, структуру зберегла.</t>
  </si>
  <si>
    <t>@mdiana09 (https://t.me/mdiana09)</t>
  </si>
  <si>
    <t>Дуже дуже приємна, проходить курси по Фронтенду, хоче Майн, але в перспективі Фронтенд.
Підготувалась дуже ретельно, вже тиждень сама грає в майн, щоб була змога спілкуватись з учнями однією мовою. Трішки додати комунікації під час пояснення нової теми.</t>
  </si>
  <si>
    <t>Травень 2023</t>
  </si>
  <si>
    <t xml:space="preserve">Брух Анна </t>
  </si>
  <si>
    <t>Дуже приємна, зараз працює people partner 1,5 роки, тому знайома з темою Софт скілів, був досвід викладання підліткам англійської 4 роки.
На іспиті було багато практики, круто комунікує, можна на будь який вік ставити. Хоче бати групи на ранок в суботу для початку.</t>
  </si>
  <si>
    <t>Третьяк</t>
  </si>
  <si>
    <t>Приємна, проходила курсу по Фронтенду, тому хоче спробувати Майнкрафт, більше підходять групи у вихідні. Класно пояснює, потрібно додати трішки комунікації і налаштувати звук, є шум від вентилятора ноутбука</t>
  </si>
  <si>
    <t>Дуже приємна, працює 2 роки рекрутером, зараз хоче розвиватись більш у сфері HR, подобається тема софт скілз, тому хоче спробувати себе у такому напрямку.
Пояснює добре, класно хвалить. Варто практику розбивати на все заняття; можна ставити на будь який вік. Графіки підходять будні після 17 і вихідні перша половина дня.</t>
  </si>
  <si>
    <t>@albina_vadimovna</t>
  </si>
  <si>
    <t>Приємна, 2+ років в дизайні, більше юі юх але починала з графічного, цікаво спробувати для себе новий досвід та систематизувати свої знання пояснюючи.
Пояснює не погано, потрібно додати більше комунікації, каще ставити на групи старші по віку.</t>
  </si>
  <si>
    <t>Приємна, студентка, вивчає психологію, зараз працює у центрі сімейного розвитку, викладає дітям офлайн тренінги щось по типу софт скілз, процювала в дитячих таборах, дуже любить працювати з дітьми і підлітками і бачить у цьому своє покликання.
Круто комунікує, багато практики.</t>
  </si>
  <si>
    <t>Дуже приємна, студентка Гоайті, часто менторила на роботі, так як приходили нові співробітники і треба було їх навчати .
Круто комунікує, багато практики.</t>
  </si>
  <si>
    <t>Приємна, має педагогічну освіту, досвід роботи з дітьми у таборі та навчальна практика, подобається тема софт скілз.  Підготувала цікавий мультик, постійно комунікує, пояснює чудово. Може брати групи у буд-який час і день.</t>
  </si>
  <si>
    <t>Рек, спокійний, студент, комп. технлогії, вивчає с++, хоче спробувати себе в ролі викладача, до цього з дітьми не працював.
Підготувався трішки не по темі іспиту, пояснює непогано, комунікує., приємний. З рекомендацій- детальніше пояснювати.</t>
  </si>
  <si>
    <t>Приємний, знає скретч і грав в майнкрафт, студент, з дітьми досвіду не мав, але хочеться спробувати.
Пояснює добре, додати комунікації трішки варто. Групи вихідних</t>
  </si>
  <si>
    <t>Студент, закінчує магістратуру на розробника, цікавиться розробкою ігор, шукає основну роботу, тому може брати багато груп, з дітьми працював коли був вожатим в таборі.
Вибрав спочатку прям складний варіант практики, дуже хвилювався, пояснює зрозуміло. Потрібно трішки простіші приклади обирати.</t>
  </si>
  <si>
    <t>Спокійний, багато викладав в університеті, зарах перевчився на фронтнеда і в пошуках роботи в IT, але також шукає підробіток викладачем. Класно підготувався, цікаві приклади, пояснює чудово. Для початку хоче на старших унів, так як великий досвід роботи саме з підлітками 14-16 років. Хоче багато груп.</t>
  </si>
  <si>
    <t>Майн/ФЕ джун</t>
  </si>
  <si>
    <t xml:space="preserve">Дуже приємний, любить діток, студент Гоайті, буде пробувати Майн, зручніше вранці (хоч вихідні, хоч будні), через декілька місяців хоче взяти Фронтенд Джун, так як дуже хоче працювати з Джаваскриптом. Дуже позитивний, діткам буде супер, пояснення чудові. Трішки підтягнути технічну частину. </t>
  </si>
  <si>
    <t>Терентьєва/Пустова</t>
  </si>
  <si>
    <t xml:space="preserve">Кміть Анна </t>
  </si>
  <si>
    <t xml:space="preserve">Шулешко Дар‘я </t>
  </si>
  <si>
    <t>Рек, дуже приємна, студентка, зараз займається фотографією, був досвід репетиторства з математики, дуже хоче процювати з дітками і зацікавив сам напрямок викладання (рекоменд Аліса Дуденко).
Розгубилася трохи, пояснює цікаво і зрозуміло, підготувала цікаву інформацію. З Рекомендацій додати більше комунікації під час пояснення теми та більше практики.</t>
  </si>
  <si>
    <t xml:space="preserve">Яремчук Юлія </t>
  </si>
  <si>
    <t>Дуже приємна, комерційного не має, але проходила курси по Фронтенду, хоче спробувати Майн, але почати з старших діток, підходять заняття у будні ввечері.
Пояснює зрозуміло і цікаво, варто додати комунікації.</t>
  </si>
  <si>
    <t>Рек, восени проходила вже школу в нас на майн, але не змогла закінчити за сімейними обставинами, зараз викладач порекомендував її на роблокс, Вивчає пайтон дата сайнс, є невеличкий досвід роботи з дітьми 
Детально пояснила всі моменти, додати трішки комунікації, дуже хвилювалась.</t>
  </si>
  <si>
    <t>Приємний, комерційного досвіду не має, але готовий розібратись Майном, підходять будь-які дні та будь-який час, так як хоче набратись досвіду.
Чудово пояснює, було багато комунікації, задіює учнів. Хоче ще на ФЕ джун.</t>
  </si>
  <si>
    <t xml:space="preserve">Бондаренко Ілля </t>
  </si>
  <si>
    <t>Рек, приємний, студент, займається 3д моделюванням, мав досвід підготовки школярів до зно з історії, цікавить тема софт скілз і подобається робота з дітьми (рекоменд Аліса Дуденко)
Приємний, пояснює класно, цікаві практики.</t>
  </si>
  <si>
    <t xml:space="preserve">Кримлов Данило </t>
  </si>
  <si>
    <t>Цікавий, краще будні вечірній час, підходить графік на 16.05, був невеликий досвід менторства, працює на фрілансі 4 місяці.
Пояснює непогано,дуже детальні інструції дає для всього, мало комунікації.</t>
  </si>
  <si>
    <t>Приємна, 2+ роки в дизайні, переважно графічний дизайн, давно думала над викладанням, тому цікаво спробувати, але ще не до кінця впевнена, що може брати на рік.
Приємна, дуже хвилювалась, пояснює всі дрібні деталі, мало комунікації.</t>
  </si>
  <si>
    <t>senitraart@gmail.com.</t>
  </si>
  <si>
    <t>Дуже приємна, зараз викладає для дітей молодшої школи, також викладали укр мову, я і світ та фізкультуру, подобається праця з дітками, але має основну роботі також з подібних графіком як наш, тому може брати групи лише на певні визначені години. П'ятниця не підходить. На іспиті пояснювала все цікаво і зрозуміло,  не розібралась з демонстрацією, тому була без неї.</t>
  </si>
  <si>
    <t xml:space="preserve">Галіброда Анатолій </t>
  </si>
  <si>
    <t>galibrodaa@gmail.com</t>
  </si>
  <si>
    <t>Приємний, студент, подобається майнкрафт, вже потрохи розбирається в едьюкейшн версії, подобається викладання і навіть хотів йти на вчителя, але пішов на розробника, тому зараз вирішив спробувати викладання.
На іспиті зовсім не було комунікації. Пояснює в цілому зрозуміло.</t>
  </si>
  <si>
    <t xml:space="preserve">Духота Ігор </t>
  </si>
  <si>
    <t>Студент Гоайті, приємний, хоче працювати з старшими дітками, підходить графік у будні дні увечері.
Мало комунікації, дуже хвилювався, було трохи русизмів, скоріше всьгого через хвилювання.</t>
  </si>
  <si>
    <t>romanstasyuk@hotmail.com</t>
  </si>
  <si>
    <t>МІК, комунікує чудово, підготував зовсім іншу тему, потрібно обирати простіші приклади для початку.</t>
  </si>
  <si>
    <t>на цій групі GoITeens_UA_ROB_1y_16_23(4)</t>
  </si>
  <si>
    <t xml:space="preserve">Бобров Кирил </t>
  </si>
  <si>
    <t>@kir_illkin (https://t.me/kir_illkin)</t>
  </si>
  <si>
    <t>kirillkin@ukr.net</t>
  </si>
  <si>
    <t>Приємний, 4 роки комерційного досвіду з Юніті, під час роботи менторив новачків, класний, але звик працювати з дорослими, головне, щоб не сипав діткам важкою термінологією.
Комунікує добре, пояснює зрозуміло, не вистачило живого кодування на іспиті. Група 20.05 не підходить, хоче для початку групу буднього вечір.</t>
  </si>
  <si>
    <t xml:space="preserve">Зелений Ярослав </t>
  </si>
  <si>
    <t>Студент Гоайті, приємний, цікаво спробувати себе у Майні. 
Класно пояснює, була комунікація на іспиті, дуже приємний. Трішки звук налаштувати, а так все супер.</t>
  </si>
  <si>
    <t>Дуже приємна, комфортно працювати і з молодшими, і з старшими дітками, але хоче почати зі старших, проходила курси по Фронтенду, цікаво спробувати Майн.
Чудово пояснює і комунікує. Можна на будь який вік, головне щоб група була більш-менш однорідна по віку. Були трішки підвисання камери, буде камеру і мікрофон використовувати з планшету чи телефону.</t>
  </si>
  <si>
    <t xml:space="preserve">Білоус Богдан </t>
  </si>
  <si>
    <t>@Bogdaddy_usa (https://t.me/Bogdaddy_usa)</t>
  </si>
  <si>
    <t>На фрілансі пів року досвіду, проходив курси Юніті, комерційного як такого немає, але 4 роки викладає Юніті, є свої ігри. На іспиті було мало комунікації, в цілому пояснює зрозуміло. Дуже хвилювався. Група на 20.05 спочатку підходила, зараз відписався, що в суботу може тільки до 12 години.</t>
  </si>
  <si>
    <t>Cапун Олена</t>
  </si>
  <si>
    <t>Приємна, викладачка історії, гарний досвід викладання, дуже любить діток, саморозвивається і дуже зацікавила можливість розвитку софт скілз у дітей.
Багато комунікації, багато практики, похвала різноманітна, заняття дуже сподобалось.</t>
  </si>
  <si>
    <t xml:space="preserve">Нарадько Юліана </t>
  </si>
  <si>
    <t>Приємна, майже 17 років, проходила 3-х річні курси в ШАГ по розробці ігор і т.д, як такого досвіду репетиторства не має, так як частіше до неї звертаються діти для вирішення домашок по Скретчу. Готова на 13.05 і в цілому підходять вихідні.
Пояснює зрозуміло, підготувала цікаву практику, не вистачило комунікації.</t>
  </si>
  <si>
    <t xml:space="preserve">Кравчик Олена </t>
  </si>
  <si>
    <t xml:space="preserve">Приємна, працює  ушколі +-3 роки, викладає англійську, зручно у будні окрім вт і чт.
Приємна, було багато комунікації і практики, хвалила. В цілому заняття сподобалось. </t>
  </si>
  <si>
    <t>Приємна, викладач інформатики з великим досвідом, працює зі скретч, код орг і джавою, хоче розвиватись і цікавиться майнкрафт едьюкейшн, дуже відкрита, про дітей і навчання. 
На діток саме те, чудово пояснює, зроуміло і цікаво, комунікації і похвали багато.</t>
  </si>
  <si>
    <t>Скретч/Майн</t>
  </si>
  <si>
    <t>Декільна місяців викладає Скретч та дизайн, навчається на викладача, хоче перейти на майнкрафт едьюкейшн. Пояснює непогано, трохи поспішав тому не було комунікації, але було дуже багато риторичних питань по яким розуміло, що саме учням він їх і буде задавати, коли буде вдосталь часу.</t>
  </si>
  <si>
    <t xml:space="preserve">Брегеда Олена </t>
  </si>
  <si>
    <t>Дуже приємна, уже 6 років викладає інформатику, готова на 13.05, 17.05 та 14.06
По самому заняттю все чудово, пояснює класно, комунікує. Були проблеми з інтернетом.</t>
  </si>
  <si>
    <t>Студентка ГоІТ, викладала дітям інформатику, зараз у дикретній відпустці та закінчує курс по фул стеку, подобається роботи з дітьми і цікаво навчати вже безпосередньо фронтенду. 
Круто комунікує, структуру повністю зберегла. Трішки звук шурхотить.</t>
  </si>
  <si>
    <t>Студент ГоІТ, приємний, була практика роботи з дітьми, подобається щось розповідати і якраз цікавить неповна зайнятість. Класний викладач, комунікує, працює з мовчунами, пояснення зрозумілі. Виникло питання з мобілізацією, потрібно трішки часу щоб розібратись.</t>
  </si>
  <si>
    <t>Студент ГоІТ, закінчує курс по фулстеку, подобається пояснювати те в чому добре розбираеться (на співбесіді отримала міні лекцію про блокчейн та бджолярство, тому думаю і фронтенд дітям добре пояснить). Пояснює зрозуміло і цікаво, варто додати комунікації.</t>
  </si>
  <si>
    <t>Приємна, вчитель інформатики/ практичний психолог з 2012 року, знає Скретч. Пояснює добре і цікаво, для діток саме те що потрібно, було багато комунікації, хвалить учнів. Тільки починає користуватись телеграмом, тому заходить в нього рідко, окремо проговорила, що це важливо. Картавить.</t>
  </si>
  <si>
    <t xml:space="preserve">Аверчук Юлія </t>
  </si>
  <si>
    <t>sekreteva20@gmail.com</t>
  </si>
  <si>
    <t>Дуже приємна, різноманітний досвід викладання, проводила заняття з софт скілз у Шазі, зараз полонтерить у організації і тех проводить вебінари близькі до софт скілз, дуже любить діток і працю з ними. Багато практики на занаятті, круто комунікувала. Були складнощі з мікрофоном, підключилась додатково з телефону.</t>
  </si>
  <si>
    <t>Приємна, близько року викладає англійську як репетитор для дітей, може брати групи лише у вихідні, але багато.  
Пояснює добре, дуже хвилювалась, трішки не вистачає комунікації для софтів.</t>
  </si>
  <si>
    <t>Рек, приємний, працює викладачем у школі (природознавство і хімія), але подобається ІТ, і більше хоче розвиватись у викладанні даного напрямку + щось по типу сис адміна у школі., знайомий зі Скретч.
Пояснює дуже зрозуміло, намагався комунікувати і хвалити, додати трішки більше комунікації і вирішити питання з камерою- зображення було розмите, сказав що це не проблема.</t>
  </si>
  <si>
    <t>Валерія Туліка</t>
  </si>
  <si>
    <t>Дуже приємна і дуже любить працювати з дітками, 1,5 роки працює викладачем англійської, підходить графік на 20.05 і загалом підходять вихідні (також питала чи є інтеграція у Гугл міті, щоб можна було бачити учасників). Пиємна, було дуже багато практики, трішки розгубилась що я на іспиті була одна. В цілому заняття класне.</t>
  </si>
  <si>
    <t>Рек, студенка, зараз займається репетиторством з англійською, цікавиться темою софт скідз та хоче спробувати себе в новому напрямку викладання. Хвилювалась, багато практики та комунікації, варто попрацювати над похвалою є складнощі з цим.</t>
  </si>
  <si>
    <t>Приємна, комерційний досвід з ДотНет - 1,5 роки, ще не викладала, цікаво спробувати, підходить графік групи на 01.07. Дуже хвилювалась, комунікувала протягом заняття, все показала на практиці, трішки розгубилась, варто лдетальніше пояснювати всі деталі в процесі.</t>
  </si>
  <si>
    <t>НДА (підписала) , приємна, спокійна, навчається на викладача фізики, матем і інформатики, нещодавно влаштувалась викладати Скретч у Логіку, дуже мило розповідає про роботу з дітьми. Пояснює і комунікує добре. Були проблеми з інтернетом, не витягував майн та міт, буде підключатись з телефону для відео та комунікації.</t>
  </si>
  <si>
    <t>Дуже приємна, маж різноманітний досвід починаючи з технічного дизайну і закінчуючи юі юх, навчалась в гоіт на дизайні, зараз на фрілансі, дуже цікавить сфера викладання і передачі знань, єдине, що не так багато працювала з Іллюстратором, але зараз його активно вчить. 
Дуже приємна, пояснює класно, дуже цікаво. Додати трішки комунікації.</t>
  </si>
  <si>
    <t>Написала їй про зустріч</t>
  </si>
  <si>
    <t>Рек, приємна близько року комерційного досвіду, працювала і графічним і веб дизайнером, студентка навчається на соціальній роботі мала декількомісячну практику з дітками, дуже цікаво спробувати себе у викладанні (порекоменд Катя Супчан - викладач дизайну).
Дуже детально все пояснює, багато комунікаці, використовує похвалу. Заняття чудове. Може на групу ср-пт 18-19:30 Можна ставити і на джунів.</t>
  </si>
  <si>
    <t>Danius2003@gmail.com</t>
  </si>
  <si>
    <t>Студент, навчається на розробника, знає скретч, з дітьми не працював, але цікаво спробувати щось нове.
Пояснює зрозуміло, комунікував навіт трішки похвали було, трішки з розміщенням камери проблема була, відразу виправив.</t>
  </si>
  <si>
    <t>Приємний, репетитор з англійської, працював як з групами так і індивідуально, подобається більше працювати з дітьми, зацікавила тема софт скілз, тому вирішив спробувати новий напрямок.
Була цікава практика, комунікує, пояснює цікаво. Варто розбивати практику рівномірно по всьому заняттю і слідкувати за камерою- частину заняття було видно пів голови в кадрі. Групи зручно брати на вихідні в ранковий час.</t>
  </si>
  <si>
    <t xml:space="preserve">Терпіль Дмитро </t>
  </si>
  <si>
    <t>@Bomba4800 (https://t.me/Bomba4800)</t>
  </si>
  <si>
    <t>killerontheroad4800@gmail.com</t>
  </si>
  <si>
    <t>Дуже приємний та все детально пояснює, комерційний досвід +-6 років, був досвід менторства новеньких. Класно пояснює, навіть я зрозуміла, багато комунікації. Трішки затягнув заняття, але це напевно через те що мені було цікаво. Хоче групи по будням вечірній час.</t>
  </si>
  <si>
    <t xml:space="preserve">Беркій Дмитро </t>
  </si>
  <si>
    <t>Приємний, 26 років, цікавий, так як має закарпатський акцент, 3 роки викладає інформатику у школі, 2 роки ще займався репетиторством, зручно будні вечірні та неділя, підходить графік 17.05 та 28.05.
Пояснює добре, комунікує, на діток буде чудово.</t>
  </si>
  <si>
    <t>Рек, приємна, любить діток, мала досвід викладання 5 років, зараз проходить курси з психології, цікаво звону повернутись у викладання.
Дуже хвилювалась, комунікує добре, була з телефону і без презентації, це виправить і буде з ноуту проводити з демонстрацією.</t>
  </si>
  <si>
    <t>Пєц Адріана</t>
  </si>
  <si>
    <t>Приємна, мала досвід викладання англійської, переажно групові заняття з дітьми, шукає більше повну зайнятість, і шоб за неї податки з ФОПу платили, ще думає чи цікавить варіант неповної. Круто пояснює, цікаво,комунікує але через те що намагалась вкластись в час іспиту трохи мало для софтів, видно що поруміє правильну структуру. Буде добре на діток вік років від 10. хоче будні вечірні години і вихідні ранкові.</t>
  </si>
  <si>
    <t>Грєкова Євгенія</t>
  </si>
  <si>
    <t xml:space="preserve">Приємна, </t>
  </si>
  <si>
    <t xml:space="preserve">Ружицький Роман </t>
  </si>
  <si>
    <t>https://t.me/Jason_Brody_HM</t>
  </si>
  <si>
    <t>Дуже хвилювався, трохи заплутався в коді,підготував детальну презентацію. На групу 20.05.</t>
  </si>
  <si>
    <t>@VorOn1209 (https://t.me/VorOn1209)</t>
  </si>
  <si>
    <t>Дуже приємний, треба НДА, так як 8 місяців працює в іншій академії, викладає Ардуіно, Геймдев, Майнкрафт, краще у будні вранці, але з літа зміниться графік буде більше часу, орієнтовно групку хоче на на 29.06. Пояснює добре, трішки відсунути камеру та додати комунікації. Буде здавати іспит ще на Геймдев. Може брати групи в ранкові години по будням. На іспиті по геймдеву випавив всі зауваження, дуже клано пояснює і комунікує.</t>
  </si>
  <si>
    <t>Терентьєва/Мих</t>
  </si>
  <si>
    <t>20 років, закінчив Фулстек в Гоайті, готовий працювати як і з старшими, так і з меншими, підходить будь-який графік.
Пояснює класно, комунікує, зображення розмите, можна на будь який вік.</t>
  </si>
  <si>
    <t>Студентка, знайома з майнкрафт едьюкейшн, тому цікаво викладати саме його, 17 років (влітку буде 18), навчається на аналітика данних. Дуже хвилювалась, сиділа як натянута струна, через це трішки заплуталась в темі, але змогла добре це обіграти словами. Комунікує, трішки проскакували русизми і була малоемоційна, думаю що саме через хвилювання.</t>
  </si>
  <si>
    <t>2+ роки в дизайні, переважно юі юх, з дітками не працював, але проходив курси і цікаво себе спробувати в ролі викладача.
Біда з українською мовою, дуже хвилювався. Пояснює зрозуміло і цікаво (якщо не звертати увагу на мову), потрібно додати комунікації. Рекомендації прописала</t>
  </si>
  <si>
    <t>Палиха Марина</t>
  </si>
  <si>
    <t>Викладала різноманітні курси для дітей 5 років у Шазі, переважно скретч і пайтон, потім працювата тестувальницею, зараз планує потрохи повертатись у викладання, тому почне з декількох груп по скретчу, а потім може пройде навчання на майн. Класно пояснює і комунікую, заняття чудове вийшло.</t>
  </si>
  <si>
    <t>Студент Гоайті,цікаво спробувати Майн, зручніше у вихідні, тому підходить графік на 27.05.
Пояснює зрозуміло, варто додати комунікації на занятті.</t>
  </si>
  <si>
    <t>ФЕ Джун (можливо і ФЕ)</t>
  </si>
  <si>
    <t>Приємна, має педагогічну освіту, раніше працювала з дорослими, зараз цікаво спробувати працювати з дітками, має рік досвіду з Версткою, ДЖС треба трохи підтягнути.
Варто додати більше комунікації, на іспиті дуже хвилювалась, зберегла структуру заняття. Можуть бути проблеми з підготовкою, тому що навчалась довго на школі. В цілому враження від заняття позитивні, пояснює зрозуміло і цікаво.</t>
  </si>
  <si>
    <t>Рек, дуже приємна, НДА, має близтко двох років досвіду викладання мистецтва та кураторства груп, закінчує психологічну освіту, цікавиться темою софт скілз і хоче розвиватись у новому напрямі викладання. Пояснює чудово, збережена структура заняття, трішки картавить. Може брати групи в неділю на 10</t>
  </si>
  <si>
    <t>alenkazas@gmail.com</t>
  </si>
  <si>
    <t>Студентка, 2 курс, навчається на розробника, знає Скретч.
Іспит здавала двічі, на другий раз по структурі комунікації і поясненням все добре,трішки інтернет підлагував. Підлючається з двох пристроїв тому що ноут не тягне майн і спілкування в міті.</t>
  </si>
  <si>
    <t>Дуже приємна, багато досвіду викладання, на минулій роботі навчала персонал, була тренером з танців, також створила свій курс по стилістиці, дизайну, викладала його (серед учнів також були підлітки), створювала інструкцію по софт скілах, створювала власного бота. Дуже круте заняття, була і практика, і похвала, і комунікація. Може брати групу на неділю 10. Можна на будь який вік</t>
  </si>
  <si>
    <t>Рек, дуже приємна, НДА, працює вихователем у шазі , також працювала вчителем молодших класів та має педагогічну освіту, готова брати багато груп. Структура заняття збережена, дуже хвилювалась, намагалась комунікувати, пояснювала зрозуміло, трохи підводила акторська майстерність ( через хвилювання інколи перегравала) позитивна. Може браьи груп и в неділю на 10.</t>
  </si>
  <si>
    <t xml:space="preserve">Рек, приємний, зараз працює бізнес-аналітиком (хоча по обовʼязкам це щось ближче до проджект менеджера), викладав історію як репетитор пів року та вів фісолофію в універі. Пояснює добре, комунікує, букла практика. </t>
  </si>
  <si>
    <t>Рек, приємна, займалась науковою роботою повʼязаною з впровадження занять з софт скілз, тому цікавиться даною темою, також має педагогічну освіту та невелику практику викладання в школі. Дуже приємна, комунікує, класно пояснює, прям мімімішна.</t>
  </si>
  <si>
    <t>Студент, знає скретч, був досвід роботи з дітками в якості спортивного стенера пів року, люить гру майнкрафт. Луде хвилювався, варто додадти комунікації і камера дуже близько розміщена.</t>
  </si>
  <si>
    <t>Дуже приємна, мада довсід викладання вебінарів з географії, 2 роки, подобаються публічні виступи і працювати з дітками. Приємна, багато комунікувала, дуже експресивна, пояснення зрозумілі і цікаві.  Група на неділю не підходить.</t>
  </si>
  <si>
    <t>Рек, великий досвід роботи з дітьми, працювала близько 10 років в дитсадку, зараз вже рік працює викладачем англвйської в школі і хоче спробувати для себе ще один новий напрямк. На іспиті показала себе добре, жодних зауважень не було.</t>
  </si>
  <si>
    <t>Рек, приємна, студентка, зараз займається організацією власного інтернет-магазину, рік працювала репетитором з укр мови та організовувала читацький клуб для дітей. По іспиту все чудово, комфортно брати групи 9- 12 років.</t>
  </si>
  <si>
    <t xml:space="preserve">Рек, під питанням, так як виявилось, що 16 років, хіба що на малих, якщо гарно пробне складе, мала пів року+ досвіду репетиторства англійської для дошкільнят, цікавиться темою софт скілз. На іспиті була збережена структура, була комунікація, але дуже хвилювалась через що була скута і малоемоційна. </t>
  </si>
  <si>
    <t>Червень 2023</t>
  </si>
  <si>
    <t xml:space="preserve">Гриневич Олена </t>
  </si>
  <si>
    <t>Дуже приємна, з вересня працює у нас МІКом, працювала раніше +- 3 місяці нянею, тому цікавить робота з дітками, підходить будь-який вік діток. ДОдати трішки більше комунікації під час пояснення теми, в цілому враження від іспиту тільки позитивні, структура збережена, була практика.</t>
  </si>
  <si>
    <t xml:space="preserve">Бадя Ірина </t>
  </si>
  <si>
    <t>Дуже приємна, рекрутер GoIT, підходять усі вікові категорії, може працювати у будь-який день окрім суботи, наразі підходить графік на неділю 03.06, менторить студентів Гоайті 8 місяців. Дуже класна, є і похвала і комунікація, заняття вийшло чудове.</t>
  </si>
  <si>
    <t>Співбесіда було 45 хвилин і встигла послухати про всі проекти з якими він працював, дорослий, зазвичай працював як проджект менеджер, зараз директор фонду від іт компанія, яка займається студентськими проектами, також співпрацюють з багатьми вузами в одесі, проводив заняття в універі і викладав та/або організовував багато додаткових курсів на різні теми від іт до економіки та маркетингу, також цікавить розвробка програм і інша організаторська проектна діяльність.
Комунікації не дуже багато, пояснює зрозуміло, використовує похвалу, потрібно до нього придивитись детальніше, чоловік у віці, мені здається, що може не витягувати саме емоційністю маленьких, на вік десь від років 12 має бут и ок.</t>
  </si>
  <si>
    <t>Рек, студент, невчається на кубезрезпеці, не мав досвіду викладання але дуже цікаво спробувати.
Трохи доросле викладення матеріалу, потрібно дати переглянути реальне заняття. В цілому приємний, просто без досвіду.</t>
  </si>
  <si>
    <t>Приємний, студент, виконує невеликі проекти на фрілансі, знає скретч, цікаво для себе спробувати викладання. 
Поясненює добре, детально, мало комунікації і камера дуже близько розміщена.</t>
  </si>
  <si>
    <t>Дизайн Моушн</t>
  </si>
  <si>
    <t>Дуже приємний, 4 роки досвіду в дизайні (комерційнй і фріланс проекти), процює графічним дизайнером та моушн дизайнером, якраз подумував над менторством тому зацікавила пропозиція викладати.
Приємний, пояснює гарно трішки були підвисання і мало комунікації.</t>
  </si>
  <si>
    <t>У сфері розробки +- 15 років, але як такого комерійного досвіду немає, тому хоче спробувати себе у цій сфері, працює віддалено, тому може підлаштовуватись під графік, підходить графік на 14.06.
Пояснення зрозумілі, обрав не складний приклад для пояснень. Були течнічні проблеми з тим що не тягнув пристрій і майн і міт, після того як підключився додатково з телефону для спілкування все було добре. Варто додати комунікації.</t>
  </si>
  <si>
    <t xml:space="preserve">Ширяєва Єлизавета </t>
  </si>
  <si>
    <t>Скретч/Диз. Дж</t>
  </si>
  <si>
    <t>Дуже приємна, мала досвід викладання скретч та написання навчальних програм з англійської, хоче працювати десь 15 годин на тижєень, тому зможе індивідуальні в майбутньому брати, а поки домовились, що почне зі скречу та перегляне програму майнрафту, і якщо сподобається то в майбутньому пройде з нього навчання. 
Дуже приємна, гарно пояснює, для діток чудово, хвалить.. ТРішки налаштувати якість демонстрації і сторонні шуми- не критично але потрібно</t>
  </si>
  <si>
    <t xml:space="preserve">Дашко Марта </t>
  </si>
  <si>
    <t>Приємна, студентка, проходить курси та має пет-проекти, в університеті одноразово викладала "годину коду" для діток, зручно у будні увечері, але більше хотіла б майн едюкейшн.
Приємна, пояснює зрозуміло, підготувала цікаву презентацію, караще на учнів з років 12. Не було комунікації і практики, як на мене намагалась максимально багато інформації видати і не дуже зрозуміла як має відбуватись іспит.</t>
  </si>
  <si>
    <t xml:space="preserve">Третьяк/ Лисенко  </t>
  </si>
  <si>
    <t>Студентка, декілька місяців викладає маткматику як репетитор, спочатку подавалась на методиста, але зацікавив напрямок викладання майнкрафту, тому вирішили спробувати.
Пояснює непогано, комунікує, але обрала складний приклад для пояснення теми.</t>
  </si>
  <si>
    <t>10031976UA@gmail.com</t>
  </si>
  <si>
    <t>Рек, мала досвід репетиторства з маетматики 2+ роки, зараз мала скорочення на основній роботі, тому шукає нову, подобається працювати з дітьми і в цілому цікава IT сфера.
Дуже приємна, пояснює гарно, комунікує, хвалить. Трішки є русизми, знає що потрібно з цим працювати.</t>
  </si>
  <si>
    <t>DDM8vkzxcvk@gmail.com</t>
  </si>
  <si>
    <t>Студент, навчається на розробника, знає скретч, цікаво спробувати себе в ролі викладача.
Пояснює гарно, була комунікація і похвала, навіть в кахут пограли, обрав складнй приклад для пояснення, прописала рекомендації, завжди починати з чогось простішого.</t>
  </si>
  <si>
    <t xml:space="preserve">Гапак Наталія </t>
  </si>
  <si>
    <t>Приємна, 3 рік викладає англійську, намагається заснувати свою академію, вікова категорія діток, з якими працює - 6-14 років, зручно у будні увечері.
є і комунікація і практика і хвалить. Через хвилювання багато "Такала". з 1.07 по 9/10.07 буде на відпочинку.</t>
  </si>
  <si>
    <t>Студент, навчається на розробника, мав маленький досвід викладання, знає скреч, цікаво спробувати викладати майн.
Проходив двічі іспит вперше вибрав дуже складний приклад. Вдруге по поясненням все чудово, трішки додати комунікації.</t>
  </si>
  <si>
    <t>Приємна, має гарний викладацький досвід, працює в школі викладачем інформатики і математики 11+ років. 
Працює з дітками 2-3 класів, дуже детально все пояснює по дитячому, постійно комунікує, хвалить. Заняття дуже сподобалось.</t>
  </si>
  <si>
    <t>Приємна, 12 років викладає інформатику та математику, іноді ще й інші дисципліни, готова викладати у будні (вт і чт) увечері або на вихідних вранці (щодо графіку ще можна уточнити). 
Пояснює гарно, але комунікації не було зовсім і камера дуже близько розміщена, рекомендації проговорила і прописала.</t>
  </si>
  <si>
    <t>Рек, приємна, студентка, мала досвід репетиторства з англійської і польської мови, цікавить тема софт скілз (рекоменд - Аліса Дуденко, адміністратор).
Приємна, багато комунікації, періодично не було чим заповнити паузи, не розібралась як можна підштовхувати учнів до відповіді на питання. В цілому враження позитивні.</t>
  </si>
  <si>
    <t>Приємна, 4,5 роки працює у садочку вихователем та вчителем англійської, зараз закордоном.
Дуже приємна, багато комунікую і багато практики було, буде чудово для молодших груп років до 13.</t>
  </si>
  <si>
    <t>st2g21@vvpc.com.ua</t>
  </si>
  <si>
    <t>Приємна, 19 років, має 4 роки практики з дітьми, 1,5 місяця у школі, зручніше у будні у вечірній час.
Приємна пояснює гарно, краще на молодших ставити</t>
  </si>
  <si>
    <t>gudz.vania2015@gmail.com</t>
  </si>
  <si>
    <t>Приємний, має досвід роботи викладачем інформатики більше 6 років, також займається репетиторством з пайтону та проводив курс Пайтон в Майнкрафт, тому с Майном вже працював.
Гарно пояснює, комунікація є але не дуже багато. Як на мене можна і на кідз ставити.</t>
  </si>
  <si>
    <t>Приємна, раніше працювала у нас МІКом, має 2 річний досвід викладоння різноманітних курсів, зараз хоче більше сфокусуватись на дизайні, але і інші курси може брати (Диз, Диз ждун, Скретч і Майн), взагалі хоче зайнятість 25-30 годин, тому як будуть індивідуальні заняття, то зможе їх брати з різних напрямків.
Пояснення зрозумілі, трохи відсунути камеру була дуже близько розміщена.</t>
  </si>
  <si>
    <t>Приємний, вчить зараз ФЕ, допомагає брату з домашніми, тому  досвід спілкування з дітками має, підходить графік як на 24.06.
Пояснення зрозумілі, намагався комунікувати, потрібно додати більше комунікації, прикладів в самому майні і розмивати фон, рекомендації прописала.</t>
  </si>
  <si>
    <t>18 років, приємний, навчається в мехматі, цікаво спробувати себе в Майні, зі Скретчем знайомий, вчить молодшого брата математиці, можна сказати, є досвід репетиторства
Пояснює цікаво і зрозуміло, підготував презентацію, намагався комунікувати але більше закрити ми питаннями. Прописала рекомендації обирати трішки простіші приклади і більше відкритих питань.</t>
  </si>
  <si>
    <t>Рек, приємна, студентка, займається веденням студентських соц мереж, проходить курси по смм і веб дизайну, працювала з канвою і фотошопом, вікс довчить.
Дуже хвилювалась, потрібно додати комунікації, а так все добре. Поставила в ПЗ на гуру 27.06</t>
  </si>
  <si>
    <t>Приємна, 10 років працює з дітками вчителем англійської, зручний графік на 27.06.
Заняття супер, вже є ФОП</t>
  </si>
  <si>
    <t>Приємна, має трьох річний досвід викладання англійської, зараз навчається на курсах по психології і розвиває свій блог.
Гарно пояснює, була і комунікаціяі богато практики, для початку,я к на мене краще ставити на групи віком з 11+.
Планує брати тільки 2 групи</t>
  </si>
  <si>
    <t>@marianaumova369</t>
  </si>
  <si>
    <t>Рек, приємна, мала досвід роботи з Канвою і Фотопі, Вікс довчить, навчається та бере замовлення на фрілансі, мала досвід проведення занять для дітей в художній школі (порекомендувала Григор'єва Олеся, диз джун).
Ну дуже приємна, пояснює надзвичайно детально і зрозуміло, комунікація була. Поставила в ПЗ на 27.06</t>
  </si>
  <si>
    <t>Пирогова Анастасії</t>
  </si>
  <si>
    <t>Приємна, 19 років, вивчала ФЕ, зараз працює в Гоайті скрамайстером, зручно у будні увечері і у вихідні, загалом, може підлаштуватись під графік.
Дуже хвилювалась на іспиті, намагалась в 15 хвилин пояснити все по темі функції, з рекомендацій не намагтись пояснити все і одразу і додавати комунікації. Підготувала цікавий проект, в цілому молодець.</t>
  </si>
  <si>
    <t>Рек, приємна, студентка, цікавиться темою софт скілз для особистого розвитку і подобається с пілкуватись з дітками, тому цікаво спробувати себе в ролі викладача, до цього мала дуже маленький досвід у цьому (порекомендувала Валерія Доморацька - викладач софт скілз)
Заняття було чудовим, комунікувала, убла практика, дуже приємна.</t>
  </si>
  <si>
    <t>Приємний, викладає інформатику більше 10 років, також викладає Пайтон, зручно будні вечір.
Пояснює гарно, комунікує, приємний, можна на будь-який вік.</t>
  </si>
  <si>
    <t>Рек, дуже приємна, доросла, працює соціальним педагогом та викладачем малювання, цікаво спробувати для себе щось нове і розвиватись.
Багато комунікує, використовує практику, можна ставити на будь-який вік</t>
  </si>
  <si>
    <t>Рекомендація, дуже приємна, є досвід з дітками, 1 рік викладала в музичній школі і 3 місяці працювала в таборі, зручно у будні увечері, загалом, може підлаштовуватись, орієнтовно на 04.07.
Хвилювалась, комунікувала і була практика, проте варто додавати і того і іншого більше- рекомендації прописала.</t>
  </si>
  <si>
    <t>korsunskii_d@ukr.net</t>
  </si>
  <si>
    <t>Приємний, 3,5 роки комерційного, на теперішньому проєкті тім-лід, тому з лютого 2021 менторить нових праівників роботі.
Пояснює зрозуміло і цікаво, була і комунікація і питання на перевірку засвоєного матеріалу. Дуже приємний, якби не геймдев то написала б що можна ставити на будь-який вік.</t>
  </si>
  <si>
    <t>Сербін</t>
  </si>
  <si>
    <t xml:space="preserve">Рек, приємна, 2 роки вчитель молодших класів у школі, хоче спробувати для себе новий напрям .
Приємна, комунікувала, варто додати трішки більше практики на протязі заняття, як мені здалось було не багато через те що намагалась вкластись в час. </t>
  </si>
  <si>
    <t>Рекомендація, приємний, в програмуванні 3 роки, працював з джавою, в школі їздив на олімпіади та займав призові місця по Скретчу,краще вихідні.
Пояснює гарно, нервував, потрібно трішки додати комунікації.</t>
  </si>
  <si>
    <t>Рек, приємна, працює вчителем молодших класів вже 5 років, цікаво спробувати ще щось нове у викладання для себе, цікаво працювати з різним віком дітей, але краще підійде на маленьких (порекомендувала Тетяна Греськів - кандидат в викладачі софт)
В цілому все непогано, проте через хвилювання була дуже зажатою, не вистачило позитиву- потім розслабилась трішки і вже все було добре.</t>
  </si>
  <si>
    <t>Рек, приємна, студентка, викладає пів року англійську в онлійн-школі для дітей та дорослих (порекомендувала Валерія Доморацька - викладач софт скілз).
Пояснює гарно, трохи не зрозуміла формат іспиту, через це не залучала мене як учня, рекомендації прописала. Було зрозуміло, що комунікація з реальними учнями мала б бути.</t>
  </si>
  <si>
    <t>Рек, приємна, студентка, працює бібліотекарем у школі і по сумісництву проводить факультативні заняття з краєзнавства, цікаво розвиватись у викладанні і в інших сферах.
Пояснює цікаво, цікава практика, також не зрозуміла формат іспиту і не залучала, рекомендації прописала.</t>
  </si>
  <si>
    <t>ElizaOrlean@gmail.com</t>
  </si>
  <si>
    <t>Приємна, мала досвід викладання діткам софт скілз і також працювала вихователем, зараз вже декілька років працює дизайнером (мала досвід і гарфічного і веб дизайну) та хоче сфокусуватись на викладанні дизайну (передали з Гоіт, там не підійшла по портфоліо).
Круто комунікує, пояснює зрозуміло, заняття сподобалось.</t>
  </si>
  <si>
    <t>Приємна, 2+ роки досвіду роботи дизайнером, переважно юай/юикс, мала досвіл викладання, в майбутньому хоче створити свій курс по дизайну, якщо вимикають світло, працює у подруги.
Пояснює зрозуміло і цікаво, не комунікувала зовсім- рекомендації прописала.</t>
  </si>
  <si>
    <t>Приємний, 18 років, але вже має 1 рік комерційного досвіду, навчався в Гоайтінс, орієнтуємось на 10.07, але можна й інший графік.
Пояснює добре, все показав на прикладах, комунікація була хоч і не багато, приємний.</t>
  </si>
  <si>
    <t>Приємна, 15 років викладає англійську, мала досвід роботи вчителем, вихователем і репетитором, працювала з різним віком дітей, але більш комфортний середня школа і старше.
Заняття непогане, потрібно налаштувати звук, тому що періодично мене не чула і інколи було сильне відлуння чула себе.</t>
  </si>
  <si>
    <t xml:space="preserve">Курилюк Юлія </t>
  </si>
  <si>
    <t>Дуже приємна, мала досвід роботи в школі 2 роки, до цього працювала в університеті та у прес-службі, дуже захоплена навчанням і важливістю розвиту софт скілз.
Заняття чудове, трохи розгубилась саме в роботі гугл міт, тому що ніколи з ним не працювала.</t>
  </si>
  <si>
    <t>Рек, приємна, працювала помічником у гуртожитку, має досвід роботи зі студентами, цікавиться темою софт скізс і хоче спробувати викладання (порекомендувала Валерія Доморацька, викладач софт скілз).
Комунікувала, було багато практики. Має розібратис з ноутом, тому що підключалась з двох пристроїв для камері і звуку.</t>
  </si>
  <si>
    <t>ФЕ</t>
  </si>
  <si>
    <t>Дуже приємна, рекомендація, є комерційний досвід 1 рік Фронтенд розробником, також проходила різноманітні курси з С, Джави та Пайтону
Заняття чудове, все показала поляснила, комунікувала, хвалила. Буде здаватись ще на пайтон.</t>
  </si>
  <si>
    <t>deilikmariia@gmail.com</t>
  </si>
  <si>
    <t>Приємна, студентка, 3 роки займається графічим дизайном, починала з фрілансу, зараз півтора роки вже працює в компанії, цікаво передавати свої знання.
Приємна, трохи мало комунікації і пірсинг в носі поки свіжий, як заживе буде знімати.</t>
  </si>
  <si>
    <t>Дуже приємний, дорослий, має багато років досвіду викладання (школа, курси, репетиторство, підвищення кваліфікації викладачів, різноманісні міжнародні освітні проекти), наразі дуже зацікавлений темою софт скілз і дуже вмотивований працювати.
Викладач не молодий, пояснює цікаво, використовував багато відео- проговорила відразу про ліцензію в ютубі. Багато комунікації і практики.</t>
  </si>
  <si>
    <t>Навчався в ШАГ, потім в ШАГ для дітей +- 2 роки викладав графічний дизайн, діджитал дизайн, блогінг і т.д, загалом зручно у будні дні увечері (окрім чт), підходять графік на дизайн і дизайн джун на 27.06 та 12.07, на 15 відмовився.
Приємний, гарно пояснює, хвалив, зберіг всю структуру заняття, навітть підсумки всі складові виконав. Трішки більше комунікації додавати, проте я думаю що це саме через обмеженість часу на іспит.</t>
  </si>
  <si>
    <t>Дуже приємна, працює в колцентрі, минула робота також була пов'язана з комунікацією з людьми, готова вивчити нову технологію, орієнтовно підходить графік на 15.07 та 20.07
Гано підготувалась була і комунікція і практику цікаву підготувала.</t>
  </si>
  <si>
    <t>Приємна, студентка, навчається на розробницю, знає Скретч, мала досвід роботи з дітками аніматором.
Пояснює гарно, трохи мало комунікації, обрала простий приклад для пояснення.</t>
  </si>
  <si>
    <t>3+ роки викладає програмування для дітей, викладав і скретч і майн і інші напрямки, шукає для себе довгострокову співпрацю і може брати і групові і індивідуальні заняття..
Без іспиту, після тесту.</t>
  </si>
  <si>
    <t>Липень 2023</t>
  </si>
  <si>
    <t>Приємний, 3 роки викладає інформатику, відновідно скретч також, підходить графік на 01.07, 25.07.
Пояснює зрозумілою для діток мову, все показав дуже детально, зовсім не комунікував- рекомендації прописала.</t>
  </si>
  <si>
    <t>Максименко</t>
  </si>
  <si>
    <t>Рек, приємна, мала досвід репетиторства з французької декілька років (зараз не викладає, але хочу знову почати) (порекомендувала Юлія Іванішева)
Дуже хвилювалась, через це з'являлись незручні паузи. В цілому заняття непогане, комунікувала і була практика. Рекомендації прописала</t>
  </si>
  <si>
    <t>Близько 4-х років в дизайні, зараз працює на фрілансі, знає фотошоп і вікс з канвою шквиденько розбереться.
Детально все пояснив, не було комунікації і є трохи русизмів- не критично але потрібно працювати над цим.</t>
  </si>
  <si>
    <t>Приємний, уже 2 роки викладає в школі "Тотоша" інформатику та програмування, серед них Скретч, також займається репетиторством, підходять графіки на 08.07, 16.07, 25.07.
Пояснює зрозумілою мовою, хвалив, трішки одати комунікації..</t>
  </si>
  <si>
    <t>Приємна, 7 років викладання (2 з них інформатики у приватній школі), знає Скретч, тому може ї його вести, з осені може брати індивідуальні заняття
Дуже круто комунікує, провела міні-зарядку на початку, можна на наймолодших ставити. Буде ще здаватись на скретч, спочатку готова взяти 1-2 групи, потім буде добирати, вирішується питання з іншою школою де працює.</t>
  </si>
  <si>
    <t>19 років, досвід на фрілансі +- 2 рокт, комерційний 0,5 року, влітку був в кіберармії, там нахил був саме на Пайтон, був досвід менторства новачків. Більше підходить графік у будні, орієнтовно 05.07 та 25.07 підходить.
Дуже зрозуміло все пояснив, хвилювався, була комунікація, показав все на реальному прикладі. Поставила в ПЗ на 15.07</t>
  </si>
  <si>
    <t xml:space="preserve">Маковська </t>
  </si>
  <si>
    <t>Студент, навчається на розробника, говорить суржиком, але сподіваюсь з матеріалами буде українською розповідати, цікавиться викладанням і вивчає JS.
Дуже хвилювався, трохи заплутався, але при цьому дуже детально все пояснив і гарно  комунікував. Трохи потрібно чистити мову, багато так-с</t>
  </si>
  <si>
    <t>Приємний, проходив різні курси, стажування, викладає вже більше 2 років, провів 3400 занять, також розробляє ігри, раніше працював в різних академіях, зараз займається самостійно репетиторством.
Круто пояснив на зрозумілому для мене прикладі,багато комунікував. ТРішки заїкався через хвилювання.</t>
  </si>
  <si>
    <t>Студент, навчається на розробника, знає скретч, в майбутньому можливо і індивідуальні візьме, але не прям на повну зайнятість.
Дуже хвилювався, через це був зажатий на іспиті. Підготоувався якісно з точки зору технічного, не було комунікації, і порекомендувала починати з простіших прикладів- намагався в 15 хвилин розповісти все про функції. Краще для початку ставити на старших учнів. Напевно потрібно дати переглянути реальне заняття якесь.</t>
  </si>
  <si>
    <t>Наш студент, закінчує курс по пайтону, дуже приємний, 16 років, навчається в коледжу на розробника, знає Скретч, вже погуглив як можна відкрити ФОП з 16, вмотивований.
Хвилювався, дуже добре підготувався, пояснює гарно, не врахував що має бути комунікація0 рекомендації проговорила і прописала.</t>
  </si>
  <si>
    <t>Скретч, Математика</t>
  </si>
  <si>
    <t>НДА треба, дуже приємна, 2 роки викладає скретч на курсах та 1,5 року працює викладачем інформатики в школі, зараз більше хоче сфокусуватись на Скретч але в майбутньому хоче пройти навчання з Майну і Роблоксу.
Дуже дитяче викладення матеріалу, класно комунікує.Єдине що був трішки малий масштаб сторінки зі скретчем.
Зараз їде в табір, тому групи зможе брати з серпня.</t>
  </si>
  <si>
    <t>Приємна, має гарний викладацький досвід і викладала також і безпосередньо софт скілз та розробляла програму для курсу, зараз викладає в університеті, але хоче сфокусуватись саме на розвитку софт скілз у дітей, комфортніше працювати з підлітками, але на початок може вщяти групи різного віку.
Трохи мало комунікації під час викладення теорії. Може брати групи по будням 16-17 година, має малу дитину, тільки в цей проміжок може забезпечити тишу.</t>
  </si>
  <si>
    <t>nataliia.radzyvyliuk@gmail.com</t>
  </si>
  <si>
    <t>МІК, приємна, цікавиться психологією і софт скілз, також в майбутньому може візьме і дизайн джун, бо також цікаво.
Гарно комунікує, в цілому враження від заняття позитивні.</t>
  </si>
  <si>
    <t>Рек, студент, знає основи С++, хоче почати з Роблоксу, але в майбутньому пройти навчання і з майну і брати 2 напрямки (рекомендував Іван Кулеш).
Пояснює гарно, краще додати трішки комунікації. В цілому враження позитивні.</t>
  </si>
  <si>
    <t xml:space="preserve">Студент, навчається на розробника, пів року займався репетиторством з математики, інформатики і англ, знає Скретч </t>
  </si>
  <si>
    <t>Приємна, студентка, навчається на розробника, знає Скретч, подобається щось пояснювати, тому вирішила спробувати себе у ролі викладача.
Пояснює зрозуміло. Додати трішки комунікації.</t>
  </si>
  <si>
    <t xml:space="preserve">Свириденко Володимир  </t>
  </si>
  <si>
    <t>Приємний, має 2 роки комерційного досвіду, також працює в академії ШАГ, НДА вже підписав, орієнтувались на групу в серпні, але адаптацію хоче пройти зараз, зручно у понеділок, середу, п'ятницю увечіері та у суботу.
Круто пояснює, багато комунікує.</t>
  </si>
  <si>
    <t>@alex_wf</t>
  </si>
  <si>
    <t>НДА треба, Приємний, зараз вже 2 роки працює викладачем в Лозіці, викладав різні напрямки, які зможе і у нас викладати, з Майном не працював, але цікаво освоїти, далі може брати і індивідуальні.
Чудово пояснює, видно що є досвід викладання. Трішки більше потрібно розібратись в технічних моментах майна.</t>
  </si>
  <si>
    <t>Приємний, фронтенд розробник, близькол пів року працював за спеціальністю, зараз шукає іншу роботу та перелельно зацікавило викладання в майнкрафт.
Дуже приємний але відразу почав з функцій з параметрами. Пояснює дуже простою мовою, можна і на маленьких, як на мене.</t>
  </si>
  <si>
    <t>Студент, навчається на розробника, плюс проходив різноманітні додаткові курси по програмуванню, знає скретч та любить гру майнкрафт, тому зацікавила позиція, може брати і індивідуальні.
Пояснює зрозуміло, не комунікував зовсім, але думаю що це більше через те що трохи глючив майн у нього. Буде підключатись додатково з телефону для зображення і звуку, щоб розвантажити систему трохи.</t>
  </si>
  <si>
    <t>Вчитель інформатики 5 років, зручно проводити заняття 12.07.
Трішки багато теорії дала, а так непогано пояснює, навіть хвалила</t>
  </si>
  <si>
    <t>Рек, під питанням щодо технічної частини (тому на пробне треба буде старший викладач), студент, вивчає пайтон і джаву і проходив курси по джаві, але ніби працював зі всім що у програмі, але подивимось (порекомендував Калін Максим).
Не тримає візуальний контакт, камера збоку; комунікації було мало. По темі поснив все добре в матеріалі орієнтується. На іспиті був присутній Лисенко Ілля</t>
  </si>
  <si>
    <t xml:space="preserve">Нікішина Катерина </t>
  </si>
  <si>
    <t>@NikischynaK</t>
  </si>
  <si>
    <t>Приємна, 9 років працює вчителем інформатики, підходить графік у будні вранці (на дітній період).
Трішки багато теорії дала на початку, в цілому пояснює зрозумілою мовою. Потрібно додати комунікації.</t>
  </si>
  <si>
    <t xml:space="preserve">Фромель Іванна </t>
  </si>
  <si>
    <t>Приємна, зараз навчається в Гоит, дуже зікава тема софт скілз, пів року займалась репетиторством з польської мови для дітей.
Пояснює гарно, комунікує, можна ставити на різний вік.</t>
  </si>
  <si>
    <t>Приємний, навчався на розробника, але більше подобається викладати, пів року займався репетиторством з інформатики (проходили з дитиною скретч трохи майн і джаву) та стажувався в інвенторі, але там щось з директором не склалось.
Пояснює непогано, додати комунікації, є ттрішки русизмів- не критично. Буде підключатись додатково з телефону для зображення і звуку, щоб розвантажити систему трохи.</t>
  </si>
  <si>
    <t>Приємна, студентка, вивчає паралельно програмування, любить гру майнкрафт, тому зацікавилась пропозицією, трохи знає скретч.
Приємна, гарно пояснює, почала з найпростіших прикладів, можна на малееньких ставити.</t>
  </si>
  <si>
    <t>Приємна, студентка, навчається на розробницю, рік займалась репетиторством з математики, зараз хоче спробувати себе у викладанні програмування, але з математикою і скречем уже працювала, тому може брати і такі групи.
Гарно пояснює, комунікує, можна ставити на будь які групи. Поки хоче тільки майн, тому що не знає як буде з вільним часом з вересня.</t>
  </si>
  <si>
    <t>Майн, Скретч, Математика</t>
  </si>
  <si>
    <t>Приємний, півтора роки викладає дітям математику і трохи інформатику у школі, тому може брати всі три напрямки.
Придумав казку про функції, гарно комунікує, дуже приємний, максимально детально все пояснює. Бере групу скретчу в неділю 18:00-19:30, слоти по цій групі не заповнює.</t>
  </si>
  <si>
    <t>Терентьєва/Максименко</t>
  </si>
  <si>
    <t>Скретч/математ</t>
  </si>
  <si>
    <t xml:space="preserve">Дуже приємна, 25 років педагогічного стажу, працювала викладачем молодших класів, психологом та викладала інформатику, зараз шукає для себе онлайн додаткову зайнятість.
Пояснює гарно, дуже розхвилювалась на іспиті, розплакалась, перепідключались після того як заспокоїлась. З рекомендацій тільки додати комунікації. </t>
  </si>
  <si>
    <t>Приємний, студент, навчається на розробника, цікаво спробувати викладати дітям програмування, також цікавиться юніті і мав невеликий комерційний досвід в цьому, але спочатку майн.  
Пояснює непогано, додати комунікації, і питання по тех частині відео і звуку, рекомендації прописала.
Хоче ще здатись на геймдев</t>
  </si>
  <si>
    <t xml:space="preserve">Чуріков Дмитро </t>
  </si>
  <si>
    <t>В ІТ вже понад 5 років, 10 років викладав юридичні дисципліни в ДНУВС, зручно проводити заняття у будні увечері, підходить групка на 21.08
Затягнув заняття, але дуже детально все пояснив, я все зрозуміла і було цікаво.</t>
  </si>
  <si>
    <t>Приємна, є досвід викладання.
Хвилювалась, було багато практики і комунікації, гарно пояснює.</t>
  </si>
  <si>
    <t>Приємний, зараз навчається в Шазі на бекенд розробника, захотів спробувати себе в ролі викладача, так як самому подобається навчатись на курсах.
Пояснює непогано, хвилювався варто додати комунікації і зняти пірсинг з брови.</t>
  </si>
  <si>
    <t>Приємна, 3 роки займається моушн дизайном, мала і комерційний і фріланс досвід, цікаво ділитись знаннями, також зараз вивчає і Сінема4д, але домовились саме на 3 семестр.
Не було ніякої демонстрації, пояснення були гарні і зрозумілі.</t>
  </si>
  <si>
    <t>Приємна, 9 років викладає інформатику у школі, викладала скретч, тому може брати групи і з нього і з математики, і також цікаво вивчити майнкрафт.
Дуже хвилювалась, пояснює добре, можна на будь-який вік, трішки багато теорії дала відразу, була комунікація.</t>
  </si>
  <si>
    <t>Рекомендація, приємний, любить ігри в цілому, тому цікаво спробувати Майн, мама працює вихователем, тому базові навички поведінки з дітьми знає, вільний для занять у будь-який час.
Дуже хвилювався, потрібно ще підтягнути технічні знання по майну, в цілому пояснює непогано, трохи комунікував.</t>
  </si>
  <si>
    <t>Студент, навчається на розробника, вивчає С++, цікавить створення ігор, тому захотів спробувати викладати майн.
Дуже хвилювався, перша робота, 18 років. Підготувався добре, пояснював в цілому зрозуміло. По рекомендація були моменти технічні- звук, освітлення і додати комунікації- все прописала і проговорила.</t>
  </si>
  <si>
    <t>Приємний, гарно пояснює та комунікує. працював на фрілансі. До нас прийшов за рекомендацією</t>
  </si>
  <si>
    <t>Наталія Мендалюк</t>
  </si>
  <si>
    <t>@you999999999</t>
  </si>
  <si>
    <t>9you9@ukr.net</t>
  </si>
  <si>
    <t>Скретч, математика</t>
  </si>
  <si>
    <t>Приємна, "про дітей". Круто пояснює, інтерактивно. 20 років працює у школі, з них 15 викладає інформатику, може брати багато груп і індивідуальні заняття, щей міком у нас працювати хоче.</t>
  </si>
  <si>
    <t>Святослав Качмар</t>
  </si>
  <si>
    <t>Фронт</t>
  </si>
  <si>
    <t xml:space="preserve">Дуже приємний, чудово пояснює. Не вистачило трошки коммунікації, але скоріш за все через хвилювання. </t>
  </si>
  <si>
    <t>Серпень 2023</t>
  </si>
  <si>
    <t>Приємний, рік викладає інформатику в школі, спочатку подавався на майн, але як виявилось, йому дуже подобається роблокс, тому хоче сфокусуватись виключно на ньому, знає що групи будуть вже ближче до осені і згоден на це. Приємний, гарно пояснює</t>
  </si>
  <si>
    <t>Приємний, 6 років викладає інформатику і хімію в школі, Скретч викладав, тому може брати і математику і сам скретч. Активний, приємний. Пояснює інколи трошки складно. Адаптація з старшим викладачем допоможе</t>
  </si>
  <si>
    <t>@Pony12341</t>
  </si>
  <si>
    <t>Ann325612@gmail.com</t>
  </si>
  <si>
    <t>Закінчила магістратуру на розробника, знає скретч, подобається спілкуватись з дітками, мала невелику педагогічну практику на магістратурі зі студентами. на іспиті була зажата, сильно нервувала, тому повноцінно не відкрилась. Але підхід "дитячий" має бути добре</t>
  </si>
  <si>
    <t>@nadgoBnidoroB</t>
  </si>
  <si>
    <t>Студент, цікавиться викладанням, бо подобається працювати з дітьми, грав в Майн і Роблокс, але вирішили почати з Майну, і через декільк тижнів пройде і на Роблокс навчання. Приємний, непогано пояснює</t>
  </si>
  <si>
    <t>Дмитро Малік</t>
  </si>
  <si>
    <t xml:space="preserve">Майн </t>
  </si>
  <si>
    <t>Навчався в ГоАйті на Фулстек, комерційного поки немає, тому хоче спробувати себе у Майні, зручно у будні вранці (на літній період), потім увечері, але можна і зараз вечірній час пропонувати, підходить графік 05.08. Пояснює добре, не було налаштування. Підсумки підвів самостійно. Треба розмити задній фон</t>
  </si>
  <si>
    <t>dfYrsrdf@gmail.com</t>
  </si>
  <si>
    <t>Студент, навчається на розробника, знає Скретч та любить гру майнкрафт. На іспиті були технічні труднощі, дуже лагав кодбілдер. Але пояснив добре. Треба на адаптації перевірити цей момент</t>
  </si>
  <si>
    <t>mishenkoegor003@gmail.com</t>
  </si>
  <si>
    <t>Дизайн джун</t>
  </si>
  <si>
    <t>Приємний, більше 2 років викладає в академії, тому НДА вже підписав, також займається робототехнікою, зручні графіки на 18.08,21.08</t>
  </si>
  <si>
    <t>Поставила в пз</t>
  </si>
  <si>
    <t>ana_solarrr@outlook.com</t>
  </si>
  <si>
    <t>Приємна, комерційний - 3 роки, ще + 1 рік на фрілансі, є невеличкий досвід менторства (менторить свою подругу, пояснює їй всі теми, завдання і т.д, знає Моушн (але досвіду з ним немає).</t>
  </si>
  <si>
    <t>Написала у приватні</t>
  </si>
  <si>
    <t xml:space="preserve">Суханова Валерія </t>
  </si>
  <si>
    <t>pterodactelll23@gmail.com</t>
  </si>
  <si>
    <t>Приємна, 1 рік викладала дизайн в лозіці, працювала з канвою, фотошопом та аналогами вікса. Приємна, але сильно не вистачило її комунікації під час практичної частини (дала самостійну). Треба цей момент проговорити обов'язково</t>
  </si>
  <si>
    <t>Група старт 08.08</t>
  </si>
  <si>
    <t>Майн, Математика</t>
  </si>
  <si>
    <t>Приємна, 8 років викладала в школі інформатику і математику, трохи викладала Скретч. З іспитом впоралась добре, пояснення  на прикладах, добре подібраних і зрозумілих для дітей</t>
  </si>
  <si>
    <t>дуже приємний, працює рік викладачем пайтону в лозіці, цікаво вивчити майн і брати групи з двох цих напрямків. Але по пайтону поки не здав тест, тож поки беремо на майн. Дуже прикольний, дитяча подача, але краще на дорослий майн, будуть на одній хвилі</t>
  </si>
  <si>
    <t>Приємний, 1 рік працює викладачем інформатики в школі, скретч викладав, ще цікаво познайомитись з майном, бо любить гру. Поки бере скретч і математику. З іспитом впорався добре, але не вистачило трошки запалу. В цілому молодець</t>
  </si>
  <si>
    <t>Приємна, є пів року досвіду з Сшарпом, також працювала зі Скретчем під час навчання, тому розібратись зможе, зручно у будні увечері після 19 (але в цілому, можете різний графік пропонувати, їй головне завчасно знати графік, щоб чоловік міг посидати з дитиною. Просто вогонь. Вона підготувала чудове заняття з математики на іспит, саме з використанням скретч. Все інтерактивно, іспит пройшов на висоті</t>
  </si>
  <si>
    <t>@Olena_Novak_Sergiivna</t>
  </si>
  <si>
    <t>Математика</t>
  </si>
  <si>
    <t>дуже приємна,15 років працює викладачем молодших класів, знає скретч, але зараз хоче спочатку сфокусуватись на математиці, а потім вже в майбутньому і по скретчу брати групи. Іспит провела супер круто. Може бути необхідна допомога по технічним моментам (вперше працює з мітом)</t>
  </si>
  <si>
    <t>Студент, 3 роки викладає інформатику у школі, цікавить додаткова діяльність, може брати потім і індивідуальні заняття. Приємний, заняття провів інтерактивно.</t>
  </si>
  <si>
    <t>Когутенко Мария</t>
  </si>
  <si>
    <t>Приємна, закінчила магітратуру на кібернетику, мала досвід роботи з дітками в таборі. Іспит провела добре, гарно пояснює, подача дитяча</t>
  </si>
  <si>
    <t xml:space="preserve">Глущак Лідія </t>
  </si>
  <si>
    <t>13 років - вчитель молодших класів, 3 з них викладає інформатику,хоче спробувати Майн, Скретч, Математику, потім ще Роблокс, зручно у вихідні, підійшов час на 13.08.
Пояснює зрозумілою для дітей мовою, потрібно додати комунікації, і дуже хвилювалась.</t>
  </si>
  <si>
    <t>Математика, скретч</t>
  </si>
  <si>
    <t>Дуже приємна, пів роки була репетитором з математики, також працювала нянею.
Дуже позитивна,  круто пояснює, багато комунікує, спочатку була тільки на математику, але захотіла викладати і скретч.</t>
  </si>
  <si>
    <t>математика, скретч</t>
  </si>
  <si>
    <t>Приємна, 10 років викладає математику і інформатику у школі, зараз у декретній відпустці, тому шукає онлайн-роботу.
Дуже гарно пояснює матеріал, трішки заплуталась з завданням, комунікує, на початку придумала ребус для теми, в цілому дуже гарні враження.</t>
  </si>
  <si>
    <t>Рек, мав досвід роботи з дітьми, як тренер та також допомагав у дитячому центрі розвитку, дівчина у нас викладає, слухав заняття і сподобалось, тому вирішив сам також спробувати.
Гарно пояснює, багато комунікації і практики, від заняття дуже позитивне враження.</t>
  </si>
  <si>
    <t>На 15.08! Дуже приємна, досвід на фрілансі 5 місяців, але уже рік виконує різноманітні замовлення, більше підходять будні, але може розглянути і вихідні.
Гарно комунікує і детально пояснює, готова на групу вихідного суб, неділя 10:00-11:30</t>
  </si>
  <si>
    <t>Дуже приємна, студентка, викладала українську та англійську, зручно у будні увечері та вихідні, готова на 15.08 та 02.09.
Дуже приємна, хвалила, зберегла всю структуру заняття, іспит пройшов чудово.</t>
  </si>
  <si>
    <t>софт</t>
  </si>
  <si>
    <t>Дуже приємна, викладачка у молодшій школі, цікавиться темою софт скілз та активно впроваджує їх на занятті.
Класно пояснює, зберегла структуру заняття, хвалила. Єдине що камера дуже близько розміщена.</t>
  </si>
  <si>
    <t>Викладає інформатику вже 20 років, працював з Паскалем, Скретчем, тому цікаво спробувати викладати на онлайн-курсах, зручні графіки на 23.08, 26.08.
Пояснює гарно, ніяк не хотів сприймат и мене як учня,  комунікації майже не було. В цілому непоганий викладач.</t>
  </si>
  <si>
    <t>Викладає інформатику 20 років, Скретч знає та деякі мови програмування, типу Паскаль і  т.д, буде зручно у будні увечері або на вихідних вранці, підійшов графік на 23.08.
Пояснює гарно, готова брати і групи по математиці. Тільки розміщення камери трішки налаштувати</t>
  </si>
  <si>
    <t>Приємний, 2 роки займається репетиторством з математики, зазвичай працює з підлітками, але і з молодшою школою досвід мав.
Гарно пояснює, дуже хвилювався.</t>
  </si>
  <si>
    <t>Рек, дуже приємна та дуже любить діток, працює художником-ілюстратором уже майже 3 роки, під час роботи іноді працює з дітками.
Пояснює гарно, наводить приклади, комунікація є, практики було зовсім не багато- рекомендації прописала</t>
  </si>
  <si>
    <t>@Fics14 (https://t.me/Fics14)</t>
  </si>
  <si>
    <t>Приємна, 2 рік працює в школі викладачем інформатики, зручно у будні увечері після 16 та на вихідних, підійшов графік на 23.08 та 26.08.
Спочатку почала з складних пояснень, після того як я пояснила, що потрібно максимально спростити пояснювала дуже добре і детально, хвилювалась, потрібно додати комунікації.</t>
  </si>
  <si>
    <t>Навчався на ФЕ, має пів року комерційного досвіду, зручно і в будні, і у вихідні, підходять графіки на 26.08,28.08.
Пояснює добре, були незначні моменти саме в зручності демонстрації екрану, в цілому враження від іспиту позитивні</t>
  </si>
  <si>
    <t xml:space="preserve">Заїка Олександра </t>
  </si>
  <si>
    <t>Приємна, хотіла на вихідні, якраз її і передала, але передумала, тепер хоче у будні після 6, має 3 роки комерційного з ЮІ ЮХ, а в цілому в цій сфері 5 років, спочатку візьме 1 групу поки відкриє ФОП.
Пояснення зрозумілі, трішки забула що не у всіх користувачів МАК і давала інструкції по комбінаціям клавіш тільки по ньому. Були проблеми з якістю інтернету, важливо перед назначенням на групу уточнити чи вирішила їх. Додати комунікації в процесі пояснення, трішки комунікації на іспиті було.</t>
  </si>
  <si>
    <t xml:space="preserve">Швадченко Альона </t>
  </si>
  <si>
    <t>2 роки комерційного досвіду, зараз працює на фрілансі, був досвід проведення занять, декілька разів у школі проводила діткам уроки по Ілюстратору з графічним планшетом, зручно у вихідні, готова взяти групку на цьому тижні.
Пояснила все детально і зрозуміло, трішки додати комунікації в процесі пояснень.</t>
  </si>
  <si>
    <t xml:space="preserve">Борболюк Юлія </t>
  </si>
  <si>
    <t>Рек, дуже приємна, навчалась у нас на курсі Дизайну, зараз закордоном, підходять вт,чт,вихідні, тому буде зручно проводити заняття 22.08 та 02.09.
Пояснює гарно, трішки затягнула заняття, не вистачало комунікації.</t>
  </si>
  <si>
    <t xml:space="preserve">Барабан Сергій </t>
  </si>
  <si>
    <t>Хоче лише на дорослих діток, викладав 5 років у різних гуртках + працював на фрілансі, 1 рік комерційного з Пайтоном</t>
  </si>
  <si>
    <t xml:space="preserve">Чайковський Віталій </t>
  </si>
  <si>
    <t>ФЕ, ФЕ Джун</t>
  </si>
  <si>
    <t>На 19.08! Рек, приємний, працював рік в університеті на проекті, студент інформаційних систем, проходив курси по ФЕ, також уже 5 років працює аніматором, зручно у вихідні.
Приємний, пояснює гарно, трішки додати комунікації.</t>
  </si>
  <si>
    <t>Рек, студент, навчається на кібербезпеці, цікаво спробувати себе в ролі викладача, трохи знайомий з майнкрафт едьюкейшн (порекомендував Єгор Полєщук, майн)
Дуже приємний, поянює добре, але дуже розхвилювавсяі тому трішки плутався саме в коді.</t>
  </si>
  <si>
    <t xml:space="preserve">Кириленко Дарина </t>
  </si>
  <si>
    <t>Рек від Ані, навчалась у нас 2 роки (диз+моушн), виконує роботи на замовлення на Біхансі, зручнно у суботу, підійшов графік на 02.09 (але можна пропонувати на ці вихідні на групу, яка горить).
Пояснює зрозуміло, для джунів буде ок, трішки мало комунікації.</t>
  </si>
  <si>
    <t>Рек, мав досвід роботи з дітьми в християнському таборі, знайомий з роблоксом, вивчав С++ (порекомендував Панчишин Святослав, роблокс).
Пояснює гарно, трішки додати комунікації, брат Святослава.</t>
  </si>
  <si>
    <t>@maryna_nikulina</t>
  </si>
  <si>
    <t>Приємна, студентка, активно бере участь у студентському самоврядуванні, має освід презентацій для першого курсу, дуже подобається тема софт скілз і взаємодія з дітками.
Дуже хвилювалась, було малувато комунікації, рекомендації прописала.</t>
  </si>
  <si>
    <t>Берестень Дмитрій</t>
  </si>
  <si>
    <t>Рек, приємний, закінчує курси в гоіт на фулстека, має педагогічну освіту, зібрав команду і створив сайт для вивчення веб розробки українською, дуже вмотивований викладати та ділитись знаннями (порекомендував Єгор Полєщук, майн).
Пояснює гарно, заняття чудове, трішки навіть дитяча подача матеріалу, єдине що дуже хвилювався.</t>
  </si>
  <si>
    <t xml:space="preserve">Горбань Ілля </t>
  </si>
  <si>
    <t>ФЕ джун</t>
  </si>
  <si>
    <t>Приємний,працював 7-8 місяців на проекті як ФЕ розробник, є ФОП 3 групи.
Пояснює непогано, трішки замало комунікації. ІІнколи складно формулювати думку українською, ледь помітно але є, хвилювався.</t>
  </si>
  <si>
    <t>Математика, Скретч</t>
  </si>
  <si>
    <t>Приємна,23 роки працює викладачем інформатики в школі, знає Скретч, тому цікаво вести 2 напрямки.
Пояснює гарно, камера трішки близько і всюди не підписана своїм ім'ям, чекаю ТГ коректний. Жіночка у віці, може бути трішки складно розібратись в програмах.</t>
  </si>
  <si>
    <t>gulie_melnichenko@ukr.net</t>
  </si>
  <si>
    <t>Приємна,9 років працює в школі викладачем інформатики, викладала скретч, трохи знайома з Майном, дуже цікаво освоїти.
В цілому пояснює зрозуміло, була комунікація, трішки налаштувати звук потрібно, підключається для зораження і звуку з телефону. Потрібно придивитись, часто перенесоила іспит і перездачу, боюсь що може бути не дуже відповідальною, про це проговорила і наголосила, що з групою не вийде перенесити і шукати постійні заміни.</t>
  </si>
  <si>
    <t xml:space="preserve">Дувінський Денис </t>
  </si>
  <si>
    <t>Приємний, має 1,5 роки комерційного, був репетитором, працював в школі робототехніки 1,5 роки,був вожатим в таборі, проходив курси в Проджекторі і був там найкращим учнем групи, підійшла група на 21.08.
Пояснює гарно, комунікує, не вистачило тільки живого кодування, все пояснював на презентації.</t>
  </si>
  <si>
    <t>Приємна, 14 років викладає інформатику у школі, також має багато позакласної діяльності та підготовки дітей до конкурсів, олімпіад та МАНу, викладала скретч. хоче також пройти навчання з майнкрафту, бо цікаво розвиватись.
Пояснення чудові, для діток буде супер. Трішки інтернет підвисав, але каже що це дуже рідко таке буває.</t>
  </si>
  <si>
    <t xml:space="preserve">Богданюк Вадим </t>
  </si>
  <si>
    <t>@vadim_zn</t>
  </si>
  <si>
    <t>vadim.bohdanuk@gmail.com</t>
  </si>
  <si>
    <t>Рек, Приємний, не мав досвіду викладання, але дуже подобається майнкрефт, тому вирішим спробувати себе в ролі викладача, вже трохи ознайомися з едьюкейшном самостійно.
Пояснює непогано, трішки додати більше комунікації і не зрозумів тему заняття.</t>
  </si>
  <si>
    <t xml:space="preserve">Климович Іван </t>
  </si>
  <si>
    <t>НДА підписав, так як викладає вже 3 роки в ШАГ, викладає там ФЕ, Пайтон, зручно у будні дні увечері та на вихідних, але треба обговорювати в якіф дні не має занять.
Видно що є досвід викаладання, як таких зауважень по заняттю не було, єдине що хотів дати частину матеріалу на самостійне опрацювання, проговорила, що важливо робити на заняттях все паралельно з учнями.</t>
  </si>
  <si>
    <t>oksanauhrn22@gmail.com</t>
  </si>
  <si>
    <t>Дуже приємна, 2,5 роки комерційного з дизайну, викладала його пів року, буде зручно і у вихідні, і у будні, головне обговорити графік
Хвилювалась, намагалась комунікувати, зберегла структуру, але сама практика- моноложить, Рекомендації прописала</t>
  </si>
  <si>
    <t>Написала</t>
  </si>
  <si>
    <t>Дуже приємна, в сфері дизайну 1 рік на фрілансі, проходила курси з ЮІ ЮХ, зараз розвивається ще в сфері графічного дизайну, зараз в Україні, але 3 вересня їде закордон.
Дуже хвилювалась, пояснює гарно, намагається комунікувати, хвалила, взагалі дуже приємна. 
Може брати групи з 5.09 тому що буде повертатись в Австрію.</t>
  </si>
  <si>
    <t>Рек, студент, знайомий з роблоксом, і ще хоче здати на пайтон тест, щоб в майбутньому і з нього брати групи, але з пайтону комерційного не було, тому напевно треба буде на пробному тех спеціаліст (порекомендував Панчишин Святослав).
Підготував цікаву практику, пояснює зрозумілою мовою, але потрібно деталізувати пояснення. З комунікацією біда, не було взагалі- зациклився саме на том ущоб показати крутий проект, рекомендації прописала, домовились, що подивиться заняття Святослава, щоб чіткіше зрозуміти структуру заняття.</t>
  </si>
  <si>
    <t>Рек, приємний, 3 роки працював викладачем математики і фізики (школа + репетиторство), зараз займається виключно репетиторством, зі скретч базово знайомий (порекомендував Андрій Закружний). 
Пояснення гарні, правда було багато скретчу, трішки не зрозумів як то відбувається. Може брати будь-який клас математики (викладав індивідуально 1-4 класи і 5-11 групові) і згоден брати скретч.</t>
  </si>
  <si>
    <t>Студент, трохи працював в ФЕ на фрілансі, іноді менторить новачків, тому цікаво спробувати себе в Майні, підходить графік у будні.
Була перездача, вдруге була і комунікація і пояснював гарно. Єдине що я я к учень не до кінця зрозуміла навіщо мені ті функції (не показав, що можна перевикористовувати, хоча про це знає, в технічних моментах розібрався добре).</t>
  </si>
  <si>
    <t>Супер приємна, 9 років працювала вчителем молодших класів, також брала участь у різноманітних освітніх проектах, деякі з них були повʼязані з софт скілз, тому зараз цікавить дана тема також.
Вирішила обрати тільки софти. Пояснює гарно, комунікує, була практитика. Потрібно налаштувати звук, тому що фонило і зникав інтернет на початку.</t>
  </si>
  <si>
    <t xml:space="preserve">Форостян Любава </t>
  </si>
  <si>
    <t>Софт, Скретч, Математика</t>
  </si>
  <si>
    <t>Приємна, 1 рік працювала вчителем фізики в школі і 2 кори репетитором з фізики і математики, також 2 дня пропрацювала у нас МІКом, але зрозуміла, що продажі то не її, тому повернулась до нас на позицію викладача.
Пояснює гарно, комунікує, хвалить, чудовий підхід до діток. Складала підряд два іспити</t>
  </si>
  <si>
    <t>Третьяк/ Максименко</t>
  </si>
  <si>
    <t xml:space="preserve">Мельниченко Марія </t>
  </si>
  <si>
    <t>3 роки працює на фрілансі дизайнером, трохи працювала смм-спеціалістом, краще графік на вихідних.
Пояснення чудові, промахнулась з темою, не побачила її в повідомленні, комунікація є, як на мене можна і  на диз.дж</t>
  </si>
  <si>
    <t>Приємна, активна, студентка, не мала досвіду викладання, але активно приймає участь в житті університету, має гарний досвід публічних виступів і сама по собі старанно і відповідально виглядає.
Горно комунікує і пояснює, була цікава практика, хвалить.</t>
  </si>
  <si>
    <t>Математика, Скретч і Пайтон</t>
  </si>
  <si>
    <t>Приємний, спокійний, 2 роки викладав скретч і пайтон в Лозіці та паралельноь працював системним адміністратором та девопсом.
Пояснює гарно, була комунікація хоч і не багато. Може брати математику і старші класи, знає пайтон.</t>
  </si>
  <si>
    <t>Вересень 2023</t>
  </si>
  <si>
    <t>Приємний, працює зараз в компанії та розробляє мобільний додаток, вже 11 років грає в Майн, тому цікаво спробувати, колись декілька місяців  готував друзів до ЗНО.
Пояснює гарно, намагався комунікувати. Потрібно змінити налаштування камери і трішки детальніше пропрацьовувати спочатку прості моменти,  апотім переходити до складніших- намагався за 15 хвилин пояснити все по темі.</t>
  </si>
  <si>
    <t xml:space="preserve">Вчитель укр мови та літератури, працювала колись в компанії "Навчай для України", де займалась соц підтримкою дітей, їх софт скілами, зручно і у будні після 2, і у вихідні, викладає в держ установі - чи може працювати по ФОПу? Єкщо ні, то є знайомий-підприємець з ФОПом.
Пояснення гарні, була практика. Але хвилювалась, трішки можуть бути технічні проблеми, тому що жінка не дуже на ти з гаджетами. </t>
  </si>
  <si>
    <t>Рек, Приємний, спокійний, наш студент, випустивня 4 місяці тому, зараз поступив на перший курс на розробника, ще під час навчання на курсі подобалось пояснювати однокурскинам незрозумілі теми, тому зараз хоче спробувати викладати.
Пояснює гарно, хвилювався, трохи заплутався в коді, додати комунікації</t>
  </si>
  <si>
    <t>Передаю старшому викладачу</t>
  </si>
  <si>
    <t>Рек, приємний, зараз навчається на джава розробника, але цікаво отримати досвід викладання, в майн грав, зі скретчем знайомий, бо брату допомогав з ним
Майн був англійською, додати комунікації, рекомендації проговорила і прописала, Надіслала приклад уроку на перегляд, тому що дивився заняття друга Помогаєва, а там якість уроку не найкраща.</t>
  </si>
  <si>
    <t xml:space="preserve">Касьянова Наталія </t>
  </si>
  <si>
    <t>talyakasyanova7@gmail.com</t>
  </si>
  <si>
    <t>Викладала в університеті студентам та викладала меншим діткам у дитячому клубі, то є досвід роботи і з меншими, і з старшими, зручно у будні увечері.
Дуже хвилювалась, додати комунікації, в цілому дуже зрозуміло пояснює, комунікація була, але не багато.</t>
  </si>
  <si>
    <t>didDanik123@gmail.com</t>
  </si>
  <si>
    <t>15 років, працював 1 рік графічним дизайнером на фрілансі, також проходив курс ГоАйті, підходить графік на 02.09.
Пояснює непогано, хвиолювався, потрібно додати комунікації.</t>
  </si>
  <si>
    <t>поставила на старт</t>
  </si>
  <si>
    <t>Рек від Ані, 15 років, є свої проєкти на Біхансі, вчився в нас на курсі Дизайну, більш підходять вихідні.
Пояснюжє непогано, комунікацію потрібно додати</t>
  </si>
  <si>
    <t>Приємна, вчилась на дизайнера в універі та на курсах, в цілому, має 4 роки комерційного досвіду з дизайном,був досвід репетиторства, зручно у будні після 6:30, але може розглянути і вихідні.
Дуже приємна, трішки хвилювалась. Як на мене можна і на діток, якщо погодиться вести джунів. Комунікувала, підготувала класний проект</t>
  </si>
  <si>
    <t xml:space="preserve">Щегорцов Максим </t>
  </si>
  <si>
    <t>Приємний, проходив марафони у нас, зацікавила вакансія Майну і хоче спочатку працювати з меншими дітками, а потім вже зі старшими, зручно у будні після 6.
Трохи є русмизмів, пояснює гарно, хвилювався, намагався комунікувати.</t>
  </si>
  <si>
    <t xml:space="preserve">Каур Дар'я </t>
  </si>
  <si>
    <t xml:space="preserve">Приємна, раніше працювала відеомонтажером,вчила ФШ, ІЛ, Фігму, Моушн, десь рік досвіду роботи, пів року з них працює як Моушн дизайнер.
Пояснює гарно, дала тільки теорію, комунікує. </t>
  </si>
  <si>
    <t>8 років викладає англійську (переважно репетиторство але ще і в школі працює), цікаво спробувати інший напрям для викладання.
Мало комунікації, потрібно додати практики на занятті і можливо трішки алдаптувати пояснення під вік учнів. Перший час краще ставити на старших учнів.</t>
  </si>
  <si>
    <t xml:space="preserve">Гункевич Еріка </t>
  </si>
  <si>
    <t>Дитячий психолог, зараз консультує, до цього працювала в інклюзивних класах, менторила в приватній школі - займалась всією цією діяльністю протягом 3 років, трохи специфічна, зручно у будні увечері та у вихідні.
Пояснює гарно, не дуже зрозуміла формат іспиту, не комунікувала, але розуміє де це потрібно в цих місцях використовувала риторичні питання, приємна.</t>
  </si>
  <si>
    <t xml:space="preserve">Кобильська Дарія </t>
  </si>
  <si>
    <t>З 16 років (4 роки) працює з дітьми, спочатку вожатою, зараз викладачем, спочатку викладала скретч, зараз малювання, живопис, також працює на фрілансі дизайнеркою, закордоном, хоче спочатку взяти 3-4 групи, зручно у будні увечері та на вихідних.
Готова на групу 13.09, пояснення зрозумілі, трохи потрібно додати комунікації, і більше розібратись в фотопіа.</t>
  </si>
  <si>
    <t>поставила на групу GoITeens_UA_DA_JUN_1y_30_11_07_23 (2)
Розклад: вт 19:00</t>
  </si>
  <si>
    <t>Рек, приємний, 20 років викладацького стажу (інформатика і англійський), спочатку рекомендували на софти, але хотів щось ближче до інформатики, тому зійшлись на скретчі.
Гарно пояснює, зрозумілою для діток мовою, комунікує, хвалить, трохи розібратись з гугл міт потрібно.</t>
  </si>
  <si>
    <t xml:space="preserve">Звʼязалась, передала старшому викладачу </t>
  </si>
  <si>
    <t xml:space="preserve">Вальчевський Василь </t>
  </si>
  <si>
    <t>Приємно, але дещо специфічний, працює +-3 роки викладачем інформатики для 2-9 класів, та в Робокоді, надішлю НДА, до цього також працює веб розробником (ФЕ) на фрілансі більше 2 років.
Пояснює гарно, не до кінця зрозумів формат іспиту, потрібно налаштувати зображення і додати освітлення, сьгогодні перед камерою був просто темний силует.</t>
  </si>
  <si>
    <t>Звʼязалась, передала старшому викладачу</t>
  </si>
  <si>
    <t>mariamRo89@gmail.com</t>
  </si>
  <si>
    <t>Рек, приємна, активна, 8 років працює в школі (5 з яких викладає інформатику) зараз працює заучем з виховної роботи, дуже любить дітей і викладання, подобається працювати саме з молодшою школою.
Пояснює детально, обрала трохи складний приклад, Намагалась комунікувати. Видно що є досвід роботи з дітками.</t>
  </si>
  <si>
    <t>Скретч, Математика (1-6 клас)</t>
  </si>
  <si>
    <t>Рек, приємна, 5 років займалась репетиторством з метматики (не багато дітей було), зараз працює лаборатном в університеті.
Тут все чудово пояснила, постійно контролювала виконання учнями, хвалить.</t>
  </si>
  <si>
    <t>Приємна, викладала англійську +- 4 місяці, колись у нас проходила навчання на МІКа, зараз закордоном, зручно у будні увечері та на вихідних.
Пояснює чудово,  комунікую, єдине що потрібно відсунути трішки камеру.</t>
  </si>
  <si>
    <t xml:space="preserve">Ярощук Дмитро </t>
  </si>
  <si>
    <t>Студент програмного забезпеч, вчився на ФЕ, був досвід роботи з дітками - працював декілька місяців вожатим, треба трохи підтягнути українську, зручно у будні увечері.
Трохи русизмів є, не критично, варто також додати освітлення, тому що був темний силует на фоні вікна. Трішки складні пояснення, намагався комунікувати. Всі рекомендації прописала.</t>
  </si>
  <si>
    <t>Математика (1-9 клас)</t>
  </si>
  <si>
    <t>Рек, приємний, 8 років викладає інформатику в школі і займається паралельно репетиторством з математики, більше подобається працювати зі старшими дітками, тому найбільш пріоритетним є математика 7-9 клас (пайтон вів на уроках інформатики).
Позитивка, комунікує, хвалить.. Кррутий підхід і для маленьких і для доросліших.</t>
  </si>
  <si>
    <t xml:space="preserve">Борщ Владислав </t>
  </si>
  <si>
    <t>Комерційний +- 6 років, вчив новачків графічному дизайну, зараз сам проходить курси по вебу, бо більше працював з графічним (Аня, це я про нього писала, щоб раптом що ми могли підучити Фігмі), зручно у вихідні проводити заняття, також хотів би декілька домашок перевірити (суто тестово), щоб глянути як буде це виглядати та як надавати фідбек.
Пояснює гарно, не вистачило комунікації.</t>
  </si>
  <si>
    <t>пішов</t>
  </si>
  <si>
    <t>НДА, рек, приємний, 4 роки викладає геймдев (онлайн і офлайн), хоче брати додаткові години, підходить графік в будні, бо на вихідних офлайн викладає.
Пояснює дуже зрозуміло, комунікує і хвалить.</t>
  </si>
  <si>
    <t>Звʼязався, передала старшому викладачу</t>
  </si>
  <si>
    <t xml:space="preserve">Загородній Андрій </t>
  </si>
  <si>
    <t>Дуже приємний, за освітою викладач, пів року стажувався в школі, також пройшов 2 курси по ФЕ, хоче спочатку 1-3 групи, що без ФОПу, якщо все буде ок, тоді оформить ФОП та візьме більше груп.
Заняття вийшло чудове, потрібно трішки тільки з зображенням попрацювати. Краще групу після 1.10.</t>
  </si>
  <si>
    <t xml:space="preserve">Орманжи Вікторія </t>
  </si>
  <si>
    <t>Приємна, викладає 5 років, може брати і менших, і старших, зручно у пн,ср,пт та на вихідних після 12.
Пояснює гарно, комунікує, були підвисання інтернету.</t>
  </si>
  <si>
    <t>Дизайн, Диз Джун</t>
  </si>
  <si>
    <t>20 років викладач, завідувач кафедри дизайну, працював в більшій мірі з програмами старшого курсу, але і з меньшого цікаво підвчити і викладати.
Пояснює гарно, трохи біда з українською, багато русизмів, але дуже старається говорити українською, комунікації не дуже багато.</t>
  </si>
  <si>
    <t>пішоп</t>
  </si>
  <si>
    <t>Bilykmaria2004@gmail.com</t>
  </si>
  <si>
    <t>Рек, приємна, студентка, навчається на історика, хоче бути викладачкою, мала досвід вожатої у таборі 5 разів.
Пояснює гарно, трішки не зрозуміла формат іспиту, але пройшло все добре.</t>
  </si>
  <si>
    <t>Математика (1-6 класи)</t>
  </si>
  <si>
    <t>Приємна, майже 2 роки працює викладачем математики, також 1 рік паралельно викладала Скретч діткам, зараз викладає в Джастскул (відділ школи Лідер), зручно у будні увечері (буде підлаштовувати графік), у вихідні не може, так як сама виховує 2-х дітей.
Пояснює гарно, потрібно трішкирозібратись з прогрмами, Приємна, комунікує, хвалить.</t>
  </si>
  <si>
    <t>Приємний, навчається на розробника, знає С#, і мав невеликий досвід створення ігор (для себе), цікаво спробувати себе в ролі викладача для дітей.
Було видно що дуже хвилювався, підготував цікаівий проект, який пояснив дуже частково, але це більше через те що іспит тільки 15 хвилин. Комунікації було дуже мало. В подальшому можливо піде і на геймдев, через місяця 2 мінімум.</t>
  </si>
  <si>
    <t>Математика (5-8)</t>
  </si>
  <si>
    <r>
      <rPr>
        <sz val="10"/>
        <color theme="1"/>
        <rFont val="Montserrat"/>
      </rPr>
      <t xml:space="preserve">Приємна, 1+ рік викладає математику як репетитор, 17 років, вчила пайтон в школі і трохи на курсах, тому і 7-8 класи хотіла б брати.
Заняття чудове, пояснює гарно і зрозуміло. Але було п итання яке трішки насторожує запитувала </t>
    </r>
    <r>
      <rPr>
        <sz val="13"/>
        <color theme="1"/>
        <rFont val="Montserrat"/>
      </rPr>
      <t>Чи може вона клієнтів з групового навчання брати на індивідуальне в обхід академії.</t>
    </r>
  </si>
  <si>
    <t>Приємна, студентка філології, пів року викладала англійську для дітей в мовній школі офлайн, цікаво розвиватись як викладач, також займається спортом і зараз має змагання, тому раз на місяць-півтора до нового року на вихідних не зможе проводити заняття.
Я в захваті від заняття, дуже позитивно, багато комунікую, хвалить Абсолютно не помітила хвилювання. Одним словом крута кандидатка.</t>
  </si>
  <si>
    <t xml:space="preserve">Сковородкіна Наталя </t>
  </si>
  <si>
    <t>Дуже приємна, працює викладачем зарубіжної та англійської +-15 років, до цього була педагогом-організатором, входить до топ-50 найкращих викладачів,зручно у будні увечері та на вихідних.
Є комунікація і практика, хвалить учнів. Хвилювалась, трохи затягнула заняття.</t>
  </si>
  <si>
    <r>
      <rPr>
        <u/>
        <sz val="10"/>
        <color rgb="FF1155CC"/>
        <rFont val="Montserrat"/>
      </rPr>
      <t>https://tldv.io/app/meetings/650addd7ca6e7200131408e5</t>
    </r>
    <r>
      <rPr>
        <sz val="10"/>
        <rFont val="Montserrat"/>
      </rPr>
      <t xml:space="preserve"> </t>
    </r>
  </si>
  <si>
    <t>Приємна, активна, мала досвід публічних виступів і менторства і навчання персоналу на попередній роботі, зараз займається з дітками і волонтерить, дуже вмотивована і любить софт скілз.
Дуже вмотивована, обожнює софти, комунікує, була практика, ну і хвилювалась.</t>
  </si>
  <si>
    <t>https://tldv.io/app/meetings/650ae3e44d886f001274b04c</t>
  </si>
  <si>
    <t>Приємна, 10 років викладає математику в академії мистецтв, до цього працювала в сфері культури, але так як має вищу освіту з математики і потрібен був викладач з неї, то запропонували їй, так і працює. ґнаписала свій власний курс по софт скілз і дуже цікавиться цією темою, читала цей курс у школі 1 раз (пошта на Антона).
Іспит був суцільною лекцією, не використовувала презентацію, не було практики, структура також не була збережена. зоча презентацію підготувала і практика в запасі також була, скоріше всього через хвилювання не і не розуміння як то має відбуватись все пішло не так. Довго проходила навчання- місяць, є складнощі з технікою. Розміщення камери також потрібно змінити.  Всі рекоменндації прописала, погоджено з Юлею на 1 місяць випробувального періоду. Точно варто ставити на доросліші групи.</t>
  </si>
  <si>
    <t>https://tldv.io/app/meetings/650c60448130700013741010</t>
  </si>
  <si>
    <t>Рек з Гоайті, 1,5 роки працює в Глобал Едюкейшн як коуч та викладач, може працювати у будь-який час, готова на 23.09.
Дуже хвилювалась, це було дуже помітно. Було мало комунікації.</t>
  </si>
  <si>
    <t>https://tldv.io/app/meetings/650d6b00f844c000133e1152</t>
  </si>
  <si>
    <t>Дуже приємна, у сфері викладання +- 3 роки, за цей працювала викладачем, проводила лекції діткам, методистом і т.д, зручно у будні після 6 та на вихідних.
Була у нас МІКом, пояснює непогано, комунікує, варто практики додавати на протязі всього заняття.</t>
  </si>
  <si>
    <t>https://tldv.io/app/meetings/650d72bd13527d001371a594</t>
  </si>
  <si>
    <t>Математика (1-6)</t>
  </si>
  <si>
    <t>Рек, приємна, студентка,2 роки допомогала діткам в школі з домашками, також має досвід невеликий в дизайні, але зараз хоче почати викладання з математики, можливо в майбутньому і дизайн джуніор візьме.
Трохи перелякана була на іспиті. Як рекомендацію проговорила їй використовувати окрім презентації, ще різні способи візуалізації пояснень для учнів. В цілому комунікувала  непогано.</t>
  </si>
  <si>
    <t>Заглючила програма запису</t>
  </si>
  <si>
    <t>Студент Гоайті, викладає в недільній школі вже 15 років, може у будь-який час окрім пн, ср,сб, підходять графіки на 29.08,12.09.
Має налаштувати підключення для спілкування і відео з телефону, тому що не тягне і майн і міт нормально. По поясненням мені сподобався, зрозумілою для дітей мовою і намагався комунікувати.</t>
  </si>
  <si>
    <t>https://tldv.io/app/meetings/650d7fc079249d0013db956d</t>
  </si>
  <si>
    <t>Приємна, майже два роки займається моушн дизайном, мала досвід викладання у школі (англійська і німецька) 1 рік для практики, любить діток, тому цікаво спробувати повикладати дизайн.
Мені заняття сподобалось, пояснювала тему кольорів на прикладі реклам епл, комунікує, зберегла структуру, все позитивно і приємно.</t>
  </si>
  <si>
    <t>https://tldv.io/app/meetings/650d88b613527d001371c652</t>
  </si>
  <si>
    <t>Математика (7-9 (але якщо дуже треба то може і 5-6)</t>
  </si>
  <si>
    <t>Майже 20 років викладає математику і інформатику в школі, працює зі старшою школою, найбільше хоче викладати у 7-9, але якщо дуже треба то і 5-6 може, з пайтоном працювала бо інформатику веде.
По комунікації і поясненням все добре, інколи проскакують русизми, не критично але вухо ріже.</t>
  </si>
  <si>
    <t>https://tldv.io/app/meetings/65112e1bfca79c001385af73</t>
  </si>
  <si>
    <t xml:space="preserve">Хрептик Вікторія </t>
  </si>
  <si>
    <t>Математика (5-6 клас)</t>
  </si>
  <si>
    <t>Приємна, студентка, навчається на вчителя математики і інформатики, хоче брати старші групки, але не працювала з Пайтоном, тому зійшлись на 5-6.
Чудово пояснює, комунікує, хвалить.</t>
  </si>
  <si>
    <t>https://tldv.io/app/meetings/6511203d2e4740001379ee92</t>
  </si>
  <si>
    <t>@Nataliia0888</t>
  </si>
  <si>
    <t>Математика (1-9)</t>
  </si>
  <si>
    <t>Приємна, 14 років викладає інформатику і математику у школі, тому знайома і зі скретч і з пайтоном і може вести всі класи.
Підготувала власну презентацію, пояснює зрозуміло, але матеріалу було багато тому саме комунікації було не багато, місця де вона мала б бути, чітко прослідковуються, тому що було багато практичних частин, які ми просто пропускали. Трішки відсунути камеру не завадить, трохи близько розміщена.</t>
  </si>
  <si>
    <t>https://tldv.io/app/meetings/65113ceb8d0c5e0013d85ff9</t>
  </si>
  <si>
    <t>Рек, приємна, близько року займається дизайном на фріласні (більше ілюстрації), допомагала з викладанням діткам в художній школі, студентка, працювала з канвою і фотопі, вікс довчить.
Трохи мало комунікації, в повідомленнях сказала, що по вівторкам не може, сьогодні ніби вже згодна і на вівторок, тільки зараз на лікарняному.  Однак якщо сильнго попросити думаю і на завтра погодиться. По поясненням ніби все зрозуміло пояснює, дуже хвилювалась.</t>
  </si>
  <si>
    <t>https://tldv.io/app/meetings/65117b0a2e474000137a53b6</t>
  </si>
  <si>
    <t xml:space="preserve">Приємна, 13 років у сфері дизайну, також 9 років викладала в академії ШАГ, зараз там вже не працює.
З Фігмою працює не так давно, ще не дуже впевнена, хвилювалась сильно через те що не до кінця розібралась з гугл міт (пацювала через тімс завжди), плюс МАК, де потрібно шукатив налаштуваннях дозволи на демонстрацію. По заняттю не було комунікації, але враховувючи досвід викладання, схоже на те що це через технічні складнощі.
</t>
  </si>
  <si>
    <t>https://tldv.io/app/meetings/651278a23a983a001372781a</t>
  </si>
  <si>
    <t>Відповіла) поставила на групу</t>
  </si>
  <si>
    <t>Математика (7-9)</t>
  </si>
  <si>
    <t>Приємний, аспірант в мехматі, був досвід репетиторства, проведення занять в універі, школі, коледжі, в цілому, 6 років займається уже викладацькою діяльністю, хоче саме з старшими дітками працювати, зручно у будні увечері та на вихідних.
Комунікує, пояснює гарно, заняття мені сподобалось.</t>
  </si>
  <si>
    <t>https://tldv.io/app/meetings/65129cdd8aa4ee0013dfaf04</t>
  </si>
  <si>
    <t>Рек, приємна, студентка, навчається на диайні, декілька місяців допомогала в художній школі проводити діткам заняття, працювала з канвою і фотопі.
Хвилювалась дуже, комунікації було мало, камера була розміщена дивно, після іспиту виправила це.</t>
  </si>
  <si>
    <t>https://tldv.io/app/meetings/6512be96357adb0014840c24</t>
  </si>
  <si>
    <t xml:space="preserve">Приємна, 4+ роки викладач молодших класів, в останній рік ще вела інформатику у середньої школи, цікаво пробувати для себе нові напрямки.
Дуже приємна, гарно комунікує, хвалить, була практика. Хвилювалась. Трішки підвисала презентація у неї. </t>
  </si>
  <si>
    <t>https://tldv.io/app/meetings/6513db503a983a001373f882</t>
  </si>
  <si>
    <t>Специфічна, 5 років викладала в універі прикладну  математику, уже 6 викладає в школі інформатику, і Скретч, і Пайтон, і ФЕ, зручно у будні увечері та в неділю, хоче взяти з 18.10 ФЕ, а з листопада зможе взяти Математику (1-9 клас)</t>
  </si>
  <si>
    <t>https://tldv.io/app/meetings/65140a658e969800122616a6</t>
  </si>
  <si>
    <t>Приємна, студентка,в коледжі вивчала комп'ютерну інженерію, +-1,5 роки працювала офлайн репетитором, поки візьме 5-6 класи, потім підучить Пайтон та візьме 7-9, зручно у будні після 6 та на вихідних</t>
  </si>
  <si>
    <t>https://tldv.io/app/meetings/65141eec8e969800122628a0</t>
  </si>
  <si>
    <t>Рек, дуже приємна, працює аналітиком, також раніше 3 роки була репетитором з математики, тому в майбутньому хоче і математику брати 1-6 клас, зараз цікавиться для себе темою софт скілс, і розуміє її важливість у роботі, тому дуже подобається що матеиме можливість викладати таку дисципліну.
Гарно пояснює, комунікує, позитивна.</t>
  </si>
  <si>
    <t>https://tldv.io/app/meetings/65166598d453510013952a01</t>
  </si>
  <si>
    <t xml:space="preserve">Приємна, закінчила бакалавріат на дизайнера інтерʼєру, але зараз розвивається як графічний дизайнер,рік викладала англійську як репетитор (декілька дітей), працювала з канвою і фотошопом.
Було трішки мало комунікації і не могла розібратись де перекласти програму на українську.. </t>
  </si>
  <si>
    <t>https://tldv.io/app/meetings/6516995e9a65da0013ff45b7</t>
  </si>
  <si>
    <t>Математика (5-9 класи)</t>
  </si>
  <si>
    <t>Приємна, 5 років викладає математику та інформатику в школі, також займалась онлайн-репетиторстовом, також викладала Пайтон, був досвід створення матеріалів (презнтації, кахути, завдання в класрум і т.д), має вищу педагогічну та математичну освіту, одночасно зацікавилась вакансіями розробки та викладання.
Вже проходила навчання на викладача скретчу, але працювати так і не почала, вже стояла на графіку навіть.  Пояснює гарно, комунікує, хвалить. Потрібно налаштувати камеру.</t>
  </si>
  <si>
    <t xml:space="preserve">Кожухов Данило </t>
  </si>
  <si>
    <t>Рек, приємний, студент, навчається на розробника, близько двох років займається репетиторством з хімії і біології для старшої школи, в майбутньому може й математику візьме</t>
  </si>
  <si>
    <t>Рек, студент, грав в дитинстві в майн тому цікаво викладати цей напрям.
Пояснив ніби зрозуміло, переляканий трохи, комунікації майже не було.</t>
  </si>
  <si>
    <t>https://tldv.io/app/meetings/6516ad7b9a65da0013ff5684</t>
  </si>
  <si>
    <t>Рек, приємний, 10 років працює системним інжеенром, іноді для роботи використовує пайтон, а так вчив більше для себе, мав невеликий досвід проведення лекцій для студентів по непрямку своєї роботи.
Приємний, пояснює цікаво, не було живого кодування, після того як це проговорила відразу ввімкнув демонстрацію з кодами які використовував до того в презентації - тобто все це було, але через невелику кількість часу вирішив не показувати в форматі живого кодування.</t>
  </si>
  <si>
    <t>https://tldv.io/app/meetings/6516b3cf9a65da0013ff5ab9</t>
  </si>
  <si>
    <t>Математика (7-9 клас)</t>
  </si>
  <si>
    <t>Студент, навчається на математиці, паралельно вивчає програмування, працює з Пайтоном, тому цікаво брати якраз страші клась де є Пайтон.
Пояснює ніби зрозуміло, але занадто сер'озний як на мене.</t>
  </si>
  <si>
    <t>https://tldv.io/app/meetings/6516c1cc74e86d0013b2ecb5</t>
  </si>
  <si>
    <t>Жовтень 2023</t>
  </si>
  <si>
    <t>Приємна, бульше року працює на фрілансі, також має декілька місяців комерційного досвіду, 1 рік викладає діткам дизайн (репетиторство), зараз закордоном.
Дуже приємна, гарно пояснює, комунікує, хвалить.</t>
  </si>
  <si>
    <t>https://tldv.io/app/meetings/651bd86bd45351001397e088</t>
  </si>
  <si>
    <t>Дизайнер інтерʼєру з 10+ років досвіду, також має досвід роботи графічним дизайнеров на фрілансі та викладала декілька курсів для дітей (історія дизайну, основи дизайну і полімерна глина) офлайн, гарно знайома з Канвою та Фотошопом і трохи з віксом</t>
  </si>
  <si>
    <t>@twoyaalinka</t>
  </si>
  <si>
    <t>Математика (1-6 клас)</t>
  </si>
  <si>
    <t>Дуже приємна, студентка, 1,5 роки викладає математику, індивідуально та групові, може вести заняття 1-4 та 5-6 класи, зручно у будні увечері та на вихідних</t>
  </si>
  <si>
    <t>https://tldv.io/app/meetings/651d1ab9d453510013988306</t>
  </si>
  <si>
    <t>Приємна, працювала куратором в онлайн школі та також репетитором, студентка, може брати будь-який вік дітей (рек - Аліса Дуденко).
НЕ дуже зрозуміла формат іспиту, підготувала цікаву презентацію, з рекомендацій більше комунікації і практику розбивати протягом всього заняття. Пояснення в цілому зрозумілою для учнів мовою.</t>
  </si>
  <si>
    <t>https://tldv.io/app/meetings/651d378bdcd12e0013a23637</t>
  </si>
  <si>
    <t>Дизайн, Дизайн Джун</t>
  </si>
  <si>
    <t>Рек, приємна,тім-лід маркетингового відділу, 2 роки у сфері дизайну, працювала пів року викладачем англійської, є Фоп, є екофлоу.
Гарно все пояснила, цікаву роботу підготувала, трішки мало комунікації і хвилювалась. Будні після 19 години, тому що до 18 на роботі, вихідні ранкові годинии.</t>
  </si>
  <si>
    <t>https://tldv.io/app/meetings/651d4c6fdcd12e0013a24317</t>
  </si>
  <si>
    <t>1,5 роки досвіду з Юніті,  зручно у будні, підходить графік на 10.10, хоче поки 2 групки, ФОП поки закритий, якщо треба - відкриє.
Пояснив швидко, зрозумілою мовою. Забув про ду вайл, після нагадування без проблем  про цей цикл розповів. Мако комунікації і камера дуже близько.</t>
  </si>
  <si>
    <t>https://tldv.io/app/meetings/651fbed0ba6f1d0013979a6b</t>
  </si>
  <si>
    <t>@KEP452B</t>
  </si>
  <si>
    <t>Приємний, 8-9 місяців комерційного, був досвід викладання - вчив діток настільному тенісу, зручно як в будні, так і у вихідні.
Пояснює детально, зрозуміло, мало комунікації, немає вебки, тому буде підключатись з двох пристроїв.</t>
  </si>
  <si>
    <t>https://tldv.io/app/meetings/651ffc832dbcb50012bc4763</t>
  </si>
  <si>
    <t>Рек, приємний, має педагогічну освіту, але ще не працював по спеціальності, був вожатим у таборі декілька разів, подобається спілкуватись з дітками і хотів би брати групи різного віку
Чудово пояснює матеріал, комунікує, заняття сподобалось.</t>
  </si>
  <si>
    <t>https://tldv.io/app/meetings/6523ce8dc28fb80013d62af6</t>
  </si>
  <si>
    <t>Рек, приємний, студент, був досвід викладання математики, буде комфортніше спочатку з старшими, потім взяти групку з меншими.
Дуже позтивнй, дитяче пояснення, зрозумілими словами, хвалить.</t>
  </si>
  <si>
    <t>https://tldv.io/app/meetings/6523ea03da618a00136f72dd</t>
  </si>
  <si>
    <t>Рек, приємна, навчається на дизайні, мала невеликий досвід проведення занять з малювання, працювала з канвою і фотопі, вікс підвчить.
Хвилювалась, мало комунікації і потрібно трішки більше розібратись в фотопії, в цілому пояснює розумілою мовою</t>
  </si>
  <si>
    <t>https://tldv.io/app/meetings/6523f22dc28fb80013d63ca7</t>
  </si>
  <si>
    <t>Рек, вивчала Скретч, алгоритми, був досвід роботи менеджером з продажів, зручно у будні увечері.
Дуже хвилювалась на іспиті, через це проскакували русизми, варто додати більше комунікації, старалась комунікувати, пояснює непогано.</t>
  </si>
  <si>
    <t>https://tldv.io/app/meetings/652511094a1c8b00134d1b12</t>
  </si>
  <si>
    <t xml:space="preserve">Баркова Марія </t>
  </si>
  <si>
    <t>Рек, приємна, закінчує універ на дизайнера, близько двох років працює на фрілансі, займається графічним дизайном, але зараз починає в і вебі розвиватись, тому в майбутньому хоче і старші групи брати.
Пояснює гарно, підготувала класну роботу для іспиту, потрібно додати комунікації.</t>
  </si>
  <si>
    <t>https://tldv.io/app/meetings/652527b9b03b210013534069</t>
  </si>
  <si>
    <t>Студент Гоайті з Пайтону, займався проектами для волонтерів, знає також С++, якщо треба буде, відкриє ФОП.
Трохи картавить, потрібно додати комунікації</t>
  </si>
  <si>
    <t>https://tldv.io/app/meetings/65252d3a2e74ea0013900e0a</t>
  </si>
  <si>
    <t xml:space="preserve">Гаденко Тетяна </t>
  </si>
  <si>
    <t>Математика (5-6)</t>
  </si>
  <si>
    <t>Приємна, 28 років викладала математику в школі, працювала як очно, так і онлайн, зручно у будні увечері та на вихідних.
Гарно пояснює, комунікує, трішки змінити налаштування камери розібратись в технічних моментах. В цілому заняття позитивне. Жіночка у віці, дуже приємна.</t>
  </si>
  <si>
    <t>https://tldv.io/app/meetings/65253540729fec001394d914</t>
  </si>
  <si>
    <t xml:space="preserve">Рижко Олено </t>
  </si>
  <si>
    <t>Вчитель інформатики 1 рік, працювала як індивідуально, так і в групах,  зручно у будні увечері, хоче десь 3 групки.
Дуже класне заняття, для діток чудові пояснення, комугікує постійно, хвалить.</t>
  </si>
  <si>
    <t>https://tldv.io/app/meetings/6528f6f348156d0013472dbc</t>
  </si>
  <si>
    <t xml:space="preserve">Власенко Наталія </t>
  </si>
  <si>
    <t>ФЕ, ФЕ інгліш</t>
  </si>
  <si>
    <t>Студентка Гоайті Фулстек, викладала в універі дисципліни, пов'язані з інформаційними технологіями, є ФОП у чоловіка.
Проводила іспит з Тарасович, все заняття провела на англійській не було зовсім комунікації. Тетяна сказала, що по порясненням все було зрозуміло.</t>
  </si>
  <si>
    <t>https://tldv.io/app/meetings/6528feea6f0148001379110f</t>
  </si>
  <si>
    <t>Рек, студентка, навчається на дизайні одягу, і сама займається іншими видами дизайну (графічний, малювання і т.д.), подобається працювати з дітками, мала досвід з Канвою і Фотошопом, вікс підвчить.
Дуже хвилювалась, трохи більше комунікації потрібно, є трохи русизмів. Пояснення зрозумілі.</t>
  </si>
  <si>
    <t>https://tldv.io/app/meetings/65292127d8cbec001303deb0</t>
  </si>
  <si>
    <t>Написала. дала групу</t>
  </si>
  <si>
    <t>Рек, дуже приємна, був досвід роботи нянею, хоче взяти 1-3 групки, щоб поки без ФОПа спробувати, потім відкриє ФОП та візьме більше групок.
Приємна, гарно комунікую і пояснює, дуже позитивна. Потрібно трішки робібратись з гугул міт, тому що з маку працює- рекомендації надала.</t>
  </si>
  <si>
    <t>https://tldv.io/app/meetings/65292f82e509a10013a5e519</t>
  </si>
  <si>
    <t xml:space="preserve">Татаренков Іван </t>
  </si>
  <si>
    <t>Приємний, 4 роки викладає історію, інформатику,хоче взяти десь 4-5 груп для початку.
Пояснює непогано, емоційний, потрібно трішки більше комунікації додати і трохи адаптувати приклади під вік учня, не дуже зрозумів формат іспиту. Вмотивований працювати, тому що окрім школи працює ще в Сільпо (викладає товари) і шукав саме альтернативу цій роботі.</t>
  </si>
  <si>
    <t>https://tldv.io/app/meetings/652cdc514b4d9000138f094e</t>
  </si>
  <si>
    <t>Рек, приємна, студентка філології, 17 р, мала невеликий досвід викладання дошкільнятм на підготовчих курсах, цікавиться темою софт скілз і любить діток, тому зацікаво спробувати викладання.
Приємна, дуже хвилювалась на занятті, через що забула про комунікацію, пояснює зрозуміло.</t>
  </si>
  <si>
    <t>https://tldv.io/app/meetings/652d242995acc0001404813c</t>
  </si>
  <si>
    <t>1+ рік займається дизайном персонажів для ігор, студентка, навчається на дизайні, мала невеликий досвід роботи з дітками у таборі.
Пояснює непогано, але не працювала раніше в фотопії, тому потрібно підтягнути тут вміння, працювала з фотошопом, тому думаю проблем не має бути.</t>
  </si>
  <si>
    <t>https://tldv.io/app/meetings/652d2b7b95acc00014048af7</t>
  </si>
  <si>
    <t>@Katrin_Voit</t>
  </si>
  <si>
    <t>Приємна, працює веб дизайнером 3,5 роки, проходила ще також курси UI UX, хоче взяти 1-2 групки.
Приємна, трохи лекційно вийшло, дуже хвилювалась, потрібно налаштувати звук, тому що поки постійний звук вентилятора в мікрофоні. Пояснила все дуже детально.</t>
  </si>
  <si>
    <t>https://tldv.io/app/meetings/652d4e1f69891200138af151</t>
  </si>
  <si>
    <t>Рек, приємна, 1 рік займається репетиторством з чеської мови для підлітків (порекоменд Аліса Дуденко - Софт Скілз).
Гарно комунікує, цікава практика, заняття сподобалось</t>
  </si>
  <si>
    <t>https://tldv.io/app/meetings/652e598495acc00014058a90</t>
  </si>
  <si>
    <t>Дизайн Джун/ коли підвчить ілюстратор то і звичайний дизайн.</t>
  </si>
  <si>
    <t>Дуже приємна, 9 років робить сайтии під ключ на різноманітних платформах по типу віксу, працювала з канвою, фотопі і вікс, викладала в універі веб дизайн та економіку для студентів та мала досвід ведення курсів з веб дизайну для дітей, дочка в нас на геймдеві вчилась, тому нас знає.
Пояснює чудово, комунікує, позитивна, взагалі супер. Знає фотошоп та фігму, готова підтягнути ілюстратор в подальшому і брати також заняття по дизайну.</t>
  </si>
  <si>
    <t>https://tldv.io/app/meetings/652e60328fb7df001360d381</t>
  </si>
  <si>
    <t xml:space="preserve">18.10,21.10 (ранок)! Приємна, пів року працює ЮІ ЮХ дизайнером на фрілансі, має свої проекти, також навчалась в художній школі
Гарно пояснює, приємна, трішки додати комунікації. </t>
  </si>
  <si>
    <t>https://tldv.io/app/meetings/652e683a630cec0013beb9bd</t>
  </si>
  <si>
    <t>Приємна, викладала англійську та зарубіжну 9 років, наразі 0,5 року працює UI UX дизайнером, може проводити заняття зараз о 8:30 вечора, спробує спочатку Софти, якщо буде більше часу, здасть екзамен з Диз Джун.
Гарно комунікує, було багато практики. Поки рохраховується з роботи офлайн може барти групи тільки з 20:30, потім планує повне завантаження, скільки можна взяти все візьме.</t>
  </si>
  <si>
    <t>https://tldv.io/app/meetings/652f8f7869359e00147b98ba</t>
  </si>
  <si>
    <t xml:space="preserve">Клеха Єгор </t>
  </si>
  <si>
    <t>Софти (середні і старші)</t>
  </si>
  <si>
    <t>Рек, студент, цікавиться темою софт скілз та допомогав у багодійному фонді по роботі з дітьми, тому цікаво спробувати себе у викладанні, хотів би брати групи середнього і старшого віку).
В загальному непогано пояснював, комунікував, була практика, але хвилювався і трохи заплутався в технічних моментах з демонстрацією і джамбордом- більше через хвилювання.</t>
  </si>
  <si>
    <t>https://tldv.io/app/meetings/65323857f9dcec0013d04661</t>
  </si>
  <si>
    <t xml:space="preserve">1,5-2 роки ЮІ ЮХ дизайнер, за освітою психолог, тому працювала психологом у школі, є ФОП, підходять і будні, і вихідні, тому може і 21.10, і 25.10.
Пояснює гарно, але через хвилювання багато русизмів, сама з Харкова, потрібен буде час на очищення мови, трішки додати комунікації. </t>
  </si>
  <si>
    <t>https://tldv.io/app/meetings/65324024f01f39001389e085</t>
  </si>
  <si>
    <t>написала. поставила на старт</t>
  </si>
  <si>
    <t>Приємна, проходила різноманітні курси з дизайну, останній пройшла ГоІТ курс, займається веб дизайном на фрілансі, мала невеликий досвід викладання (2 місяця викладала укулеле), любить спілкуватись з дітками, тому цікаво викладати їм дизайн.
Пояснює гарно, трохи додати комунікації. Підходить будь-який день, будь-який час</t>
  </si>
  <si>
    <t>https://tldv.io/app/meetings/65324d7bf105ef0013d3ee3f</t>
  </si>
  <si>
    <t>написала, поставила на сатрт</t>
  </si>
  <si>
    <t xml:space="preserve">Приємна, має художню освіту, 5 років працює у сфері дизайну, підійшов графік на вихідні вранці, також за можливості розгляне вихідні (якщо треба, відкриє ФОП).
По поясненням все добре, додати комунікації і буде чудово взгалі.
Групи на вихідні. </t>
  </si>
  <si>
    <t>https://tldv.io/app/meetings/65325beaf118510013dfdd9c</t>
  </si>
  <si>
    <t>Написала, поки не відповіли(</t>
  </si>
  <si>
    <t>Приємна, має 2 роки досвіду викладання графічного дизайну та афтер ефектс, також є свої проекти.
Круте заняття</t>
  </si>
  <si>
    <t>https://tldv.io/app/meetings/65326a385f6c760013fec338</t>
  </si>
  <si>
    <t>написала, прочитала але не відповіла</t>
  </si>
  <si>
    <t xml:space="preserve">Глодян Анастасія </t>
  </si>
  <si>
    <t>Підійшов графік на 21.10,24.10. Приємна, трохи хвилювалась на зустрічі, закінчила педегогічний універ (як викладач дизайну), також декілька місяців його викладала студентам, був досвід роботи на фрілансі, зараз закордном.
Дуже мила, дуже хвилювалась, багато русизмів більше через хвилювання.</t>
  </si>
  <si>
    <t>https://tldv.io/app/meetings/653271955f6c760013fecc5d</t>
  </si>
  <si>
    <t>написала, домовляємось про зустріч</t>
  </si>
  <si>
    <t>Приємна, 2 роки працює педагогом організатором та 1 рік викладала в школі образотворче мистецтво, та проводить гуртки, працювала з канвою, фотопі і з подібними віксу платформами.
Пояснила все детально, єдине що створення посту показала в презентації в форматі скрінів, не до кінця зрозуміла формат іспиту. Додати комунікації, рекомендації всі надала.</t>
  </si>
  <si>
    <t>https://tldv.io/app/meetings/6532786d00c159001249965b</t>
  </si>
  <si>
    <t>Написала, чекаю відповіді</t>
  </si>
  <si>
    <t xml:space="preserve">Гончар Катерина </t>
  </si>
  <si>
    <t>Дизайн, Диз джун</t>
  </si>
  <si>
    <t>Приємна, викладає мистецтвознавство в інституті та графічний дизайн у Шазі, також бере проекти на фріланс, може викладати і дизайн і дизайн джун.
Дуже позитивна, класно пояснює, комунікує.</t>
  </si>
  <si>
    <t>https://tldv.io/app/meetings/653285c0f105ef0013d42f63</t>
  </si>
  <si>
    <t>ФЕ пізніше англ.</t>
  </si>
  <si>
    <t>Студент Гоайті, був досвід менторства, вчив новачків під час роботи в банку, може лише у будні, тому зараз візьме групу ФЕ..
Є сертифікат В1, розуміє що поки не готовий вести групу з розмовною англійською, проте регулярно відвідує спікінг клаби, тому коли підтягне зможе брати і групи англійською</t>
  </si>
  <si>
    <t>https://tldv.io/app/meetings/6536267ef8d2f400144b97d6</t>
  </si>
  <si>
    <t xml:space="preserve">Пархомова Катерина </t>
  </si>
  <si>
    <t>Рек, приємна, 12+ років працює викладачем історії в школі і також мала досвід репетиторства з англійської 3 роки, мала досвід роботи з інклюзивними дітьми, цікаво спробувати для себе нову сферу.
Пояснює гарно, комунікує, було трохи відволікаючих факторів у вигляді кота та сповіщень, проговорила рекомендації.</t>
  </si>
  <si>
    <t>https://tldv.io/app/meetings/65365e7b7c8dbd00130f0af5</t>
  </si>
  <si>
    <t>Рек, дуже приємний, проходить курси по юа юх дизайну, працював з канвою і фотошопом, вікс довчить, подобається спілкуватись з дітками.
Додати трішки комунікції і очищувати мову від русизмів. Пояснює непогано, але в самій фотопії не дуже поки орієнтується. Може брати групи по вихідним, більш детально в формі вільних слотів заповнить.</t>
  </si>
  <si>
    <t>https://tldv.io/app/meetings/653688463993ed0012eb1296</t>
  </si>
  <si>
    <t>написала, буде викладати індив</t>
  </si>
  <si>
    <t>Дуже активна, проводила заходи, організовувала майстер-класи, тренінги для школярів і т.д, провела близько 500 тренінгів, зручно у будні увечері.
Гарно пояснює, позитивна.</t>
  </si>
  <si>
    <t>https://tldv.io/app/meetings/6537a97b8e074a001338eb86</t>
  </si>
  <si>
    <t>Дизайн, Диз. джун</t>
  </si>
  <si>
    <t>Приємна, близько року волонтерить дизайнером для різноманітних соціальних проектів, закінчила курси ГоІТ, декілька місяців менторила новачків з дизайну до цього 4 роки викладала англійську .
Пояснює гарно, трохи заплуталась з темою заняття і спочатку підготувала пост в канві, тому зустрічались двічі. Потрібно додати комунікації. Готова на групу 27.10.</t>
  </si>
  <si>
    <t>https://prnt.sc/KuMewGuJk3Vr</t>
  </si>
  <si>
    <t>Приємна, 0,5 року комерційного, підходить графік у будні увечері (25.10).
Гано пояснює, не вистачило комунікації.</t>
  </si>
  <si>
    <t>https://tldv.io/app/meetings/6538f3c86e6c640013c87d7d</t>
  </si>
  <si>
    <t>0,5 року організовувала заняття з англійської, знає Пайтон, був проект з ним пов'язаний, може у вихідні вранці, поті ще й у будні .
Гарно пояснила що таке платформери, показала приклад свого платформеру, не вистачило роботи саме в роблоксі, але після детально пояснила що і як робила, приємна, комунікує.</t>
  </si>
  <si>
    <t>https://tldv.io/app/meetings/653b5e342ae09000137be4bc</t>
  </si>
  <si>
    <t>Приємна, рік працює дизайнером, переважно юа юх, з канвою і вікс трохи знайома, і готова підвичти.
Пояснює непогано, комунікувала, але дуже хвилювалась</t>
  </si>
  <si>
    <t>інтернету погано у мене</t>
  </si>
  <si>
    <t>відмовилась</t>
  </si>
  <si>
    <t>Приємна, близько року працює веб дизайнером на фрілансі, до цього на минулій роботі багато з канвою працювала, тому знає канву, фотошоп і працювала з вебфлоу (вікс трохи), мала досвід навчання співробітників.
Пояснює гарно, потрібно трохи більше комунікації. Дуже нен стабільний інтернет- буде вирішувати питання з провайдером, також додала рекомендаці від себе у вирішенні.</t>
  </si>
  <si>
    <t>https://tldv.io/app/meetings/653b7aac7aa34d0013b0bd53</t>
  </si>
  <si>
    <t>Приємна, 2 роки викладає образотворче мистецтво для дітей, також мала невеликий досвід доботи дизайнером на фрілансі, має досвід з канвою, фотошопом і трохи віксом.
Є трохи складнощі з мітом, іспит проводила з роботи, хтось зайходив- проговорили, що на реальних заняттях не має бути відволікаючих факторів, хвилювалась- намагалась комунікувати, пояснює зрозуміло</t>
  </si>
  <si>
    <t>https://tldv.io/app/meetings/653f8a82c018780013fa33c9</t>
  </si>
  <si>
    <t xml:space="preserve">Николенко Андрій </t>
  </si>
  <si>
    <t>Приємний, займався розробкою сайтів на АпВорк,знає Пайтон, підходять і будні, і вихідні</t>
  </si>
  <si>
    <t>https://tldv.io/app/meetings/653f98320160d5001378eea9</t>
  </si>
  <si>
    <t>@itsbarseell</t>
  </si>
  <si>
    <t>Приємна, близько року репетитор з англійської і трохи проводила заняття з малювання діткам, подобається тема софт скілз хотіла б брати групки різного віку.
Гарно пояснює, комунікує, є практика.</t>
  </si>
  <si>
    <t>https://tldv.io/app/meetings/653fa1409a2e98001307aff5</t>
  </si>
  <si>
    <t>Готовий спробувати також ФЕ джун, є комерційний проект, 1.5 роки на фрілансі
Пояснює гарно все показав на реальному прикладі комунікував, трішки б більше відкитих питань, в цілому заняття гарне.
Підходять майже всі будні дні для роботи</t>
  </si>
  <si>
    <t>https://tldv.io/app/meetings/653fa697c018780013fa51cb</t>
  </si>
  <si>
    <t>Приємна, майже 30 років у сфері освіти, працює зараз в проекті "Дивись у майбутнє", також є викладачем української мови та методистом інформаційних технологій.
Гарно пояснює, комунікує, все зрозумілою для дітей мовою, можна ставити на молодших.</t>
  </si>
  <si>
    <t>https://tldv.io/app/meetings/653fada5c018780013fa5b64</t>
  </si>
  <si>
    <t>Рек, приємна, має педагогічнну освіту, 1 рік викладала художні дисципліни, зручно у буднфі після 6.
Заняття провела дуже позитивно, хвалила, комунікувала, гарно пояснювала. Були трішки проблеми з налаштуванням звуку на початку.</t>
  </si>
  <si>
    <t>https://tldv.io/app/meetings/653fd16b0160d500137936e8</t>
  </si>
  <si>
    <t>Рек, приємний, закінчив курси ГоІТ фул стек і продовжуєє навчатись самостійно і робити пер проекти, зараз цікаво спробувати себе у ролі викладача для діток
Пояснює непогано, намагався комунікувати,  в цілому заняття сподобалось, все показав на живому кодуванні.</t>
  </si>
  <si>
    <t>https://tldv.io/app/meetings/6540b1f358333a0013a8c57d</t>
  </si>
  <si>
    <t>Рек, приємний, займається зд моделюванням і моушн дизайном, працював з канвою і фотошопом, був скаут-лідером близько року (проводив лекції і інтерактиви для дітей).
Пояснив все зрозумілою для дітей мовою, комунікував. Трішки змінити розташування камери і були незначні підвисання.</t>
  </si>
  <si>
    <t>https://tldv.io/app/meetings/6540b9ac793f640013be8168</t>
  </si>
  <si>
    <t>Асессор, раніше МІКом 7 місяців працювала, приємна, студентка, вчиться на соціальній роботі, тому цікаво викладати софт скілз
Поснює непогано, комунікує, з рекомендацій додати освітлення і камеру нормально розташувати, плюс були трохи підвисання.</t>
  </si>
  <si>
    <t>https://tldv.io/app/meetings/6540cdf2731e380013f9caf5</t>
  </si>
  <si>
    <t>Приємний, 2 роки фрілансу (графічний та веб), був вожатим 2 роки по декілька місяців, трохи "пробіли" є у Фігмі, підходить графік на 31.10
Пояснює непогано, дуже хвилювався, тому що не дуже багато працював саме у Фігмі. намагався трішки комунікувати. Є русизми- не критично</t>
  </si>
  <si>
    <t>https://tldv.io/app/meetings/6540dcbd58333a0013a8ef38</t>
  </si>
  <si>
    <t>ЮІ ЮХ дизайнер 2 роки, був досвід менторства новачків в компанії, підходить графік у будні увечері.
Пояснює зрозуміло, трохи затягнув, не вистачало комунікації, є русизми- не критично.</t>
  </si>
  <si>
    <t>https://tldv.io/app/meetings/6540e3cbaeab33001397c919</t>
  </si>
  <si>
    <t>підібрати групу</t>
  </si>
  <si>
    <t>Студентка, навчається на графічного дизайнера, пів року викладала діткам дизайн на волонтерських засадах (індивідуальні заняття, рідко групові), знає канву і фотошоп, якщо дуже потрібно може і дорослі групи брати (викладала ці технології), але по спілкуванню краще на малих.
Дуже детально все пояснює, комунікації додати і буде ідеально. Трохи затягнула заняття</t>
  </si>
  <si>
    <t>https://tldv.io/app/meetings/6540ebd6731e380013f9ec9b</t>
  </si>
  <si>
    <t>Рек, приємна, студентка, пів року веде індивідуальні офлайн заняття з малювання, працювала з канвою і фотошопом.
Дуже хвилювалась, через хвилювання проскакували русизми, додати комунікації</t>
  </si>
  <si>
    <t>https://tldv.io/app/meetings/6540f2d558333a0013a9054c</t>
  </si>
  <si>
    <t>Листопад 2023</t>
  </si>
  <si>
    <t>Рек, приємна, близько року досвіду в SMM (+ виконує обовʼязки графічного дизайнера на даній позиції), навчалась на багатьох курсах з графічного дизайну і зараз закінчує курси з веб дизайну,ю мала досвід роботи спортивним тренером для діток, тому любить діток і хоче спробувати викладання дизайну.
Приємна гарно пояснює матеріал, комунікує.</t>
  </si>
  <si>
    <t>https://tldv.io/app/meetings/65421899ab40ff001338d692</t>
  </si>
  <si>
    <t>Приємна, пів року комерційного досвіду Юа юх дизайнером, до цього мала фріланс проекти, 4 роки працювала менеджером з навчання персоналу тому має гарний досвід викладання, але дорослим.
Дуже приємна, гарно комунікує і пояснює.</t>
  </si>
  <si>
    <t>https://tldv.io/app/meetings/65422e1aa4ab440013813bb8</t>
  </si>
  <si>
    <t>Приємна, 1,5 років працює юа юх дизайнером на фрілансі, але мала досвід роботи і графічним дизайнером, цікаво передавати знання і спробувати себе у викладанні</t>
  </si>
  <si>
    <t>https://tldv.io/app/meetings/6544d83e4e37210013cc1c5e</t>
  </si>
  <si>
    <t>Рек, приємна, студентка, 1+ займається юа юх дизайном, мала досвід фрілансі і роботи в компанії, також виконувала завдання графічного дизайнера, зараз цікаво спробувати викладання діткам</t>
  </si>
  <si>
    <t>https://tldv.io/app/meetings/6544e09a1d138e0013bd70d2</t>
  </si>
  <si>
    <t>nazargrigoryakk@gmail.com</t>
  </si>
  <si>
    <t>Рек, студент, навчається на компʼютерних науках, мав невеликий досвід в роблокс і з луа, 10 місяців працював помічником аніматора для дітей.
Пояснює непогано, комунікував.</t>
  </si>
  <si>
    <t>https://tldv.io/app/meetings/6544e6fee3b99f0013df40b7</t>
  </si>
  <si>
    <t xml:space="preserve">Бабій Юлія </t>
  </si>
  <si>
    <t>Закінчила бакалаврат за спеціальністю поліграфія, декілька місяців викладала дизайн, підходить графік у будні.
Гарно пояснює, було трохи комунікації але не багато.</t>
  </si>
  <si>
    <t>https://tldv.io/app/meetings/65489c04685067001392c4a7</t>
  </si>
  <si>
    <t>геймдев</t>
  </si>
  <si>
    <t>Наш колишній викладач роблокса. 
На іспиті був присутній Поляков, вирішили все ж взяти, намагався комунікуват, дуже хвилювався.</t>
  </si>
  <si>
    <t>https://tldv.io/app/meetings/6548c55e62a56f0014c18a74</t>
  </si>
  <si>
    <t>Рек, приємний, півтора року працює аналітиком баз даних півтора року, подобається сфера геймдеву, тому цікаво спробувати себе в роблоксі, також мав досвід навчання стажерів на роботі.
Гарно пояснює, зрозумілою мовою, комунікував, хвалив.</t>
  </si>
  <si>
    <t>https://tldv.io/app/meetings/6548cfe2790f120013a70ca0</t>
  </si>
  <si>
    <t>Мазурик</t>
  </si>
  <si>
    <t>Рек, дуже приємна, діток дуже любить, 30 років викладає укр мову та літературу в школі, мала також і більш адмніністративні посади, але все одно повернулась до викладання, також брала участь в Освітньому супі, тому з темою софт скілз знайома (порекоменд - Оксана Молчанова).
Гарно пояснює та комунікує, трішки змінити розміщення камери.</t>
  </si>
  <si>
    <t>https://tldv.io/app/meetings/6549ec1c9b8d69001388790c</t>
  </si>
  <si>
    <t>Гриневич</t>
  </si>
  <si>
    <t>Закінчує магістратуру з психології,був досвід роботи у садочку, 0,5 року працювала клінічним психологом, графік підходить як у будні, так і у вихідні.
Була друга спроба, є трохи складнощі з українською, дуже старається, але через це періодично є невеликі паузи. Зараз чекає ноутбук для роботи.</t>
  </si>
  <si>
    <t>https://tldv.io/app/meetings/654a0aea74e75300138d08e2</t>
  </si>
  <si>
    <t>Рек, приємна, студентка, проходила курси по дизайну і мала невеликі фріланс-проекти, знає канву і фотошоп.
Приємна гарно комунікувала і пояснювала, позитивна. Трохи біда з інтернетом, ідвисала- сказала що виправить.</t>
  </si>
  <si>
    <t>https://tldv.io/app/meetings/654b55128d14ed00139fae81</t>
  </si>
  <si>
    <t>Рек, студентка, навчається на розробника, знає скретч, подобається працювати з дітками.
Приємна, пояснює непогано, комунікація була але в процесі пояснень лекція. Найзручніше заняття в понеділок, середу після 17 і суботу.</t>
  </si>
  <si>
    <t>https://tldv.io/app/meetings/654b6177c1bac80013bd1961</t>
  </si>
  <si>
    <t>МІКом раніше була, 10 місяців, має психологічну освіду, близько року спрацювала в садочку з інклюзивними дітьми, волонтерить в громадських організаціях психологічного розвитку.
Гарно комунікує і пояснює, заняття сподобалось.</t>
  </si>
  <si>
    <t>https://tldv.io/app/meetings/654b680bc1bac80013bd20f3</t>
  </si>
  <si>
    <t>Софти (меньші і середні)</t>
  </si>
  <si>
    <t xml:space="preserve">Рек, приємна, студентка, мала досвід репетиторства близько пів року (навчала дошкільнят читати), зараз хоче спробувати нову сферу викладання для себе, хотіла б брати малі і середні групи.
Пояснює непогано, спочатку забула про комунікацію, потім виправилась, дуже хвилювалась через те що не працював нормально інтернет. </t>
  </si>
  <si>
    <t>заглючила програма запису</t>
  </si>
  <si>
    <t>Приємна, комерційного не має, але є свої проекти, закінчила універ з спеціальності комп'ютерних наук, зручно і у будні, і на вихідні.
Пояснює не погано, трохи мало комунікації.</t>
  </si>
  <si>
    <t>https://tldv.io/app/meetings/654b7ddfc1bac80013bd4076</t>
  </si>
  <si>
    <t>nsor@ukr.net</t>
  </si>
  <si>
    <t>Рек, приємний, студент ГОІТ, закінчив фулстек, до цього також працював в ІТ, але не розробником, також близько року викладав фотографію.
Пояснює дуже гарно, але була в основному теорія, без кодування. Трішки додати комунікації  саме в процесі пояснень, в цілому зберіг структуру, заняття мені сподобалось.</t>
  </si>
  <si>
    <t>https://tldv.io/app/meetings/654b83991ebc520013057323</t>
  </si>
  <si>
    <t>Малювання</t>
  </si>
  <si>
    <t xml:space="preserve">Рек, приємна, декілька років працює ілюстратором на фрілансі, працює в Фотошопі і Прокріейті, зараз цікаво спробувати себе в ролі викладача.
Гарно пояснює, комунікувала, вклалася в таймінг. </t>
  </si>
  <si>
    <t>https://tldv.io/app/meetings/654b9507c1bac80013bd5b21</t>
  </si>
  <si>
    <t>Рек, приємна, студентка, навчається на дизайнера, працювала з канвою та фотошопом, пів року викладала (ментальна арифметика та підготовка до екзаменів), та волонтерила близько року з дітками.
Провела гарне заняття, все детально пояснила, комунікувала.</t>
  </si>
  <si>
    <t>https://tldv.io/app/meetings/654def1afcc03b0013bc6ef1</t>
  </si>
  <si>
    <t>Рек, студент, навчається на розробника, знає скретч, хоче почати з майнкрафту, а потім ще і роблокс вивчити (порекомендував Артур Андреєв)
Гарно пояснює, комунікував, заняття сподобалось.</t>
  </si>
  <si>
    <t>https://tldv.io/app/meetings/654e0449b69c5e001304beb0</t>
  </si>
  <si>
    <t>Рек, дуже приємна, навчається на магістратурі на психолога та має консультації, також мала близько року досвіду в рекрутингу та працювала в садочку, викладала діткам тренінги.
Гарно провела пробне заняття, комунікувала багато, була практика.</t>
  </si>
  <si>
    <t>https://tldv.io/app/meetings/654e0bbfb69c5e001304c309</t>
  </si>
  <si>
    <t>Рек, приємна, 20 років викладає укр мову (школа + коледж), також брала участь півтора року в освітньому супі (впроваджували софт скілз на шкільні заняття), тому і зацікавилась цією темою (порекоменд - Оксана Молчанова).
Гарно пояснює, комунікує. Є трохи складнощі з технічною складаовою, не відразу розібралась з демонстрацією і не знайшла в навчанні програми розгорнутої.</t>
  </si>
  <si>
    <t>https://tldv.io/app/meetings/654e2f23040b0b0013815ed2</t>
  </si>
  <si>
    <t>Рек, студент, навчається на розробника, знає скретч, цікаво пробувати себе у викладанні дітям (потім ще на роблокс хоче) ( порекомендував Артур Андреєв).
Пояснює непогано, дуже хвилювався, намагався комунікувати, потрібно більше відкритих питань.</t>
  </si>
  <si>
    <t>https://tldv.io/app/meetings/6552009f76dc0e0013cb9900</t>
  </si>
  <si>
    <t>Рек, приємна, років викладала мову і літератиру в школі, брала участь в освітньому супі, тому з темою софт скілз добре знайома (порекоменд - Оксана Молчанова).
Трохи складнощі є з техічною складовою гугул міт, пояснює непогано, комунікувала.</t>
  </si>
  <si>
    <t>https://tldv.io/app/meetings/65521849b69c5e001305ed95</t>
  </si>
  <si>
    <t>Рек, 25 років викладає мову та літературу в школі, брала участь у освітньому супі, цікаво розвиватись у темі софт скілз (порекоменд - Оксана Молчанова).
Гарно пояснює, було багато комунікації і практики. має розібратись детальніше з дмеонстрацією екрану в міті.</t>
  </si>
  <si>
    <t>https://tldv.io/app/meetings/655223da040b0b0013827554</t>
  </si>
  <si>
    <t>anyastarovoit220@gmail.com</t>
  </si>
  <si>
    <t>Рек, приємна, пррацює 1+ економістом і дуже любить математику та допомогає іноді з нею діткам, тому вирішила спробувати себе у викладанні, хоче брати молодшу і середню школу спочатку, скретч базово знає (потім в майбутньому коли звикне, то і старші зможе).
Гарно пояснює комунікує, але були проблеми з інтернетом, виправить знає як, в цілому приємна)</t>
  </si>
  <si>
    <t xml:space="preserve">Шевцова Вероніка </t>
  </si>
  <si>
    <t>Дуже приємна, але хвилюється, студентка, навчається на ІТ спеціальності, був досвід викладання Пайтону на базі літньої школи, може у вихідні, щодо будніх можна обговорити (наприклад, вт.чт.пт).
Пояснює гарно, потрібно  більше ставити відкритих питань, дуже хвилювалась.</t>
  </si>
  <si>
    <t>https://tldv.io/app/meetings/65535848cc95ae0013fffdec</t>
  </si>
  <si>
    <t>Рек, приємна, 25 років викладає мову і літературу в школі, потім рік працювала в освітньому супі і зараз цікаво продовжувати викладати софт скілз (порекоменд - Оксана Молчанова).
Заняття круте, тільки камеру трішки налаштувати</t>
  </si>
  <si>
    <t>https://tldv.io/app/meetings/65548a03cc95ae001300d1b3</t>
  </si>
  <si>
    <t>МІКом працювала півтора місяці, і також 7 років викладала математику і фізику в школі.
Хвилювалась, пояснює непогано, комунікації багато. Трішки зі звуком були проблеми, проговорили.</t>
  </si>
  <si>
    <t>https://tldv.io/app/meetings/6554befeab2de30013bddac3</t>
  </si>
  <si>
    <t>5 років у сфері дизайну, декілька місяців був досвід менторства з перевіркою дз, зараз закордоном, може проводити заняття після 2 у будь-який день.
Приємна, гарно пояснює комунікувала, навіть підсумки підвела по структурі.</t>
  </si>
  <si>
    <t>https://tldv.io/app/meetings/6554c640ab2de30013bde00e</t>
  </si>
  <si>
    <t>Тарасович</t>
  </si>
  <si>
    <t>Приємний, закінчив курси з фронтенду, знає скретч, мав невеликий досвід викладання програмування дітям у таборі (3 місяці).
Пояснює непогано, було 2 спроби,  на першій дуже хвилювався тому було багато зайвих рухів і був дещо монотонний друга спроба була вже набагато краще і по комунікації і по поясненням, але з'явились проблеми з демонстрацією, скоріше всього буде підключатись для зображення і звуку з телефону.</t>
  </si>
  <si>
    <t>https://tldv.io/app/meetings/6555d6ef76dc0e0013ce2cdf</t>
  </si>
  <si>
    <t>Рек, дещо специфічний, навчався в Гоайті, викладав Пайтон, Майн (але краще надіслати технічне), хоче, щоб діти саме зрозуміли код, а не просто, щоб він відчитав матеріал, хоче максимальну зайнятість, тому готовий брати індивідуальні. ! Скоро має бути операція, тому зараз пройде адаптацію, складе іспит, через 2 тижні після операції буде набирати групки.
Заняття непогане, багато комунікації, пояснення в цілому зрозумілою мовою, але було багато коменд англійською і перемикався додатково на джаву скріпт, потрібно змінити або камеру або буде підключатись з телефону для зображення всі моменнти проговорили. Групи зможе брати через 2-3 тижні, тому що на цьому тижні буде операція і потрібен час на відновлення.</t>
  </si>
  <si>
    <t>https://tldv.io/app/meetings/65560958ab2de30013beb0bc</t>
  </si>
  <si>
    <t>Приємна, студентка, 1+ рік малює в прокріейті, закінчила декілька курсів по дизайну, також мала невелику педагогічну практику.
Гарно поянює, комунікує, готова брати і групи. З рекомендацій тільки трішки відсунунти камеру, тому що близько.</t>
  </si>
  <si>
    <t>https://tldv.io/app/meetings/65564872cc95ae001302202e</t>
  </si>
  <si>
    <t>Приємна, близько року викладала дошкільнятам малювання, також проходить курс з ілюстрацій, має невеликий досвід смм, знає канву та фотошоп.
Гарно пояснює, але трохи мало комунікації, просила передати розробникам програми, що заняття для знайомства з програмою заскладні будуть для учнів.</t>
  </si>
  <si>
    <t>https://tldv.io/app/meetings/65565201c8eb770013f5c2b6</t>
  </si>
  <si>
    <t>Рек, приємна, активна, студентка 1 курсу, але ще в школі вела активну діяльність у місцевому самоврядуванні, проводила діткам різноманітні тренінги з софт скілз та брала участь у проектах разного спрямування.
Пояснює непогано, хвилювалась, комунікація була, але як для софтів мало, також не вистачило практики, рекомендації проговорила. Потрібно буде до неї трохи придивитись</t>
  </si>
  <si>
    <t>https://tldv.io/app/meetings/65571bbb3dad3a0013eb3168</t>
  </si>
  <si>
    <t xml:space="preserve">Дещо специфічний, має 1 рік комерційного та декілька місяців на фрілансі, був досвід менторства знайомих, підійшов графік на 25.11.
Пояснює зрозуміло, на майже всі питання відповів, трохи додати комунікації, вона була, але не багато, трохи швидко говорить.
</t>
  </si>
  <si>
    <t>https://tldv.io/app/meetings/655722453dad3a0013eb379f</t>
  </si>
  <si>
    <t>Рек, приємна, близько року працює з прокріейтом, також мала невеликий досвід допомоги мамі з викладанням (проводила заміни в художній школі), на індивідуальні підійде краще, ніж на групові, більше хоче брати заняття в пʼятницю, але і інші графіки готова розглядати за потреби.
Пояснює гарно, трохи не зрозуміла структуру заняття покроково все показала на вже готових прикладх шарів, трохи додати комунікації відкритими питаннями.</t>
  </si>
  <si>
    <t>https://tldv.io/app/meetings/65572b261e9c0f0013559302</t>
  </si>
  <si>
    <t>Рек, приємна, 23 років викладає укр мову і історію в школі, також мала досвід викладання молодшим класам, брала участь в освітньому супі та інших подібних проектах (порекоменд - Оксана Молчанова).
Заняття чудове, тільки потрібно розібратись з демонстрацією екрану всього, тому що часто перезапускала демонстрацію, щоб перемкнутись між вкладками.</t>
  </si>
  <si>
    <t>https://tldv.io/app/meetings/6557330d61a93600130efea9</t>
  </si>
  <si>
    <t>Рек, 24 років викладає мову і літературу в школі+завуч в школі, цікаво розвиватись в нових напрямках, тому обрала софт скілз.
Комунікує, була практика, були трішки складнощі в технічних моментах (відсутнє світло, тому підклбчалась з ноутбуку не свого)</t>
  </si>
  <si>
    <t>https://tldv.io/app/meetings/65573a361e9c0f001355a0e3</t>
  </si>
  <si>
    <t>Приємна, +- 1 рік в сфері геймдизайну та ЮІ ЮХ , працювала з Фотошопом, Ілюстратором, Фігмою, підходить графік на вихідних.
Пояснює гарно, трохи мало комунікації і є незначна кількість русизмів</t>
  </si>
  <si>
    <t>https://tldv.io/app/meetings/65574cbed68fcb0013033c1f</t>
  </si>
  <si>
    <t>Рек, приємна, закінчила бакалавра на дизайнера, мала невеликі фріланс проекти, близько 2х років малює в прокріейті, декілька місяців викладала малювання в таборі. 
Пояснює гарно, комунікує, буде підключатись додатково з телефону для зображення і звуку. Дівчина нашого МІКа</t>
  </si>
  <si>
    <t>https://tldv.io/app/meetings/6557545bc34f9a0013299198</t>
  </si>
  <si>
    <t>Рек, приємна, за освітою викладач музики, працювала з дітками 5 років, вік діток десь до 13 років, може у будні після 5.
Дуже сильно хвилювалась і через це губилась в слайдах, була комунікація і практика, камеру потрібно відсунути і в цілому придивитись до неї.</t>
  </si>
  <si>
    <t>https://tldv.io/app/meetings/65575c0a61a93600130f249b</t>
  </si>
  <si>
    <t>Фронт Джун, Пайтон</t>
  </si>
  <si>
    <t>5 років викладає в різних школах програмування+ веде індивідуальні заняття, за цей час викладав вже все що можна, але вирішили почати з Фронтенд Джун, Пайтон, потім може ще на щось здасться.
Заняття гарне, комунікує, позитивний, трішки картавить, ще здасться на ФЕ джун в понеділок.</t>
  </si>
  <si>
    <t>https://tldv.io/app/meetings/655762cdc34f9a0013299efa</t>
  </si>
  <si>
    <t>Приємний, 1,5 роки вчив Джаву, проходив курси, були свої проекти на фрілансі, почне з занять в будні, потім візбме вихідні
Намагався комунікувати, підготував цікаве заняття, але є проблеми зі звуком і інтернетом, маэ все виправити, можливо буде пыдключатись з телефону додатково для зображення і звуку</t>
  </si>
  <si>
    <t>https://tldv.io/app/meetings/655769928d59a700131d9ab0</t>
  </si>
  <si>
    <t>Рек, приємна, закінчила педагогічниї і з вересня працює викладачем в школі, працює з молодшою школою, але хотіла б брати групки різного віку.
Гарно комунікує, пояснює, була практика.</t>
  </si>
  <si>
    <t>https://tldv.io/app/meetings/655b0ff278f4e900134db608</t>
  </si>
  <si>
    <t xml:space="preserve">Тихонова Марія </t>
  </si>
  <si>
    <t>Пояснює гарно, трохи не зрозуміла формат іспиту, тому майже не було комунікації.</t>
  </si>
  <si>
    <t>https://tldv.io/app/meetings/655b1e5ca3cffd0013d25276</t>
  </si>
  <si>
    <t>Рек, студент, навчається на розробника, знає луа і мав досвід в роблокс, але домовились, що технічне навчання теж для закріплення пройде, мав невеликий досвід помічником вожатого в літньому таборі .
По поясненням все добре, комунікувати намагався, правда тільки закритими питаннями.</t>
  </si>
  <si>
    <t>https://tldv.io/app/meetings/655b2c3778f4e900134dcf2c</t>
  </si>
  <si>
    <t>andriimandzia0@gmail.com</t>
  </si>
  <si>
    <t>Рек, студент, навчається на розробника, вивчає с#, знає луа і мав досвід в роблокс, але домовились, що технічне навчання теж для закріплення пройде, мав невеликий досвід аніматором.
Пояснення непогані, комунікації майже не було, з попереднім кандидатом прийшли разом. Один раз використав слово "Фігня", рекомендації проговорила.</t>
  </si>
  <si>
    <t>https://tldv.io/app/meetings/655b3372f2675900139c0f67</t>
  </si>
  <si>
    <t>Приємна, 2 роки працює дизайнером на фрілансі, до цього сумарно 3 роки викладала в студії малювання для дітей та також вела індивідуальні заняття з живопису, в прокріейті працює близько 2х років.
Пояснення зрозумілі, комунікації не було більше через те що складно було уявити мене учнем, приємна,  буде підключатись додатково з іншого присторою для зображення.</t>
  </si>
  <si>
    <t>https://tldv.io/app/meetings/655b413da3cffd0013d2749f</t>
  </si>
  <si>
    <t xml:space="preserve">@never1existed </t>
  </si>
  <si>
    <t>Приємний, студент, комерційний 8 місяців, допомагає (вчить) знайомого Геймдеву, пдходить графік у будні окрім вт,чт, на 27.11.
Дуже хвилювався, але підготувався добре, відповів на всі мої питання, активно комунікував, все показав на прикладах, в цілому молодець.</t>
  </si>
  <si>
    <t>https://tldv.io/app/meetings/655b4fbd1b36e90013482df0</t>
  </si>
  <si>
    <t>Рек, приємний, закінчує педагогічну магістратуру, пів року викладав музику в школі і 3+ року займається репетиторством з музики, також декілька місяців викладав ментальну арифметику, в цілому цікавлять різні напрямки викладання, тому через деякиц час було б цікаво і майн вивчити (скретч базово знає).
Гарно пояснює, можна на молодших діток, спочатку трішки забув про комунікацію, потім виправився. Брат Юрія Дмитриєвського</t>
  </si>
  <si>
    <t>https://tldv.io/app/meetings/655c689e6f69c20014de7b92</t>
  </si>
  <si>
    <t xml:space="preserve">Новосільська Марія </t>
  </si>
  <si>
    <t>novosilma@ukr.net</t>
  </si>
  <si>
    <t xml:space="preserve">Софти </t>
  </si>
  <si>
    <t>Рек, приємна, 24 роки працює вчиелем початкових класів, також мала досвід зі старшими дітками в різнманітніх освітніх проектах, була в освітньому супі, тому цікаво продовжувати викладання у сфері софт скілз.
Пояснення ацікавлюючі, багато комунікації і практики, гарно залучає- відчула себе учнем, трішки налаштувати зображення потрібно</t>
  </si>
  <si>
    <t>https://tldv.io/app/meetings/655c7663deb4ec0013903ae1</t>
  </si>
  <si>
    <t>Рек, приємна, близько року працювала графічним дизайнером в рекламній компанії, зараз має фріланс проекти, також мала досвід викладання в таборі мистецтво та в художній школі
Поряснює зрозумілою мовою, комунікувала, але краще додати ще комунікації,трохи підвисала.</t>
  </si>
  <si>
    <t>https://tldv.io/app/meetings/655c7e52cb995d0013c96019</t>
  </si>
  <si>
    <t>Приємна, вчила ФЕ, зараз закордоном, може у будні увечері.
В цілому враження позитивні від заняття, пояснення цікаві, для діток ок, але є дрібні моменти і в поясненнях і в структурі і в налаштуваннях майну- все прописала і проговорила в рекомендаціях.</t>
  </si>
  <si>
    <t>https://tldv.io/app/meetings/655c9999123db800138de304</t>
  </si>
  <si>
    <t>@Baby_patric</t>
  </si>
  <si>
    <t>fabikig1@gmail.com</t>
  </si>
  <si>
    <t>Рек, приємний, 1+ рік працює дизайнером на фрілансі, знає канву, фотошоп і трохи вікс.
Цікаво поянює, креативну презентацію підготував, буде з дітьми на одній хвилі, потрібно налаштувати розміщення камери і додати комунікації трохи. В подальшому хоче і звичайний дизайн вести.</t>
  </si>
  <si>
    <t>https://tldv.io/app/meetings/655caf12cb995d0013c98e73</t>
  </si>
  <si>
    <t>Приємний, 2 роки працює викладачем інформатики в школі і 3 місяці працював в Лозіці.
Гарно пояснює, комунікував, все показав на простому прикладі, поки зупиняємось на майні.</t>
  </si>
  <si>
    <t>https://tldv.io/app/meetings/655df942739bcf00136e85cd</t>
  </si>
  <si>
    <t>Рек, приємна, 10 років викладає укра мову в школі, для себе цікавиться темою софт скілз, тому цікаво викладати хх діткам, більше хотіла б працювати зі старшою школою (порекоменд - Оксана Молчанова).
Пояснює гарно, комунікує, дуже хвилювалась, було багато практики</t>
  </si>
  <si>
    <t>https://tldv.io/app/meetings/655e0767da6ced0013283cbf</t>
  </si>
  <si>
    <t xml:space="preserve">Рек, приємна, студнтка, пройшла декфлька курсів з дизайну, 2 роки малює в Прокріейті, декілька місяців веде спікінг клаби з англійської для дітей ( порекоменд Качуєвська Вікторія - дизайн).
Комунікує, поясню гарно, заняття було більше теоретичне  але показала на прикладах які пензлики є і чим відрізняються. Готова брати групи, більше працювала саме з ними. </t>
  </si>
  <si>
    <t>https://tldv.io/app/meetings/655f049fe701300012513e2c</t>
  </si>
  <si>
    <t>Клименко Аннa</t>
  </si>
  <si>
    <t>Рек, приємна, близько року працювала графічним дизайнером в рекламній компанії, зараз має фріланс проекти, також мала досвід викладання в таборі мистецтво та в художній школі.
Пояснює зрозуміло, комунікації не було зовсім, трохи хвилювалась</t>
  </si>
  <si>
    <t>https://tldv.io/app/meetings/655f368a53219800131da3b7</t>
  </si>
  <si>
    <t>Приємна, має близько пів року досвіду дизайну на волонтерському проекті, пройшла курси з юа юх дизвнй та 1,5 роки малює в прокріейті.
Заняття супер, готова ы на групи, дитячий підхід.</t>
  </si>
  <si>
    <t>https://tldv.io/app/meetings/655f3c93040d4b00139d8ef6</t>
  </si>
  <si>
    <t xml:space="preserve">Куліш Юлія </t>
  </si>
  <si>
    <t>На іспиті хвилювалась, пояснює непогано, комунікувала.  Готова брати і групи.</t>
  </si>
  <si>
    <t>https://tldv.io/app/meetings/655f43d3a8ae0c00134875dc</t>
  </si>
  <si>
    <t>Навчався в політесі, має близько 5 років комерційного, великій досвід в розробці, був тім-лідом в компанії певний час, готовий на 02.12.
Пояснює непогано, комунікації мало, є трохи русизмів- не критично. Готовий на гуру завтра,і на групу 2.12 і взагалі зараз безробітній, тому готовий на будь які групи)</t>
  </si>
  <si>
    <t>Рек, приємна, студентка, навчається на історії, мала пів року досвіду репетиторства з декількома учнями, подопбється тема саморозвитку, тому цікаво викладати софт скілз.
Пояснює гарно, комунікує, позитивне заняття вийшло.</t>
  </si>
  <si>
    <t>https://tldv.io/app/meetings/65644a0c5af80100139d4ae2</t>
  </si>
  <si>
    <t>Дуже приємна, давно в ІТ, але близько року тому пройшла курси з ІТ та має 4 місяці на фрілансі над проектом досвіду, викладала 2-3 роки в гуртку з інформатики для школярів та ще декілька років студентам.
Пояснення дитячі, все зрозуміло, можна трішки більше комунікації відкритими питаннями.</t>
  </si>
  <si>
    <t>https://tldv.io/app/meetings/65645f9f5af80100139d5e35</t>
  </si>
  <si>
    <t>Рек, приємна, студентка, навчається на анімації, у прокріейті працює 4 роки, мала досвід ведення свого ютуб каналу про діджитал малювання.
Все детально пояснює, постійно контролює виконання, комунікує, пояснення для діток чудові. Готова і на групи і на індивідуальні.</t>
  </si>
  <si>
    <t>https://tldv.io/app/meetings/656466e0bbe95b0013ac6dfd</t>
  </si>
  <si>
    <t>Приємна, 2 роки працює в прокріейті (малює ескізи тату та робить ілюстрації на замовлення), мала досвід роботи нянею та навчала індивідуально людей про тату.
Є трохи русизмів, старалсь комунікувати, пояснює непогано.</t>
  </si>
  <si>
    <t>https://tldv.io/app/meetings/65647f269c8e440013402ac5</t>
  </si>
  <si>
    <t>Приємна, студентка, навчається в архітектурному, 2 роки співпрацює з закладом харчування та створює йому всю айдентику та комікси для соц мереж, близько 2х років малює в прокріейті.
Пояснює гарно, трохи були складнощі з демонстрацією- розібралась, проводила з громадського місця, реальні заняття буде проводити в тиші. Додати більше саме відкритих питань.</t>
  </si>
  <si>
    <t>https://tldv.io/app/meetings/656489b52b1e53001317ffd5</t>
  </si>
  <si>
    <t xml:space="preserve">Харченко Анна </t>
  </si>
  <si>
    <t>Приємна, близько 1 року комерційного, малює обкладинки до книжок, почне з індивідуальних занять, потім візьме групові.
Пояснює непогано, додати комунікації, з рекомендацій підключатись додатково з іншого пристрою, тому що трохи підвиласа і камера під час демонстрації не працює.</t>
  </si>
  <si>
    <t>https://tldv.io/app/meetings/656493402b1e53001318094f</t>
  </si>
  <si>
    <t>Рек, приємна, навчається на психолога, пів року асистент вчителя та викладає уроки для дошкільнят.
Пояснює добре, багато комунікує, можна ставити на молодших.</t>
  </si>
  <si>
    <t>https://tldv.io/app/meetings/65649a2d8ce2280013786c68</t>
  </si>
  <si>
    <t>Рек, приємна, 7+ років працює вчителем молодших класів, цікаво розвиватись в трохи іншому напрямку викладання, тому зацікавила тема софт скілз.
Трох відсунути камеру і розібратись краще з мітом,  а так заняття чудове, гарно комунікує, було багато практики.</t>
  </si>
  <si>
    <t>https://tldv.io/app/meetings/6565bb002b1e53001318d612</t>
  </si>
  <si>
    <t>Приємна, 2+ року малює в прокріейті, декілька місяців працювала іллюстратором в геймдев компанії та також мала замовлення на фрілансі, пів року викладає в художній школі .
З комунікацією не склалось, є трохи русизмів, скоріше всього через  те що інтерфейс програми російською. В цілому пояснення зрозумілі. На групи</t>
  </si>
  <si>
    <t>https://tldv.io/app/meetings/6565d41685054d0012ac5202</t>
  </si>
  <si>
    <t>Рек, приємна 14 років викладає математику в школі, брала участь в Освітньому супі і цікаво продовжувати розвиток в напрямку викладання софт скілз.
Підговула цікаву презентацію, комунікує, гарно пояснює, для діток буде супер.</t>
  </si>
  <si>
    <t>https://tldv.io/app/meetings/6565dcad8ce2280013795747</t>
  </si>
  <si>
    <t>Приємна, 1+ рік малює в прокріейті, бере невеличкі замовлення на фрілансі та паралельно займається смм, подобається спілкуватись з дітками, тому цікаво спробувати викладання.
Гарно пояснює, трохи додати комунікаці саме відкритими питаннями, в цілому заняття сподобалось.</t>
  </si>
  <si>
    <t>https://tldv.io/app/meetings/65671791ffc9990014d6c50c</t>
  </si>
  <si>
    <t>natalyaslipovich@gmail.com</t>
  </si>
  <si>
    <t>Рек, приємна, 15+ років працює викладачем математики у школі, брала участь у освітньому супі та активно спроваджує софт скілз на заняття (Порекомендувала - Молчанова).
Пояснює непогано, багато комунікаці, біда була з гугл міт, потрібно трішки розібратись в ньому і трохи є русизми- не критично.</t>
  </si>
  <si>
    <t>https://tldv.io/app/meetings/65673b2e85054d0012ad69b1</t>
  </si>
  <si>
    <t>Дуже приємна, 2 роки викладала малювання (живопис, фарбам), офлайн та викладала Прокріейт індивідуально, на фрілансі +- 5 років, зараз закордоном.
Пояснює чудово, затягнула трохи заняття, але мені не хотілдось переривати, тому що дійсно було цікаво. Не вистачило комунікації. На групи.</t>
  </si>
  <si>
    <t>https://tldv.io/app/meetings/65684cc6b7fdb80013f707e8</t>
  </si>
  <si>
    <t>Грудень 2023</t>
  </si>
  <si>
    <t>Рек, дуже приємна, має психологічну освіту, займається психологічною консультацією та мала досвід репетиторства, також проводила діткам групові заняття з арт терапії.
Класне заняття, відчула себе учнем</t>
  </si>
  <si>
    <t>https://tldv.io/app/meetings/65699720f5e0de001322c806</t>
  </si>
  <si>
    <t>Наш сапорт, працює у нас бульше пів року, стало цікаво спробувати себе у викладанні, бо подобається працювати з дітками та сама тема софт скілз.
Гарно комунікує і пояснює, прийшла на іспит в свій ДР, хвалить</t>
  </si>
  <si>
    <t>https://tldv.io/app/meetings/65699f2938f9fb001366f888</t>
  </si>
  <si>
    <t xml:space="preserve">Лук'янець Аліса </t>
  </si>
  <si>
    <t>Дуже приємна, підійшов графік на 05.12, має базову художню та педагогічну освіту, в сфері дизайну з 2018 року, проходила практику під час навчання в садочках, школах, також 0,5 року викладала англійську.
Гарно пояснює, все дуже по дитячому, видно довсід спілкування з дітками, активно комунікує. На групи.</t>
  </si>
  <si>
    <t>https://tldv.io/app/meetings/6569b39038f9fb0013670a03</t>
  </si>
  <si>
    <t>Приємна, майже 3 роки працювала дизайнером та 1+ рік викладала малювання у студії для дітей і дорослих, у прокріейті малює близько 4х років .
Пояснює непогано, комунікації зовсім мало і потрібно вирішити питання з шумом від сусідів. живе в новобудові і всюди ремонти, порекомендувала навушники які будуть глушити цей шум.</t>
  </si>
  <si>
    <t>https://tldv.io/app/meetings/656da19a8096c90013de98be</t>
  </si>
  <si>
    <t>Приємний, художник-ілюстратор на фрілансі, 4 роки працює в прокріейт, викладав для діток курс з малювання коміксів, також їздив у табори вожатим та мав там заняття з малювання.
Додати трохи комунікації відкритими питаннями, також порекомендувала під'єднуватись додатково з іншого пристрою, щоб була камера. пояснює зрозумілою для дітей мовою.</t>
  </si>
  <si>
    <t>https://tldv.io/app/meetings/656dbd10e0fa3c0013fd7529</t>
  </si>
  <si>
    <t xml:space="preserve">Нагорна Ірина </t>
  </si>
  <si>
    <t xml:space="preserve">Приємна, 20+ років викладає математику в школі, брала участь в освітньому супі тому цікаво продовжувати розвиватись в напрямку софт скілз.
Позитивна, але біда з технічною складовою заняття і є русизми. </t>
  </si>
  <si>
    <t>https://tldv.io/app/meetings/656dce248096c90013dec4ec</t>
  </si>
  <si>
    <t>Рек, 10+ років викладає укр мову в школі, брала участь в освітньому супі.
Позитивно, багато комунікації, цікава практика</t>
  </si>
  <si>
    <t>https://tldv.io/app/meetings/656ed65c2a29c80013239029</t>
  </si>
  <si>
    <t>Рек, приємний, (близько 4х років займається дизайном, переважно графічним, невеликі фріланс проекти, стажування і працював в компанії та агенції)+ волонтерить у громадській організації та навчається на психолога, тому цікаво викладати дизайн і софт скілз.
Пояснює, комунікує все добре, тількт от практики не було на занятті.</t>
  </si>
  <si>
    <t>https://tldv.io/app/meetings/656ef50562a5320013531aad</t>
  </si>
  <si>
    <t>Комерційний +- 2 роки, зі світлом проблем не буде, графік будь-який підходить, підходить графік на 02.12.
Пояснив все зрозуміло, лаконічно, комунікував, в цілому враження позитивні.</t>
  </si>
  <si>
    <t>https://tldv.io/app/meetings/656f00afc4344e0013471b0f</t>
  </si>
  <si>
    <t>Рек, приємна, 12+ років викладала різноманітні компʼютерні дисципліни в коледжі, цікаво спробувати для себе новий напрямок, також після роблоксу, хотіла б і на фронтенд (бо його безпосередньо і викладала)
Пояснює непогано, дуже хвилювалась, є трохи русизмів і варто більше ставити відкритих питань, в цілому намагалась комунікувати.</t>
  </si>
  <si>
    <t>https://tldv.io/app/meetings/6573044622a42f001327a2d9</t>
  </si>
  <si>
    <t>Дуже приємна, близько 4х років працювала викладачем (викладала малювання, працювала в садочку, була педагогом-організатором), також близько року була ілюстратором у прокріейті працює 5 років.
Багато комунікує, гарно пояснює, для учнів чудово буде.</t>
  </si>
  <si>
    <t>https://tldv.io/app/meetings/6576e2b10b365500131cf808</t>
  </si>
  <si>
    <t xml:space="preserve">Васильєва Ірина </t>
  </si>
  <si>
    <t>Приємна, мила і емпатична, 2+ роки працює у прокріейті на фрілансі, подобається спілкуватись з дітками та дуже цінує комфорт студента під час навчання (на індивідуальні взагалі супер, але і з груповими справиться), мала невеликий досвід роботи помічником вчителя на курсах з дизайну інтерʼєру для дорослих.
Дууууже приємна, цікаво пояснює, трохи забула про комунікацію в процесі практики, але в цілому вона була, навіть підсумки підвела.</t>
  </si>
  <si>
    <t>https://tldv.io/app/meetings/6578362b794f5d00134d1259</t>
  </si>
  <si>
    <t xml:space="preserve">Олефіренко Ярослав  </t>
  </si>
  <si>
    <t>Наш ЛМС адмін, працює у нас пів року, до цього мав досвід створення проектів з фронтенду на фрілансі, цікаво почати з фронтенд джуніор, а з нового року брати і групи з фронтенду, бо з цим більше працював. Пояснює непогаено, комунікував, але зовсім не було практики</t>
  </si>
  <si>
    <t>https://tldv.io/app/meetings/65783cc59f1acb0012ae3421</t>
  </si>
  <si>
    <t>Рек, приємний, студент, навчається на розробника, 
Пояснює гано,приємний, позитивний. Не вистачило живого кодування і трохи плаває в поняттях- інкапсуляція, поліморфізм, наслідування.</t>
  </si>
  <si>
    <t>https://tldv.io/app/meetings/657852459f1acb0012ae4840</t>
  </si>
  <si>
    <t>Приємна, 2+ роки працює графічним дизайнером+смм, мала невелику викладацьку практику після університету, близько 5 років працює у прокріеті (коли на проекті потрібно).
Пояснює непогано, трохи русизмів є і хотілось би більше комунікації.</t>
  </si>
  <si>
    <t>https://tldv.io/app/meetings/65798c93c8cb450013bab0d2</t>
  </si>
  <si>
    <t>Приємна, отримує педагог. освіту, 2 місяці працює куратором з дітками, іноді заміняє там викладачів, має академічну хуложню освіту та досвід на фрілансі з дизайном +- 2 роки.
Дуже детально все пояснює і багато комунікує, для діток взагалі вогонь</t>
  </si>
  <si>
    <t>https://tldv.io/app/meetings/65799a721703080013bd66b6</t>
  </si>
  <si>
    <t xml:space="preserve">Малахова Зоя </t>
  </si>
  <si>
    <t>Рек, навчається на дизайнера в магістратурі, знає канву, і фотошоп, вікс підвчить, мала невеликий досвід викладання дітям індивідуальних занять з малювання (літом).
Дуже хвилювалась, через що забула про комунікацію ібуло дуже багато стронніх рухів в кадрі. Пояснює детально і зрозуміло.</t>
  </si>
  <si>
    <t>https://tldv.io/app/meetings/6579a28a78c35500133b72d0</t>
  </si>
  <si>
    <t>@bozhevilnuy</t>
  </si>
  <si>
    <t>rmvsk@yahoo.com</t>
  </si>
  <si>
    <t>Рек, приємний, закінчує магустратуру на психолога, мав досвід проведення психологічних конультацій більше року.
Гарно пояснює, комунікує, не нудний, трохи б більше практики і взагалі було б чудово.</t>
  </si>
  <si>
    <t>https://tldv.io/app/meetings/657c28c22aaa020013eef643</t>
  </si>
  <si>
    <t>Рек, приємна, студентка, вивчає дизайн, знає канву та фотопі, вікс довчить, допомагала з викладанням у художній школі.
Лаконічно все разповіла і показала на реальному прикладі, нгамагалась комунікувати, але тільки закритими питаннями, постійний сторонній шум- скоріше всього від вентилятора, це те що обов'язково потрібно вирішити перед проведенням занять.</t>
  </si>
  <si>
    <t>https://tldv.io/app/meetings/657c2fe27d07bf001338aeb4</t>
  </si>
  <si>
    <t>Дуже приємна, студентка, проходила курси дизайну, працює рік з дизайном, з Прокріейтом комерційного досвіду немає, але проходила по ньому курси та створює свої проекти, любить працювати з дітками.
Гарно пояснює, комунікація є але переважно закритими питаннями.</t>
  </si>
  <si>
    <t>https://tldv.io/app/meetings/657c36f47d07bf001338b5c6</t>
  </si>
  <si>
    <t xml:space="preserve">Солончак Станіслав </t>
  </si>
  <si>
    <t>Рек, закінчив юридичний, знає скретч, подобається гра майнкрафт і спілкування з дітками, тому цікаво спробувати себе у новій сфері.
Пояснює непогано, переплутав тему, багато комунікує, але переважно закритими питаннями, дуже хвилювався.</t>
  </si>
  <si>
    <t>https://tldv.io/app/meetings/657d55eaea8ce60013fd02e2</t>
  </si>
  <si>
    <t xml:space="preserve">1,5 роки працює Пайтон розробником, був досвід викладання, зручно у будні з 19 та на вихідних.
Пояснює гарно, на практиці була комунікація, трохи були проблеми зі звуком, відразу вирішили їх. </t>
  </si>
  <si>
    <t>https://tldv.io/app/meetings/6581838e0a29e5001363fd0b</t>
  </si>
  <si>
    <t xml:space="preserve">Михайленко Людмила </t>
  </si>
  <si>
    <t>Приємна, з 2013 року викладає інформатику, з 2015 року був досвід репетиторства математики, дещо специфічна, підійшов графік на 20.12.
Пояснює чудово, гарно комунікує, для діток буде супер.</t>
  </si>
  <si>
    <t>https://tldv.io/app/meetings/6582c144354a6d001377b37b</t>
  </si>
  <si>
    <t xml:space="preserve">Хижняк Марія </t>
  </si>
  <si>
    <t>Рек, приємна, студентка, навчається на журналістиці, мала невеликий досвід роботи в дитячому садку, подобається тема софт скілз і публічні виступи взагалі, групки зможе брати з середини січня.
Дуже хвилювалась, спочатку забула про комунікацію, основна проблема була саме у хвилюванні.</t>
  </si>
  <si>
    <t>https://tldv.io/app/meetings/6582d531d691230014ab3f31</t>
  </si>
  <si>
    <t>Рек, приємна, навчається на архітектора, у прокріейт малює 2 роки, 3 місяці викладає малювання у художній студії дітям.
Комунікації зовсім немає, пояснює зрозуміло, хвилювалась.</t>
  </si>
  <si>
    <t>https://tldv.io/app/meetings/6582ea59d691230014ab50f8</t>
  </si>
  <si>
    <t>Софти( англ і укр)</t>
  </si>
  <si>
    <t>Рек, приємна, 20 років працює репетитором з англійської (переважно працює з дорослими та підлітками) також працює в рекламному агенстві, може вести софти українською та англійською (найближчий графік на софт інгліш підходить).
З мітом розібралась, багато комунікації, ставить багато питань, варто додати практики,  не знайшла наших презентацій, показала де шукати, можуть бути складнощі в технічних моментах перший час.</t>
  </si>
  <si>
    <t>https://tldv.io/app/meetings/65855c88af61bf0013badd51</t>
  </si>
  <si>
    <t>Приємний, позитивний, студент, навчається на розробника, мав досвід з роблокс як грою і трохи з роблокс студіо, тому цікаво викладати його діткам.
Пояснює гарно, комунікує відкритими питаннями, є трохи русизмів і виправити посадку в кадрі, заняття сподобалось</t>
  </si>
  <si>
    <t>https://tldv.io/app/meetings/65856a87af61bf0013bae82e</t>
  </si>
  <si>
    <t>Від КС, приємна, закінчила фул стек, зараз проходить подібний курс англійською, цікаво спробувати викладання.
Пояснює зрозуміло, треба додати комунікації, все показала на реальному прикладі.</t>
  </si>
  <si>
    <t>https://tldv.io/app/meetings/65857177a49aa900137c3cf5</t>
  </si>
  <si>
    <t>Приємна, 5 років у дизайні, працювала у поліграфії, зараз графічний дизайнер т апройшла курси по юа юх дизайну, мала практику викладання на магістратурі.
Комунікує, на практиці перейшла більше на закриті питання, пояснює детально.</t>
  </si>
  <si>
    <t>https://tldv.io/app/meetings/6585792aaf61bf0013baf2d6</t>
  </si>
  <si>
    <t xml:space="preserve">Андрощук Анна </t>
  </si>
  <si>
    <t>Приємна, 2 роки працює дизайнером, 17 років, студентка, вільно спілкується англійською, може у будні окрім пн, ср та на вихідних, готова на старт 21.12 або 23.12.
Пояснює зрозумілою мовою, буде з учнями на одній хвилі, але комунікації не було зовсім, і трохи забагато "е".</t>
  </si>
  <si>
    <t>https://tldv.io/app/meetings/658580b4ae19730013d0ed36</t>
  </si>
  <si>
    <t xml:space="preserve">Холодняк Станіслав </t>
  </si>
  <si>
    <t>Приємний, студент, як такого досвіду немає, знайомий з ФЕ, проводить стріми для себе, там спілкується з дітьми, підлітками.
Дуже хвилювався, треба добре готуватись до занять, але знає як викрутитись що є плюсом. Намагався комунікувати на початку, потім через хвилювання вже не було комунікації.</t>
  </si>
  <si>
    <t>https://tldv.io/app/meetings/658586cbb38dac00133a8601</t>
  </si>
  <si>
    <t>Рек, дуже приємна, працювала адміністратором, до цього мала досвід роботи з інклюзивними дітьми та у приватній школі помічником викладача.
Круте заняття, працювала з інклюзивними дітками, хоче групи після нового року.</t>
  </si>
  <si>
    <t>https://tldv.io/app/meetings/65858e25b38dac00133a8c57</t>
  </si>
  <si>
    <t xml:space="preserve">Карпенко Зоряна </t>
  </si>
  <si>
    <t>Приємна, студентка, навчається на дизайнера, до цього рік навчалась на викладача образотворчого мистецтва, у прокріейті працює більше року.
Пояснює гарно, трохи більше комунікації варто додавати і є русизми- не критично.</t>
  </si>
  <si>
    <t>https://tldv.io/app/meetings/658594c1b38dac00133a9154</t>
  </si>
  <si>
    <t>Майн (звичайний і планшет)</t>
  </si>
  <si>
    <t>Приємна, проходила курси з ФЕ, поки без ФОПу, заняття може проводити  і в будні, і у вихідні, є планшет, може проводити з планшету заняття.
Пояснює чудово, обрала непоганий приклад для пояснення матеріалу. Дуже хвилювалась, потрібно трішки більше комунікації.</t>
  </si>
  <si>
    <t>https://tldv.io/app/meetings/65893c111d8a500013baca86</t>
  </si>
  <si>
    <t>Від КС, Закінчив курси ГоІТ, до цього 5 років викладав математику в школі, зараз працює системним адміністратором і брав дікілька діток на репетиторство.
Пояснює зрозуміло, комунікує, але потрібно буде ретельного готуватись до занять- чесно відповів, що не використовував ні інкапсуляцію ні полімарфізм і тільки чув про них.</t>
  </si>
  <si>
    <t>https://tldv.io/app/meetings/658957df6e12260014b52a79</t>
  </si>
  <si>
    <t xml:space="preserve">Рек, приємна, студентка, пів року викладала англійську офлайн для дітей (індивідуальні і групові заняття)
Гарно комунікує, поснення зрозумілі, занятття сподобалось
</t>
  </si>
  <si>
    <t>https://tldv.io/app/meetings/6589742ef98e760013b619b2</t>
  </si>
  <si>
    <t>tomoesanya@online.ua</t>
  </si>
  <si>
    <t>Від КС, приємний, закінчив гоіт курс на фул стек, цікаво спробувати для себе викладання для передачі знань та закріплення своїх.
Намагався розповісти все по темі, раніше не мав досвіду викладання, в цілому пояснює непогано, комунікація була закритими питаннями.</t>
  </si>
  <si>
    <t>https://tldv.io/app/meetings/658ab06f6e12260014b577f7</t>
  </si>
  <si>
    <t>Рек, приємна, 25+ років викладає в школі (основи здоровʼя та інформатика), брала участь в освітньому супі та інших подібних проектах, тому цікава тема софт скілз (порекоменд - Оксана Молчанова).
Позитивна, трохи були складнощі з мітом, трохи картавить, в цілому непогане заняття.</t>
  </si>
  <si>
    <t>https://tldv.io/app/meetings/658ab8931d8a500013bb2450</t>
  </si>
  <si>
    <t>Роблокс/геймдев</t>
  </si>
  <si>
    <t>Студент, навчається на комп'ютерній інженерії, навчався в Мейт екедемі, зараз розробляє гру на Юніті, в майбутньому Геймдев теж хотів би спробувати, зручно і у будні, і на вихідних.
Поянсює непогано, є трохи русизмів, комунікації малувато, закритими питаннями. Багато пояснював саме кодування- зрозуміло. Завтра здається на геймдев на групу 28.12</t>
  </si>
  <si>
    <t>https://tldv.io/app/meetings/658ac01598a361001407b2ea</t>
  </si>
  <si>
    <t>Рек, приємна, 2+ роки працює графічним та юа юх дизайнером, 1,5 років займалась репетиторством (готувала підлітків до вступних іспитів з малювання), у прокріейт малює близько 3х років.
Пояснює гарно, є трішки русизмів, комунікує.</t>
  </si>
  <si>
    <t>https://tldv.io/app/meetings/658c10bac1027e001358abc5</t>
  </si>
  <si>
    <t xml:space="preserve">Приємна,закінчила універ на маркетолога та курси на юі юх дизайнера, має досвід роботи дизайнером близько пів року, до цього працювала з контентом, у майбутньому також цікаво і дорослий дизайн взяти, бо з цим більше працює.
Поясн.є зрозуміло, але трохи заплуталась з мовою, </t>
  </si>
  <si>
    <t>https://tldv.io/app/meetings/658c173dd16ff4001302089b</t>
  </si>
  <si>
    <t>StFarYo@gmail.com</t>
  </si>
  <si>
    <t>Майн, Софт</t>
  </si>
  <si>
    <t>МІК, більше подобалась частина викладання, тому зараз хоче перейти на цю позицію, більше хотів індивідуалки з майну, а так групки з софт і майн може брати.
Комунікує, пояснює зрозуміло, лае підготував не ту тему, не зрозумів.</t>
  </si>
  <si>
    <t>https://tldv.io/app/meetings/658c1e4ec1027e001358b35d</t>
  </si>
  <si>
    <t>Від КС, приємний, працює у продажах, закінчив курс гоіт, зараз вчиться у неоверсіті, цікаво спробувати для себе новий напрямок - викладання, так як вже багато був на різних курсах і подобається такий тип навчання.
Потрібно додавати комунікації, періодично складно підбирати слова (думала що складнощі саме з українською, але ні каже що вже давно спілкується), були проблеми з інтеретом і прога періодично працювала не коректно.</t>
  </si>
  <si>
    <t>https://tldv.io/app/meetings/658e7bdae99985001303c7cf</t>
  </si>
  <si>
    <t xml:space="preserve">Галайко Віталій </t>
  </si>
  <si>
    <t xml:space="preserve">Приємний, студент, подобається гра майнкрафт і знає скретч, тому хотів би спробувати для себе викладання цього напрямку.
Переплутав тему, з комунікацією трохи проблеми і потрібно змінити розміщення камери, ще трохи заплутався в координатах. </t>
  </si>
  <si>
    <t>https://tldv.io/app/meetings/658e8f96ae5f9d0013f166b8</t>
  </si>
  <si>
    <t>Софти (англ і укр)</t>
  </si>
  <si>
    <t>Рек, приємна, до року працює адміністратором у арт хабі і проводить різноманітні майстеркласи діткам і дорослим, також мала досвід викладання математики як репетитор, може викладати софти англійською та українською.
Планує 1-2 групи, тому краще давати англійською, сама про це проговорила. Дуже хвилювалась, через що періодично збивалась з думки, є трішки складнощі з мітом, лае не критично. Потрібно камеру відсунути одна голова була в кадрі.</t>
  </si>
  <si>
    <t>https://tldv.io/app/meetings/658e96c401251a00146d4cb1</t>
  </si>
  <si>
    <t>Рек, студент, вивчає програмування, декілька місяців був репетитором з математики, також зараз скаут-лідер і проводить раз на тиждень зустрічі на різноманітні софтові теми з підлітками.
Трохи розігнався і почав все показувати на коді, проговорили, що починати варто з найпростіших пояснень і тільки потім поступово переводити то все в кодування. Потрібно більше комунікації відкритими питаннями. в цілому заняття не погане.</t>
  </si>
  <si>
    <t>https://tldv.io/app/meetings/658ea4903f3c630013aa5628</t>
  </si>
  <si>
    <t xml:space="preserve">Рек, приємна, студентка, 3 роки малює в прокріейті, закінчувала художку, декілька місяців викладала англійську як репетитор.
Дуже сильно хвилювалась, пояснює гарнго, намалювала класний малюнок, але процес малювання був записаний через що комунікації не було. </t>
  </si>
  <si>
    <t>https://tldv.io/app/meetings/658eb9d8816a6600130e8adf</t>
  </si>
  <si>
    <t>2024 рік</t>
  </si>
  <si>
    <t>Рек, приємна, студентка, 1,5 років викладає математику в школі, в більшій мірі працює з 5-6 класами, тому поки хотіла б викладати у цієї вітової категорії, але знайому зі скретчом і пайтоном, тому може брати і молодшу школу (і старших в перспективі, прям зараз не хоче).
Пояснення гарні, комунікує, хвалить.</t>
  </si>
  <si>
    <t>https://tldv.io/app/meetings/6593eb1d37740b0013b4db41?sortBy=by_time</t>
  </si>
  <si>
    <t>Озімінська</t>
  </si>
  <si>
    <t>Приємний, 2 роки малює у Прокріейт, також займається живописом та робить поробки з дерева.
Не вистачало комунікації дуже, пояснює зрозуміло</t>
  </si>
  <si>
    <t>https://tldv.io/app/meetings/65952780f08cb6001367eb31</t>
  </si>
  <si>
    <t>НДА треба, 5 років викладала дизайн у Шазі, онлайн та офлайн, також бере невеликі замовлення на фрілансі, має більшість груп офлайн, тому шукає для себе зараз повністю онлайн роботу, з прокріейтом працює 2,5 роки, також з нового року зможе брати групи і по дорослому дизайну.
Пояснення гарні, комунікує, є трохи русизмів</t>
  </si>
  <si>
    <t>https://tldv.io/app/meetings/659543145b6c980013ec3273</t>
  </si>
  <si>
    <t>Рек, закінчила ГоІТ, близько пів року працює фронтенд розробником на фрілансі, також мала невеличкий досвід викладання( декілька місяців викладала шиття в коледжі).
Гарно пояснює, комунікує, дуже детально все пояснила, але живого кодування не було тільки теорія</t>
  </si>
  <si>
    <t>https://tldv.io/app/meetings/65954b5bf08cb60013680544</t>
  </si>
  <si>
    <t>Рек, приємна, студентка, навчається на архітектора, знає канву і трохи вікс, також збирається проходити курс по фотошопу</t>
  </si>
  <si>
    <t>глючить штучний інтелект</t>
  </si>
  <si>
    <t>Рек, приємний, студент, навчається на розробника, скретч знає, має планшет, але не хоче починати з групи з планшету, може потім і візьме, але не найближчу.
Пояснює гарно, намагався комунікувати але були тільки закриті питання. В якийсь момент в кадрі пробігав чоловік в трусах)</t>
  </si>
  <si>
    <t>https://tldv.io/app/meetings/659bb26119e2ae00138c6c81</t>
  </si>
  <si>
    <t>Рек, приємна, закінчила курси гоіт на юі юх дизайнера, рік+ працює графічним дизайнером на фрілансі, до цього 3 роки викладала у студії живопис для групок і мала інливідуальні заняття, у прокріейті працює 1,5 року.
Дуже мила, гарно пояснює, комунікує.</t>
  </si>
  <si>
    <t>https://tldv.io/app/meetings/659be12a17792e00124c29bb</t>
  </si>
  <si>
    <t>Рек, студент, навчається на дизайні, працював з канвою і фотошопом, трохи з віксом.
Пояснюэ непогано, гарний приклад підготував, комунікує але потрібно більше відкритих питань.</t>
  </si>
  <si>
    <t>https://tldv.io/app/meetings/659bf01a3dc411001460be1c</t>
  </si>
  <si>
    <t>Приємний, студент, навчається на розробника, мав невеликий досвід викладання пайтону 1,5 місяців дл діток офлайн, знає скретч і подобається гра майнкрафт, бере участь у проектах від юнісеф і там мав різноманітний організаторський досвід з дітками.
Пояснення гарні, трішки відсунути камеру і перевести комунікацію у формат відкритих питань.</t>
  </si>
  <si>
    <t>https://tldv.io/app/meetings/659bf73ab5bd2400135e3af5</t>
  </si>
  <si>
    <t>Рек, 7 років викладає мову та літематику, працювала в державній та приватній школі, має багато позашкільних проектів, до цього працювала журналісткою(від Молчанової).
Заняття чудове, дуже позитивно</t>
  </si>
  <si>
    <t>https://tldv.io/app/meetings/659d020e5ed18f00137a2e07</t>
  </si>
  <si>
    <t>polosmak.2001@gmail.com</t>
  </si>
  <si>
    <t>Дизайн (Фігма)</t>
  </si>
  <si>
    <t>Навчалась в ШАГ, працює +-1,5 роки на фрілансі, має вищу педагогічну освіту, 0,5 року викладала історію.
Дуже хвилювалась, трохи забувала про комунікацію, і про те що потрібно все коментувати. В цілому підготувала непоганий проект, потрібно трішки приглянути її на перших порах.</t>
  </si>
  <si>
    <t>https://tldv.io/app/meetings/659e8c9dfcedec0013549334</t>
  </si>
  <si>
    <t>Рек, приємна, 5 років в дизайні, до цього займалась рекламою, хоче брати і дорослий і дитячий напрямок (дорослий пріоритетніцший, бо з цим безпосередньо працює), 3 роки викладала офлайн в художній школі.
Потрібно трішки більше комунікації, спочатку не дуже зрозуміла формат іспиту, є трішки чешськи слів у мові, не критично (нещодавно повернулась з Чехії).</t>
  </si>
  <si>
    <t>https://tldv.io/app/meetings/659e93f271f8c20013965f3b</t>
  </si>
  <si>
    <t xml:space="preserve">Колгашева Альона </t>
  </si>
  <si>
    <t>Приємна, проходила курси з ФЕ, +- 0,5 року на фрілансі створює сайт, під час навчання в Дан Айті була тім-лідом.
Гарне заняття.</t>
  </si>
  <si>
    <t>https://tldv.io/app/meetings/659ec4f8acf4a900134c7c96</t>
  </si>
  <si>
    <t>Приємна, 10 років працювала графічним дизайнером, останній рік вивчала та працювала юа юх, цікаво передавати свої знання та поліпшити ораторські навички через викладання.
Дуже детально все пояснює, але не вистачило комунікації.</t>
  </si>
  <si>
    <t>https://tldv.io/app/meetings/65a10b8c7d3c8c0012e690c9</t>
  </si>
  <si>
    <t>Рек, студент, знає скретч, хоче брати 1-6 класи.
Була перездача, трохи губиться і є складнощі з українською, особливо в переписці. Проговорила, що потрібно створити інший ТГ.</t>
  </si>
  <si>
    <t>https://tldv.io/app/meetings/65a508609d286d0013f63b71</t>
  </si>
  <si>
    <t>Рек, приємна, студентка, працювала у парку розваг для дітей, декілька місяців викладала діткам англійську і інші роботи також були повʼязані з комунікацією з людьми.
Заняття гарне, трішки були складнощі з міт на початку, тому що МАК, потім все було добре.</t>
  </si>
  <si>
    <t>https://tldv.io/app/meetings/65a63cd6f5309300131384de</t>
  </si>
  <si>
    <t>alalg1@ukr.net</t>
  </si>
  <si>
    <t xml:space="preserve">Рек, прийємний, 2 роки працює тестувальником, близько 5 років займається репетиторством з математики, бо подобається цей напрямок і спілкування з дітками.
Поянсює непогано, комунікація була, але варто додавати трішки більше. </t>
  </si>
  <si>
    <t>https://tldv.io/app/meetings/65a64ae2e4198d00136d1057</t>
  </si>
  <si>
    <t xml:space="preserve">Джевжик Андрій </t>
  </si>
  <si>
    <t>Приємний, студент, комерційний - 9 місяць, також мав проекти на фрілансі, також проводив лекції одногрупникам по С#, зручно в будні післяч 5 та на вихідних.
Позитивний, пояснює гарно, трохи більше комунікації варто додавати.</t>
  </si>
  <si>
    <t>https://tldv.io/app/meetings/65a6587ff53093001313a765</t>
  </si>
  <si>
    <t xml:space="preserve">Зарицька Євгенія </t>
  </si>
  <si>
    <t>Рек, приємна, студентка, навчається на психолога, займається психологічними консультаціями на волонтерській основі, пів року займалась репетиторством з української мови</t>
  </si>
  <si>
    <t>https://tldv.io/app/meetings/65a66da4e4198d00136d3863</t>
  </si>
  <si>
    <t>Рек, дуже приємна, 7 років викладає укр мову та літературу в школі, брала участь в освітньому супі, тому має досвід проведення занять з софт скілз</t>
  </si>
  <si>
    <t>https://tldv.io/app/meetings/65a67bbcb01d39001443c894</t>
  </si>
  <si>
    <t>Рек, приємний, студент, вивчає програмування, проходив курси в Мейт екедемі, зручно в будні після 6, на вихідних.
Потрібно додати комунікації і ще трішки розібратись в Майні, в цілому пояснення зрозумілі, гарно пояснив все на простому прикладі.</t>
  </si>
  <si>
    <t>https://tldv.io/app/meetings/65a79e96e3983c0013d0b241</t>
  </si>
  <si>
    <t xml:space="preserve">Безматірних Надія </t>
  </si>
  <si>
    <t xml:space="preserve">Рек, 15 років викладає мову та літературу, брала участь у освітньому супі, тому з софт скілз вже працювала.
Багато комунікує,гарно пояснює, для учнів буде гарним викладачем. Трохи плуталась в міті, розібрались після іспиту з ним. </t>
  </si>
  <si>
    <t>https://tldv.io/app/meetings/65a7a4e3e3983c0013d0b8d5</t>
  </si>
  <si>
    <t xml:space="preserve">Шевченко Вікторія </t>
  </si>
  <si>
    <t>Студентка, приємна, 2 роки займається репетиторством математики, декілька місяців працювала в онлайн-школі, зручно проводити заняття у будні увечері.
Приємна, гарно пояснює, комунікує, запізнилась на іспит без попередження.</t>
  </si>
  <si>
    <t>Рек, дуже приємна, 13 років викладає мову та літературу, брала участь в освітньому супі та інших схожих проектах, тому з темою софт скілз добре знайома та викладала схожі заняття вже.
Мега позитивна, гарно комунікує і пояснює, хвалить. Трішки камеру відсунути.</t>
  </si>
  <si>
    <t>https://tldv.io/app/meetings/65a7c677de9ae500136f4ad0</t>
  </si>
  <si>
    <t>Рек, приємна, студентка, закінчила педагогічний і мала невелику практику викладання там, знає канву та фотопі.
Пояснює зрозуміло, дуже хвилювалась, намагалась комунікувати, є трішки русизмів (зовсім трішки) і були проблеми зі звуком, тому перед тим як ставити на групу потрібно уточнити чи протестила роботу з навушниками, або щоб підключалась з телефону додатково для зображення і звуку.</t>
  </si>
  <si>
    <t>https://tldv.io/app/meetings/65a7cf00e209a50013912130</t>
  </si>
  <si>
    <t>@Li_Mazurchak</t>
  </si>
  <si>
    <t>Історія</t>
  </si>
  <si>
    <t xml:space="preserve">Приємна, 5 років викладає історію у школі, також має свій тік ток на тему вивчення історії, готувала до зно і нмт.
Дуже багато дат, але то історія очікувати чого іншого не варто. Додавала інтерактив і комунікацію (правда я не дуже багато пам'ятаю, тому була дуже складним учнем). </t>
  </si>
  <si>
    <t>https://tldv.io/app/meetings/65a9264c969a6c0013606eac</t>
  </si>
  <si>
    <t xml:space="preserve">Пипченко Наталія </t>
  </si>
  <si>
    <t>Рек, приємна, працює 2 роки в Генезисі фешн-ілюстратором, викладала шиття та живопис, закордоном, більше підходять будні, але розгляне і вихідні.
Пояснює непогано, мало комунікації і є складнощі трохи з українською (багато русизмів) Тетяна погодилась взяти на випробувальний.</t>
  </si>
  <si>
    <t>https://tldv.io/app/meetings/65a8e749969a6c0013601edf</t>
  </si>
  <si>
    <t xml:space="preserve">Жук Анна </t>
  </si>
  <si>
    <t>Навчалась в універі на дизайнера, проводить лекції в академії +- 2 роки по 1 разу на місяць, є досвід а фрілансі з проектами, вихідні та будні вечір зручно.
Хвилювалась, пояснює гарно, потрібно додати комунікації трохи варто.</t>
  </si>
  <si>
    <t>https://tldv.io/app/meetings/65aa4ddbf24aeb0013c8c00e</t>
  </si>
  <si>
    <t>5 років викладає історію, правознавство та громадянську освіту, мав досвід написання програм по історії (близько 1,5 року).
Це був цікавий екскурс в історію, не перенавантажений датами. Вийшли за таймінг, але мені не хотілось зупиняти.</t>
  </si>
  <si>
    <t>https://tldv.io/app/meetings/65abb3c7bad2be0013ce13a1</t>
  </si>
  <si>
    <t>Математика (5-6, НМТ)</t>
  </si>
  <si>
    <t>30 років викладає в універі математику, криптографію, був досвід роботи в школі, підготовки до НМТ, підходить графік на 20.01.
Пояснює непогано, є трохи русизмів (навіть не русизми а саме вимова з російським акцентом)</t>
  </si>
  <si>
    <t>https://tldv.io/app/meetings/65ae1d8694e6410013a9b800</t>
  </si>
  <si>
    <t>Рек, приємна, доросла, 20 років викладала у медичному виші, зараз цікаво спробувати для себе нову сферу.
Пояснює гарно, комунікує, приємна, тільки камера дуже близько.</t>
  </si>
  <si>
    <t>https://tldv.io/app/meetings/65ae26e1c235920013b742da</t>
  </si>
  <si>
    <t>Рек, приємний, закінчив курси GoIT, цікаво спробувати для себе нову сферу, зможе брати багато груп, бо підходять всі графіки.
Пояснює гарно, трішки додати комунікації, затягнув заняття.</t>
  </si>
  <si>
    <t>https://tldv.io/app/meetings/65ae2c7177bb43001302b165</t>
  </si>
  <si>
    <t>Приємна, закінчила університет на дизайнера інтерʼєра, у прокріейті малює півтора року, близько трьох місяців була інструктуром з роликів для дітей, тому подобається викладати.
Приємна, гарно пояснює, дуже хвилювалась, але впоралась гарно.</t>
  </si>
  <si>
    <t>https://tldv.io/app/meetings/65ae34ad49723600135738c6</t>
  </si>
  <si>
    <t>Рек, приємна, 40 років викладає мову та літературу в школі, брала участь в освітньому супі та знайома з темою софт скілз.
Пояснює гарно, комунікує, була дуже близько камера і є складнощі з мітом трішки.</t>
  </si>
  <si>
    <t>https://tldv.io/app/meetings/65ae4217dfcbd70013ba62d5</t>
  </si>
  <si>
    <t>Рек, дуже приємна, 1 рік працювала вихователем в садочку, до цього мала досвід вожатої у літніх таборах та також різноманітних досвід роботи з малими дітьми, хоче брати групки різного віку.
Гарно поянює і комунікує, є трішки білий шум на фоні, плюс ще не до кінця вилікувалась, тому трохи тихо говорила.</t>
  </si>
  <si>
    <t>https://tldv.io/app/meetings/65ae4a0fe132d900136cab2f</t>
  </si>
  <si>
    <t>Закінчила університет на дизайнера інтерʼєра, у прокріет малює 4 роки, мала невеликий досвід роботи з дітками у таборі (2 місяці).
Пояснює непогано, потрібно додати комунікації, є трохи русизмів-не критично</t>
  </si>
  <si>
    <t>https://tldv.io/app/meetings/65ae56ccdfcbd70013ba77ba</t>
  </si>
  <si>
    <t xml:space="preserve">Мороз Ольга </t>
  </si>
  <si>
    <t>@OliaMoroz20</t>
  </si>
  <si>
    <t xml:space="preserve">Приємна, дуже хоче працювати, закінчує педагогічний на викладача образотворчого мистецтва, мала практики у школі та літню практику у дитячому таборі, у прокріейт малює 2 роки </t>
  </si>
  <si>
    <t>https://tldv.io/app/meetings/65ae5fb2e132d900136cc77e</t>
  </si>
  <si>
    <t>Приємний, 10 років викладає історію в школі, зараз працює заступником директора, також має дітей на репетиторстві, останні роки працює переважно з 10-11 класом і готує їх до зно/нмт.
Заняття гарне.</t>
  </si>
  <si>
    <t>https://tldv.io/app/meetings/65ae6737dfcbd70013ba8c0b</t>
  </si>
  <si>
    <t>Приємна, рек, працює з ЗД Макс, знайома з Фотошопом, Канвою, декілька років створює проекти з дизайну інтер'єру, підходять і будні, і вихідні. (Якщо буде курс з 3Д макс, може долучитись до розробки).
Потрібно буде ретельно готуватись до занять, з технічної точки зору в програмах не дуже підкована, комунікувала непогано, приємна.</t>
  </si>
  <si>
    <t>https://tldv.io/app/meetings/65ae6dd7dbf2f9001396c1e2</t>
  </si>
  <si>
    <t xml:space="preserve">Ухов Остап </t>
  </si>
  <si>
    <t>Студент комп'ютерного програмування, знає ФЕ, вчив меншу сестру, також знає Пайтон, С++, С#, зручно у будні увечері та на вихідних.
Зустрічались на іспит двічі, перший раз дуже перехвилювався попросив зупинити, вдруге в цілому все добре, пояснення зрозумілі, можливо трішки більше позитиву- дуже спокійний вже був.</t>
  </si>
  <si>
    <t>https://tldv.io/app/meetings/65af6f62964b61001353d14e</t>
  </si>
  <si>
    <t>Рек, приємна, 13 років викладає математику та інформатику, брала участь у освітньому супі, тому зараз цікавиться темою софт скілз.
Гарне заняття, багато комунікації, пояснення зрозумілі, багато залучення.</t>
  </si>
  <si>
    <t>Математика (НМТ, 5-9 клас)</t>
  </si>
  <si>
    <t>Приємна, вчитель математики та інформатики, викладає в школі 23 роки, також був досвід репетиторства, вчила Пайтону 7-10 класи, тому візьме також 7-9 класи у нас, будні увечері наразі буде зручний графік.
Гарно викладає, підготувала цікаві завдання.</t>
  </si>
  <si>
    <t>https://tldv.io/app/meetings/65af8c6583c0ae0013752ef6</t>
  </si>
  <si>
    <t xml:space="preserve">Шендюх Тетяна </t>
  </si>
  <si>
    <t>Математика (5-6), Софти</t>
  </si>
  <si>
    <t>Має пищу педагогічну освіту, 8 років викладає математику, також був досвід викладання фізики, інформатики, хоче також спробувати Софти, а в перспективі надалі і математику НМТ.
Заняття гарне, багато комунікації, позитивно.</t>
  </si>
  <si>
    <t>https://tldv.io/app/meetings/65afbddae10a3300137d5e01</t>
  </si>
  <si>
    <t>inessa.bilets@gmail.com</t>
  </si>
  <si>
    <t>Дизайн, Софти</t>
  </si>
  <si>
    <t>Дуже приємна, має педагогічну освіту, працює арт-тьютором, викладає +- 15 років, новчається на дизайнера в А-левел, 1+ рік досвіду на фрілансі, також проаодила тренінги хз психології, тому спробує і Дизайн, і Софти.
Було 2 іспити підряд, проговорила що софти будуть значно пізніше. Пояснює гарно, позитивна, для софтів трішки мало комунікації</t>
  </si>
  <si>
    <t>https://tldv.io/app/meetings/65b0d26c62aebe00136ace09</t>
  </si>
  <si>
    <t>Тарасович/Гриневич</t>
  </si>
  <si>
    <t>Рек, приємна, 23 роки викладає математику в школі, також брала участь у освітньому супі, тому цікаво брати заняття і з софт скілз і з математики (1-6 класи), зі скретч колись працювала.
Поки вирішила тільки софти, математику додасть пізніше, полпередила що групи будуть не скоро по софтам. Пояснює непогано, але дууууже хвилювалась, через що трішки збивалась, видно що вміє спілкуватись з дітьми.</t>
  </si>
  <si>
    <t>https://tldv.io/app/meetings/65b0de54e8e7670013898caf</t>
  </si>
  <si>
    <t xml:space="preserve">Полєшко Аліна </t>
  </si>
  <si>
    <t>Приємна, 9 років працює в таборах літом, там проводить арт-майстер-класи і т.д, був досвід копірайтером, ілюстратором, працює в цій в сфері +- 3 роки.
Пояснює непогано, на практиці трішки завбула про комунікацію, але в цілому комунікує</t>
  </si>
  <si>
    <t>https://tldv.io/app/meetings/65b1012e0d21a30013d85562</t>
  </si>
  <si>
    <t>Приємна, 3 роки малюєв в прокріейті і стільки ж на фрілансі маж замовлення з графічного дизайну і різноманітних ілюстрацій, мала нееликий досвід проведення майстер класів для підлітків з малювання.
Пояснює гарно, позитивна, забуває трохи про комунікацію. Потрібно налаштувати відео з ноутбуку, тому що на іспиті не вийшло і підключала з планшету.</t>
  </si>
  <si>
    <t>https://tldv.io/app/meetings/65b1088074907c0013fda4fd</t>
  </si>
  <si>
    <t>Рек, приємна, 27 років викладає укр мову та літературу в школі, цікаво спробувати нову сферу викладання (порекоменд - Оксана Молчанова).
Пояснення і комунікація ок, є трохи проблеми з інтернетом, підвисала і з мітом трлхи складно- не критично.</t>
  </si>
  <si>
    <t>https://tldv.io/app/meetings/65b10ff2e6ee6300138bdd97</t>
  </si>
  <si>
    <t xml:space="preserve">Сафонов Іван </t>
  </si>
  <si>
    <t xml:space="preserve">Приємний, 3 роки комерційного, менторив колег в минулій компанії, відходить графік на вихідні, 26.01, 14.02.
Пояснює непогано, дуже хвилювався, зовсім забув про комунікацію. </t>
  </si>
  <si>
    <t>https://tldv.io/app/meetings/65b24a96379a9000134b274f</t>
  </si>
  <si>
    <t>Рек, приємний, на фрілансі фотографує та займається графічним дизайном, подобається пояснювати, тому хочу спробувати себе у викладанні, знає канву та фотошов, хоче брати групові та індивідуальні заняття.
Пояснює непогано, комунікує, є русизми- не критично (більше саме суржик), але періодично ріже вухо.</t>
  </si>
  <si>
    <t>https://tldv.io/app/meetings/65b2524be6c3270013be5334</t>
  </si>
  <si>
    <t xml:space="preserve">Пономаренко Сергій </t>
  </si>
  <si>
    <t>Рек від КС, приємний, 20 років викладає фізику в КПІ, майже весь цей час працює також з Пайтоном, зараз завершує курс Пайтон в Гоайті, зручно у будні після 19</t>
  </si>
  <si>
    <t>https://tldv.io/app/meetings/65b380a353b9010013fe4161</t>
  </si>
  <si>
    <t>Рек, приємна, 9 років викладає мову та літературу в школі, брала участь у освітньому супі та займається репетиторством..
Гарно комунікує і пояснює. Є проблеми з розміщенням камери, але в процесі вирішення (чекає на камеру)</t>
  </si>
  <si>
    <t>https://tldv.io/app/meetings/65b387dbd34fcd0013740f86</t>
  </si>
  <si>
    <t>Приємний, читав лекції діткам в дитбудинку протягом 2 років, є свій ютуб з поясненням HTML CSS, +- 2 роки створює проекти на фрілансі, може і у будні, і на вихідних.
Трохи забуває про комунікацію, пояснює непогано, є трохи русизмів. Рекомендації прописала.</t>
  </si>
  <si>
    <t>https://tldv.io/app/meetings/65b39cbcba4bc400135df755</t>
  </si>
  <si>
    <t>Приємна, студенка, навчається на графічному дизайні, рік працює в прокріейті, зараз на фрілансі.
гарно пояснює, трохи додати комунікації потрібно, приємна.</t>
  </si>
  <si>
    <t>https://tldv.io/app/meetings/65b3b1e953b9010013fe7a14</t>
  </si>
  <si>
    <t xml:space="preserve">Приємна, 17 років викладає історію в школі, мала досвід підготовки 11 класників до екзамену, зараз працює дистанційно у школі, яка знаходилась на окупованій території, працюють у другу зміну, але графік їй підходить, бо має невелику зайнятість на основній роботі.
Гарне заняття, але іспит змогли провести тільки з другого разу, на перший не з'явилась через те що зник повністю зв'язок київстару і домашній інтернет також. </t>
  </si>
  <si>
    <t>https://tldv.io/app/meetings/65b3d6a8ed359e0013eeaa55</t>
  </si>
  <si>
    <t xml:space="preserve">Полєєва Тетяна </t>
  </si>
  <si>
    <t>1,5 роки працює в Прокріейт, до цього викладала мистецтво та хенд-мейд в таборі.
Приємна, гарно пояснює, комунікує, є трішки русизмів</t>
  </si>
  <si>
    <t>https://tldv.io/app/meetings/65b4d2876c736e0013a34b04</t>
  </si>
  <si>
    <t>Приємний, був досвід репетиторства, викладання математики в онлайн-школі, також готував до ЗНО учнів, поки почне з 5-6, потім візьме НМТ.
Гарно пояснює і комунікує, заняття мені сподобалось.</t>
  </si>
  <si>
    <t>https://tldv.io/app/meetings/65b76e3159eedb0013f08b01</t>
  </si>
  <si>
    <t>Приємна, студентка, навчається на графічного дизайнера, у прокріейті малює 4 роки, також бере участь у Пласті і вже 3 роки проводить діткам різноманітні заняття типу софтів та майстеркласи.
Пояснює непогано, потрібно додати комунікації, є трохи русизмів, є пірсинг на брові- зараз лікує його тому змоги знімати поки не має.</t>
  </si>
  <si>
    <t>https://tldv.io/app/meetings/65b7834fe0c807001377d259</t>
  </si>
  <si>
    <t>Софти, Укр мова НТМ (ще не пройшла тест)</t>
  </si>
  <si>
    <t>Рек, приємна, 15 років викладає укр мову в школі, також рік працює в освітньому супі.
Дуже приємна, гарно комунікує, пояснює також гарно.</t>
  </si>
  <si>
    <t>https://tldv.io/app/meetings/65b791398cee660013637f05</t>
  </si>
  <si>
    <t>Рек, приємний, студент, 3 місяці працював аніматором, активно бере участь в різних конкурсах, активностях, загалом соціальноактивний, під час навчання готував інших до екзаменів, по 1-3 місяці займався.
Пояснення ніби непогані, позитивний, хвилювався інколи через це були не логівчні питання, раз використав "нафіга"- проговорила що це не ок. Телеграм змінити ім'я і почистит и від не коректних для викладача фото.</t>
  </si>
  <si>
    <t>https://tldv.io/app/meetings/65b7bbabcc066f0013e538fc</t>
  </si>
  <si>
    <t>Рек, приємний, рекомендували на дорослий дизайн, так як в резюме був записаний рік досвіду викладання дизайну, по факту тільки вивчає дизайн, мав групку в діскорді де розповідав дітям про дизайн і з фігму тільки вчить, тому піде на джун, канву і фотошоп знає.
Заннятя вийшло дуже коротеньке, пояснює непогано, трохи комунікував відкритими питаннями. Є русизми не критично (живе в Дніпрі) Просив трохи пізніше провести іспит через тривогу у Дніпрі, попередила, що перенесння занять у нас це прям дуже великий форс-мажор і що через тривоги у нього цього робити точно ніхто не буде (звичайно якщо це не масована якась історія)</t>
  </si>
  <si>
    <t>https://tldv.io/app/meetings/65b8d5179cfe0a0012f61002</t>
  </si>
  <si>
    <t>Рек, приємна, студентка, навчається на компʼютерних науках, але паралельно вивчає дизайн, знає канву та фтошоп.
Були проблеми зі звуком вирішили відразу після іспиту, ще має трішки відкоригувати зображення, тому що сьогодні все заняття майже я бачила тільки її вухо. По поясненням все добре, намагалась комунікувати, дуже хвилювалась, тому що були технічні неполадки. Приємна.</t>
  </si>
  <si>
    <t>https://tldv.io/app/meetings/65b8f5a19e3e6b0012102e44</t>
  </si>
  <si>
    <t xml:space="preserve">Хайчіна Яна </t>
  </si>
  <si>
    <t>Приємна, студентка, близько року працює в типографії і займається графічним дизайном, мала невеликий досвід викладання танців для дітей, знає канву, фотошоп і базово вікс.
Пояснює все детально, позитивна, була комунікація, але варто додати відкритих питан. є трохи русизмів -не критично.</t>
  </si>
  <si>
    <t>https://tldv.io/app/meetings/65ba19f8f6fb3a0013995d3d</t>
  </si>
  <si>
    <t>Рек, 30 років викладає укр мову та літературу в школі, брала участь у освітньому супі</t>
  </si>
  <si>
    <t>https://tldv.io/app/meetings/65ba1fdba4d1510013b77045</t>
  </si>
  <si>
    <t>Матем(1-6)</t>
  </si>
  <si>
    <t>Рек, приємна, 15+ років викладає математику і інформатику у школі, тому хоче брати заняття з математики (1-6) та також її порекомендували на софти, але знає, що спочатку математику треба брати.
Пояснює гарно, комунікує, хвалить. Завтра ще здається на софти.</t>
  </si>
  <si>
    <t>https://tldv.io/app/meetings/65bb9ad1e235450013119a08</t>
  </si>
  <si>
    <t>Рек, студент, пройшов курси по пайтону та 3 місяці працює пайтон розробником у компанії, цікаов пробувати викладання.
Швидко пояснив осномні моменти по темі, пояснення доступні, потрібно додати комунікації, про неї зовсім забув.</t>
  </si>
  <si>
    <t>https://tldv.io/app/meetings/65bc9ef5d16b42001465a667</t>
  </si>
  <si>
    <t>Рек, 15 років викладала психологію в університеті, зараз займається розвитком персоналу, трохи важкувати говорити прям повністю українською (порекомендувала Ада Самойленко - ТЛ сапортів).
Пояснення непогані, але деякі були трішки складними для учнів- зараз у викладачів немає доступів до наших матеріалів, тому це не проблема, приємна, є складнощі періодично з українською вимовою- розуміє це і актично працює з очищенням мови- саме через це дуже хвилювалась.</t>
  </si>
  <si>
    <t>https://tldv.io/app/meetings/65bcc26d6cfc8500136e1428</t>
  </si>
  <si>
    <t xml:space="preserve">Боровікова Марина </t>
  </si>
  <si>
    <t>Працює графічним дизайнером, до цього 5 років працювала на фрілансі дизайнером, 8 років працювала в музеї, викладала дітям іноді, держслужбовець.
Гарно поянює, комунікує відкритими питаннями</t>
  </si>
  <si>
    <t>https://tldv.io/app/meetings/65bcd05fbacbc00013fb52d5</t>
  </si>
  <si>
    <t>Рек, працює бухгалтером, мала невелики досвід у підготовці курсів для дітей, цікаво спробувати викладання, приємна, але перехвилювалась на співбесіді, сподіваюсь на пробному вже все буде добре.
Хвилювалась, пояснює непогано, намагалась комунікуквати але багато читала, через хвилювання.</t>
  </si>
  <si>
    <t>https://tldv.io/app/meetings/65c0af3379bb160013cf8dda</t>
  </si>
  <si>
    <t>Матем(2-4 клас), Скретч</t>
  </si>
  <si>
    <t>Рек, приємний, близько 5 років працює викладачем інформатики і молодших класів, знає скретч і хоче на молодші класи математику (крім 1 класу).
Хвилювався, пояснює гарно, але деякі завдання були складнуватими для учнів- це через те що матеріалів у кандидатів зараз в доступі немає. Краще дати йому переглянути якесь заняття реальне. Забув зовсім про комунікацію, але розуміння як працювати з дітками є.</t>
  </si>
  <si>
    <t>https://tldv.io/app/meetings/65c0e0ebdb517a0013798520</t>
  </si>
  <si>
    <t xml:space="preserve">Приємний, але видно, що трохи переживав на співбесіді, але з дітками порозуміється, сам проходив курси з дизайну і мав классного викладача і тепер хоче стати таким для діток, в дизайні близько 5 років, з низ 2 роки - моушн дизайнер.
На іспиті хвилювався трохи, намагався комунікувати, пояснює детально і покроково. </t>
  </si>
  <si>
    <t>https://tldv.io/app/meetings/65c20f2d0eebae0013a4ee98</t>
  </si>
  <si>
    <t xml:space="preserve">Янчук Володимир </t>
  </si>
  <si>
    <t>Студент комп'ютерної інженерії, 2,5 роки комерційного, підійшов графік на 10.02.
Пояснює вседуже детально і на прикладах, трохи додати саме відкритих питань  та змінити озміщення камери.</t>
  </si>
  <si>
    <t>https://tldv.io/app/meetings/65c22b77f76739001344d4ac</t>
  </si>
  <si>
    <t>Приємний, 3 роки працює моушн дизайнером, мав невеликий досвід роботи з підлітками в таборі  (2 місяці).
Пояснення детальні, намагався комунікувати, але потрібно додати саме відкритих питань.</t>
  </si>
  <si>
    <t>https://tldv.io/app/meetings/65c3613aaea2510013e10d86</t>
  </si>
  <si>
    <t>Рек, приємна, працює дизайнером на фрілансі, пів року викладала малювання діткам як репетитор, знає канву та фотошоп.
Через хвилювання трохи складно було підбирати слова. Потрібно додати комунікації, і налаштувати звук і камеру (іспит здавала на роботі заняття буде проводити вдома- де зможе це все нормально  налаштувати), потрібно звернути на це увагу обов'язково перед стартом роботи.</t>
  </si>
  <si>
    <t>https://tldv.io/app/meetings/65c4a6b89887860013f5329b</t>
  </si>
  <si>
    <t>Приємний, 1+ рік працює вордпрес розробником, цікаво спробувати себе в новій ролі, мав невеликий досвід навчання знайомих програмуванню.
Гарно пояснює, комунікує, дитячий підхід є. Раніше був блогером, проблем з  викладенням думки не має жодних. Для початку хоче 1-2 групи, краще вихідні. Готовий підхопити групи які вже навчаються, але з наступних вихідних, на ці вже є плани.</t>
  </si>
  <si>
    <t>https://tldv.io/app/meetings/65c4d433cbf04b0013e13f86</t>
  </si>
  <si>
    <t>Моушн Дизайн</t>
  </si>
  <si>
    <t>Приємна, 3 роки займається моушн дизайном та монтуванням відео, мала досвід менторства на роботі, навчала стажерів анімувати в афтер еффект, хоче передавати свої знання діткам, працювала і з афтер еффект, і з преміер про.
Позитивна, все показала на реальному прикладі, гарно пояснює, потрібно додати комунікації, хвилювалась через що було трішки русизмів- не критично. Потрібно налаштувати звук, тому що дуже було чути роботу вентиляторів ноутбука.</t>
  </si>
  <si>
    <t>https://tldv.io/app/meetings/65c60a805be22d00130cb312</t>
  </si>
  <si>
    <t xml:space="preserve">Мартинюк Вікторія </t>
  </si>
  <si>
    <t>Приємна, студентка, навчається на розробника, знає скрет та грала в Майнкрафт, тому зацікавив даний напрямок.
Потрібно додавати комунікації відкритими питаннями, хвилювалась, ще трішки потрібно розібратись в Майні, але пояснила все більш-меньш зрозуиіло, думаю краще поки на джунів її ставити.</t>
  </si>
  <si>
    <t>https://tldv.io/app/meetings/65c61250f782120013965e77</t>
  </si>
  <si>
    <t>Софти (меньші)</t>
  </si>
  <si>
    <t>Рек, приємна, 2 роки працює викладачем молодшої школи у приватному закладі, цікаво розвиватись у нових напрямках викладання, хотіла б спочатку брати меньші групи.
Класне заняття, дуже приємна</t>
  </si>
  <si>
    <t>https://tldv.io/app/meetings/65c746dc6fd861001345f99b</t>
  </si>
  <si>
    <t xml:space="preserve">denshust2000@gmail.com
</t>
  </si>
  <si>
    <t>Приємний, у сфері +- 5 років, закінчував універ з комп'ютерної інженерії, був невеликий досвід менторства, зараз закордоном.
Приємний, позитивний, підготував цікаву інтерактивну презентацію,не вистачило тільки живого кодування, буде класним викладачем. Трохи хвилювався.</t>
  </si>
  <si>
    <t>https://tldv.io/app/meetings/65ca062466b01f00134b4fd6</t>
  </si>
  <si>
    <t>Дуже приємний, +- 9 років у сфері дизайну, була своя студія дизайну, також тату-салон.
Пояснює гарно, для діток зрозумілою мовою, позитивний</t>
  </si>
  <si>
    <t>https://tldv.io/app/meetings/65ca0e7d095ca900133caa0f</t>
  </si>
  <si>
    <t>Максимів</t>
  </si>
  <si>
    <t>Приємна, 3 роки працює хідожником-ілюстратором на фрілансі, стільки ж працює в Прокріейт, цікаво спробувати для себе новий вид діяльності.
Пояснює детально, намагалась вмістити всю інформацію в 15 хвилин, тому не склалось з комунікацією. Також є трішки русизмів- не критично.</t>
  </si>
  <si>
    <t>https://tldv.io/app/meetings/65ca152c12b27c0013838476</t>
  </si>
  <si>
    <t>Приємна, років 5 малює в Прокріейті, створює ілюстрації до віршів, мультиків, може і будні, і вихідні.
Пояснює непогано, намагалась комунікувати, потрібно додати саме відкритих питань.</t>
  </si>
  <si>
    <t>https://tldv.io/app/meetings/65ca1c37f7f9980013b13866</t>
  </si>
  <si>
    <t>Дуууже приємна, 22 роки працювала вчителем математики, інформатики, також викладала комп'ютерні науки і т.д, знає Пайтон, працювала з ним, краще будні увечері, повідомила, що групи з Пайтону будуть у березні!
Пояснює гарно, багато комунікує, ставить дуууже багато питань</t>
  </si>
  <si>
    <t>https://tldv.io/app/meetings/65cb2d2e0925f00013d3255a</t>
  </si>
  <si>
    <t>Приємна, близько року малює на графічнимо планшеті, спочатку починала з іншої програми, схожої на прокріейт, зараз малює на ньому, подобається працювати з дітками, може брати багато груп.
Пояснює непогано, позитивна, потрібно трішки додати комунікації.</t>
  </si>
  <si>
    <t>https://tldv.io/app/meetings/65cb6d66aacf540013a194c3</t>
  </si>
  <si>
    <t>Оджиковська написала за старт 16 числа (відмовилась)</t>
  </si>
  <si>
    <t>Приємний, навчається на розробника, має свої невеличкі ігри, але не має комерційного досвіду розробки,.
Трохи хвилювався, видно не впевненість, пояснює в цілому не погано, активно комунікував, готовий ретельно готуватись до занять, багато спілкується англійською, тому періодично складно підбирати слова українською, для початку хоче одну групу, ідеально підходить старт 19.02.</t>
  </si>
  <si>
    <t>https://tldv.io/app/meetings/65cc9b1c13eb52001487b353</t>
  </si>
  <si>
    <t xml:space="preserve">Приємна, +- 4 роки малює в Прокріейті, були комерційні проекти, 3 роки викладала діткам малювання в школі.
Дуже приємна, хвилювалась, пояснює гарно, трохи забула про комунікацію і є зовсім трішки русизмів. </t>
  </si>
  <si>
    <t>https://tldv.io/app/meetings/65ccb75f13eb52001487df63</t>
  </si>
  <si>
    <t>Оджиковська написала за старт 16 числа</t>
  </si>
  <si>
    <t>Укр мова НМТ, Софти</t>
  </si>
  <si>
    <t>Рек, дуже приємна, 14 років працює вчителем українскої мови, зарубіжної літератури, вчителем молодших класів, вчить психологію, запроваджує її на заняттях, також викладає англійську, на Софти хоче спочатку з меншими дітками попрацювати, орієнтувались на старт 02.03.
Приємна, гарно пояснює і комунікує.</t>
  </si>
  <si>
    <t>https://tldv.io/app/meetings/65cce0b5b4cf2c00139437ae</t>
  </si>
  <si>
    <t>Рек, дуже приємна, +- 10 років працює з Прокріейтом, був досвід викладання, так як має педагогічну освіту.
пояснює непогано, перехвилювалась, є трохи русизмів- не критично. Комунікувала, але більше закритими питаннями.</t>
  </si>
  <si>
    <t>https://tldv.io/app/meetings/65cdde9540aefa0013e82ca3</t>
  </si>
  <si>
    <t>Забрала старт на 16</t>
  </si>
  <si>
    <t>Рек, дуже приємна, 20+ років працює викладачем, викладає інформатику в молодших класах, веде тренінги для вчителів, гурток самоврядування та багато іншої позашкільної проектної діяльності, з темою софт скілз добре знайома.
Гарно комунікує, пояснення зрозумілі, хвилювалась, висла дуже презентація потрібно ноут почистити</t>
  </si>
  <si>
    <t>https://tldv.io/app/meetings/65ce0a3c56293400136045d5</t>
  </si>
  <si>
    <t>Дуже приємна, студентка Гоайті, хоче повну зайнятість.
Звільняється з основної роботи, пояснює гарно, комунікувала хоч і не дуже багато але відкритими питаннями,  пояснює гарно, дуже хвилювалась, розраховує на цю роботу.</t>
  </si>
  <si>
    <t>https://tldv.io/app/meetings/65ce120ceb3b6b0013acb78b/</t>
  </si>
  <si>
    <t>Рек, приємна, працювала смм 0,5 року, мала досвід з Фотошопом, добре укомунікує з дітками, підходять і будні, і вихідні.
Пояснює гарно і детально, була комунікація але тільки закритими питаннями, камера в клавіатурі- тому змінити її розміщення не може.</t>
  </si>
  <si>
    <t>https://tldv.io/app/meetings/65d356007562f300132842ca</t>
  </si>
  <si>
    <t>Ще на початку осіні проходив адаптацію на роблокс, але іспит не склав, тому що були складнощі з комунікацією і проблеми з англійською великі. Іспит на майн пройшов не погано, дуже хвилювався, але постійно комунікував. Придумав свій проект ( не без помилок звичайно, але враховуючи, що матеріали занять зараз закриті для кандидатів- не погано). Рекомендувала б ставити його поки на доросліших учнів поки адаптується і дати йому для перегляду приклад реального заняття, готовий ретельно готуватись до занять.</t>
  </si>
  <si>
    <t>https://tldv.io/app/meetings/65d475fe9fe00000140fef25</t>
  </si>
  <si>
    <t>Лонжанська (Мазурик)</t>
  </si>
  <si>
    <t>Дуже приємна, 3 роки працює графічний дизайнером на фрілансі і стільки ж малює в Прокріейт, дуже любить малювання і хоче передавати сві досвід діткам.
Пояснює гарно, багато комунікує, хвилювалась, є трохи русизмів (думаю більше через те зщо інтерфейс програми російською).</t>
  </si>
  <si>
    <t>https://tldv.io/app/meetings/65d484300fe56300134a573c</t>
  </si>
  <si>
    <t>Дуже приємний, дуже вмотивований, 17 років, в квітні буде 18, 0,5 року комерційного, був викладачем алгоритмів в таборі, провів буквально декілька занять, зручно і в будні, і на вихідних.
Гарно пояснює, комунікує (правда більше було закитих питань), підготував презентацію власну, через брак часу приклади додав в презентацію, але на всі мої питання відповів без проблем. На групу 24.02, але 9 і 10.03 потрібні вихідні.</t>
  </si>
  <si>
    <t>https://tldv.io/app/meetings/65d5f1e84894f9001338541f</t>
  </si>
  <si>
    <t xml:space="preserve">Рек, приємна, 1 прокріейті малює рік, до цього малювала в іншій програмі, також мала невеликий досвід викладання діткам офлайн різноманітних поробок.
Пояснює непогано, трішки були відставання- має перевірити якість інтернету і є ільший шум по звуку. </t>
  </si>
  <si>
    <t>https://tldv.io/app/meetings/65d70ab4368f890014f2fb3d</t>
  </si>
  <si>
    <t>Майн, Математика 1-9</t>
  </si>
  <si>
    <t>Рек, дуже приємний, має педагогічну освіту, 5 років був вчителем математики, інформатики у школі та працює на платформі Букі.
Пояснює гарно, комунікував, в цілому заняття сподобалось.</t>
  </si>
  <si>
    <t>https://tldv.io/app/meetings/65d71960f568660013535bf6</t>
  </si>
  <si>
    <t>Озімінська/Лонжанська</t>
  </si>
  <si>
    <t xml:space="preserve">Приємний, ФЕ розробник 1,5 роки, спочатку працював з Вордпресом, зараз з Реактом працює, </t>
  </si>
  <si>
    <t>https://tldv.io/app/meetings/65d720c4c6a5b90013c4d84f</t>
  </si>
  <si>
    <t>Рек, приємна, 2+ роки проводить психологічні консультації, до цього працювала ментором у школі, мала досвід проведення занять з софт скілз для дітей, хоче одну маленьку і одну підліткову групу.
Пояснює і комунікує гарно, спокійна, по манері спілкування дуже схожа на Сашу Третьяк, у мене було дежавю:)</t>
  </si>
  <si>
    <t>https://tldv.io/app/meetings/65d73501c6a5b90013c5013d</t>
  </si>
  <si>
    <t>Рек, приємна, зараз працює ілюстратором на фрілансі, до цього мала досвід викладання малювання та акторської майстерності діткам та підліткам.
Були проблеми з підключення трішки, розібралась, потрібно додати комунікації, пояснює непогано.</t>
  </si>
  <si>
    <t>заглючив ШІ</t>
  </si>
  <si>
    <t>Приємний, +- 8 років у сфері Геймдеву, працював з Віар та створював ігри, 1 рік працював в КПІ викладачем, краще у будні, на 05.03 підійшов графік.
Пояснює непогоано, трохи додати комунікації, і не дуже зрозумів формат іспиту, тому все показував в форматі презентації. Поставила на групу 05.03</t>
  </si>
  <si>
    <t>https://tldv.io/app/meetings/65d89be734bedc0013ea1540</t>
  </si>
  <si>
    <t>Творчій персонаж, дуже хоче розвивати в дітях мистецьке мислення і давати творчу свободу, тому не знаю як буде вечти себе з "рамками курсу", на пробному подивимось, якщо дойде, у прокріейт малює 2 роки, до цього займався іншими творчими напрямками, подобається працювати з дітками.
Потрібно більше додавати комунікації відкритими питаннями, можуть бути проблеми з слідуванням по програмі курсу- занадто творчий. В цілому пояснює зрозуміло.</t>
  </si>
  <si>
    <t>https://tldv.io/app/meetings/65ddbe9023620800138d6d0f</t>
  </si>
  <si>
    <t>Рек, приємний, студент, навчається на спеціальності повʼязаній з програмуванням, з дитинства грає в Майнкрафт, подобається працювати з дітками (порекомендував Едуард Охотніков).
Комунікує, пояснює гарно, є трохи русизмів, хвилювався.</t>
  </si>
  <si>
    <t>https://tldv.io/app/meetings/65def6f07a0f9e0013709bf5</t>
  </si>
  <si>
    <t>Рек, приємна, 4 роки працює соціальним педегогом та педагогом організатором у ліцей, цікавиться темою софт скілз, хотіла б почати з маньших діток, але в цілому різний вік готова спробувати.
Дуже позитивна, заняття вийшло інтерактивним, трішки більше комугікації лоадвати в процесі теорії, а так все чудово.</t>
  </si>
  <si>
    <t>https://tldv.io/app/meetings/65df1e017a0f9e001370f0e5</t>
  </si>
  <si>
    <t>Приємний 2 роки працює розробником на фрілансі, фул стек, працював з фордпресом та версткою
Пояснює непогано, трохи не вистачало комунікації, але вона була, дрібні рекомендації по звуку також прописала.</t>
  </si>
  <si>
    <t>https://tldv.io/app/meetings/65e0375ee063930013edb34b</t>
  </si>
  <si>
    <t>anastasiamahniboroda0102@gmail.com</t>
  </si>
  <si>
    <t>Математика 1-6</t>
  </si>
  <si>
    <t>Дуже приємна, 3 роки працює вчителем початкових класів, працювала зі скретч.
Гарно комунікує, заняття чудово, для діток буде супер.</t>
  </si>
  <si>
    <t>https://tldv.io/app/meetings/65e06891e063930013ee09cb</t>
  </si>
  <si>
    <t>Рек, приємна, раніше працювала у банківській сфері, наразі вивчає дизайн, мала досвід ведення сторінок, знає фотошом та канву.
Є трішки русизмів- не критично, тільки інколи проскакують, комунікувала. але переважно закритими питаннями, всі дії  детально пояснює.</t>
  </si>
  <si>
    <t>https://tldv.io/app/meetings/65e06f92a351d400139c0de9</t>
  </si>
  <si>
    <t>Рек, приємна, студентка, 12 років у Пласті, 3+ роки менторить меньших учасників Пласту, проводить діткам заняття схожі на софти.
ТРішки забувла про комунікацію під час теорії, але в цілому заняття гарне.</t>
  </si>
  <si>
    <t>https://tldv.io/app/meetings/65e1a775dfc947001420c2b5</t>
  </si>
  <si>
    <t>Студент, 2 роки вчив геймдев, наразі 0,5 року комерційного розробником, хвилювався, але некритично, 05.03.
Пояснює гарно, все показав на реальному прикладі. Трохи було замало комунікації, але на всі питання дав впевнені відповіді.</t>
  </si>
  <si>
    <t>https://tldv.io/app/meetings/65e58463750e88001363f290</t>
  </si>
  <si>
    <t>Майн (+планшет)</t>
  </si>
  <si>
    <t>Приємна, 3 роки працювала вчителем інформатики, також викладала майн і скретч в онлайн школі, і трохи працювала з роблоксом.
Хвилювалась, трохи заплуталась в коды, але не критично, скорыше всього через хвилювання. Ставила дуже багато питань протягом адаптацыъ (періодично не дуже логічні), скорішек всьгого буде підключатись з 2 пристроїв, тоум що трішки зависав майн. Комунікує, хвалить, пояснює непогано.</t>
  </si>
  <si>
    <t>https://tldv.io/app/meetings/65e58c017a03b500132c24bc</t>
  </si>
  <si>
    <t>Працює дизайнером +- 3 роки, створює афіши, майже 2 роки працювала репетитором фізики та математики, 
Пояснює гарно, забула про комунікацію зовсім, і є трохи русизмів- не критично.</t>
  </si>
  <si>
    <t>https://tldv.io/app/meetings/65e5ee35b1fe1b00130652a0</t>
  </si>
  <si>
    <t>Софт (старші)</t>
  </si>
  <si>
    <t>Рек, приємний, студент, навчається на викладача та наразі 4 місяці викладає географію в школі, цікаво спробувати для себе нову сферу, хоче викладати старшій школі, бо має з ними досвід (порекомендувала Куць Дарʼя)
Для старших учнів буде нормально, пояснює ніби нормально, але дуже хвилювався і раніше не працював в гугл міті, тому трохи були складнощі.</t>
  </si>
  <si>
    <t>https://tldv.io/app/meetings/65e6dcf9b8b6530014972eb9</t>
  </si>
  <si>
    <t>Рек, 1 рік працювала 2 д художником, вивчає ЮІ ЮХ, 5 років працювала керівником худ. студії, викладала мистецтво там, будні вечір, вихідні, 
Хвилювалась забула трохи по комунікацію, в цілому заняття не погане. Є трохи технічні моменти з камерою і звуком (підключається з телефону), має все вирішити д ореального заняття.</t>
  </si>
  <si>
    <t>https://tldv.io/app/meetings/65e84b45bdc5860013f898df</t>
  </si>
  <si>
    <t>ФЕ джун, ФЕ</t>
  </si>
  <si>
    <t>Рек, знайомий з Вордпресом, створював з ним декілька проектів, але більше працює з Реактом, Версткою, навчається в політехніці, закінчив курси з ФЕ, був досвід викладання ФЕ діткам.
Пояснює непогано, комунікація є але тільки закритими питаннями. Має змінити розміщення камери, зовсім трішки русизмів є</t>
  </si>
  <si>
    <t>https://tldv.io/app/meetings/65e9aaace4c340001348f422</t>
  </si>
  <si>
    <t>Рек, працює з Версткою, ДжС, було декілька проектів з Вордпресом, декілька місяців з ним працював, зручно і будні, і вихідні.
Гарно пояснює, комунікує, виправив майже всі зауваження які я робила Баскіну, соріше всього вони друзі. Камера дуже близько.</t>
  </si>
  <si>
    <t>https://tldv.io/app/meetings/65e9b1302ef99800130cd7f2</t>
  </si>
  <si>
    <t>Рек, приємний, близько року працює фронтенд розробником, також 1+ рік викладає діткам індивідуальні заняття з фронтенду та дизайну, більше працює з програмою дорослого фронтенду, але з вордпресом також трохи працював, тому готовий навчатись, якщо чогось не буде знати</t>
  </si>
  <si>
    <t>https://tldv.io/app/meetings/65e9b8d795a6d000138f9db6</t>
  </si>
  <si>
    <t>Приємна, студентка, пів року малює у прокріейт, навчається на дизайнера, працює за сумісництвом графічним дизайнером.
Пояснюэ непогано, проте дуже зависав інтернет і відповідно демонстрація- сказала що буде проводити заняття в іншій кімнаті де якість інтернету краща- на це потрібно звернути пристальну увагу, тому що якщо не виправить це то не зможе проводити заняття реальні. Хвилювалась, загалом спілкується російською- саме заняття провела без проблем українською. Забула про комунікацію, скоріше всього через хвилювання.</t>
  </si>
  <si>
    <t>https://tldv.io/app/meetings/65eb12c52b052300139c3626</t>
  </si>
  <si>
    <t>Приємна, 2 роки займається графічним дизайном, також знає і фігму, цікаво спроувати себе у викладанні.
Хвилювалась, було через це трішки русизмів- не критично. Комунікувалатільки закритими</t>
  </si>
  <si>
    <t>https://tldv.io/app/meetings/65eedc65901a4c0013888f9e</t>
  </si>
  <si>
    <t>Півтораніс Анна</t>
  </si>
  <si>
    <t>@anetkadev</t>
  </si>
  <si>
    <t>annnethai@gmail.com</t>
  </si>
  <si>
    <t>Приємна, 2 роки комерційного, був невеликий досвід менторства, в компанії, допомагала, вчила новачка, зручно.
Дуже хвилювалась, трішки заплуталась через це. Пояснення непогані, комунікувала але тільки закритими питаннями.</t>
  </si>
  <si>
    <t>https://tldv.io/app/meetings/65eed53ca8e3f00013dd01b2</t>
  </si>
  <si>
    <t>Рек, студент, навчається на графічного дизайнера, знає канву та фотошоп, хоче спробувати себе у викладанні.
Хвилюється, є трохи русизмів- не критично. Намагався комунікувати. В цілому заняття не погане.</t>
  </si>
  <si>
    <t>https://tldv.io/app/meetings/65eee36aa635df0013ba16e1</t>
  </si>
  <si>
    <t>Рек, дуже приємна, 2 роки працює психологом в садочку, хоче спробувати  себе у викладанні, цікаво працювати з різними віковими категоріями.
Заняття гарне, тільки вис інтернет (вона в школі була, каже що вдома має бути все ок), та потрібно використовувати навушники- тому що дуже чути кожен рух поруч з мікрофоном.</t>
  </si>
  <si>
    <t>https://tldv.io/app/meetings/65eef228901a4c001388ba86</t>
  </si>
  <si>
    <t>Студент Гоайті, приємний, у програмуванні +- 6 років, з вордпресом +- 4роки працює, з Версткою знайомий, працював, знає Фігму, Канву, зручніше у вихідні, але може в будні (крім середи та п'ятниці).
Пояснює гарно, комунікував,гарне заняття.</t>
  </si>
  <si>
    <t>https://tldv.io/app/meetings/65eeff6e2b052300139e6bad</t>
  </si>
  <si>
    <t>Рек, викладач англійської +- 1 рік, переважно працює з дорослими, хоче спробувати викладати саме Майн, в майбутньому хоче ще Скретч та Софти, переважно графік вільний у будні.
Пояснює гарно, комунікує. На барат не сходий від слова зовсім.</t>
  </si>
  <si>
    <t>https://tldv.io/app/meetings/65ef082caf1c240013f3b55c</t>
  </si>
  <si>
    <t>Приємна, навчалась в худ академії, часто користується прокріейтом для навчання, але також +- 1 рік створює певні замовлення на фрілансі, викладає живопис у студії, і меншим 5-6 років і старшим від 18
Хвилювалась дуже, на початку комунікувала, потім перейшла на закриті питання. В цілому пояснення детальні, приємна.</t>
  </si>
  <si>
    <t>https://tldv.io/app/meetings/65f0099501c7a40014233f2d</t>
  </si>
  <si>
    <t>Софт (меньші)</t>
  </si>
  <si>
    <t>Рек, приємна, працює аналітиком та сммницею, мала досвід різноманітних публічних виступів і в студентські роки займалась репетииторством, наразі цікавиться також психологією і темою софт скілз, хоче брати групку меньших діток.
Іспит проводила з роботи з мобільного інтернету, тоум якість інтернету була поганою. Реальні заняття буде проводити вдома, тоум проблем з цим е має бути. В цілому гарного пояснює, комунікує.</t>
  </si>
  <si>
    <t>https://tldv.io/app/meetings/65f0264baf1c240013f52d78</t>
  </si>
  <si>
    <t>Матем (1-9)</t>
  </si>
  <si>
    <t>Дуже приємна, 3 роки працює репетитором з математики, також працювала викладачем математики в онлан школі і трохи в звичайній школі, зараз працює в МАНі, має базові навички в скретч і пайтон, тому може вести всі класи, але більше б хотіла 5-9.
Гарне заняття, багато комунікації, чудово пояснює, тільки камера трохи близько розміщена.</t>
  </si>
  <si>
    <t>https://tldv.io/app/meetings/65f0970721179800125732f6</t>
  </si>
  <si>
    <t>Гарне заняття, пояснює, комунікує відкритими питаннями.</t>
  </si>
  <si>
    <t>https://tldv.io/app/meetings/65f187ad6577190013565520</t>
  </si>
  <si>
    <t>Дуже приємна, займається давно ілюстрацією, 4 роки працює в Прокріейті, до цього в Фотошопі малювала.
Пояснює гарно, комунікувала, в цілому для діток буде ок, як я зрозуміла хоче багато груп, планує відкивати ФОП.</t>
  </si>
  <si>
    <t>https://tldv.io/app/meetings/65f19350657719001356683f</t>
  </si>
  <si>
    <t>8 років працює в дизайні, більше займається графічним та поліграфією, але також має замовлення з моушн дизайну, знає і афтер еффект, і премієр про.
Пояснює непогано, трохи мало комунікації, є трохи русизмів, але думаю більлше через російський інтерфейс програми- змінить на англійський. Також були підвисання відео та звуку, сама демонстрація працювала коректно (у Харкові), сказав, що питання інтернету вирішить.</t>
  </si>
  <si>
    <t>Заглючив ШІ</t>
  </si>
  <si>
    <t>Рек, студент, під час роботи офіціантом комунікував з дітками, також проходив курси по ФЕ.
Дуже хвилювався, через що навіть трішки заікався, але пояснення в цілому зрозумілі, комунікував переважно закритими питаннями. Потрібно трішки придивитись до нього.</t>
  </si>
  <si>
    <t>https://tldv.io/app/meetings/65f2ed208934390012bba0f2</t>
  </si>
  <si>
    <t>Рек, приємний, закінчив бакалавріат, зараз працює з друзями над створенням гри, дуже любить майнкрафт і хотів би спробувати його викладати.
Пояснює гарно, комунікує переважно закритими питаннями, впевнено викладає.</t>
  </si>
  <si>
    <t>https://tldv.io/app/meetings/65f2f30c8934390012bbaef8</t>
  </si>
  <si>
    <t>Наш КХМ, дуже приємна, цікавиться психологією і знайома зі всім з середини, цікаво спробувати себе у викладанні, хотіла б почати з молодших і на вихідних.
Гарно пояснює і комунікує, заняття мені сподобалось.</t>
  </si>
  <si>
    <t>Рек, приємна, 5 років працює в приймальній комісії для студентів, навчається на психолога, має гарний досвід публічних виступів, хотіла б почати з меньших за віком.
Пояснює гарно, залучає питаннями, є трохи русизмів і чути сильно вентилятор ноуту.</t>
  </si>
  <si>
    <t>Приємна, 3+ роки малює в прокріейт, має класний комерційний досвід його використання, займається створенням персонажів і ілюстрацій, до цього працювала. фешн ілюстраціями, цікаво передавати дітям знання.
Гарне заняття, комуікує, гарно пояснює.</t>
  </si>
  <si>
    <t>Приємний, студент, навчається на розробника. знає скрет, грав в майнкрафт .
Пояснює детально та зрозуміло, зовсім забув про комунікацію.</t>
  </si>
  <si>
    <t>https://tldv.io/app/meetings/65f82b375b23eb00133fcaf0</t>
  </si>
  <si>
    <t>Приємна, малює у прокріейт 3 роки, 1 рік викладала малювання діткам також мала приватні заняття.
На початку чудово комунікувала, пояснення дужегарні для діток, є трішки русизмів- не критично( схоже навіть на якусь польську вимову)</t>
  </si>
  <si>
    <t>https://tldv.io/app/meetings/65f83ffbd21f3c00132cf346</t>
  </si>
  <si>
    <t>Дєєва Анна</t>
  </si>
  <si>
    <t>@Graf_dis_Anna</t>
  </si>
  <si>
    <t>anuta.deeva.2000@gmail.com</t>
  </si>
  <si>
    <t>Приємна, 2+ роки графічний дизайнер на фрілансі, з фігмою також працювала, навчалась на курсах, цікаво навчати діток дизайну, а не просто програмам, колись працювала нянею.
Пояснює все детально, але зовсім забула про комунікацію. Хвилювалась- перший досвід, Є русизми, через що акає і екає. Рекомендації прописала.</t>
  </si>
  <si>
    <t>https://tldv.io/app/meetings/65f9463296f6190013e6c1b9</t>
  </si>
  <si>
    <t>Рек, приємний, був досвід менторства та викладання історії, підходить графік і в будні, і на вихідних.
Гарно пояснює та комунікує, були проблеми з інтернетом, також надала рекомендацію, щодо розміщення камери.</t>
  </si>
  <si>
    <t>https://tldv.io/app/meetings/65f94c14bb43da0013bcab15</t>
  </si>
  <si>
    <t xml:space="preserve">Приємна, студентка, навчається на графічного дизайнера, 2+ роки малює в Прокріейт.
Пояснює гарно, комунікує відкритими питаннями,  </t>
  </si>
  <si>
    <t>https://tldv.io/app/meetings/65f9530295dda00013dcfd5b</t>
  </si>
  <si>
    <t>Дизайн (1 семерстр)</t>
  </si>
  <si>
    <t>Приємна, 4 роки працює графічним дизайнером, цікаво передавати свої знання, зотіла б взяти тільки 1 семестр де графічний дизайн.
Пояснює детально все, потрібно додавати комунікації, планує підтягнути і фігму, тому дуже вірогіжно що буде і на весь рік навчання.</t>
  </si>
  <si>
    <t>https://tldv.io/app/meetings/65fab8cae938fa0012f94662</t>
  </si>
  <si>
    <t>https://t.me/moroz_eva</t>
  </si>
  <si>
    <t>Прокріейт і Скетчбук</t>
  </si>
  <si>
    <t>Приємна, студентка, навчається на дизайні, 5 років малює у Прокріейт, також може вивчити Скетчбук.
Пояснює непогано, хвилювалась, комунікувала відкритими  питаннями, але потрібно трішки більше.</t>
  </si>
  <si>
    <t>https://tldv.io/app/meetings/65fadbe069917c0013adb357</t>
  </si>
  <si>
    <t>Прокріейт</t>
  </si>
  <si>
    <t>Приємна, має художню освіту, пояснює непогано, комунікує відкртими питаннями, хвилювалась.</t>
  </si>
  <si>
    <t>https://tldv.io/app/meetings/65fbee3ffe48c50013603713</t>
  </si>
  <si>
    <t>Дуже приємна, студентка, 3+ роки малює в прокріейті, була вожатою в таборі, проходила різноманітні онлайн курси
Непогане заняття, тільки забула зовсім про комунікацію</t>
  </si>
  <si>
    <t>https://tldv.io/app/meetings/65fc1174056aac0013f4ad04</t>
  </si>
  <si>
    <t>Приємна, 5 років малює в прокріейті, , студентка, навчається на графічному дизайні, закінчила курси з юа юх, колись близько пів року була репетитором з англійської для дітей.
Пояснює гарно, але зовсім забула про комунікацію</t>
  </si>
  <si>
    <t>https://tldv.io/app/meetings/65fd5d695538cb0013a75b27</t>
  </si>
  <si>
    <t>Пояснює все непогано, показав все на прикладахреальних. є російська вимова"г", комунікував провда тільки закритими питаннями.</t>
  </si>
  <si>
    <t>https://tldv.io/app/meetings/65fd7dee373ed70013b3a768</t>
  </si>
  <si>
    <t>Приємна, гарно пояснює, комунікувала, трішки хвилювалась</t>
  </si>
  <si>
    <t>https://tldv.io/app/meetings/65fd85cb373ed70013b3be83</t>
  </si>
  <si>
    <t>Матем (1-6)</t>
  </si>
  <si>
    <t>Приємна, 9+ років викладач математики в школі, також викладала інформатику, тому знає скретч і пайтон, але хотіла б працювати більше з меньшими діьками, тому на початик домовились на 1-6 класи
Гарне заняття і комунікація була і пояснення детальні.</t>
  </si>
  <si>
    <t>https://tldv.io/app/meetings/66016548a3c1f800130205a2</t>
  </si>
  <si>
    <t>Приємний, студент, навчається на компʼютерних науках, до цього декілька займався моушн дизайном (мав невеликі фріланс проекти) та близько пів року вів індивідуальні заняття з моунш дизайну для однолітків, сподобалось викладати та зараз цікаво повикладати дітям, в майн грав, скретч знає</t>
  </si>
  <si>
    <t>https://tldv.io/app/meetings/66016c8c0727420013453902</t>
  </si>
  <si>
    <t>Гарно пояснює, детально, комунікувала але тільки закритими питаннями.</t>
  </si>
  <si>
    <t>https://tldv.io/app/meetings/6602a8f00954600012665536</t>
  </si>
  <si>
    <t>Приємний, 2 роки комерційного, навчався в МЕйт екедемі на Пайтоні.
Пояснює непогано, хвилювався, з комунікацією через це не дуже, тільки на практиці. Групи хоче по будням, вихідні не підходять</t>
  </si>
  <si>
    <t>https://tldv.io/app/meetings/6604103b9c48d80013ef22de</t>
  </si>
  <si>
    <t>Пояснює непогано, розповів все, потрібно тіршки більше комунікації але вона була і відкритими питаннями, є трохи русизмів- не критично. Кандидат в Хапркові, тоум можуть бути перебої зі світлом.</t>
  </si>
  <si>
    <t>https://tldv.io/app/meetings/66053933af1963001239b960</t>
  </si>
  <si>
    <t>Рек, приємний, 8 років працював фронтендом, але останні роки перекваліфіковуєьбся в геймдева, пройшов курси з Unreal Engine, та С++, тому цікаво викладати у сфері розробки їгор, з Unity працював на оному з проектів, з С# окремо на працював, але в цілому з багатьма мовами працював і гарно знає С мови, тому підвчить, це в майбутньому цікаво майн викладати, але почне з геймдеву, на всяк випадок краще тех спеціаліст на співбесіду (порекомендувала Юлія Царьова софт скілс (н.б.))
Пояснює гарно, відповів на всі питання, хоче багато зайнятості, трішки просідає комунікація.</t>
  </si>
  <si>
    <t>https://tldv.io/app/meetings/6605453f7347b00014cbde58</t>
  </si>
  <si>
    <t>Квітень 2024</t>
  </si>
  <si>
    <t>Рек, дуже приємна, 2+ роки малює в прокріейті, створює ілюстрації до дитячих книг, до цього півтора роки працювала асистентом вчителя, працювала з інклюзивними дітками, зі Скетчбуком не працювала, але цікаво.
Гарно і детально пояснює, комунікаціє, але варто додавати трішки більше.</t>
  </si>
  <si>
    <t>https://tldv.io/app/meetings/660a92792de2180013ada244</t>
  </si>
  <si>
    <t>Математика 5-6</t>
  </si>
  <si>
    <t>Приємна, студентка, навчається на компʼбтерних технологіях, 1 рік була репетитором з математики для дітей 1-6 класу, також один раз проводила в школі годину коду в майкрафт едьюкейшн.
Спочатку хотіла на майн, не розібралась. Пояснює ніби не погано, але дуже хвилювалась, через це про комунікацію забуває, варто до неї придивитись.</t>
  </si>
  <si>
    <t>https://tldv.io/app/meetings/660aa6aa5a98cd00135accf3</t>
  </si>
  <si>
    <t>Дуже приємна, студентка, 3+ роки малює в прокріейт, створює ілюстрації до ігор, книжок, комікси, цікаво попрацювати з дітками та передати свій досвід, зі скетчбуком не працювала, але перегляне.
Пояснює гарно, трішки більше комунікації відкритими питаннями потрібно</t>
  </si>
  <si>
    <t>https://tldv.io/app/meetings/660bc712ebfad5001303597a</t>
  </si>
  <si>
    <t>Рек, студент, пів року працював тренером для дітей, грав в Майн, цікаво спробувати себе в новій ролі (порекомендувала Влада Озімінська)
Комунікува, трішки хвилювався. все порказав на реальних прикладах- хоч я і не сумнівалась) Трішки ближче розміщувати телефон, щоб було краще видно в кадрі.</t>
  </si>
  <si>
    <t>https://tldv.io/app/meetings/660bd6419106bb00136e4b1b</t>
  </si>
  <si>
    <t>Рек, приємний, студент, навчається на розробника, має досвід в роблокс і луа, але нехай технічне для повторення також проходить.
Впевнено проводить заняття,тіршки комунікував, але бажано більше відкритих питань, і більше деталізувати пояснення (інколи забувавв про дрібні деталі)</t>
  </si>
  <si>
    <t>https://tldv.io/app/meetings/660d0c911af000001300e365</t>
  </si>
  <si>
    <t>Яковлева Тетяна</t>
  </si>
  <si>
    <t>@yakovleva_11</t>
  </si>
  <si>
    <t>nunsia.designer@gmail.com</t>
  </si>
  <si>
    <t>Скетчбук</t>
  </si>
  <si>
    <t>Приємна, близько трьох років працює графічним дизайнером, малює більше для себе, раніше працювала в прокріейт, але зараз на іншому пристрої не має його, тому вже 3 роки малює у Скетчбук</t>
  </si>
  <si>
    <t>https://tldv.io/app/meetings/660e94b71af00000130412e3</t>
  </si>
  <si>
    <t>Рек, дуже приємна, студентка, 2 роки репетитор з англійської, також був досвід навчання іноземця української, працювала з блендором і роблоксом з приводу моделювання і трохи вивчала Луа, але все одно нехай технічне пройде (Панчишин)
Трішки додати комунікації відкритими питаннями і були технічні негаразди- з ними розбереться. В цілому непогана викладач буде.</t>
  </si>
  <si>
    <t>https://tldv.io/app/meetings/660fecedaf88c30013ce6cc5</t>
  </si>
  <si>
    <t>Приємний, 1+ працює пайтон розробником, студент, близько року готував одну дитину до зно з математики .
Гарно пояснює- цікаво, позитивний, комунікував.</t>
  </si>
  <si>
    <t>https://tldv.io/app/meetings/661394d4df0c2f0013d62617</t>
  </si>
  <si>
    <t>Студент, близько пів року працював пайтон розробником, зараз звільнився, бо хоче приділити більше часу навчанню.
Дуже хвилювався, в цілому приємний, поянював не погано, були спроби комунікувати, але хвилювання було дуже сильним.</t>
  </si>
  <si>
    <t>https://tldv.io/app/meetings/6613a922df0c2f0013d65673</t>
  </si>
  <si>
    <t>Позитивна, пояснює гарно, трішки більше б ще комунікації і було б ідеально.</t>
  </si>
  <si>
    <t>https://tldv.io/app/meetings/661646188c0cc40013074082</t>
  </si>
  <si>
    <t>Рек, студент, знає ДЖс, Реакт, є пет-проекти, був досвід викладання карате 5-16 років, 
Пояснює непогано, детально, була комунікація відкритими питаннями, але не дуже багато. Основна проблема- дуже зависав, буде вирішувати це питання, або підключатись додатково з іншого пристрою.</t>
  </si>
  <si>
    <t>https://tldv.io/app/meetings/6617b2cd74a4d300131eb154</t>
  </si>
  <si>
    <t>Закінчив магістратуру щодо розробки ігор, зараз працює над власними проектами, Місяць проводив пробні заняття з юніті,а ле в тій школі 
Розуміння самого матеріалу є, пояснює в цілому зрозуміло, але є проблема з українською і він самоучка- через що деякі частини коду вимовляє дивно. Дуже замотивований працювати, буде ретельно готуватись до всіх занять, потрібно накидати йому прикладів занять, щоб подивився як то відбувається.</t>
  </si>
  <si>
    <t>https://tldv.io/app/meetings/6617d00bcfd45a00121096ee</t>
  </si>
  <si>
    <t>Закінчила університет на викладача образотворчого мистецтва, зараз працює не за спеціальністю та збирається звільнятись (тому до викладання нормально зможе приступити вже з травня), в прокріейті малює 2+ роки, також ще подивиться скетчбук, бо хоче брати більше груп, проходила практику в школі, викладала образотворче мистецтво.
Гарно поянює і комунікує, трішки зовсім русизмів більше через російський інтерфейс програми- змінить.</t>
  </si>
  <si>
    <t>https://tldv.io/app/meetings/6618f648338402001317f06a</t>
  </si>
  <si>
    <t>Приємний, 3 роки працює юніті розробником, більше спеціалізуєтьс на VR але і ігри також створював, мав невеликий досвід менторства на роботі, єдина проблема, що не має розмовної практики українською, бо давно живе в Польші, і думав що є якісь групи російською, домовились з ним що він потренується українською, і на пробному вже подивимось чи норм в нього вийшло.
Пояснює гарно, хвилювався саме через мову, але русизмів зовсім не багато, я очікувала в рази гіршого. Трішки більше комунікації і буде чудово.</t>
  </si>
  <si>
    <t>https://tldv.io/app/meetings/6619204be436a100130c6643</t>
  </si>
  <si>
    <t xml:space="preserve">Сербенюк В'ячеслав </t>
  </si>
  <si>
    <t>@decide874</t>
  </si>
  <si>
    <t>butajiuk.ss@gmail.com</t>
  </si>
  <si>
    <t>Рек, приємний, студент, вчить кібербезпеку, знає пайтон, с++, вчився в шаг, 
Пояснює непогано, дуже хвилювався. є русизми в мові, скоріше всього через хвилювання і варто додавати більше комунікації.</t>
  </si>
  <si>
    <t>https://tldv.io/app/meetings/661cea9c7b4f1e0013987e89</t>
  </si>
  <si>
    <t>Желізко Віктор</t>
  </si>
  <si>
    <t>@ViktorZhelizko</t>
  </si>
  <si>
    <t>victorchei1992@gmail.com</t>
  </si>
  <si>
    <t xml:space="preserve">Рек, приємний, більше 4 років комерційного, хоче замінити Олю Кучерук .
Пояснює гарно, комунікує, не нудний. </t>
  </si>
  <si>
    <t>https://tldv.io/app/meetings/661e36c09c1b4a0013c92bc4</t>
  </si>
  <si>
    <t>Селецька Валерія</t>
  </si>
  <si>
    <t>@valeriiase</t>
  </si>
  <si>
    <t>valeriiaseletska@gmail.com</t>
  </si>
  <si>
    <t>Рек від Саші Лисенко, приємна, працювала смм менеджером, з канвою, фотошопом знайома.
Приєма, гарно пояснює, комунікувала, трішки більше відкритих питань.</t>
  </si>
  <si>
    <t>https://tldv.io/app/meetings/661e3cf8cb177d00122d228f</t>
  </si>
  <si>
    <t>Лесів Тетяна</t>
  </si>
  <si>
    <t>@tanyalesiv</t>
  </si>
  <si>
    <t>destination100m@gmail.com</t>
  </si>
  <si>
    <t>Трохи збилась через те що ніяк не могла налаштувати демонстрацію екрану, але приємна, пояснює гарно, трішки хотілось би більше саме відкритих питань. Зараз працює викладачем англійсбкої але планує переходити в ІТ, в групах зацікавлена, готова посунути свої існуючі заняття. Заняття трохи не по темі, але ми не надаємо до заняття матеріалів, а те що пояснювла було непогано.</t>
  </si>
  <si>
    <t>https://tldv.io/app/meetings/661e4fc0cb177d00122d5c79</t>
  </si>
  <si>
    <t xml:space="preserve">Ім'я та прізвище </t>
  </si>
  <si>
    <t xml:space="preserve">Пошта </t>
  </si>
  <si>
    <t>Роль</t>
  </si>
  <si>
    <t xml:space="preserve">TeamLead </t>
  </si>
  <si>
    <t>Самойленко Ада</t>
  </si>
  <si>
    <t>a.samoilenko@goiteens.global</t>
  </si>
  <si>
    <t>@Adelinasamoilenko</t>
  </si>
  <si>
    <t>TeamLead KWIZ/ ОМ</t>
  </si>
  <si>
    <t>Самкова Олена</t>
  </si>
  <si>
    <t>Саріджа Юлія</t>
  </si>
  <si>
    <t>j.saridzha@goiteens.global</t>
  </si>
  <si>
    <t>@julia_saridzha</t>
  </si>
  <si>
    <t>Outgoing Manager</t>
  </si>
  <si>
    <t>Ада Самойленко</t>
  </si>
  <si>
    <t xml:space="preserve">Валерія Кучіна </t>
  </si>
  <si>
    <t>v.kuchina@goiteens.ua</t>
  </si>
  <si>
    <t>@kkkuchina</t>
  </si>
  <si>
    <t>Віолетта Баранецька</t>
  </si>
  <si>
    <t>v.baranetska@goiteens.global</t>
  </si>
  <si>
    <t>@viola_laa</t>
  </si>
  <si>
    <t>Сергій Пінчук</t>
  </si>
  <si>
    <t>s.pinchuk@goiteens.global</t>
  </si>
  <si>
    <t>@Pinchukgo</t>
  </si>
  <si>
    <t>Тетяна Загорулько</t>
  </si>
  <si>
    <t>t.zahorulko@goiteens.global</t>
  </si>
  <si>
    <t>@zahorka</t>
  </si>
  <si>
    <t>Даніела Нерознікова</t>
  </si>
  <si>
    <t>d.neroznikova@goiteens.global</t>
  </si>
  <si>
    <t>@neroznikovad</t>
  </si>
  <si>
    <t>KwizBot Manager</t>
  </si>
  <si>
    <t>Марина Обенко</t>
  </si>
  <si>
    <t>m.obenko@goiteens.global</t>
  </si>
  <si>
    <t>@mar1shkaobenko</t>
  </si>
  <si>
    <t>Марина Струкова</t>
  </si>
  <si>
    <t>m.strukova@goiteens.global</t>
  </si>
  <si>
    <t>Вікторія Остропільська</t>
  </si>
  <si>
    <t>v.ostropilska@goiteens.global</t>
  </si>
  <si>
    <t>Олена Іванчак</t>
  </si>
  <si>
    <t>o.ivanchak@goiteens.global</t>
  </si>
  <si>
    <t>@ivanchak0311</t>
  </si>
  <si>
    <t>Владислава Панасова</t>
  </si>
  <si>
    <t>v.panasova@goiteens.global</t>
  </si>
  <si>
    <t>@vlaadislavkaa</t>
  </si>
  <si>
    <t>Анна Мартинова</t>
  </si>
  <si>
    <t>a.martynova@goiteens.global</t>
  </si>
  <si>
    <t>@Anyuta_RM</t>
  </si>
  <si>
    <t>Анна Юр</t>
  </si>
  <si>
    <t>a.yur@goiteens.global</t>
  </si>
  <si>
    <t>@AnnaYur_GoITeens</t>
  </si>
  <si>
    <t>Валерія Літвінова</t>
  </si>
  <si>
    <t>v.litvinova@goiteens.global</t>
  </si>
  <si>
    <t>@ValeriiaLitvinova</t>
  </si>
  <si>
    <t>до 2.04</t>
  </si>
  <si>
    <t xml:space="preserve">Ольга Бондаренко </t>
  </si>
  <si>
    <t>o.bondarenko@goiteens.global</t>
  </si>
  <si>
    <t>Юлія Саріджа</t>
  </si>
  <si>
    <t>до 21.03</t>
  </si>
  <si>
    <t>Надія Бедюх</t>
  </si>
  <si>
    <t>n.bediukh@goiteens.global</t>
  </si>
  <si>
    <t>@Kadavertzian</t>
  </si>
  <si>
    <t>31.03 останній</t>
  </si>
  <si>
    <t>Підгорна Марія</t>
  </si>
  <si>
    <t>m.pidgorna@goiteens.ua</t>
  </si>
  <si>
    <t>@mpodgornaya</t>
  </si>
  <si>
    <t xml:space="preserve">Водка Марія
</t>
  </si>
  <si>
    <t>m.vodka@goiteens.global</t>
  </si>
  <si>
    <t>@mariiavodka</t>
  </si>
  <si>
    <t>Марія Підгорна</t>
  </si>
  <si>
    <t>Аліса Дуденко</t>
  </si>
  <si>
    <t>a.dudenko@goiteens.global</t>
  </si>
  <si>
    <t>Федорчук Анатолій</t>
  </si>
  <si>
    <t>a.​fedorchuk@​goiteens.​global</t>
  </si>
  <si>
    <t>@Anatolii Fedorchuk</t>
  </si>
  <si>
    <t>Єлизавета Іщенко</t>
  </si>
  <si>
    <t>y.ishchenko@goiteens.global</t>
  </si>
  <si>
    <t>@lizaIshchenko</t>
  </si>
  <si>
    <t>Тетяна Шпілька</t>
  </si>
  <si>
    <t>t.shpilka@goiteens.global</t>
  </si>
  <si>
    <t>@Tetisirini</t>
  </si>
  <si>
    <t>Рубайко Альона</t>
  </si>
  <si>
    <t>a.​rubaiko@​goiteens.​global</t>
  </si>
  <si>
    <t>@aliona_rrrrr</t>
  </si>
  <si>
    <t>Ірина Микитченко</t>
  </si>
  <si>
    <t>i.mykytchenko@goiteens.global</t>
  </si>
  <si>
    <t>@Iryna_Miki</t>
  </si>
  <si>
    <t>Валентин Кузміч</t>
  </si>
  <si>
    <t>v.kuzmich@goiteens.global</t>
  </si>
  <si>
    <t>@ValentinKuzmich</t>
  </si>
  <si>
    <t>Черткова Ірина</t>
  </si>
  <si>
    <t>e.titov@goiteens.ua</t>
  </si>
  <si>
    <t>@ChertkovaBelaya</t>
  </si>
  <si>
    <t>Awake Manager</t>
  </si>
  <si>
    <t>Тітов Євген</t>
  </si>
  <si>
    <t>i.chertkova@goiteens.ua</t>
  </si>
  <si>
    <t>@Dj_Titov</t>
  </si>
  <si>
    <t>Світлана Ротар</t>
  </si>
  <si>
    <t>s.​rotar@​goiteens.​global</t>
  </si>
  <si>
    <t>https://t.me/sveta_mr</t>
  </si>
  <si>
    <t xml:space="preserve">Богдана Вовченко  </t>
  </si>
  <si>
    <t>b.vovchenko@goiteens.global</t>
  </si>
  <si>
    <t>@danavov</t>
  </si>
  <si>
    <t>Валерія Зюзюкіна</t>
  </si>
  <si>
    <t>v.ziuziukina@goiteens.global</t>
  </si>
  <si>
    <t>@valeriazyuzyukina</t>
  </si>
  <si>
    <t>Вікторія Охматенко</t>
  </si>
  <si>
    <t>v.ochmatenko@goiteens.global</t>
  </si>
  <si>
    <t>@ochmatenko9</t>
  </si>
  <si>
    <t xml:space="preserve">Аліна Теренкова </t>
  </si>
  <si>
    <t>a.terenkova@goiteens.global</t>
  </si>
  <si>
    <t>@terenkova_a</t>
  </si>
  <si>
    <t>Матковська Валентина</t>
  </si>
  <si>
    <t>v.matkovska@goiteens.ua</t>
  </si>
  <si>
    <t>@m_valentyna</t>
  </si>
  <si>
    <t>TeamLead Retention</t>
  </si>
  <si>
    <t xml:space="preserve">Свиридов Станіслав </t>
  </si>
  <si>
    <t xml:space="preserve">s.svyrydov@goiteens.global
</t>
  </si>
  <si>
    <t>@lol_stas</t>
  </si>
  <si>
    <t>RETENTION Manager</t>
  </si>
  <si>
    <t>Валентина Матковська</t>
  </si>
  <si>
    <t xml:space="preserve">Тимочко Юрій </t>
  </si>
  <si>
    <t xml:space="preserve">y.tymochko@goiteens.global
</t>
  </si>
  <si>
    <t>@thejugo</t>
  </si>
  <si>
    <t>Олександр Якубовський</t>
  </si>
  <si>
    <t xml:space="preserve">o.yakubovsky@goiteens.global
</t>
  </si>
  <si>
    <t>@Alexandr_Vkt</t>
  </si>
  <si>
    <t>Марина Мудрая</t>
  </si>
  <si>
    <t>m.mudraia@goiteens.ua</t>
  </si>
  <si>
    <t>@tkachiny_maryna</t>
  </si>
  <si>
    <t>Останній робочій день 10.03</t>
  </si>
  <si>
    <t xml:space="preserve">Євгенія Червінська </t>
  </si>
  <si>
    <t>e.chervinska@goiteens.global</t>
  </si>
  <si>
    <t>@v_venera_a</t>
  </si>
  <si>
    <t>TeamLead Activation</t>
  </si>
  <si>
    <t>Лошакова Юлія</t>
  </si>
  <si>
    <t>j.loshakova@goiteens.ua</t>
  </si>
  <si>
    <t>@juliettll</t>
  </si>
  <si>
    <t>Activation Manager</t>
  </si>
  <si>
    <t>Євгенія Червінська</t>
  </si>
  <si>
    <t>Лужанська Анастасія</t>
  </si>
  <si>
    <t>a.luzhanska@goiteens.ua</t>
  </si>
  <si>
    <t>@luzhanska92</t>
  </si>
  <si>
    <t>Петришина Анна</t>
  </si>
  <si>
    <t>a.petrishina@goiteens.global</t>
  </si>
  <si>
    <t>@Allochka1207</t>
  </si>
  <si>
    <t>Москаленко Влада</t>
  </si>
  <si>
    <t>V.moskalenko@goiteens.global</t>
  </si>
  <si>
    <t>@Moskalenko_Vlada</t>
  </si>
  <si>
    <t>Сорочкіна Ліна</t>
  </si>
  <si>
    <t>l.sorochkina@goiteens.global</t>
  </si>
  <si>
    <t>@GnitezkayaLina</t>
  </si>
  <si>
    <t>Курило Ярослав</t>
  </si>
  <si>
    <t>y.kurilo@goiteens.global</t>
  </si>
  <si>
    <t>@yleto</t>
  </si>
  <si>
    <t>Жижневська Ярослава</t>
  </si>
  <si>
    <t>y.zhyzhnevska@goiteens.global</t>
  </si>
  <si>
    <t>@yasyasyaaa</t>
  </si>
  <si>
    <t>Суворова Анна</t>
  </si>
  <si>
    <t>a.suvorova@goiteens.global</t>
  </si>
  <si>
    <t>@LadyAnnS</t>
  </si>
  <si>
    <t>Купрієвич Надія</t>
  </si>
  <si>
    <t>n.kuprievich@goiteens.global</t>
  </si>
  <si>
    <t>@Nadya_Kuprievich</t>
  </si>
  <si>
    <t>V.karapysh@goiteens.global</t>
  </si>
  <si>
    <t>@viktoriia_karapysh</t>
  </si>
  <si>
    <t>Виборнова Катерина</t>
  </si>
  <si>
    <t>k.vybornova@goiteens.global</t>
  </si>
  <si>
    <t>@katerynavybor</t>
  </si>
  <si>
    <t>Титаренко Анна</t>
  </si>
  <si>
    <t>a.tytarenko@goiteens.global</t>
  </si>
  <si>
    <t>@ann_GoITeens</t>
  </si>
  <si>
    <t>Гурчіна Яна</t>
  </si>
  <si>
    <t>y.hurchyna@goiteens.global</t>
  </si>
  <si>
    <t>@Yana_GoITeens</t>
  </si>
  <si>
    <t>Шумінська Ярина</t>
  </si>
  <si>
    <t>y.shuminska@goiteens.global</t>
  </si>
  <si>
    <t>@ya_shuminska</t>
  </si>
  <si>
    <t>Ільїн Сергій</t>
  </si>
  <si>
    <t>s.ilin@goiteens.global</t>
  </si>
  <si>
    <t>@serj_goiteens</t>
  </si>
  <si>
    <t>Артем Віхров</t>
  </si>
  <si>
    <t>a.vikhrov_new@goiteens.ua</t>
  </si>
  <si>
    <t>@deadravers</t>
  </si>
  <si>
    <t>Іван Лисенко</t>
  </si>
  <si>
    <t>i.lysenko@goiteens.global</t>
  </si>
  <si>
    <t>@Lysenko_Ivan26</t>
  </si>
  <si>
    <t>Technical Team</t>
  </si>
  <si>
    <t>Козій Дарʼя</t>
  </si>
  <si>
    <t>d.kozii@goiteens.ua</t>
  </si>
  <si>
    <t>Project Manager</t>
  </si>
  <si>
    <t>Самков Станіслав</t>
  </si>
  <si>
    <t>s.samkov@goiteens.ua</t>
  </si>
  <si>
    <t>Analyst</t>
  </si>
  <si>
    <t>Валентин Матющенко</t>
  </si>
  <si>
    <t>v.matiushchenko@goiteens.global</t>
  </si>
  <si>
    <t>@qzerak</t>
  </si>
  <si>
    <t>Technical manager</t>
  </si>
  <si>
    <t>Дементьєва Вікторія</t>
  </si>
  <si>
    <t>v.dementieva@goiteens.global</t>
  </si>
  <si>
    <t>@De_Viktoria</t>
  </si>
  <si>
    <t>Administrator</t>
  </si>
  <si>
    <t>р</t>
  </si>
  <si>
    <t>ПІБ</t>
  </si>
  <si>
    <t>Дата звільнення</t>
  </si>
  <si>
    <t>Причина</t>
  </si>
  <si>
    <t>Викладач</t>
  </si>
  <si>
    <t>Ленонов Остап</t>
  </si>
  <si>
    <t>@lenovo_o</t>
  </si>
  <si>
    <t>mrcodecat@gmail.com</t>
  </si>
  <si>
    <t>Викладач, який у нас навчався, він добре знає технічний матеріал, але робота з великими групами дітей-це не його.
Складно тримати дисципліну, а також може працювати з тими, хто вчиться лише.
Не в пріоритеті наші групи йому.</t>
  </si>
  <si>
    <t>Карагачов Станіслав</t>
  </si>
  <si>
    <t>@zederek</t>
  </si>
  <si>
    <t>Припинили співпрацю</t>
  </si>
  <si>
    <t>Шостак Любов</t>
  </si>
  <si>
    <t>@liubov_shostak</t>
  </si>
  <si>
    <t>Припинили співпрацю з її особистих причин, можливо в грудні написати ще раз</t>
  </si>
  <si>
    <t>Жуковський Сергій</t>
  </si>
  <si>
    <t>@Sergii_Zh</t>
  </si>
  <si>
    <t>Припинили роботу, не мав вільного часу</t>
  </si>
  <si>
    <t>Крилова Анастасія</t>
  </si>
  <si>
    <t>@asia_krylova</t>
  </si>
  <si>
    <t>krylova.asia1@gmail.com</t>
  </si>
  <si>
    <t>Хороший тренер для дорослих дітей, креативна та має свій підхід до подачі ДЗ.</t>
  </si>
  <si>
    <t>Олейнік Андрій</t>
  </si>
  <si>
    <t>068 7632133</t>
  </si>
  <si>
    <t>Приходько Юлія</t>
  </si>
  <si>
    <t>@yulia_prykhodko</t>
  </si>
  <si>
    <t>Сімонова Марина</t>
  </si>
  <si>
    <t>@Simonova_mv</t>
  </si>
  <si>
    <t>Складно працювати з дітьми</t>
  </si>
  <si>
    <t>Чав'як Тетяна (Head of Study)</t>
  </si>
  <si>
    <t>@tatiana_tudor</t>
  </si>
  <si>
    <t>Викладала на замінах, або коли була потреба в об'єднаних групах, сама робила презентації під вподобання групи, шукала підхід до кожного, але більше не давати груп, не буде встигати з основною роботою поєднувати, хіба в екстренних випадках на заміни</t>
  </si>
  <si>
    <t>Дроненко Настя</t>
  </si>
  <si>
    <t>@Nastida</t>
  </si>
  <si>
    <t>Не викладала</t>
  </si>
  <si>
    <t>Давидова Оксана</t>
  </si>
  <si>
    <t>@KsjushaD</t>
  </si>
  <si>
    <t>Призупинили роботу, були скарги від батьків</t>
  </si>
  <si>
    <t>Лютинська Марина</t>
  </si>
  <si>
    <t>@Maryna_Liutynska</t>
  </si>
  <si>
    <t>Припинено співпрацю, не викладала</t>
  </si>
  <si>
    <t>Нестерова Дарія</t>
  </si>
  <si>
    <t>@Daria_Nesterova</t>
  </si>
  <si>
    <t>Максимов Михайло</t>
  </si>
  <si>
    <t>@MikhMaksi</t>
  </si>
  <si>
    <t>Викладач на замінах лише</t>
  </si>
  <si>
    <t>Толстяк Олександр</t>
  </si>
  <si>
    <t>@alexalys</t>
  </si>
  <si>
    <t>Сташко Віктор</t>
  </si>
  <si>
    <t xml:space="preserve">@StasKefir
</t>
  </si>
  <si>
    <t>призупинив викладання у дітей, втомився</t>
  </si>
  <si>
    <t>Паньків Володимир</t>
  </si>
  <si>
    <t>@Volodymyrchyk</t>
  </si>
  <si>
    <t>призупинили з ним співпрацю, монотонно викладав</t>
  </si>
  <si>
    <t>Момотенко Микола</t>
  </si>
  <si>
    <t>@NickMomotenko</t>
  </si>
  <si>
    <t>nickmomotenkoforweb@gmail.com</t>
  </si>
  <si>
    <t xml:space="preserve">Він у Маріуполі, не зміг виїхати, як тільки повернеться зв'язок-готовий викладати.
</t>
  </si>
  <si>
    <t>Сивоненко Юля</t>
  </si>
  <si>
    <t>@Yulia_Sivonenko</t>
  </si>
  <si>
    <t>Гашков Олександр</t>
  </si>
  <si>
    <t>@hush_alex</t>
  </si>
  <si>
    <t>Завантажений на проекті, не викладав</t>
  </si>
  <si>
    <t>Лютий Михайло</t>
  </si>
  <si>
    <t>@Lyutyy_Mikhail</t>
  </si>
  <si>
    <t>Призупинена робота, завантажений на проекті</t>
  </si>
  <si>
    <t>Станіслав Балдич</t>
  </si>
  <si>
    <t>Призупинено</t>
  </si>
  <si>
    <t>Рибіна Роксолана</t>
  </si>
  <si>
    <t>@Rybka242602</t>
  </si>
  <si>
    <t>rybinaroksolana24@gmail.com</t>
  </si>
  <si>
    <t>Маїло Володимир</t>
  </si>
  <si>
    <t>@tipovova20</t>
  </si>
  <si>
    <t>MAILOVOVA@GMAIL.COM</t>
  </si>
  <si>
    <t>КХМ</t>
  </si>
  <si>
    <t>Гребеняк Мирослава</t>
  </si>
  <si>
    <r>
      <rPr>
        <sz val="10"/>
        <color rgb="FF000000"/>
        <rFont val="Montserrat"/>
      </rPr>
      <t>m</t>
    </r>
    <r>
      <rPr>
        <u/>
        <sz val="10"/>
        <color rgb="FF000000"/>
        <rFont val="Montserrat"/>
      </rPr>
      <t>.hrebeniak@goiteens.global</t>
    </r>
  </si>
  <si>
    <t>@moyosia</t>
  </si>
  <si>
    <t>Глущенко Олександр</t>
  </si>
  <si>
    <t>@galeks7111</t>
  </si>
  <si>
    <t>vip.galeks @gmail.com</t>
  </si>
  <si>
    <t>Мельник Інеса</t>
  </si>
  <si>
    <t>Дуленко Данило</t>
  </si>
  <si>
    <t>Барбіна Катерина</t>
  </si>
  <si>
    <t>Стеценко Антон</t>
  </si>
  <si>
    <t>@Merldlan</t>
  </si>
  <si>
    <t>youspotatom@gmail.com</t>
  </si>
  <si>
    <t>Завантаженість на основній роботі</t>
  </si>
  <si>
    <t>Олеся Павлюс</t>
  </si>
  <si>
    <t>@olesia_pavlius</t>
  </si>
  <si>
    <t>Slava.herasymov@gmail.com</t>
  </si>
  <si>
    <t>Повернувся до розробки, немає часу на викладання</t>
  </si>
  <si>
    <t xml:space="preserve">Підвищили на основній роботі, має багато навантаження там </t>
  </si>
  <si>
    <t>Пішов працювати на постійній основі у іншу компанію дизайнером</t>
  </si>
  <si>
    <t>Мав поганий рейтинг, його попереджали декілька місяців, але так і не змінив своє ставлення до роботи.</t>
  </si>
  <si>
    <t xml:space="preserve">Мав 4 проекти, важко поєднувати з викладанням </t>
  </si>
  <si>
    <t>NearExternal@gmail.com</t>
  </si>
  <si>
    <t>Пішов самостійно, можливо повернеться. Зараз має великий завал на основній роботі, тому, не встигає</t>
  </si>
  <si>
    <t>жовтень</t>
  </si>
  <si>
    <t>не відповідвльність</t>
  </si>
  <si>
    <t>Не викладав ні дня. Поставили на запуск групи, перед запуском вночі написав, що його взяли на іншу роботу і скоріш за все заблокував.</t>
  </si>
  <si>
    <t>працював один-два рази в листопаді</t>
  </si>
  <si>
    <t>немає зв'язку та світла майже постійно</t>
  </si>
  <si>
    <t>Пішов сам,  зрозумів що важко і це не його</t>
  </si>
  <si>
    <t>Звільнила Віка Карапиш за безвіповідальність</t>
  </si>
  <si>
    <t xml:space="preserve">Зрозуміла, що їй не подобається працювати з дітьми, сама попросила про звільнення </t>
  </si>
  <si>
    <t>Анастасія Макарова</t>
  </si>
  <si>
    <t>в січні піде</t>
  </si>
  <si>
    <t>У зв’язку з тим, що в мене стало зараз набагато більше завдань на основній роботі, я погано встигаю готуватися до занять, а тому прийняла рішення звільнитися.</t>
  </si>
  <si>
    <t>Відгуки від кхм та дітей, не достатньо харизматичний для викладання дітям, не зміг знайти контакт, нудний</t>
  </si>
  <si>
    <t>пішла з особистих обставин</t>
  </si>
  <si>
    <t>листопад приблизно</t>
  </si>
  <si>
    <t>я не мала для неї груп, тому вона знайшла іншу роботу</t>
  </si>
  <si>
    <t>змінились життєві обставини і вона відмовилась від роботи</t>
  </si>
  <si>
    <t>6 лютого</t>
  </si>
  <si>
    <t>@Sofia_Ptashkovska</t>
  </si>
  <si>
    <t>пішла, бо її групу розформували через малу кількість і вона зєпішла працювати на постійну основу дизайнером у іншій компанії</t>
  </si>
  <si>
    <t>відмовилась від груп, бо змінився графік на основній роботі</t>
  </si>
  <si>
    <t>https://t.me/KarlinaDaria</t>
  </si>
  <si>
    <t>відмовилась від груп, бо багато обов'язків, витрачає багато часу на звіти, зустрічі і т.д.</t>
  </si>
  <si>
    <t>12 квітня</t>
  </si>
  <si>
    <t>ігнорує повідомлення від ТЛ, групи нові не бере</t>
  </si>
  <si>
    <r>
      <rPr>
        <sz val="10"/>
        <rFont val="Montserrat"/>
      </rPr>
      <t xml:space="preserve">не зрозуміла позиція, в тг пропагандистські канали, які демонстрував дітям на заняттях
</t>
    </r>
    <r>
      <rPr>
        <u/>
        <sz val="10"/>
        <color rgb="FF1155CC"/>
        <rFont val="Montserrat"/>
      </rPr>
      <t>https://i.imgur.com/2MU7UTV.png</t>
    </r>
    <r>
      <rPr>
        <sz val="10"/>
        <rFont val="Montserrat"/>
      </rPr>
      <t xml:space="preserve">
</t>
    </r>
    <r>
      <rPr>
        <u/>
        <sz val="10"/>
        <color rgb="FF1155CC"/>
        <rFont val="Montserrat"/>
      </rPr>
      <t>https://i.imgur.com/MjB7WhW.png</t>
    </r>
  </si>
  <si>
    <t>09.03.0202</t>
  </si>
  <si>
    <t>Перейшов в розробку, бажання розвиватись далі в направленні адміністрування та пентестингу</t>
  </si>
  <si>
    <t>Змінився час роботи на основній роботі, тому викладати більше не зміг</t>
  </si>
  <si>
    <t>Не влаштовує зп та програма</t>
  </si>
  <si>
    <t>Написала наступне: Я довго думала, але все ж не зможу викладати, це займає багато часу та ресурсу, я дуже відповідальна людина і не можу прийти умовно не підготована до заняття.</t>
  </si>
  <si>
    <t xml:space="preserve">По стану здоров'я не може продовжувати. Є інші проєкти, і по основній роботі зараз стало більше задач, декрет, зрозуміла, що не може займатися усім. Якість занять низька. </t>
  </si>
  <si>
    <t>Перестав виходити на зв'язок після адаптації, звільнення з нашої сторони</t>
  </si>
  <si>
    <t>Андрій Дроботюк</t>
  </si>
  <si>
    <t>@Dro5zd</t>
  </si>
  <si>
    <t>Юля, привіт. Я до тебе не з дуже гарними новинами. 
В мене міняються життєві обставини. Часу на викладання не залишиться. Треба шукати іншу роботу яка буде годувати мою родину. Зарплатні в Go-Iteens мені точно не вистачить. 
Зможу попрацювати ще максимум тиждень, поки буде шукатися заміна.
Мені дуже прикро що так вийшло але не хочу далі все усугубляти. Сподіваюся на розуміння. Для мене самого ці зміни як грім серед ясного неба.</t>
  </si>
  <si>
    <t>Пішла до початку роботи
Вітаю!
Хочу бутт з вами щира, і зрозуміло ,що бути викладачем Soft skills це моя не основна робота
Цих 2 тижні не дуже було зрозуміло з моїм графіком,тому думала зможу поєднувати 2 роботи, але на жаль - не зможу
Дякую за можливість і успіхів вам!
Не хочу брати групу і потім підводити вас(відмовлятись)</t>
  </si>
  <si>
    <t>Пішла до початку роботи, тому що знайшла іншу роботу</t>
  </si>
  <si>
    <t>Пішла до початку роботи, тому що не може суміщати більше</t>
  </si>
  <si>
    <t>Відмовилась від груп, не починала працювати, бо запропонували іншу роботу</t>
  </si>
  <si>
    <t>Був в резерві, віддав групи через пренавантаженість у навчанні і роботі, не планує повертатися</t>
  </si>
  <si>
    <t>Була в резерві, віддав групи через пренавантаженість у навчанні і роботі, не планує повертатися</t>
  </si>
  <si>
    <t xml:space="preserve">Узяла групу спочатку на скретч, відповилась, хтось поставив її на дизайн, пропрацювала декілька тижнів, потім зникла в ігнор. Коли я написала у приватні сказала, що не буде викладачати , немає часу. </t>
  </si>
  <si>
    <t>Не влаштовувала заробітрна плата, більше груп брати не хотів, не встигав і з однією</t>
  </si>
  <si>
    <t>Привіт. Не зовсім мене зацікавила мотиваційна система, тому на жаль приймаю рішеннч звільнитись. В основному питання співвідношення часу з оплатою</t>
  </si>
  <si>
    <t>Добрий вечiр. Вибачте, але я не зможу продовжувати вести заняття. Це виявилось набагато важче нiж я уявляв. Дiти зробили домашне завдання до прошлого заняття добре, як й було вказано у завданнi)
Дійсно не зручно вийшло, але відчуття що я зробив 3 лендінга за півтори години, це важкувато. Я заповнив форму яка йде пiсля заняття. В мене нема посилання на гугл таблицю, але 11 з 11 учнів були на занятті</t>
  </si>
  <si>
    <t>Не бажав відкривати ФОП і відразу категорічно до цього поставився, після певного часу сказав "Звільнюся через ФОП"</t>
  </si>
  <si>
    <t>Сказала, що не буде повертатися, тому змінила резерв на звільнено</t>
  </si>
  <si>
    <t>Звільнено ТЛ. Відмовився від групи в день старту. сказав, що він не готовий і в нього немає чіткого плану дій. хоча була проведена адаптація та всі необхідні матеріали. безвідповідально.</t>
  </si>
  <si>
    <t>Звільнено ТЛ. Відмовився від групи за декілька днів до старту, причину не повідомив.</t>
  </si>
  <si>
    <t>Звільнилась сама. Знайшла роботу іншу. Групи так і не стартували</t>
  </si>
  <si>
    <t>Звільнився до старту групи. Знайшов роботу на повну зайнятість</t>
  </si>
  <si>
    <t>Не сподобався договір NDA</t>
  </si>
  <si>
    <t>Щетинина Ольга</t>
  </si>
  <si>
    <t xml:space="preserve">Пішла до початку роботи. Знайшла іншу роботу й не буде встигати. </t>
  </si>
  <si>
    <t>Не може поєднувати із основною роботою через розклад. Нажаль викладачка категорії A, тож йде у Churn</t>
  </si>
  <si>
    <t xml:space="preserve">Звільнено </t>
  </si>
  <si>
    <t xml:space="preserve">Не хоче працювати з дітьми. сама розуміє, що це не її </t>
  </si>
  <si>
    <t>Вийшов з групи, не хотів про це сам казати, я побачила і написала, відповів - Мені не цікавить матеріал викладання(вперше побачив що таке роблокс, тепер знаю про нього більше)</t>
  </si>
  <si>
    <t>Регулярно не заповнював форму після заняття, не писав підсумки, ігнорував мої прохання та навіть зараз ( майже за тиждень ) не прочитав повідомлення. що його звільнено. Мав 1 групу</t>
  </si>
  <si>
    <t>Почалась основна робота, немає часу</t>
  </si>
  <si>
    <t>Знайшов іншу роботу. Показники були не дуже гарні</t>
  </si>
  <si>
    <t>Відмовився від групи за день до початку.</t>
  </si>
  <si>
    <t>Відмовився від групи після першого заняття</t>
  </si>
  <si>
    <t>https://t.me/Aircorridor</t>
  </si>
  <si>
    <t xml:space="preserve">Займається волонтерською діяльністю, немає часу </t>
  </si>
  <si>
    <t>Артем Дадашьянс</t>
  </si>
  <si>
    <t>Не виконує обов'язків викладача</t>
  </si>
  <si>
    <t>Своя причина, по мирній домовленості</t>
  </si>
  <si>
    <t>Відмовився підписувати NDA</t>
  </si>
  <si>
    <t>Відмовилася підписувати НДА</t>
  </si>
  <si>
    <t>"Нові брати поки нема можливості, принаймі найближчим часом (бо працюю по суті за 2)."  Можна в  резерв</t>
  </si>
  <si>
    <t>Відмовилась вести групи, сказала, що "комерція не моє"</t>
  </si>
  <si>
    <t xml:space="preserve">Шпак </t>
  </si>
  <si>
    <t>Не може поєднувати з навчанням. Відмова до стартів</t>
  </si>
  <si>
    <t>Перезавантажена, не встигає, тому прийняла рішення піти</t>
  </si>
  <si>
    <t>Безвідповідально ставився до групи, не писав звіти, брав часто заміни. Потім написав, що немає часу викладати, на повідомлення після цього не відпоавідає</t>
  </si>
  <si>
    <t>Не дуже гарні показники. Особисте прохання: "Доброго вечора, у мене склалась ситуація, що я не зможу більше викладати в вашій компанії"</t>
  </si>
  <si>
    <t>Відмовляється підписувати NDA</t>
  </si>
  <si>
    <t>Не мав ні 1 групи і не планує працювати викладачем</t>
  </si>
  <si>
    <t>Займається своїми індивами, не мав ні 1 групи. Бажає тільки індиви</t>
  </si>
  <si>
    <t>Мав на початок серпня 1 групу, віддав через перхід на іншу роботу та переїзд. В жовтні списалися сказав, що не подобається програма і повернутися не планує</t>
  </si>
  <si>
    <t>Від самого початку не мав груп, в жовтні списалися і сказав "Через брак часу, робота + навчання групи не планує брати"</t>
  </si>
  <si>
    <t>Захворіла сильно, тож йде в резерв, але хоче повернутися</t>
  </si>
  <si>
    <t>Спочатку хотіла на резерв, але потім сказав, що не може впоратися з маленькими дітьми, не підходить робота така. Показники були погані.</t>
  </si>
  <si>
    <t>Не хоче навідріз відкривати ФОП та сильне завантаження на основній роботі, що стало багато замін, тому обоюдне рішення про припинення роботи прийняли.</t>
  </si>
  <si>
    <t>Ігнорує повідомлення від ТЛ, групи нові не бере</t>
  </si>
  <si>
    <t>Привіт, Владо, наразі ні. У мене приблизно з жовтня групи нема, нову групу я не беру через те що я не маю можливості завжди зараз буду на звязку. Чи можливо буде мені повернутися до викладання за певний період, а зараз мене поставити на "холд"?</t>
  </si>
  <si>
    <t>Хочу повідомити, що надалі я не зможу займатися викладацькою діяльністю в рамках цієї школи у зв'язку з неможливістю поєднувати роботу тут із іншими сферами життя</t>
  </si>
  <si>
    <t>Не виходить на зв'язок, немає груп</t>
  </si>
  <si>
    <t>Перейшла до відділу SM</t>
  </si>
  <si>
    <t>Мобілізувався в ЗСУ, можливе повернення</t>
  </si>
  <si>
    <t>Дуже велике навантаження по роботі, потребує розгрузки і морального відпочинку, повернеться. Можна на неї розраховувати на підміни. Цитую "Я змінила основну роботу і стало набагато більше роботи, ніж раніше, і зараз взагалі немаю вільного часу. Через те, що не відпочиваю зовсім, я не можу викладатись на максимум при проведенні занять( В мене просто вже емоційний стан починає їхати :sweat_smile:"</t>
  </si>
  <si>
    <t>Дуже велике навантаження у двох академіях</t>
  </si>
  <si>
    <t>резерв</t>
  </si>
  <si>
    <t>Багато пар в університеті, поки іде на резерв, поверниться після сесії</t>
  </si>
  <si>
    <t>в неї розклад змінюється щосемерстру, тож вона не може брати групу на рік, тому ми не поставили групу і не будемо далі працювати.</t>
  </si>
  <si>
    <t xml:space="preserve">Ковбасюк Ілона </t>
  </si>
  <si>
    <t>Стан здоровʼя</t>
  </si>
  <si>
    <t>Не підходять умови праці</t>
  </si>
  <si>
    <t>Відмовилась від групи майже одразу після старту. Каже, що особисті обставини</t>
  </si>
  <si>
    <t>Передала свою групку, оскільки дуже велика навантаження по роботі і не встигає яісно проводити заняття. Проте з лютого планувала повернутись. Потім написала, що не буде далі викладати.</t>
  </si>
  <si>
    <t>Розбіжності у векторах розвитку, некоректні комунікації</t>
  </si>
  <si>
    <t>По стану здоров'я, але попрощалася вона не гарно, не передала нормально групи, тому не впевнена, що прийму назад з резерву.</t>
  </si>
  <si>
    <t xml:space="preserve">Основна робота, 2 дитини, працювала без вихідних, вигоріла. </t>
  </si>
  <si>
    <t>Захотіла піти в резерв, обіцяла повернутись у листопаді. Повідомлення ігнорує у Слак і ТГ</t>
  </si>
  <si>
    <t>Попросився на фронт, пішов навчатись, але поки немає часу. Поставила в резерв</t>
  </si>
  <si>
    <t>Тут таке діло, я більше не хочу працювати викладачем. Груп більше у мене немає, все ок, зарплату отримала, іду з чистою совістю так скажемо.
Я  дуже вдячна тобі, ти класний тімлід, який допоможе в будь-яку хвилину). Дякую за такий великий досвід, як першої роботи.</t>
  </si>
  <si>
    <t>Я думаю звільнятись, nda ще не підписувала.Тут цілий комплекс, бо коли я приходила то умови для мене підходили гранично. Зараз же бачучи нововведення з відсутністю менеджерів, ставлення батьків, робота учнів, співвідношення оплати та додатково витрачаємим часом, який не оплачується мене не влаштовує, на жаль(
Наступне заняття має бути в понеділок, цього тижня не було, треба поставити заміну і перенести на інший день
Я хотіла і планувала лишатись надовго, але зараз розумію, що в поточних умовах для мене це буде  на шкоду</t>
  </si>
  <si>
    <t>Власні причини</t>
  </si>
  <si>
    <t>власні причини</t>
  </si>
  <si>
    <t xml:space="preserve">Я хотів би вибачитись, бо я відчуваю що зараз я не готовий працювати, бо для мене на даний момент це важко. Наразі я вчусь на першому курсі і навчання витягує з мене всі сили, тому мені важко ще й займатись власне роботою. </t>
  </si>
  <si>
    <t>Відмовляється від нових груп, каже, що знає лише фігму. але коли йому пропонувались групки з фігми - теж сказав, що не бере. Заміни не підхоплює, роботи немає.</t>
  </si>
  <si>
    <t xml:space="preserve">Групи закінчилися (або розформувалися), хоче взяти паузу, зосередитися на основній роботі. Не вистачає часу на відпочинок та ресурсу. </t>
  </si>
  <si>
    <t>почала вести себе не адекватно,хамила асесорам і см, написала сама що не буде працювати</t>
  </si>
  <si>
    <t>зрозуміла,що не зможе вести групи,бо до цього займалась з дітьми індивідуально</t>
  </si>
  <si>
    <t>я б попрацював над продуктом у форматі контракту, але навчати дітей я більше не готовий.
Ви можете ознайомитись з моїм СВ , можливо я можу стати влучним до одного з ваших проєктів</t>
  </si>
  <si>
    <t>Не виходить на контакт, намагався зв'язатися, щоб вийти на міт (ігнорував). Останні повідомлення були, якщо не зміниться програма і обов'язки працювати не буде</t>
  </si>
  <si>
    <t>Не планує працювати через брак часу в університеті. встановлював резерв, але досі не надає відповідь</t>
  </si>
  <si>
    <t>Відкрив свою компанію і не має часу працювати викладачем</t>
  </si>
  <si>
    <t>Встановив в резерв, але відповідь викладача, що не бачить себе, як викладачем для дітей</t>
  </si>
  <si>
    <t>Я би хотіла лишитись в резерві, якщо це можливо. Можливо, зможу підхопити чиюсь заміну коли-небудь)</t>
  </si>
  <si>
    <t>нажаль поки розумію що викладати не буду. Не встигаю. Але додатково хотіла передати конспекти уроків, які давала учням. Відправлю вам як тільки зберу</t>
  </si>
  <si>
    <t>її групу розформували,написала,що більше не хоче викладати</t>
  </si>
  <si>
    <t>Поки не планую викладати, можливо є сенс видалити</t>
  </si>
  <si>
    <t xml:space="preserve">Нестача часу, відсутність сталого графіку. </t>
  </si>
  <si>
    <t>почав працювати над іншим проєктом. Не цікаво викладати - багато обовʼязків за поточну оплату.</t>
  </si>
  <si>
    <t>Не хоче брати групи, довго не виходив на контакт до цього</t>
  </si>
  <si>
    <t>збільшилось навантаження на основній роботі,тому не зможе більше викладати</t>
  </si>
  <si>
    <t>Власна причина</t>
  </si>
  <si>
    <t>math</t>
  </si>
  <si>
    <t>Довго не могли підібрати групу, був один індив. сказала, не може далі працювати за особистими обставинами</t>
  </si>
  <si>
    <t>Завжди такий тон спілкування, ніби їй всі повинні. Сказала, що немає адекватних матеріалів для викладання і відмовляється з нами працювати.</t>
  </si>
  <si>
    <t>Звільнено за невиконання обовʼязків. Невчасно заповнював форми, ОК та не всі звіти в тг батькам відправляв. Остання ОКЯ 67. В Слак не реагував на повідомлення, чекала тижнями</t>
  </si>
  <si>
    <t>Присвоїв частину чужої ЗП після звільнення (помилково закинули) і сказав що не буде повертати, бо це проблеми компанії.
"Привіт! Перепрошую, що турбую в суботу.  В мене виникли непередбачувані особисті обставини, тому я не зможу надалі співпрацювати з вами. Я повноцінно допрацюю свої уроки ще ці 10 днів до 19 лютого, щоб ви мали час підготувати заміну. З квізом вчора зв'язався, вони дали доступ на запис, тому уроки будуть записані як слід.  Дякую вам за досвід попрацювати з дітьми, це цікаво) Підкажи будь ласка, я правильно розумію, що решта за січень (ті форми які я не заповнив) та зп за лютий прийде мені в районі 3-5 березня? Дякую за допомогу із 1000, вчора гроші прийшли."</t>
  </si>
  <si>
    <r>
      <rPr>
        <sz val="10"/>
        <color theme="1"/>
        <rFont val="Montserrat"/>
      </rPr>
      <t>Відмовився від першої групи. "</t>
    </r>
    <r>
      <rPr>
        <i/>
        <sz val="10"/>
        <color theme="1"/>
        <rFont val="Montserrat"/>
      </rPr>
      <t>Діана, привіт!
На жаль, мушу повідомити, що у мене змінилися обставини. Я не зможу почати викладання 22 лютого з групою, яка була закріплена за мною :pensive: Прошу знайти мені заміну. Вибач за створені незручності."</t>
    </r>
  </si>
  <si>
    <t>пробелеми у місті зі світлом(немає з 14 до 21 год), не хоче підводити команду і брати постійно заміни, повернеться коли вирішиться проблема</t>
  </si>
  <si>
    <t>складні життєві обставини. груп не брала</t>
  </si>
  <si>
    <t>Не виконання обов'язків, проблеми з учнями (не одноразовий випадок)</t>
  </si>
  <si>
    <t>Особисті причини, це не зв'язано з роботою. Все подобається і колектив, і учні, і правила.</t>
  </si>
  <si>
    <t>знайшов основну роботу</t>
  </si>
  <si>
    <t>велика зайнятість на основній роботі, не встигає</t>
  </si>
  <si>
    <t>ART</t>
  </si>
  <si>
    <t>Саме у викладанні все чудово) Але ось через дискомунікацію з менеджерами я хотіла б звільнитись</t>
  </si>
  <si>
    <t>Та я просто переїжджаю в іншу країну + єкзамени , занадто велике навантаження та і не хотілось би брати багато замін на час переїзду. Ну сподіваюсь,коли вже стабілізуюсь , зможу повернутись</t>
  </si>
  <si>
    <t>погано себе почуває через вагітність,можливо пізніше повернеться до роботи</t>
  </si>
  <si>
    <t>написала,що переїжджає і зараз працювати не зможе</t>
  </si>
  <si>
    <t>Привет! У меня произошли изменение в моем графике. Появилось больше задач по основной работе, которая приносит доход мне. Я не смогу брать уроки. Надеюсь на понимание и то, что возможно при большем свободном времени мы сможем сотрудничать. Потому что это интересный опыт</t>
  </si>
  <si>
    <t>На основній посаді багато задач, тому не встигає, працює у нас дизайнером на фултаймі</t>
  </si>
  <si>
    <t>Доброго дня, хочу повідомити, що мушу припинити викладання у зв'язку з сімейними обставинами.</t>
  </si>
  <si>
    <t>Якщо є така можливість, то може краще знайти когось на постійну основу для моєї групи, оскільки через завантажений графік я не зможу нормально готуватись до занять, а я не хотів би щоб учні отримували неякісні уроки через це</t>
  </si>
  <si>
    <t>Знайшла роботу за освітою</t>
  </si>
  <si>
    <t>Звільнений через дисциплінарні проблеми</t>
  </si>
  <si>
    <t xml:space="preserve">Знайшла іншу роботу </t>
  </si>
  <si>
    <t>"нажаль через сімейні обставини я далі не зможу викладати"</t>
  </si>
  <si>
    <t>Марина Зайцева</t>
  </si>
  <si>
    <t>@sunriseinyoureyes</t>
  </si>
  <si>
    <t>"У зв'язку з переїздом, у мене немає часу і можливості працювати"</t>
  </si>
  <si>
    <t>так склалися сімейні обставини, тому не буде часу на якісну роботу в команді і відповіданню всім вимогам. Не хочу понижувати планку школи, тож хотіла б звільнитися</t>
  </si>
  <si>
    <t>Стала тімлідом (артдиректором) у компанії в США, не може поєднувати. Хотілось би з нею ще співпрацювати, класна, але чи захоче згодом... Наші уроки для неї "благодійність", живучи у штатах.</t>
  </si>
  <si>
    <t>Через відключення світла не зможе працювати</t>
  </si>
  <si>
    <t>Звільнила ТЛ
Шановний Олексій,
В якості лідера команди викладачів, моя мета - забезпечити високу якість навчання усім нашими учнями, і ти знаєш, що це потребує від кожного з нас викладання на найвищому рівні.
Протягом останніх місяців ми стикалися з численними ситуаціями, коли ваша робота не відповідала очікуванням і вимогам нашої школи. На протязі цього часу були підтверджені відсутність ведення звітності про домашні завдання, відсутність взаємодії з батьками через чати, а також недостатній рівень ведення занять.
Ці проблеми викликали серйозні обурення і скарги як з боку батьків, так і з боку адміністрації школи.
Ми повіримо, що ви здатні до покращень, але на жаль, за останній час ми не бачили жодних конкретних зусиль у цьому напрямку.
Ніяких кроків на зустріч мені зроблено не було, відповіді на мої численні повідомлення також.
У зв’язку з цим, було прийнято рішення припинити вашу роботу в якості викладача.
Прошу надати список груп, індивів які у тебе зараз є, тому що ми починаємо шукати заміни для них !!</t>
  </si>
  <si>
    <t xml:space="preserve">Знайшла основну роботу </t>
  </si>
  <si>
    <t>Ім'я</t>
  </si>
  <si>
    <t>Михайло Поляков</t>
  </si>
  <si>
    <t>Дмитро Іваненко</t>
  </si>
  <si>
    <t>Діана Лонжанська</t>
  </si>
  <si>
    <t>Front-end</t>
  </si>
  <si>
    <t>Тетяна Тарасович</t>
  </si>
  <si>
    <t>Ілья Лисенко</t>
  </si>
  <si>
    <t>Галина  Даневич</t>
  </si>
  <si>
    <t>@gala_danevych</t>
  </si>
  <si>
    <t>Procreate Art</t>
  </si>
  <si>
    <t>Отметка времени</t>
  </si>
  <si>
    <t>Дата заняття</t>
  </si>
  <si>
    <t>Оберіть ваш напрямок</t>
  </si>
  <si>
    <t>Час заняття</t>
  </si>
  <si>
    <t>Група, де має бути заміна</t>
  </si>
  <si>
    <t>Номер та тема заняття</t>
  </si>
  <si>
    <t>Основний викладач (тобто ви)</t>
  </si>
  <si>
    <t>Хто заміняє</t>
  </si>
  <si>
    <t>Яка це заміна на місяць? (Вкажіть лише цифру)</t>
  </si>
  <si>
    <t>Потрібна разова чи регулярна заміна?</t>
  </si>
  <si>
    <t>Причина заміни</t>
  </si>
  <si>
    <t>Погоджено ТЛ</t>
  </si>
  <si>
    <t>Коментарій від ТЛ</t>
  </si>
  <si>
    <t>GoITeens_UA_PYTHON_1y_14_22</t>
  </si>
  <si>
    <t>19. Підготовка до публічного виступу</t>
  </si>
  <si>
    <t>Юлія Войтенко</t>
  </si>
  <si>
    <t>Разова</t>
  </si>
  <si>
    <t>Відрядження</t>
  </si>
  <si>
    <t>GoITeens_UA_MINE_4_23</t>
  </si>
  <si>
    <t>10. Самостійність (закріплення)</t>
  </si>
  <si>
    <t>DA_JUN_1y_10_22</t>
  </si>
  <si>
    <t>21. Скіл орієнтації</t>
  </si>
  <si>
    <t>GoITeens_UA_DA_1y_1_23</t>
  </si>
  <si>
    <t>12. Емоційна грамотність 2.0</t>
  </si>
  <si>
    <t>DA_1y_8_22 (1 група)</t>
  </si>
  <si>
    <t>18 Як стати класним спікером</t>
  </si>
  <si>
    <t>Юлія Царьова</t>
  </si>
  <si>
    <t>Марія Костяк</t>
  </si>
  <si>
    <t>Перші дві - обстріляний Харків, не було зв'язку.  Сьогодні захворіла ;(</t>
  </si>
  <si>
    <t>python_1y_5_23</t>
  </si>
  <si>
    <t>2, Основи мови - змінні та вирази</t>
  </si>
  <si>
    <t>Ярослав Висоцький</t>
  </si>
  <si>
    <t>Вирішення проблем з воєноматом</t>
  </si>
  <si>
    <t>GoITeens_UA_MINE_7 (2 група)</t>
  </si>
  <si>
    <t>Урок 7 (ІІ): Хмарочос (3 частина)</t>
  </si>
  <si>
    <t xml:space="preserve">Дубяга Микита </t>
  </si>
  <si>
    <t xml:space="preserve">Аліна Максименко </t>
  </si>
  <si>
    <t>Приймаю участь у благодійному кіберспортивному турнірі.</t>
  </si>
  <si>
    <t>GoITeens_UA_MINE_1y_18_22 (1 група)</t>
  </si>
  <si>
    <t>№19 Проекти</t>
  </si>
  <si>
    <t>Відсутність основного викладача по сімейним причинам.</t>
  </si>
  <si>
    <t>Джуни 1у_3_23 (2)</t>
  </si>
  <si>
    <t>9 банер для власного ютюб каналу</t>
  </si>
  <si>
    <t xml:space="preserve">Обенко Олександр </t>
  </si>
  <si>
    <t>Погане самопочуття</t>
  </si>
  <si>
    <t>GD_1y_2_23</t>
  </si>
  <si>
    <t>Колесо життєвого балансу</t>
  </si>
  <si>
    <t>Одноразова подія, на яку не встигаю через урок і яку не можна перекласти</t>
  </si>
  <si>
    <t>Ua_da_1y_2</t>
  </si>
  <si>
    <t>3 mins maps</t>
  </si>
  <si>
    <t xml:space="preserve">Анастасія Почтар </t>
  </si>
  <si>
    <t xml:space="preserve">Не буде стабільного інтернету </t>
  </si>
  <si>
    <t>3/28/0023</t>
  </si>
  <si>
    <t>Ua_mine_11_23</t>
  </si>
  <si>
    <t xml:space="preserve">7 Емоційний інтелект закріплення </t>
  </si>
  <si>
    <t>Марія +380 50 713 28 18</t>
  </si>
  <si>
    <t>GoITeens_UA_GD_1y_4_23_1 (студенти)</t>
  </si>
  <si>
    <t>№6 Самодисципліна</t>
  </si>
  <si>
    <t>Юля Руденко</t>
  </si>
  <si>
    <t xml:space="preserve">У мене аспірантська конференція, яка стосується закінченню педагогічної практики в Університеті. </t>
  </si>
  <si>
    <t>UA_MINE_2y_3</t>
  </si>
  <si>
    <t>№7 Закріплення Емоційний інтелект</t>
  </si>
  <si>
    <t>Юлія Іванішена</t>
  </si>
  <si>
    <t>Регулярна</t>
  </si>
  <si>
    <t>Сімейні обставини</t>
  </si>
  <si>
    <t>GoITeens_UA_FE_1y_2_23</t>
  </si>
  <si>
    <t>№7 Мрії та цілі</t>
  </si>
  <si>
    <t>Інна Юзькова</t>
  </si>
  <si>
    <t>MINE_1y_9_23</t>
  </si>
  <si>
    <t>#7 Внутрішній спокій</t>
  </si>
  <si>
    <t>Олександра Дмитрук</t>
  </si>
  <si>
    <t>Юлія Костюк</t>
  </si>
  <si>
    <t>Похід до лікаря</t>
  </si>
  <si>
    <t>GD_1y_5_23 (1 група)</t>
  </si>
  <si>
    <t>Мрії та цілі</t>
  </si>
  <si>
    <t>Давид Деревляний</t>
  </si>
  <si>
    <t>Ірина Рудика</t>
  </si>
  <si>
    <t>Roblox_1y_5(1)</t>
  </si>
  <si>
    <t>Ігрові проекти</t>
  </si>
  <si>
    <t>Мілослава Титаренко</t>
  </si>
  <si>
    <t>Форс мажор</t>
  </si>
  <si>
    <t>Da_4_22</t>
  </si>
  <si>
    <t xml:space="preserve">7 звичок високоефективних підлітків </t>
  </si>
  <si>
    <t xml:space="preserve">Іванішена Юлія </t>
  </si>
  <si>
    <t>Через бурю зник інтернет</t>
  </si>
  <si>
    <t>GoITeens_UA_MINE_1y_3_23 (5 група)</t>
  </si>
  <si>
    <t>#12 Нитка Аріадни</t>
  </si>
  <si>
    <t xml:space="preserve">Шевченко Віталій </t>
  </si>
  <si>
    <t xml:space="preserve">Особисті </t>
  </si>
  <si>
    <t>MINE_KIDS_1y_10_23(1 група Для дітей)</t>
  </si>
  <si>
    <t>Дім чарівника продовження</t>
  </si>
  <si>
    <t xml:space="preserve">Корнієнко Інна </t>
  </si>
  <si>
    <t>Виступ своєї дитини в театрі</t>
  </si>
  <si>
    <t>Номер 12: Switch/case</t>
  </si>
  <si>
    <t>Поїхав побачитися з батьками</t>
  </si>
  <si>
    <t>4/12/0023</t>
  </si>
  <si>
    <t>GoITeens_UA_DA_1y_8_23 (2 підгрупа)</t>
  </si>
  <si>
    <t>#4 Як запам'ятовувати все?</t>
  </si>
  <si>
    <t>Катя Рурак</t>
  </si>
  <si>
    <t>Буду в дорозі, маю білети на поїзд на 20-30</t>
  </si>
  <si>
    <t>UA_mine_4_23</t>
  </si>
  <si>
    <t>Креативність 2 заняття</t>
  </si>
  <si>
    <t>Юлія Доброскок</t>
  </si>
  <si>
    <t xml:space="preserve">Маша Мі (так людина підписана в Телеграмі) </t>
  </si>
  <si>
    <t xml:space="preserve">Буду в дорозі </t>
  </si>
  <si>
    <t>Fe_1y_5</t>
  </si>
  <si>
    <t xml:space="preserve">32. Тайм-менеджмент </t>
  </si>
  <si>
    <t>Дуже погане самопочуття, буквально складно зв'язно говорити..</t>
  </si>
  <si>
    <t>UA_MINE_KIDS_10</t>
  </si>
  <si>
    <t>Урок 7 (2 частина)</t>
  </si>
  <si>
    <t xml:space="preserve">Букша Даниїл </t>
  </si>
  <si>
    <t xml:space="preserve">Відсутність інтернету </t>
  </si>
  <si>
    <t>UA_MINE_19</t>
  </si>
  <si>
    <t xml:space="preserve">Проект </t>
  </si>
  <si>
    <t>Букша Даниїл</t>
  </si>
  <si>
    <t>Kids (Minecraft)</t>
  </si>
  <si>
    <t>8. Креативне мислення</t>
  </si>
  <si>
    <t>@TanyaSafonova</t>
  </si>
  <si>
    <t>Немає змоги вкладати.</t>
  </si>
  <si>
    <t>UA_DA_1y_7_23 діти (1 підгрупа)</t>
  </si>
  <si>
    <t>Колір(практика)</t>
  </si>
  <si>
    <t>не маю можливості провести заняття з особистих причин</t>
  </si>
  <si>
    <t>UA_MINE_1y_1_23 (3 група)</t>
  </si>
  <si>
    <t>як все запам'ятовувати? 2й урок</t>
  </si>
  <si>
    <t>стан здоров'я</t>
  </si>
  <si>
    <t>UA_MINE_1y_15:</t>
  </si>
  <si>
    <t>4 Планування</t>
  </si>
  <si>
    <t>Марія Міхол</t>
  </si>
  <si>
    <t>була в довгій дорозі, непередбачувані обставини</t>
  </si>
  <si>
    <t>MINE_1y_9_23(2)</t>
  </si>
  <si>
    <t>№8. Емоційний інтелект</t>
  </si>
  <si>
    <t>близький родич потрапив в лікарню, треба особисто моя присутність</t>
  </si>
  <si>
    <t>DA_JUN_1y10_23</t>
  </si>
  <si>
    <t xml:space="preserve">2 урок, робота із зображеннями </t>
  </si>
  <si>
    <t xml:space="preserve">Тетяна Савчук </t>
  </si>
  <si>
    <t>Буду в університеті займатися дипломом в цей час. Терміново запросив керівник.</t>
  </si>
  <si>
    <t xml:space="preserve">MINE_1y_9_23(1група) </t>
  </si>
  <si>
    <t>№8 Емоційний інтелект</t>
  </si>
  <si>
    <t>Інна</t>
  </si>
  <si>
    <t>погано себе почуваю</t>
  </si>
  <si>
    <t>GD_1y_8</t>
  </si>
  <si>
    <t>raycast unity</t>
  </si>
  <si>
    <t>Валентин Рибінський</t>
  </si>
  <si>
    <t>Володимир Бурлак</t>
  </si>
  <si>
    <t>накладка з навчанням</t>
  </si>
  <si>
    <t>GD_1y_15_22</t>
  </si>
  <si>
    <t>Час потягу співпав з часом заняття.</t>
  </si>
  <si>
    <t>DA_1y_4_23 (3 підгрупа)</t>
  </si>
  <si>
    <t>8 Як досягати своїх цілей?</t>
  </si>
  <si>
    <t xml:space="preserve">Явтушенко Вікторія </t>
  </si>
  <si>
    <t xml:space="preserve">Від'їзд з міста </t>
  </si>
  <si>
    <t>GoITeens_UA_MINE_1y_1_23 (3 група)</t>
  </si>
  <si>
    <t xml:space="preserve">9 лабіринт </t>
  </si>
  <si>
    <t xml:space="preserve">Нільга Софія </t>
  </si>
  <si>
    <t>Андрій Солонинка</t>
  </si>
  <si>
    <t>Відсутність вдома</t>
  </si>
  <si>
    <t>PYTHON_1y_6_22 (1 група)</t>
  </si>
  <si>
    <t>№6: повторення (класи, декоратори, MySQL, HTML основи)</t>
  </si>
  <si>
    <t>Хвороба.</t>
  </si>
  <si>
    <t>UA_DA_1y_6_22: 2 група</t>
  </si>
  <si>
    <t>6 - Прототипування</t>
  </si>
  <si>
    <t xml:space="preserve">В компанії іде презентація проекту і сказали дизайнеру бути присутнім, скільк ичасу займе - невідомо, тому страхуюсь </t>
  </si>
  <si>
    <t>заміни не було, перенесли заняття на інший день</t>
  </si>
  <si>
    <t>PYTHON_1y_2_23</t>
  </si>
  <si>
    <t xml:space="preserve">16 Колекції </t>
  </si>
  <si>
    <t>DA_1y_5_23(1)</t>
  </si>
  <si>
    <t>№7. Мрії та цілі</t>
  </si>
  <si>
    <t>Особисті проблеми</t>
  </si>
  <si>
    <t>DA_JUN_1y_8_23(1)</t>
  </si>
  <si>
    <t>№4. Закріплення. Світ ІТ</t>
  </si>
  <si>
    <t xml:space="preserve">Особисті проблеми </t>
  </si>
  <si>
    <t>MINE_1y_10_23 (2 підгрупа)</t>
  </si>
  <si>
    <t xml:space="preserve">Емоційний інтелект </t>
  </si>
  <si>
    <t xml:space="preserve">Бачуріна Вікторія </t>
  </si>
  <si>
    <t xml:space="preserve">Тетяна Сафонова </t>
  </si>
  <si>
    <t xml:space="preserve">через основну роботу </t>
  </si>
  <si>
    <t xml:space="preserve">DA_1y_6_23(2 група ) </t>
  </si>
  <si>
    <t xml:space="preserve">Самодисципліна </t>
  </si>
  <si>
    <t>Da_1y_7_22</t>
  </si>
  <si>
    <t>Установки</t>
  </si>
  <si>
    <t>Була в дорозі</t>
  </si>
  <si>
    <t>GoITeens_UA_ROB_1y_5_22: 2 група</t>
  </si>
  <si>
    <t>36 як побороти лінь</t>
  </si>
  <si>
    <t>візит до сімейного лікаря, електронна черга визначила час лише цей</t>
  </si>
  <si>
    <t xml:space="preserve">UA_ROB_1y_4_23_2 </t>
  </si>
  <si>
    <t>Самостійність( мрії)</t>
  </si>
  <si>
    <t>відсутність світла</t>
  </si>
  <si>
    <t>№4: Цикли For</t>
  </si>
  <si>
    <t>Був у дорозі до батьків</t>
  </si>
  <si>
    <t>Mine_1у_9_23 (4 група)</t>
  </si>
  <si>
    <t>8 мистецтво приймати рішення</t>
  </si>
  <si>
    <t>Буду в дорозі</t>
  </si>
  <si>
    <t>3_Python</t>
  </si>
  <si>
    <t>36 сім звичок високоефективних підлітків</t>
  </si>
  <si>
    <t>Буду у дорозі</t>
  </si>
  <si>
    <t>GoITeens_UA_MINE_1y_18_23 1 гр</t>
  </si>
  <si>
    <t>№1 Перші кроки у  Minecraft Education</t>
  </si>
  <si>
    <t xml:space="preserve">Привалов Станіслав </t>
  </si>
  <si>
    <t xml:space="preserve">Захворів з температурою 39 </t>
  </si>
  <si>
    <t>GoITeens_UA_MINE_1y_1_23 (2 група)</t>
  </si>
  <si>
    <t>14. Цінності та правила</t>
  </si>
  <si>
    <t>Марія Вачинич</t>
  </si>
  <si>
    <t>Anastasiia Myrshavka</t>
  </si>
  <si>
    <t>Хвороба. Голос сів, не можу провести заняття(</t>
  </si>
  <si>
    <t xml:space="preserve">9 самостійність </t>
  </si>
  <si>
    <t xml:space="preserve">Почтар </t>
  </si>
  <si>
    <t xml:space="preserve">Непередбачувана ситуація </t>
  </si>
  <si>
    <t>MINE 1Y_17_23 (1 група)</t>
  </si>
  <si>
    <t>2  Перші побудови в Minecraft Education</t>
  </si>
  <si>
    <t>Анна Гордова</t>
  </si>
  <si>
    <t>Олена Большунова</t>
  </si>
  <si>
    <t>тітка приїде на декілька годин, рік не бачились</t>
  </si>
  <si>
    <t>FE 1y_7</t>
  </si>
  <si>
    <t>Робота з клієнтами 2 заняття</t>
  </si>
  <si>
    <t>Регулярна (на постійну основу)</t>
  </si>
  <si>
    <t>Поведінка деяких дітей у бік викладача</t>
  </si>
  <si>
    <t>UA_MINE_1y_28_23</t>
  </si>
  <si>
    <t>Микола Дубина</t>
  </si>
  <si>
    <t>DA_JUN_1y_10_22 (1)</t>
  </si>
  <si>
    <t>Розробка соціальних мереж</t>
  </si>
  <si>
    <t>Уляна Усенко</t>
  </si>
  <si>
    <t>Олеся Федорук</t>
  </si>
  <si>
    <t>Переїзд в іншу країну</t>
  </si>
  <si>
    <t xml:space="preserve">DA_JUN_1y_7_23(2) </t>
  </si>
  <si>
    <t>Власний фон</t>
  </si>
  <si>
    <t>Олександр Обенко</t>
  </si>
  <si>
    <t>UA_DA_JUN_1y_4 (2)</t>
  </si>
  <si>
    <t>GoITeens_UA_DA_1y_2_23</t>
  </si>
  <si>
    <t>Повторення Фотошопу</t>
  </si>
  <si>
    <t>Яна Максимів</t>
  </si>
  <si>
    <t>Наталія Кучер</t>
  </si>
  <si>
    <t>Сімейні обставини (похорон)</t>
  </si>
  <si>
    <t>GoITeens_UA_DA_1y_10_23</t>
  </si>
  <si>
    <t>Основи комп’ютерної графіки»</t>
  </si>
  <si>
    <t>Юлія Корнієнко</t>
  </si>
  <si>
    <t>DA_JUN_1y_11_22</t>
  </si>
  <si>
    <t>№ 21</t>
  </si>
  <si>
    <t>Поїздка</t>
  </si>
  <si>
    <t xml:space="preserve">Gamedev_1y_5 </t>
  </si>
  <si>
    <t>41. 7 звичок високоефективних підлітків (Ч.2)</t>
  </si>
  <si>
    <t>GoITeens_UA_KIDS_1y_2: 1 група</t>
  </si>
  <si>
    <t>Minecraft Kids Тема 5 "Координати та крафтинг"</t>
  </si>
  <si>
    <t>Оксана Ковтало</t>
  </si>
  <si>
    <t>сімейні обставини</t>
  </si>
  <si>
    <t xml:space="preserve">Власна тема </t>
  </si>
  <si>
    <t>Даниїл Букша</t>
  </si>
  <si>
    <t xml:space="preserve">Тактична Волошиненко </t>
  </si>
  <si>
    <t xml:space="preserve">По особистим обставинам </t>
  </si>
  <si>
    <t>UA_MINE_1y_10_23 (1 підгрупа)</t>
  </si>
  <si>
    <t>Лілія Резніченко</t>
  </si>
  <si>
    <t>Особисті справи</t>
  </si>
  <si>
    <t>GoITeens_UA_MINE_KIDS_1y_1_23 (2 група)</t>
  </si>
  <si>
    <t>#29 Тема #18 Змінні. Калькулятор. Ліфт</t>
  </si>
  <si>
    <t xml:space="preserve">Андреєв Артур </t>
  </si>
  <si>
    <t>Проблеми з університетом</t>
  </si>
  <si>
    <t>FE_JUN_1y_1_23</t>
  </si>
  <si>
    <t>Робота із сайтом із використанням HTML</t>
  </si>
  <si>
    <t>Проблеми зі світлом</t>
  </si>
  <si>
    <t>GoITeens_UA_MINE_KIDS_1y_13_22 (2 група)</t>
  </si>
  <si>
    <t>30	Підземне місто.  Ферма</t>
  </si>
  <si>
    <t>Анастасія Ромащук</t>
  </si>
  <si>
    <t xml:space="preserve">Юлія Максимець				</t>
  </si>
  <si>
    <t>4/16/0023</t>
  </si>
  <si>
    <t>GoITeens_UA_ROB_1y_15_23 (1)</t>
  </si>
  <si>
    <t>Занняття 3, тема 2  "З чого складається професія"</t>
  </si>
  <si>
    <t>Катя Белікова</t>
  </si>
  <si>
    <t>Буду без зв'язку, їду до родичів</t>
  </si>
  <si>
    <t>DA_1y_5_22 1.1</t>
  </si>
  <si>
    <t>Що таке UI/UX дизайн</t>
  </si>
  <si>
    <t xml:space="preserve">Викликали раптово на іншу роботу </t>
  </si>
  <si>
    <t>GoITeens_UA_ROB_1y_7_23(1)</t>
  </si>
  <si>
    <t>Філософія «так» і мистецтво прийняття рішень</t>
  </si>
  <si>
    <t>Великдень</t>
  </si>
  <si>
    <t>UA_ROB_1y_6_23_2</t>
  </si>
  <si>
    <t>11 «Чого я хочу»</t>
  </si>
  <si>
    <t>Анастасія Миршавка</t>
  </si>
  <si>
    <t>GoITeens_UA_ROB_1y_5_23: Група 2 (ср 19-20)</t>
  </si>
  <si>
    <t>модель самостійність (трктя тема - цілі, мрії)</t>
  </si>
  <si>
    <t>Маша Ми</t>
  </si>
  <si>
    <t>Від'їзд</t>
  </si>
  <si>
    <t>Самостійність (4  тема "Креатив як навичка")</t>
  </si>
  <si>
    <t>MINE_1y_9_23(3 група)</t>
  </si>
  <si>
    <t>Емоційний інтелект Закріплення  9 урок</t>
  </si>
  <si>
    <t>maria_kostyak</t>
  </si>
  <si>
    <t xml:space="preserve">Від'їзд
</t>
  </si>
  <si>
    <t>Самостійність (Філософія ТАК І) 10 заняття</t>
  </si>
  <si>
    <t>GoITeens_UA_MINE_1y_7_23 (1група): Section 1</t>
  </si>
  <si>
    <t>8 Роза вітрів</t>
  </si>
  <si>
    <t>Пелячик Юля</t>
  </si>
  <si>
    <t>Yana Strashok</t>
  </si>
  <si>
    <t>DA_1y_4_23 : 3 підгрупа</t>
  </si>
  <si>
    <t>№18 Пости в соц мережі 2 заняття</t>
  </si>
  <si>
    <t>Новак Наталія</t>
  </si>
  <si>
    <t xml:space="preserve">сімейні обставини </t>
  </si>
  <si>
    <t>Frontend_1y_6_22</t>
  </si>
  <si>
    <t>Фінансова грамотність</t>
  </si>
  <si>
    <t>Бо найбільше християнське сімейне свято Великдень</t>
  </si>
  <si>
    <t>GoITeens_UA_DA_JUN_1y_7_22</t>
  </si>
  <si>
    <t>GoITeens_UA_KIDS_1y_8_23 (2)</t>
  </si>
  <si>
    <t>№11 Математичні загадки</t>
  </si>
  <si>
    <t>Відрядження в інше місто</t>
  </si>
  <si>
    <t>Fe 1y_13_22</t>
  </si>
  <si>
    <t xml:space="preserve">Bootstrap </t>
  </si>
  <si>
    <t>Олександр Сербін</t>
  </si>
  <si>
    <t>Захворів</t>
  </si>
  <si>
    <t>DA_1y_8_23 (1 підгрупа)</t>
  </si>
  <si>
    <t>№ 4 Як запам'ятовувати все?</t>
  </si>
  <si>
    <t>Відпустка</t>
  </si>
  <si>
    <t>Фронтенд 11 (2 підгрупа)</t>
  </si>
  <si>
    <t>Підготовка до публічного виступу 2.0 (продовження)</t>
  </si>
  <si>
    <t>Джуни 1у_8_23 (1)</t>
  </si>
  <si>
    <t>2 світ професій</t>
  </si>
  <si>
    <t xml:space="preserve">Буду в дорозі, не має інтернету </t>
  </si>
  <si>
    <t>DA_1y_4_22 (3 група)</t>
  </si>
  <si>
    <t>37 - Робота з користувачами ч.2</t>
  </si>
  <si>
    <t>Tetiana Teslenko</t>
  </si>
  <si>
    <t>ROB_1y_3_23</t>
  </si>
  <si>
    <t>14 - Креатив як навичка</t>
  </si>
  <si>
    <t>34 - 7 звичок ефективного підлітка - ч.2</t>
  </si>
  <si>
    <t>Yuliia Rudenko</t>
  </si>
  <si>
    <t>Mine_1y_2_23(4 група)</t>
  </si>
  <si>
    <t>15 - Підготовка до презентації</t>
  </si>
  <si>
    <t>ROB_1y_2_23</t>
  </si>
  <si>
    <t>14 - Самостійність - закріплення</t>
  </si>
  <si>
    <t xml:space="preserve">FE_JUN_1y_4_23 </t>
  </si>
  <si>
    <t>№5 Дошка бажань</t>
  </si>
  <si>
    <t>Михайло Денисюк</t>
  </si>
  <si>
    <t>Ілля Коркішко</t>
  </si>
  <si>
    <t>Сімейні обставини (хвороба декількох членів сімї)</t>
  </si>
  <si>
    <t>GD_1y_12_22</t>
  </si>
  <si>
    <t>22 Впевненність у собі</t>
  </si>
  <si>
    <t>Хвороба</t>
  </si>
  <si>
    <t>Оформлення презентації</t>
  </si>
  <si>
    <t>Буду в дорозі , не має інтернету</t>
  </si>
  <si>
    <t>№8: Запити до бази даних</t>
  </si>
  <si>
    <t>поминальна процесія.</t>
  </si>
  <si>
    <t>Rob 1y - 11 - 23</t>
  </si>
  <si>
    <t xml:space="preserve">7 Внутрішній спокій </t>
  </si>
  <si>
    <t xml:space="preserve">Юлія Колісниченко </t>
  </si>
  <si>
    <t xml:space="preserve">Особисті обставини </t>
  </si>
  <si>
    <t>FE_1y_3</t>
  </si>
  <si>
    <t>ООП. КЛАСИ</t>
  </si>
  <si>
    <t xml:space="preserve">Соколова Ірина </t>
  </si>
  <si>
    <t>Каріна Чмелюк</t>
  </si>
  <si>
    <t>Захворювання викладача</t>
  </si>
  <si>
    <t>ROB 1y - 8 - 23</t>
  </si>
  <si>
    <t xml:space="preserve">9 Закріплення </t>
  </si>
  <si>
    <t xml:space="preserve">Колісниченко Юлія </t>
  </si>
  <si>
    <t>GoITeens_UA_DA_JUN_1y_18_23 діти (1 підгрупа)</t>
  </si>
  <si>
    <t>4 тема - закріплення, повторення</t>
  </si>
  <si>
    <t xml:space="preserve"> Травкіна Мар'яна </t>
  </si>
  <si>
    <t xml:space="preserve">Не матиму стабільного підключення до інтернету </t>
  </si>
  <si>
    <t>Python 1y_4_23</t>
  </si>
  <si>
    <t>Інна Зуза</t>
  </si>
  <si>
    <t>Інна Андреева</t>
  </si>
  <si>
    <t>UA_MINE_1y_5_23 (2 підгрупа)</t>
  </si>
  <si>
    <t>Olena Bolshunova</t>
  </si>
  <si>
    <t>Пагано мені)</t>
  </si>
  <si>
    <t>DA_JUN_1y_18_22</t>
  </si>
  <si>
    <t>Проект (Канва)</t>
  </si>
  <si>
    <t>GoITeens_UA_MINE_1y_12_22</t>
  </si>
  <si>
    <t xml:space="preserve">Ринок корисних копалин </t>
  </si>
  <si>
    <t>Віта Сітко</t>
  </si>
  <si>
    <t xml:space="preserve">Сімейні обставини </t>
  </si>
  <si>
    <t>DA_1y_4_23 (2 підгрупа)</t>
  </si>
  <si>
    <t>20 Сітки у фотошопі</t>
  </si>
  <si>
    <t>У від'їзді зламався ноутбук.</t>
  </si>
  <si>
    <t>goitteens_ua_python_1y_2_23</t>
  </si>
  <si>
    <t>Функції практика</t>
  </si>
  <si>
    <t>Дементеєв Дмитро</t>
  </si>
  <si>
    <t>Не встигаю</t>
  </si>
  <si>
    <t>1у_11</t>
  </si>
  <si>
    <t xml:space="preserve">Django celery </t>
  </si>
  <si>
    <t xml:space="preserve">Треба посадити батьків на потяг </t>
  </si>
  <si>
    <t>GD_1y_2_23_(2)</t>
  </si>
  <si>
    <t>27 Практичне</t>
  </si>
  <si>
    <t>хвороба</t>
  </si>
  <si>
    <t>DA_1y_2_23 (4 група)</t>
  </si>
  <si>
    <t>Як побороти лінь?</t>
  </si>
  <si>
    <t>Весілля найліпшої подруги</t>
  </si>
  <si>
    <t>GoITeens_UA_PYTHON_1y_2_23 (2)</t>
  </si>
  <si>
    <t>22 Імпорт пакетів і модулів</t>
  </si>
  <si>
    <t>Михайло Денисов</t>
  </si>
  <si>
    <t>Університет, дипломна робота</t>
  </si>
  <si>
    <t>GoITeens_UA_KIDS_1y_14_23 (2)</t>
  </si>
  <si>
    <t>4. "Графіка у Scratch. Блоки звуків"</t>
  </si>
  <si>
    <t>Костянтин Помогаєв</t>
  </si>
  <si>
    <t>Ольга Конасова</t>
  </si>
  <si>
    <t>Не було світла в моєму місті.</t>
  </si>
  <si>
    <t>GoITeens_UA_MINE_1y_15_23_</t>
  </si>
  <si>
    <t xml:space="preserve">#3 Стародавній Єгипет </t>
  </si>
  <si>
    <t xml:space="preserve">Терентьєва Влада </t>
  </si>
  <si>
    <t xml:space="preserve">Погане самопочуття </t>
  </si>
  <si>
    <t xml:space="preserve">№12 </t>
  </si>
  <si>
    <t>UA_MINE_11_23(2 підгрупа</t>
  </si>
  <si>
    <t>Татьяна Волошиненко</t>
  </si>
  <si>
    <t>Не працює майн оскільки не вистачає оперативки</t>
  </si>
  <si>
    <t>24. Ринок з продажу корисних копалин</t>
  </si>
  <si>
    <t>Владіслав Махар</t>
  </si>
  <si>
    <t>Знаходжусь у відрядженні</t>
  </si>
  <si>
    <t>UA_DA_1у_5_23 (1 група)</t>
  </si>
  <si>
    <t>GIF Анімація 2 заняття</t>
  </si>
  <si>
    <t>Марина Новоженова</t>
  </si>
  <si>
    <t>DA_1y_4_23</t>
  </si>
  <si>
    <t>Баннери 2 заняття</t>
  </si>
  <si>
    <t>Наталя  Кучер</t>
  </si>
  <si>
    <t xml:space="preserve">DA_JUN_1y_5_2 </t>
  </si>
  <si>
    <t>11. Інфографіка для шкільного проєкту</t>
  </si>
  <si>
    <t>Олександра Бур‘ян</t>
  </si>
  <si>
    <t>Зйомка</t>
  </si>
  <si>
    <t>MINE_KIDS_1y_8_23 (2 підгрупа)</t>
  </si>
  <si>
    <t>№21 - "Фігури: арки, сфери, оглядові майданчики, веселка"</t>
  </si>
  <si>
    <t xml:space="preserve">Хоменко Олександр </t>
  </si>
  <si>
    <t>Переїзд в інше місто, був в дорозі, не було звязку.</t>
  </si>
  <si>
    <t>UA_MINE_1y_13_23 (2 підгрупа)</t>
  </si>
  <si>
    <t>№8 - "Александрійський маяк"</t>
  </si>
  <si>
    <t>Титаренко Милослава Станіславівна</t>
  </si>
  <si>
    <t>Переїзд в інше місто, був в дорозі, не було звʼязку.</t>
  </si>
  <si>
    <t>GD_1y_2 23</t>
  </si>
  <si>
    <t>Позитивне мислення</t>
  </si>
  <si>
    <t>Олександра Третяк</t>
  </si>
  <si>
    <t>Відсутність інтернету у відрядженні</t>
  </si>
  <si>
    <t>FE 1у_9 23</t>
  </si>
  <si>
    <t>Що таке mind map</t>
  </si>
  <si>
    <t>Mine_1y_20 23</t>
  </si>
  <si>
    <t>Світ ІТ 1ч</t>
  </si>
  <si>
    <t>GD_1y_6</t>
  </si>
  <si>
    <t>ВИрішення складних задач</t>
  </si>
  <si>
    <t>Катерина Рурак</t>
  </si>
  <si>
    <t>python_1y_11</t>
  </si>
  <si>
    <t>Особиста ефективність</t>
  </si>
  <si>
    <t>Марія Вашинич</t>
  </si>
  <si>
    <t>GD_1y_7</t>
  </si>
  <si>
    <t>Вирішення складинх задач</t>
  </si>
  <si>
    <t>Rob_1y_11 23</t>
  </si>
  <si>
    <t>Самостійність ч.1</t>
  </si>
  <si>
    <t>Анастасія Іванченко</t>
  </si>
  <si>
    <t>python_1y_4,9</t>
  </si>
  <si>
    <t>Конфлікти і переговори</t>
  </si>
  <si>
    <t>Маша Ми(+380 50 713 28 18 в телеграмі)</t>
  </si>
  <si>
    <t>Дизайн 1у_4_23</t>
  </si>
  <si>
    <t>1 сітка</t>
  </si>
  <si>
    <t>Олександ Обенко</t>
  </si>
  <si>
    <t xml:space="preserve">В дорозі іду в Україну </t>
  </si>
  <si>
    <t>FE_1y_7_03.05</t>
  </si>
  <si>
    <t>50 Прийняття рішень</t>
  </si>
  <si>
    <t>Невстигання</t>
  </si>
  <si>
    <t>DA_JUN_1y_13_23 (4 група)</t>
  </si>
  <si>
    <t>Номер 2. Додавання фото та робота з геометричними фігурами</t>
  </si>
  <si>
    <t>Олеся Григор'єва</t>
  </si>
  <si>
    <t>Захворів.</t>
  </si>
  <si>
    <t>GoITeens_UA_MINE_1y_27_23</t>
  </si>
  <si>
    <t xml:space="preserve">ема- Заняття №3 “Подорож до Стародавнього Єгипту” </t>
  </si>
  <si>
    <t xml:space="preserve">Зайцева Марина </t>
  </si>
  <si>
    <t>Не розрахував час та взяв квитки на потяг о 15.30 тож просто не буде змоги провести заняття в тиші та з якісним інтернетом :(</t>
  </si>
  <si>
    <t>GoITeens_UA_DA_JUN_1y_2_23</t>
  </si>
  <si>
    <t>Анна Симоненко</t>
  </si>
  <si>
    <t>Затрималась на захисті проектів</t>
  </si>
  <si>
    <t>GoITeens_UA_ROB_1y_13_23_5</t>
  </si>
  <si>
    <t>№6 Емоційний інтелект</t>
  </si>
  <si>
    <t>Інна Дудка</t>
  </si>
  <si>
    <t>Треба спросити у людини яка мене заміняла</t>
  </si>
  <si>
    <t xml:space="preserve">В цей час буду у дорозі, по сімейним причинам </t>
  </si>
  <si>
    <t>GoITeens_UA_MINE_1y_17_23 (3 група)</t>
  </si>
  <si>
    <t>Номер заняття 3, " Подорож до Стародавнього світу"</t>
  </si>
  <si>
    <t xml:space="preserve">Стецюк Валерія </t>
  </si>
  <si>
    <t xml:space="preserve">Титаренко Милослава </t>
  </si>
  <si>
    <t xml:space="preserve">Через переїзд в інше місто </t>
  </si>
  <si>
    <t>GoITeens_UA_MINE_KIDS_1y_16_23 (4 група)</t>
  </si>
  <si>
    <t xml:space="preserve">5 , координати та крафтинг </t>
  </si>
  <si>
    <t xml:space="preserve">Валерія Стецюк </t>
  </si>
  <si>
    <t xml:space="preserve">Інна Корнієнко </t>
  </si>
  <si>
    <t xml:space="preserve">Переїзд в інше місто </t>
  </si>
  <si>
    <t>6, Багатоповерхівка</t>
  </si>
  <si>
    <t>GoItTeens_UA_Python_1y_2_23</t>
  </si>
  <si>
    <t>24 Практика імпорт пакетів</t>
  </si>
  <si>
    <t>Мартинюк Максим Володимирович</t>
  </si>
  <si>
    <t>Дмитро Дементєв</t>
  </si>
  <si>
    <t>GoITeens_UA_PYTHON_1y_8_23</t>
  </si>
  <si>
    <t>3, практика умовні оператори</t>
  </si>
  <si>
    <t>особисті</t>
  </si>
  <si>
    <t>UA_MINE_1y_6_23</t>
  </si>
  <si>
    <t>Публічні виступи</t>
  </si>
  <si>
    <t>Марина Росахата</t>
  </si>
  <si>
    <t>Юлія Руденко</t>
  </si>
  <si>
    <t>GoITeens_UA_ROB_1y_18_23(3)</t>
  </si>
  <si>
    <t>1, Знайомство</t>
  </si>
  <si>
    <t>Тетяна Сафонова</t>
  </si>
  <si>
    <t>Зламався ноутбук.</t>
  </si>
  <si>
    <t>GoITeens_UA_MINE_1y_16_23 (2 група)</t>
  </si>
  <si>
    <t>4. Подорож до Стародавнього Єгипту: будуємо піраміду</t>
  </si>
  <si>
    <t>втрата члена родини</t>
  </si>
  <si>
    <t>GoITeens_UA_KIDS_1y_9_23 (3)</t>
  </si>
  <si>
    <t>№ 11 гра "Понг"</t>
  </si>
  <si>
    <t>Сергій Ваколюк</t>
  </si>
  <si>
    <t>Терміново потрібно відвести дружину з донькою додому з іншого міста.</t>
  </si>
  <si>
    <t>DA_JUN_1y_5_23</t>
  </si>
  <si>
    <t xml:space="preserve">Тема: створення чек листу </t>
  </si>
  <si>
    <t xml:space="preserve">Бур‘ян Олександра </t>
  </si>
  <si>
    <t>Не має змоги провести сьогодні урок</t>
  </si>
  <si>
    <t>GoITeens_UA_FE_1y_5_23</t>
  </si>
  <si>
    <t>Імпровізація</t>
  </si>
  <si>
    <t>Університет</t>
  </si>
  <si>
    <t>DA_1y_20_22</t>
  </si>
  <si>
    <t>№19  Афіша в Ілюстраторі</t>
  </si>
  <si>
    <t xml:space="preserve">Олександра Савченко </t>
  </si>
  <si>
    <t>Галина Даневич</t>
  </si>
  <si>
    <t>З особистих причини була відсутня в місті, де був зв"язок</t>
  </si>
  <si>
    <t xml:space="preserve">FE_1Y_7 </t>
  </si>
  <si>
    <t>25 - Intersection Observer</t>
  </si>
  <si>
    <t>Каріна Хмелюк</t>
  </si>
  <si>
    <t xml:space="preserve">День народження сина </t>
  </si>
  <si>
    <t>GoITeens_UA_ROB_1y_16_23(4)</t>
  </si>
  <si>
    <t>4 Куб, що падає, змінює розмір і прозорість</t>
  </si>
  <si>
    <t>Артем Дадаш'янс</t>
  </si>
  <si>
    <t>Особиста</t>
  </si>
  <si>
    <t>GoITeens_UA_ROB_1y_16_23 (1)</t>
  </si>
  <si>
    <t>4 - куб що падпє, змінює прозорість і розмір</t>
  </si>
  <si>
    <t xml:space="preserve">Олександр Земський </t>
  </si>
  <si>
    <t xml:space="preserve">Андрій Палій </t>
  </si>
  <si>
    <t xml:space="preserve">Візит до лікаря, графік котрого дуже тугий і цей запис випав на цей час </t>
  </si>
  <si>
    <t>GoITeens_UA_MINE_1y_18_23 2 гр</t>
  </si>
  <si>
    <t>3 Подорож до Стародавнього Єгипту</t>
  </si>
  <si>
    <t>Владислава Мамченко</t>
  </si>
  <si>
    <t>смерть члена сім'ї</t>
  </si>
  <si>
    <t>Джуни 1у_6_23</t>
  </si>
  <si>
    <t>Оформлення навчального чек листа</t>
  </si>
  <si>
    <t>Навчання</t>
  </si>
  <si>
    <t>GoIteens _UA_MINE_1y_20_23</t>
  </si>
  <si>
    <t>3 "Подорож до Стародавнього світу"</t>
  </si>
  <si>
    <t xml:space="preserve">Томчук Наталя </t>
  </si>
  <si>
    <t>У зв'язку з особистими обставинами)</t>
  </si>
  <si>
    <t>PYTHON_1y_4_23</t>
  </si>
  <si>
    <t>18. Імпорт пакетів і модулів</t>
  </si>
  <si>
    <t>Лягаю в лікарню на операцію</t>
  </si>
  <si>
    <t>19. Робота з файлами</t>
  </si>
  <si>
    <t>Майн 17+2</t>
  </si>
  <si>
    <t>2 сем 16 заняття повторення</t>
  </si>
  <si>
    <t>Тетяна Волошиненко</t>
  </si>
  <si>
    <t>Іван Гайдук</t>
  </si>
  <si>
    <t>запуск курсу</t>
  </si>
  <si>
    <t>FE_JUN_1y_5_22</t>
  </si>
  <si>
    <t>20 Розробка проекту</t>
  </si>
  <si>
    <t>@aspirati0</t>
  </si>
  <si>
    <t>Їду у Львів на подачу біометрії</t>
  </si>
  <si>
    <t>GoITeens_UA_MINE_4_23 (3 група)</t>
  </si>
  <si>
    <t xml:space="preserve">15 Канали та акведуки </t>
  </si>
  <si>
    <t xml:space="preserve">Титаренко Мирослава </t>
  </si>
  <si>
    <t xml:space="preserve">Вигорання 🥴 треба перекур </t>
  </si>
  <si>
    <t>GoITeens_UA_MINE_1y_18_23 3 гр</t>
  </si>
  <si>
    <t>6 Емоції, настрій, відчуття</t>
  </si>
  <si>
    <t xml:space="preserve">Термінова поїздка до іншого міста, з метою переоформлення документів в університеті </t>
  </si>
  <si>
    <t>GoITeens_UA_MINE_1y_23_23 (1 група)</t>
  </si>
  <si>
    <t xml:space="preserve">Номер 1. Тема: Знайомство </t>
  </si>
  <si>
    <t xml:space="preserve">Шевчук Богдан </t>
  </si>
  <si>
    <t xml:space="preserve">Перебування на лікуванні в лікарні </t>
  </si>
  <si>
    <t>GoITeens_UA_MINE_KIDS_1y_16_23</t>
  </si>
  <si>
    <t>Заняття 5 тема 5 Координати і Крафтинг</t>
  </si>
  <si>
    <t>Поїздка на лікування</t>
  </si>
  <si>
    <t>GoITeens_UA_MINE_1y_20_23</t>
  </si>
  <si>
    <t>3 заняттяб тема 2 Перші побудови в Minecraft Education</t>
  </si>
  <si>
    <t>GoITeens_UA_MINE_KIDS_1y_11_23</t>
  </si>
  <si>
    <t>20 заняття , тема 19 Хімія під водою</t>
  </si>
  <si>
    <t>GoITeens_UA_ROB_1y_17_23 (4)</t>
  </si>
  <si>
    <t>3 Світ ІТ</t>
  </si>
  <si>
    <t>Білецька Іра</t>
  </si>
  <si>
    <t xml:space="preserve">Стан здоров'я </t>
  </si>
  <si>
    <t>GoITeens_UA_ROB_1y_8_23 (3)</t>
  </si>
  <si>
    <t>12 if else</t>
  </si>
  <si>
    <t>Тарас Душенко</t>
  </si>
  <si>
    <t>Іван Калинчук</t>
  </si>
  <si>
    <t xml:space="preserve">Сесія </t>
  </si>
  <si>
    <t>GoITeens_UA_MINE_1y_22_23 (3 група)</t>
  </si>
  <si>
    <t xml:space="preserve">Номер 2. Тема: З чого складається професія </t>
  </si>
  <si>
    <t>Післяопераційне відновлення.</t>
  </si>
  <si>
    <t>26 Впевненість в собі (2 урок)</t>
  </si>
  <si>
    <t>DA_1y_5_22</t>
  </si>
  <si>
    <t>Стилі веб дизайну</t>
  </si>
  <si>
    <t xml:space="preserve">Викликали на іншу  роботу </t>
  </si>
  <si>
    <t>UA_Mine_1y_2_23(2 підгрупа)</t>
  </si>
  <si>
    <t>13 "Мінотавр"</t>
  </si>
  <si>
    <t xml:space="preserve">Ромащук Анастасія </t>
  </si>
  <si>
    <t>Minecraft 7/23 (1 група)</t>
  </si>
  <si>
    <t>16 Підготовка до публічного виступу 2</t>
  </si>
  <si>
    <t>Ганна Васильїва</t>
  </si>
  <si>
    <t>викликали до школи дитини</t>
  </si>
  <si>
    <t>UA_KIDS_1y_10_23</t>
  </si>
  <si>
    <t>№14 Нарахування балів в іграх. Гра "Впіймай мене"</t>
  </si>
  <si>
    <t>буду в дорозі</t>
  </si>
  <si>
    <t>DA_1y_3_23 (3)</t>
  </si>
  <si>
    <t>13. Портфоліо</t>
  </si>
  <si>
    <t>Яна @YanaMks</t>
  </si>
  <si>
    <t>Я захворів, простуда горла, сів голос(</t>
  </si>
  <si>
    <t>7. Емоційний інтелект</t>
  </si>
  <si>
    <t xml:space="preserve"> Забираю рідну людину з лікарні </t>
  </si>
  <si>
    <t>Сказала пост-фактум</t>
  </si>
  <si>
    <t>GoITeens_UA_Python_1y_3_23 (1)</t>
  </si>
  <si>
    <t>24 Класи</t>
  </si>
  <si>
    <t>Весілля (гість)</t>
  </si>
  <si>
    <t>25 Класи (практична)</t>
  </si>
  <si>
    <t>UA_MINE_11_23(2 підгрупа)</t>
  </si>
  <si>
    <t xml:space="preserve">13 бонусний креативне мислення </t>
  </si>
  <si>
    <t xml:space="preserve">Форс мажор </t>
  </si>
  <si>
    <t xml:space="preserve">UA_DA_1y_10_23 (1) </t>
  </si>
  <si>
    <t xml:space="preserve">№ 12, пости в фотошоп </t>
  </si>
  <si>
    <t xml:space="preserve">Гончаренко Анна </t>
  </si>
  <si>
    <t xml:space="preserve">Олеся Федорук </t>
  </si>
  <si>
    <t>GoITeens_UA_ROB_1y_17_23 (1)</t>
  </si>
  <si>
    <t xml:space="preserve">Тарас Душенко </t>
  </si>
  <si>
    <t>Андрій Палій</t>
  </si>
  <si>
    <t>Проблема з комп'ютером (злетіла вінда)</t>
  </si>
  <si>
    <t>GoITeens_UA_MINE_1y_21_23</t>
  </si>
  <si>
    <t>3. Світ ІТ</t>
  </si>
  <si>
    <t xml:space="preserve">Резніченко Лілія </t>
  </si>
  <si>
    <t xml:space="preserve">Термінова поїздка у інше місто, щоб переоформити документи в університет </t>
  </si>
  <si>
    <t>дізналася тільки з форми</t>
  </si>
  <si>
    <t>1y_4_23</t>
  </si>
  <si>
    <t>1 Ілюстратор "Знайомство"</t>
  </si>
  <si>
    <t xml:space="preserve">Федорук Олеся </t>
  </si>
  <si>
    <t>Відпустка, про яку попередженно заздалегідь.</t>
  </si>
  <si>
    <t>GoITeens_UA_ROB_1y_12_23_1 група</t>
  </si>
  <si>
    <t xml:space="preserve">Вікторія Явтушенко </t>
  </si>
  <si>
    <t>Особисті обставини</t>
  </si>
  <si>
    <t>3. Світ IT</t>
  </si>
  <si>
    <t>GoITeens_UA_MOTION_1y_1_22</t>
  </si>
  <si>
    <t>36. Міні проект рекламний банер</t>
  </si>
  <si>
    <t>Захворіла. Висока температура.</t>
  </si>
  <si>
    <t>GoITeens_UA_KIDS_1y_22_23</t>
  </si>
  <si>
    <t xml:space="preserve">2 заняття </t>
  </si>
  <si>
    <t>Черга на документи</t>
  </si>
  <si>
    <t>UA_MINE_1y_22_23 (3 група)</t>
  </si>
  <si>
    <t>2 Азбука Морзе</t>
  </si>
  <si>
    <t>Ярослав Зелений</t>
  </si>
  <si>
    <t>За станом здоров'я, бо вирвали зуба</t>
  </si>
  <si>
    <t>GoITeens_UA_GD_1y_11_22</t>
  </si>
  <si>
    <t>№31 Тайм-менеджмент</t>
  </si>
  <si>
    <t>Участь в міжнародному проекті</t>
  </si>
  <si>
    <t>GoITeens_UA_DA_1y_8_23</t>
  </si>
  <si>
    <t>№8 Як досягати своїх цілей</t>
  </si>
  <si>
    <t>викладаці написала, нагадала, що заміни тільки в критичних ситуаціях</t>
  </si>
  <si>
    <t>UA_MINE_KIDS_1y_8_23(3 підгрупа)</t>
  </si>
  <si>
    <t xml:space="preserve">Спортивні змагання </t>
  </si>
  <si>
    <t>GoITeens_UA_DA_JUN_1y_11_23</t>
  </si>
  <si>
    <t>тема 6 «Внутрішній спокій»</t>
  </si>
  <si>
    <t xml:space="preserve">Юлія Войтенко </t>
  </si>
  <si>
    <t>Захворіла :(</t>
  </si>
  <si>
    <t>GoITeens_UA_MINE_1y_28_23</t>
  </si>
  <si>
    <t xml:space="preserve">6. Внутрішній спокій </t>
  </si>
  <si>
    <t xml:space="preserve">Щербакова Анастасія </t>
  </si>
  <si>
    <t>UA_KIDS_1y_11_23 (1 підгрупа)</t>
  </si>
  <si>
    <t>2 модуль, 2 заняття, гра "Pong" (Відбий м'ячика)</t>
  </si>
  <si>
    <t>Дар'я Скрипник</t>
  </si>
  <si>
    <t xml:space="preserve">Тетяна Середа </t>
  </si>
  <si>
    <t xml:space="preserve">Front-end_8(2) </t>
  </si>
  <si>
    <t>№ 10 Як зрозуміти свої бажання? (додаткова тема)</t>
  </si>
  <si>
    <t>Маю внеплановий виїзд у відрядження по основні, тож намагаюся діяти в цих умовах максимально стабільно, але не все виходить залишити без змін...(((</t>
  </si>
  <si>
    <t>DA_JUN_1y_4</t>
  </si>
  <si>
    <t>35. Поєднання бренду в кейс</t>
  </si>
  <si>
    <t xml:space="preserve">Усенко Уляна </t>
  </si>
  <si>
    <t xml:space="preserve">Саша Обенко </t>
  </si>
  <si>
    <t xml:space="preserve">знаходжуся в дорозі </t>
  </si>
  <si>
    <t>DA_JUN_1у_14_23 (1 група)</t>
  </si>
  <si>
    <t xml:space="preserve">модуль 1, заняття 4: закріплення </t>
  </si>
  <si>
    <t xml:space="preserve">Пасічник Вікторія </t>
  </si>
  <si>
    <t>Олена Сапун</t>
  </si>
  <si>
    <t xml:space="preserve">весілля у друзів </t>
  </si>
  <si>
    <t>19 "Банер"</t>
  </si>
  <si>
    <t>Єлизавета Єфременко</t>
  </si>
  <si>
    <t>Зламався ноутбук. Віддаю в ремонт</t>
  </si>
  <si>
    <t>GoITeens_UA_FE_1y_10_23</t>
  </si>
  <si>
    <t>7 Цілі иа Мрії</t>
  </si>
  <si>
    <t>Мар'яна Травкіна</t>
  </si>
  <si>
    <t xml:space="preserve">Тетяна Тесленко </t>
  </si>
  <si>
    <t xml:space="preserve">- не матиму в цей час стабільного підключення до інтернету </t>
  </si>
  <si>
    <t>GoIteens_UA_GD_1y_8_23</t>
  </si>
  <si>
    <t>8 Як досягати своїх цілей</t>
  </si>
  <si>
    <t xml:space="preserve">Травкіна Мар'яна </t>
  </si>
  <si>
    <t xml:space="preserve">Тетаяна Тесленко </t>
  </si>
  <si>
    <t>GoITeens_UA_DA_1y_4_23</t>
  </si>
  <si>
    <t>2 Ілюстратор. Ефекти.</t>
  </si>
  <si>
    <t>Погоджена відпустка.</t>
  </si>
  <si>
    <t>UA_MINE_1y_5_23</t>
  </si>
  <si>
    <t>лабіринт</t>
  </si>
  <si>
    <t>Anna Kulibabina</t>
  </si>
  <si>
    <t>Здоровя подвело</t>
  </si>
  <si>
    <t>Python_1y_15_22</t>
  </si>
  <si>
    <t xml:space="preserve">7. Створення парсера для вебсайту. </t>
  </si>
  <si>
    <t xml:space="preserve">Висоцький Ярослав </t>
  </si>
  <si>
    <t xml:space="preserve">Поїздка в Київ. </t>
  </si>
  <si>
    <t>GoITeens_UA_MINE_1y_15 (4 група)</t>
  </si>
  <si>
    <t>ІІ семестр №13 НПС</t>
  </si>
  <si>
    <t>Неля Біднюк</t>
  </si>
  <si>
    <t>За сімейними обставинами</t>
  </si>
  <si>
    <t>Смарт цілі</t>
  </si>
  <si>
    <t>Обстріли протягом цілої ночі, затримка в дорозі</t>
  </si>
  <si>
    <t>Roblox_1y_11_23</t>
  </si>
  <si>
    <t>Самостійність закріплення</t>
  </si>
  <si>
    <t>python_1y_9</t>
  </si>
  <si>
    <t>Комунікація</t>
  </si>
  <si>
    <t>Маша Ми @MMashaMi</t>
  </si>
  <si>
    <t>Minecraft 7/23 (1 гр)</t>
  </si>
  <si>
    <t>14 ПублiЧнi виступи</t>
  </si>
  <si>
    <t>Викликали в школу</t>
  </si>
  <si>
    <t>1y_5_22</t>
  </si>
  <si>
    <t>Повторення ООП</t>
  </si>
  <si>
    <t>не маю можливості провести урок</t>
  </si>
  <si>
    <t xml:space="preserve"> GoITeens_UA_DA_JUN_1y_5_23 2 група</t>
  </si>
  <si>
    <t>4 модуль 1 заняття (останній урок)</t>
  </si>
  <si>
    <t xml:space="preserve">Анастасія Щербакова </t>
  </si>
  <si>
    <t xml:space="preserve">основна робота </t>
  </si>
  <si>
    <t>Преддемонстраці проекту</t>
  </si>
  <si>
    <t xml:space="preserve">Яцура Микита </t>
  </si>
  <si>
    <t>Військова підготовка</t>
  </si>
  <si>
    <t>roblox 1</t>
  </si>
  <si>
    <t xml:space="preserve">Як правильно дружити </t>
  </si>
  <si>
    <t>Кирило Галушка</t>
  </si>
  <si>
    <t>Євген Чурілов</t>
  </si>
  <si>
    <t>Не встигаю по часу</t>
  </si>
  <si>
    <t>DA_1y_3 (2 ГРУПА)</t>
  </si>
  <si>
    <t>Плагіни Фігма</t>
  </si>
  <si>
    <t xml:space="preserve">Матющенко Валерія </t>
  </si>
  <si>
    <t xml:space="preserve">Савченко Олександра </t>
  </si>
  <si>
    <t>FE_JUN_1y_3_23</t>
  </si>
  <si>
    <t>14: Верстка макету</t>
  </si>
  <si>
    <t xml:space="preserve"> UA_MINE_1y_14_23 (1 група) </t>
  </si>
  <si>
    <t xml:space="preserve"> Тема: "Чого я хочу".  Заняття 12</t>
  </si>
  <si>
    <t xml:space="preserve">Гайченя Олена </t>
  </si>
  <si>
    <t>Катерина Белікова</t>
  </si>
  <si>
    <t>Особиста (батьківські збори)</t>
  </si>
  <si>
    <t>Відрядження на основній роботі (Литва)</t>
  </si>
  <si>
    <t>DA_1y_4_22</t>
  </si>
  <si>
    <t>59 "чого я насправді хочу"</t>
  </si>
  <si>
    <t>Маша Миголь</t>
  </si>
  <si>
    <t>захворіла з температурою</t>
  </si>
  <si>
    <t>DA_JUN_1y_5 (1)</t>
  </si>
  <si>
    <t>11 емоційний інтелект тінс</t>
  </si>
  <si>
    <t>@oksana_b89 (https://t.me/oksana_b89)</t>
  </si>
  <si>
    <t>MINE_1Y_29_23 (1 ПІДГРУПА)</t>
  </si>
  <si>
    <t>5. Емоції настрій відчуття почуття</t>
  </si>
  <si>
    <t>Анна Брух</t>
  </si>
  <si>
    <t>Маю навчання на цілий день</t>
  </si>
  <si>
    <t>давно попереджала</t>
  </si>
  <si>
    <t>DA_1y_8, 9</t>
  </si>
  <si>
    <t>практика креативність</t>
  </si>
  <si>
    <t>Юля Войтенко</t>
  </si>
  <si>
    <t>Юля Іванішена</t>
  </si>
  <si>
    <t>я захворіла</t>
  </si>
  <si>
    <t>№2 Іллюстратор. Ефекти.</t>
  </si>
  <si>
    <t>GoITeens_UA_KIDS_1y_3_23 (2)</t>
  </si>
  <si>
    <t>№20 Гра футбол</t>
  </si>
  <si>
    <t>Відрядження на основній роботі</t>
  </si>
  <si>
    <t>UA_Mine_1y_9 (3 група): GoITeens</t>
  </si>
  <si>
    <t>Маша Міголь</t>
  </si>
  <si>
    <t xml:space="preserve">UA_ROB_1y_19_23(1 група) </t>
  </si>
  <si>
    <t xml:space="preserve">4 Закріплення </t>
  </si>
  <si>
    <t xml:space="preserve">Людмила Тимків </t>
  </si>
  <si>
    <t xml:space="preserve">День народження у близької подруги </t>
  </si>
  <si>
    <t>як велике виключення пішла назустріч</t>
  </si>
  <si>
    <t>PY_1y_2_23</t>
  </si>
  <si>
    <t xml:space="preserve">13 як побороти лінь </t>
  </si>
  <si>
    <t xml:space="preserve">Почтар Анастасія </t>
  </si>
  <si>
    <t>Вікторія явтушенко</t>
  </si>
  <si>
    <t>GoITeens_UA_ROB_1y_22_23 (2)</t>
  </si>
  <si>
    <t>3-Наш перший код і скрипт</t>
  </si>
  <si>
    <t>Маргарита</t>
  </si>
  <si>
    <t>1y_14_22</t>
  </si>
  <si>
    <t>№ 24, Афіша освітнього заходу та запрошення</t>
  </si>
  <si>
    <t>Корнієнко Юля</t>
  </si>
  <si>
    <t>GoITeens_UA_DA_JUN_1y_15_23 студенти (2 підгрупа)</t>
  </si>
  <si>
    <t>#3 Оформлення тексту</t>
  </si>
  <si>
    <t xml:space="preserve">Мількова Анастасія </t>
  </si>
  <si>
    <t>Легостінова Анна</t>
  </si>
  <si>
    <t>Раптово вимкнули світло</t>
  </si>
  <si>
    <t>GoITeens_UA_MINE_KIDS_1y_16_22</t>
  </si>
  <si>
    <t>Урок 63. Обери правильний міст щоб вижити</t>
  </si>
  <si>
    <t>Міла (@mila_tyt)</t>
  </si>
  <si>
    <t>GoITeens_UA_MINE_1y_7</t>
  </si>
  <si>
    <t>Урок 16 (ІІсеместр). Повторення</t>
  </si>
  <si>
    <t>Юлія Максимець</t>
  </si>
  <si>
    <t>Анна Кулібабіна (@Anna_Kulibabina)</t>
  </si>
  <si>
    <t>GoITeens_UA_MINE_KIDS_1y_13_22</t>
  </si>
  <si>
    <t>Урок 45 Механізми. Літак</t>
  </si>
  <si>
    <t>Python_1y_4_23</t>
  </si>
  <si>
    <t>16 як побороти лінь</t>
  </si>
  <si>
    <t>Татьяна Тесленко</t>
  </si>
  <si>
    <t>Іспит</t>
  </si>
  <si>
    <t>GoITeens_UA_MINE_1y_23_23 (5 група)</t>
  </si>
  <si>
    <t>Світ ІТ Закріплення</t>
  </si>
  <si>
    <t>Наталья Новохатько</t>
  </si>
  <si>
    <t>буду в іншому місці</t>
  </si>
  <si>
    <t>Роблокс_1у_3(2)</t>
  </si>
  <si>
    <t>3д моделювання #2</t>
  </si>
  <si>
    <t>Маргарита Титаренко</t>
  </si>
  <si>
    <t>Погане самопочуття та відсутність інтернету. Завжди проводив з роботи, та сьогодні думав що з дому проведу. Вимкнули інтернет і на комп`ютері немає вайфаю</t>
  </si>
  <si>
    <t>GoITeens_UA_ROB_1y_19_23 (3 група)</t>
  </si>
  <si>
    <t>4, Змінні та обчислення в Lua</t>
  </si>
  <si>
    <t>Відсутнє світло</t>
  </si>
  <si>
    <t>GoITeens_UA_KIDS_1y_20_23(2 група)</t>
  </si>
  <si>
    <t>№6 "Графіка та блоки звуків"</t>
  </si>
  <si>
    <t xml:space="preserve">Бровченко Вікторія Петрівна </t>
  </si>
  <si>
    <t>Встановили старшим інструктором на ЗНО (НАЦІОНАЛЬНИЙ МУЛЬТИМЕДІЙНИЙ ТЕСТ) в державній установі, нажаль права вибору я не мала тому відмовитись теж не могла. Тест триває з 10 по 18, що унеможливлює провести урок з 16 до 17:30</t>
  </si>
  <si>
    <t>GoITeens_UA_KIDS_1y_1_23 (1)</t>
  </si>
  <si>
    <t>22 Використання олівця</t>
  </si>
  <si>
    <t>Олена Шийка</t>
  </si>
  <si>
    <t>Переїзд</t>
  </si>
  <si>
    <t>GoITeens_UA_KIDS_1y_9_23 (5)</t>
  </si>
  <si>
    <t xml:space="preserve">15 Змінні. Нарахування балів у іграх. </t>
  </si>
  <si>
    <t xml:space="preserve">GoITeens_UA_KIDS_1y_25_23 </t>
  </si>
  <si>
    <t>3 Спорт</t>
  </si>
  <si>
    <t>UA_MINE_1y_14_23 (4 підгрупа)</t>
  </si>
  <si>
    <t>14 Публічні виступи</t>
  </si>
  <si>
    <t>Я ще не знаю</t>
  </si>
  <si>
    <t>Я буду у відрядженні у іншому місті і скоріше всього не встигну повернутись до початку уроку. Тим більше у дорозі всяке може трапитись, я не хочу ризикувати і створювати форс-мажорні обставини. Учнів я вже попередила.</t>
  </si>
  <si>
    <t>Майн11-22</t>
  </si>
  <si>
    <t>Урок 65. Великий бум</t>
  </si>
  <si>
    <t>Олена Болшунова</t>
  </si>
  <si>
    <t>GoITeens_UA_KIDS_1y_15_23</t>
  </si>
  <si>
    <t xml:space="preserve">10 Демонстрація мультфільмів </t>
  </si>
  <si>
    <t>Вікторія Бровченко</t>
  </si>
  <si>
    <t xml:space="preserve">Переїзд </t>
  </si>
  <si>
    <t>GoITeens_UA_KIDS_1y_18_23</t>
  </si>
  <si>
    <t xml:space="preserve">8 Елементи для анімації </t>
  </si>
  <si>
    <t xml:space="preserve">Свід Ірина </t>
  </si>
  <si>
    <t xml:space="preserve">Ольга Богданова </t>
  </si>
  <si>
    <t>DA_JUN_1y_20_23</t>
  </si>
  <si>
    <t>1.</t>
  </si>
  <si>
    <t>Аварійне відключення електропостачання.</t>
  </si>
  <si>
    <t>PYTHON_1y_6_22</t>
  </si>
  <si>
    <t>16. Підключення бази даних до бота, запити до бази даних через бота</t>
  </si>
  <si>
    <t>сімейні обставини.</t>
  </si>
  <si>
    <t>Minecraft_KIDS_10_23</t>
  </si>
  <si>
    <t xml:space="preserve">Альона Засадюк </t>
  </si>
  <si>
    <t>FE_JUN_1y_5_23 2 підгрупа</t>
  </si>
  <si>
    <t>11, флексбокс</t>
  </si>
  <si>
    <t>Ольга Кучерюк</t>
  </si>
  <si>
    <t xml:space="preserve">Поїхав в інше місто по справам. Не буде можливості провести заняття </t>
  </si>
  <si>
    <t>GoITeens_UA_MINE_1y_18_22</t>
  </si>
  <si>
    <t>Махар Владислав</t>
  </si>
  <si>
    <t>Собиста</t>
  </si>
  <si>
    <t>fe_2y_1</t>
  </si>
  <si>
    <t>React. Ефекти, HTTP Запити, розбір дз</t>
  </si>
  <si>
    <t xml:space="preserve">Не матиму доступу до комп'ютера </t>
  </si>
  <si>
    <t>GoITeens_UA_ROBLOX_1y_4(1)</t>
  </si>
  <si>
    <t>Фінальний проект</t>
  </si>
  <si>
    <t>GoITeens_UA_ROB_1y_9_23 (3)</t>
  </si>
  <si>
    <t>22	Темперамент і самопрезентація</t>
  </si>
  <si>
    <t>Миголь Маша</t>
  </si>
  <si>
    <t>Буду в цей час в дорозі</t>
  </si>
  <si>
    <t>UA_Mine_1y_5_23</t>
  </si>
  <si>
    <t>21 Лабіринт Мінотавра</t>
  </si>
  <si>
    <t xml:space="preserve">№7 Створення анімаційної літньої листівки </t>
  </si>
  <si>
    <t xml:space="preserve">Олена Брегеда </t>
  </si>
  <si>
    <t xml:space="preserve">Мене поставили на проведення національного мультимедійного тесту (ЗНО) старшим інструктором , відповідальним за проведення тесту в навчальному закладі. Тест проходить з 15:00 до 18:00 тому це унеможливлює проведення уроку. </t>
  </si>
  <si>
    <t>GoITeens_UA_MINE_19 (2 група)</t>
  </si>
  <si>
    <t>30 Хмарочоси</t>
  </si>
  <si>
    <t>Альона Засадюк</t>
  </si>
  <si>
    <t>GoITeens_UA_FE_1y_14_23</t>
  </si>
  <si>
    <t>3, Блочні та рядкові теги. Теги для позначення форм та таблиць.</t>
  </si>
  <si>
    <t>Тарасович Таня</t>
  </si>
  <si>
    <t xml:space="preserve">MINE_1y_3_23 (3) </t>
  </si>
  <si>
    <t>18 "Канали та акведуки"</t>
  </si>
  <si>
    <t>форс-мажор</t>
  </si>
  <si>
    <t>GoITeens_Mine_KIDS_17_23(2підгрупа)</t>
  </si>
  <si>
    <t>Анна Кулібабіна</t>
  </si>
  <si>
    <t>Форс-мажор (батьки не погодились на перенос)</t>
  </si>
  <si>
    <t>Номер 6. Тема: Внутрішній спокій</t>
  </si>
  <si>
    <t>Важлива зустріч, яку я не можу і час якої призначаю не я.</t>
  </si>
  <si>
    <t>MINE_KIDS_1y_16_23 (3 група)</t>
  </si>
  <si>
    <t xml:space="preserve">17. Водні перегони </t>
  </si>
  <si>
    <t>Не встигаю повернутися додому</t>
  </si>
  <si>
    <t>GoITeens_UA_MINE_1y_33_23</t>
  </si>
  <si>
    <t>Номер 1. Тема: Знайомство.</t>
  </si>
  <si>
    <t>Важлива зустріч, на якій я маю бути присутній і час якої я не можу змінити.</t>
  </si>
  <si>
    <t xml:space="preserve"> GoITeens_UA_MINE_1y_19_22</t>
  </si>
  <si>
    <t>№27 Хмарочоси Part 2 2 семестр</t>
  </si>
  <si>
    <t>Альона @alenka_zas</t>
  </si>
  <si>
    <t>Немає зв'язку, в дорозі</t>
  </si>
  <si>
    <t>GoITeens_UA_ROB_1y_15_23 (2)</t>
  </si>
  <si>
    <t>12 Чого я хочу</t>
  </si>
  <si>
    <t>Поганий інтернет</t>
  </si>
  <si>
    <t>GoITeens_UA_ROB_1y_14_23</t>
  </si>
  <si>
    <t>13 Аналіз коду</t>
  </si>
  <si>
    <t>Несправність ПК</t>
  </si>
  <si>
    <t>GoITeens_UA_GD_1y_11_23</t>
  </si>
  <si>
    <t>5, Як запам’ятовувати все? 2.0</t>
  </si>
  <si>
    <t>Ілля Бондаренко</t>
  </si>
  <si>
    <t>Вікторія Пасічник</t>
  </si>
  <si>
    <t>DA_1y_13_23(1)</t>
  </si>
  <si>
    <t>Photoshop  Тема: «Створення мудборда»</t>
  </si>
  <si>
    <t>Олександра Євсюкова</t>
  </si>
  <si>
    <t>1y_18_23(2)</t>
  </si>
  <si>
    <t>Пузіно Тимур Олександрович</t>
  </si>
  <si>
    <t>Особисті причини</t>
  </si>
  <si>
    <t>GoITeens_UA_MINE_8</t>
  </si>
  <si>
    <t xml:space="preserve">21 Me Myself and I </t>
  </si>
  <si>
    <t xml:space="preserve">Була в дорозі і не встигала на заняття </t>
  </si>
  <si>
    <t>GoITeens_UA_ROB_1y_18_22</t>
  </si>
  <si>
    <t xml:space="preserve">28 Тайм Менеджмент </t>
  </si>
  <si>
    <t xml:space="preserve">Костяк Марія </t>
  </si>
  <si>
    <t xml:space="preserve">Була в дорозі не встигала на заняття </t>
  </si>
  <si>
    <t>GoITeens_UA_ROB_1y_16_23</t>
  </si>
  <si>
    <t>10 Умови if else</t>
  </si>
  <si>
    <t>UA_FE_1y_16_23</t>
  </si>
  <si>
    <t xml:space="preserve"> 1) Знайомство з Front-end</t>
  </si>
  <si>
    <t>Проблеми з Інтернетом</t>
  </si>
  <si>
    <t>Дизайн 1у_24_23</t>
  </si>
  <si>
    <t>1 вступний урок</t>
  </si>
  <si>
    <t>Складаю іспит</t>
  </si>
  <si>
    <t>GoITeens_UA_MINE_1y_21_23 (1 група)</t>
  </si>
  <si>
    <t>9 Подорож до Стародавньої Греції</t>
  </si>
  <si>
    <t>за сімейними обставинами</t>
  </si>
  <si>
    <t>Da_1y_7_23</t>
  </si>
  <si>
    <t xml:space="preserve">14 як побороть лінь </t>
  </si>
  <si>
    <t xml:space="preserve">MINE_KIDS_1y_24_23   </t>
  </si>
  <si>
    <t>Віта Оспанова</t>
  </si>
  <si>
    <t>Форс мажорні обставини їхала в дорозі і  не встигала повернутися додому</t>
  </si>
  <si>
    <t>UA_DA_JUN_1y_25_23 (2 підгрупа)</t>
  </si>
  <si>
    <t>2 продовження знайомства</t>
  </si>
  <si>
    <t>Неля Лабунець</t>
  </si>
  <si>
    <t>По особистим причинам не можу взяти групу на постійну основу</t>
  </si>
  <si>
    <t>GoITeens_UA_MINE_KIDS_1y_11_23 (2 група)</t>
  </si>
  <si>
    <t>Номер заняття - 32. Тема № 19: "Хімія під водою".</t>
  </si>
  <si>
    <t>Лисін Богдан Юрійович</t>
  </si>
  <si>
    <t xml:space="preserve">Не зможу провести заняття. </t>
  </si>
  <si>
    <t>FE_1y_3_23</t>
  </si>
  <si>
    <t>22 проєкт</t>
  </si>
  <si>
    <t>Хмелюк Каріна</t>
  </si>
  <si>
    <t>Джуни 1у_8_23</t>
  </si>
  <si>
    <t>9 Філософія Так і, Прийняття рішень</t>
  </si>
  <si>
    <t>Не встигаю доїхати до дому, треба в лікарню</t>
  </si>
  <si>
    <t>GoITeens_UA_FE_JUN_1y_6_23</t>
  </si>
  <si>
    <t>12. Креатив як навичка</t>
  </si>
  <si>
    <t>Міголь Марія</t>
  </si>
  <si>
    <t>Захворіла.</t>
  </si>
  <si>
    <t>GoITeens_UA_MINE_1y_19_23 (1 група)</t>
  </si>
  <si>
    <t>11 Роза вітрів</t>
  </si>
  <si>
    <t xml:space="preserve">Гаврилюк Микита </t>
  </si>
  <si>
    <t>Olena bolshunova</t>
  </si>
  <si>
    <t>Сімейна обставина</t>
  </si>
  <si>
    <t>14 Створення міні-проекту</t>
  </si>
  <si>
    <t xml:space="preserve">Несправність ПК </t>
  </si>
  <si>
    <t>MINE_1y_5_23 (піднрупа1)</t>
  </si>
  <si>
    <t>25  Критичне та аналітичне мислення</t>
  </si>
  <si>
    <t>тичинська Юлія</t>
  </si>
  <si>
    <t>Вигорання</t>
  </si>
  <si>
    <t>26. Що таке цінності</t>
  </si>
  <si>
    <t xml:space="preserve">Кроковна Катерина </t>
  </si>
  <si>
    <t xml:space="preserve">Аліса Дуденко </t>
  </si>
  <si>
    <t>GoITeens_UA_DA_1y_11_23</t>
  </si>
  <si>
    <t>11 Що таке емоційний інтелект?</t>
  </si>
  <si>
    <t>Сильна гроза - проблеми з інтернетом та світлом</t>
  </si>
  <si>
    <t>GoITeens_DA_1y_13_23</t>
  </si>
  <si>
    <t>Анімація, 3 години</t>
  </si>
  <si>
    <t xml:space="preserve">Єфременко Єлизавета </t>
  </si>
  <si>
    <t>Ракета влучила в мій будинок, вийшла без речей, невідомо коли назад зможу зайти за ноутбуком і речами. Психологічно і фізично не можу провести заняття.</t>
  </si>
  <si>
    <t>GoITeens_ DA_1y_7_23</t>
  </si>
  <si>
    <t>Афіша</t>
  </si>
  <si>
    <t>GoITeens_UA_DA_1y_7_23 діти (2 підгрупа)</t>
  </si>
  <si>
    <t>Садова</t>
  </si>
  <si>
    <t>переїзд в інше місто</t>
  </si>
  <si>
    <t>DA_JUN_1y_9_22</t>
  </si>
  <si>
    <t>Марія Міголь</t>
  </si>
  <si>
    <t xml:space="preserve">GoITeens_UA_DA_1y_4_23 студенти </t>
  </si>
  <si>
    <t>GoITeens_UA_ROB_1y_22_23</t>
  </si>
  <si>
    <t>6. Внутрішній спокій</t>
  </si>
  <si>
    <t>Anna Kmit</t>
  </si>
  <si>
    <t>Буде в дорозі, без стабільного інтернету</t>
  </si>
  <si>
    <t>GoITeens_UA_DA_1y_20_23</t>
  </si>
  <si>
    <t>5. Як запам'ятовувати все? 2.0</t>
  </si>
  <si>
    <t>Буду в дорозі, без стабільного інтернету</t>
  </si>
  <si>
    <t>11 If else частина 2</t>
  </si>
  <si>
    <t xml:space="preserve">Гаврилюк Артур </t>
  </si>
  <si>
    <t>Віталій Карпій</t>
  </si>
  <si>
    <t>GoITeens_UA_DA_1y_23_23 (2 підгрупа)</t>
  </si>
  <si>
    <t>2 Що таке Soft Skills?</t>
  </si>
  <si>
    <t>Давно попереджала про це, ще на адаптації</t>
  </si>
  <si>
    <t>3 історія дизайну</t>
  </si>
  <si>
    <t>Захист диплому</t>
  </si>
  <si>
    <t>MINE_1y_9_23(4)</t>
  </si>
  <si>
    <t>19 Публічні виступи</t>
  </si>
  <si>
    <t xml:space="preserve">Таценко </t>
  </si>
  <si>
    <t>Концерт у дитини</t>
  </si>
  <si>
    <t>1у_20_23</t>
  </si>
  <si>
    <t xml:space="preserve">6 Захист Власних проектів </t>
  </si>
  <si>
    <t xml:space="preserve">Титаренко Маргарита </t>
  </si>
  <si>
    <t>GoITeens_UA_MINE_KIDS_1y_12_23</t>
  </si>
  <si>
    <t>17 Водні перегони</t>
  </si>
  <si>
    <t xml:space="preserve">З 29.06 їду за місто на декілька днів, тому не зможу ніяк провести. </t>
  </si>
  <si>
    <t>MINE_1y_33_23 (4)</t>
  </si>
  <si>
    <t>N4. Тема "знайомство. Закріплення"</t>
  </si>
  <si>
    <t>Не перебуватиму в країні в той день</t>
  </si>
  <si>
    <t>GoITeens_UA_FE_1y_13_23</t>
  </si>
  <si>
    <t>5 "Як запам'ятати все 2.0?"</t>
  </si>
  <si>
    <t>Терміново довелося поїхати в Київ</t>
  </si>
  <si>
    <t>GoITeens_UA_MINE_1y_22_23</t>
  </si>
  <si>
    <t>7 "Внутрішній спокій"</t>
  </si>
  <si>
    <t>Технічні проблеми</t>
  </si>
  <si>
    <t>GoITeens_DA_JUN_1y_18_23</t>
  </si>
  <si>
    <t>3 "Світ ІТ"</t>
  </si>
  <si>
    <t>GoITeens_UA_MINE_KIDS_1y_15_23 (2 група)</t>
  </si>
  <si>
    <t>13 - Акваріум</t>
  </si>
  <si>
    <t>Софія Нільга</t>
  </si>
  <si>
    <t>Буду в дорозі на момент уроку</t>
  </si>
  <si>
    <t>28 Хмарочос Part 3</t>
  </si>
  <si>
    <t>Буду в дорозі під час уроку</t>
  </si>
  <si>
    <t>DA_JUN_1y_27_23 (2 група )</t>
  </si>
  <si>
    <t>(3) Оформлення тексту</t>
  </si>
  <si>
    <t>GoITeens_UA_MINE_4_23 (4 група)</t>
  </si>
  <si>
    <t>Публічні виступи. Закріплення</t>
  </si>
  <si>
    <t>Юлія Кирилюк</t>
  </si>
  <si>
    <t xml:space="preserve">Звільнення </t>
  </si>
  <si>
    <t>узгодили</t>
  </si>
  <si>
    <t>Звільнення</t>
  </si>
  <si>
    <t>UA_MINE_1y_4 (5 група): GoITeens</t>
  </si>
  <si>
    <t>Відношення до себе. Закріплення</t>
  </si>
  <si>
    <t>Катерина Верзун</t>
  </si>
  <si>
    <t>Фінансова грамотність. Закріплення</t>
  </si>
  <si>
    <t>GoITeens_UA_DA_1y_5_22</t>
  </si>
  <si>
    <t>43. Ділова комунікація</t>
  </si>
  <si>
    <t>буду в дорозі, без інтернету</t>
  </si>
  <si>
    <t>GoITeens_UA_GD_1y_9_22</t>
  </si>
  <si>
    <t>42. Ораторське мистецтво, практикування</t>
  </si>
  <si>
    <t xml:space="preserve"> Anastasiia Myrshavka</t>
  </si>
  <si>
    <t>буду в дорозі, без стабільного інтернету</t>
  </si>
  <si>
    <t>GoITeens_UA_ROB_1y_19_23 (1 група)</t>
  </si>
  <si>
    <t xml:space="preserve">Модуль 2, заняття 8: закріплення </t>
  </si>
  <si>
    <t xml:space="preserve">Рурак Катерина </t>
  </si>
  <si>
    <t xml:space="preserve">Зміна дати виїзду на іншій роботі, тому якраз в дорозі, де не ловить інет </t>
  </si>
  <si>
    <t>15 Захист проектів</t>
  </si>
  <si>
    <t xml:space="preserve">Душенко Тарас </t>
  </si>
  <si>
    <t>DA_1y_2 (3)</t>
  </si>
  <si>
    <t>15. Прототипування апп</t>
  </si>
  <si>
    <t xml:space="preserve">Гайдур Ксенія </t>
  </si>
  <si>
    <t>13. Інтерфейс мобільного додатку</t>
  </si>
  <si>
    <t xml:space="preserve">Даневич Галина </t>
  </si>
  <si>
    <t>UA_MINE_1y_18_22 (4 група)</t>
  </si>
  <si>
    <t>26 Хмарочоси</t>
  </si>
  <si>
    <t>Владислав Магар</t>
  </si>
  <si>
    <t>Відсутність наразі місця для проведення занять, бо закордоном</t>
  </si>
  <si>
    <t>Відсутність місця для проведення занять, бо наразі закордоном</t>
  </si>
  <si>
    <t>GoITeens_UA_KIDS_1y_4_22</t>
  </si>
  <si>
    <t>№16 Pixel Art</t>
  </si>
  <si>
    <t>за станом здоров'я</t>
  </si>
  <si>
    <t>№13 Водоспади та фонтани</t>
  </si>
  <si>
    <t>Оформлення портфоліо</t>
  </si>
  <si>
    <t>Бігун Дар‘я</t>
  </si>
  <si>
    <t>GoITeens_UA_MINE_1y_16_23</t>
  </si>
  <si>
    <t xml:space="preserve">15. Креатив як навичка. Закріплення </t>
  </si>
  <si>
    <t xml:space="preserve">Олена Гайченя </t>
  </si>
  <si>
    <t>Юлія Аверчук</t>
  </si>
  <si>
    <t>GolTeens_UA_MINE_1_31_23</t>
  </si>
  <si>
    <t>5, Тема:емоції настрій відчуття почуття</t>
  </si>
  <si>
    <t xml:space="preserve">Пʼєц Адріана </t>
  </si>
  <si>
    <t>Причина:
В мене наразі жахливі технічні умови,я
переживаю,що мене час буде весь перебивати
в конференції,тому з превентивною метою,прошу заміну</t>
  </si>
  <si>
    <t>GoITeens_UA_Mine_1y_2_23(2 група)</t>
  </si>
  <si>
    <t>№20 Висячі сади</t>
  </si>
  <si>
    <t>GoITeens_UA_MINE_1y_25_23 (2 гр)</t>
  </si>
  <si>
    <t>6 Подорож до Стародавнього Єгипту: будуємо піраміду</t>
  </si>
  <si>
    <t>UA_MINE_1y_10_23 (3 підгрупа)</t>
  </si>
  <si>
    <t>16 Мінотавр</t>
  </si>
  <si>
    <t xml:space="preserve">GD_1y_5_23 (2 група) </t>
  </si>
  <si>
    <t xml:space="preserve">На постійну основу </t>
  </si>
  <si>
    <t>Люба Скакун</t>
  </si>
  <si>
    <t>GoITeens_UA_DA_JUN_1y_5_23</t>
  </si>
  <si>
    <t>18. Відношення до себе</t>
  </si>
  <si>
    <t>DA_JUN_1y_14_22</t>
  </si>
  <si>
    <t xml:space="preserve">№27 Ляльковий арт із фотографії </t>
  </si>
  <si>
    <t>Варвара Врабіє</t>
  </si>
  <si>
    <t xml:space="preserve">Підвальна Олександра </t>
  </si>
  <si>
    <t xml:space="preserve">Публічні виступи - заключення </t>
  </si>
  <si>
    <t xml:space="preserve">Буду на словацькому фестивалі представником від України </t>
  </si>
  <si>
    <t>Ua_da_1y_7_23</t>
  </si>
  <si>
    <t xml:space="preserve">Як мотивувати себе та інших </t>
  </si>
  <si>
    <t xml:space="preserve">Юлія костюк </t>
  </si>
  <si>
    <t>Сесія</t>
  </si>
  <si>
    <t xml:space="preserve">Тайм-менеджмент </t>
  </si>
  <si>
    <t>Зоряна Хас</t>
  </si>
  <si>
    <t xml:space="preserve">Слабкий інтернет </t>
  </si>
  <si>
    <t>GoITeens_UA_ROB_1y_10_23</t>
  </si>
  <si>
    <t>19, "Етикет"</t>
  </si>
  <si>
    <t>Я їду за місто на декілька днів</t>
  </si>
  <si>
    <t>Minekraft_UA_1y_23_23</t>
  </si>
  <si>
    <t xml:space="preserve">7 Абсолютні координати </t>
  </si>
  <si>
    <t xml:space="preserve">Мамченко Владислава </t>
  </si>
  <si>
    <t>Затрималась в дорозі</t>
  </si>
  <si>
    <t>заняття 1 тема знайомство</t>
  </si>
  <si>
    <t>технічні негаразди</t>
  </si>
  <si>
    <t>GoITeens_UA_MINE_1y_24_23</t>
  </si>
  <si>
    <t>8. Емоційний розвиток. Закріплення</t>
  </si>
  <si>
    <t xml:space="preserve">через дуже погані погодні умови було відсутнє електропостачання </t>
  </si>
  <si>
    <t>GoITeens_UA_MINE_1y_35_23</t>
  </si>
  <si>
    <t>через дуже погані погодні умови було відсутнє електропостачання</t>
  </si>
  <si>
    <t>GoITeens_UA_ROB_1y_4_23_1 (субота 13.00 - 14.00)</t>
  </si>
  <si>
    <t>2 урок модулю Відношення до себе</t>
  </si>
  <si>
    <t xml:space="preserve">Казанок Анжеліка </t>
  </si>
  <si>
    <t>Hennadii Myronenko @hennadiimyr</t>
  </si>
  <si>
    <t>DA_JUN_1y_5</t>
  </si>
  <si>
    <t>47 «Реалізація інтернет-магазину»</t>
  </si>
  <si>
    <t>Аліна Коврига</t>
  </si>
  <si>
    <t xml:space="preserve">буду в дорозі </t>
  </si>
  <si>
    <t xml:space="preserve">38 Види ефектів Ілюстратору/Основна група ефектів у векторній графіці </t>
  </si>
  <si>
    <t>Технічні причини, відсутність інтернету</t>
  </si>
  <si>
    <t>DA_1y_1_23</t>
  </si>
  <si>
    <t xml:space="preserve">Логотип </t>
  </si>
  <si>
    <t xml:space="preserve">Ірина Дєдова </t>
  </si>
  <si>
    <t>Юлія Піскова</t>
  </si>
  <si>
    <t>Технічні причини, в дорозі відсутній стабільний інтернет</t>
  </si>
  <si>
    <t>GoITeens_Motion_Design_1y_4</t>
  </si>
  <si>
    <t>DA_JUN_1y_3</t>
  </si>
  <si>
    <t>42 “Юі Юх»</t>
  </si>
  <si>
    <t xml:space="preserve">в дорозі </t>
  </si>
  <si>
    <t>GoITeens_UA_MINE_1y_19_23</t>
  </si>
  <si>
    <t>13	Закрiплення</t>
  </si>
  <si>
    <t>Стан здоров'я</t>
  </si>
  <si>
    <t>GoITeens_UA_DA_JUN_1y_5_23 2 група</t>
  </si>
  <si>
    <t>18 Презентація проєктів</t>
  </si>
  <si>
    <t>Марія Писаренко</t>
  </si>
  <si>
    <t xml:space="preserve">Відпустка </t>
  </si>
  <si>
    <t xml:space="preserve">10. Чого я хочу </t>
  </si>
  <si>
    <t>не було світла</t>
  </si>
  <si>
    <t>захист проектів</t>
  </si>
  <si>
    <t>UA_DA_1y_27_2</t>
  </si>
  <si>
    <t>GOITEENS_UA_DA_JUN_1Y_22_23_(2 ПІДГРУПА)</t>
  </si>
  <si>
    <t xml:space="preserve">Заняття №3 Оформлення тексту </t>
  </si>
  <si>
    <t>Марія Наумова</t>
  </si>
  <si>
    <t>Марія Мисан</t>
  </si>
  <si>
    <t xml:space="preserve">Поїздка </t>
  </si>
  <si>
    <t xml:space="preserve">5 правил публічних виступів </t>
  </si>
  <si>
    <t>@nataliia</t>
  </si>
  <si>
    <t>KIDS_1y_34_04_07_24(1)</t>
  </si>
  <si>
    <t>Заняття 2</t>
  </si>
  <si>
    <t>GoITeens_UA_PYTHON_1y_11_23</t>
  </si>
  <si>
    <t>Я був кілька днів в гостях і саме в цей день і час потрібно виїжджати.</t>
  </si>
  <si>
    <t>Олександра Третіак</t>
  </si>
  <si>
    <t>Устаріла програма, яку доводиться доробляти, це віднімає неймовірно багато часу. Важка в плані программи група.</t>
  </si>
  <si>
    <t>1у4-22</t>
  </si>
  <si>
    <t>проект</t>
  </si>
  <si>
    <t>Даневич</t>
  </si>
  <si>
    <t>Кавхаян</t>
  </si>
  <si>
    <t>форс мажор</t>
  </si>
  <si>
    <t>GoITeens_UA_DA_JUN_1y_6_23 (3)</t>
  </si>
  <si>
    <t xml:space="preserve">Стандартна обробка фото </t>
  </si>
  <si>
    <t>Підвальна Саша</t>
  </si>
  <si>
    <t>40. Розробка клавіатур бота</t>
  </si>
  <si>
    <t>.</t>
  </si>
  <si>
    <t>42. Міні-проєкт: створення простого бота-парсера</t>
  </si>
  <si>
    <t xml:space="preserve">DA_JUN_1y_13_23 </t>
  </si>
  <si>
    <t>11 Інфографіка для шкільного проекту</t>
  </si>
  <si>
    <t>Операція у лікарні</t>
  </si>
  <si>
    <t>36_23</t>
  </si>
  <si>
    <t>#4 Побудова перших ігрових механік в Minecraft Education за допомогою Агента</t>
  </si>
  <si>
    <t>DA_JUN_1y_18_23 (2)</t>
  </si>
  <si>
    <t>№12 "Інфографіка для шкільного проєкту"</t>
  </si>
  <si>
    <t>Особиста причина</t>
  </si>
  <si>
    <t>GoITeens _Mine_KIDS_27_23 (1 підгрупа)</t>
  </si>
  <si>
    <t>№6 Багатоповерхівка</t>
  </si>
  <si>
    <t>Кравченко Юлія Іванівна</t>
  </si>
  <si>
    <t>Треба було бути у лікаря саме в цей час. Якщо треба можу надати виписку або документ із лікарні.</t>
  </si>
  <si>
    <t xml:space="preserve">UA_DA_1Y_5_23 </t>
  </si>
  <si>
    <t xml:space="preserve">Впевненість у собі </t>
  </si>
  <si>
    <t xml:space="preserve">Антоніна Радіонова </t>
  </si>
  <si>
    <t xml:space="preserve">DA_JUN_1Y_8_23 </t>
  </si>
  <si>
    <t xml:space="preserve">Темперамент і самопрезентація </t>
  </si>
  <si>
    <t xml:space="preserve">Радіонова Антоніна </t>
  </si>
  <si>
    <t>GD_1y_3_23</t>
  </si>
  <si>
    <t>Правила спілкування з друзями</t>
  </si>
  <si>
    <t>Марія Миголь</t>
  </si>
  <si>
    <t xml:space="preserve">Емоції настрій відчуття почуття </t>
  </si>
  <si>
    <t>Анастасія Микитюк</t>
  </si>
  <si>
    <t>GoITeens_UA_DA_1y_13_23</t>
  </si>
  <si>
    <t>11 Що таке емоційний інтелект</t>
  </si>
  <si>
    <t>Відсутність інтернету через переїзд</t>
  </si>
  <si>
    <t>GoITeens_UA_MINE_Advanced_2y_3</t>
  </si>
  <si>
    <t xml:space="preserve">4 Цикли </t>
  </si>
  <si>
    <t xml:space="preserve">Даниїл Букша </t>
  </si>
  <si>
    <t xml:space="preserve">Татьяна Волошиненко </t>
  </si>
  <si>
    <t>GoITeens_UA_DA_JUN_1y_11_23 студенти (2 підгрупа)</t>
  </si>
  <si>
    <t>Розробка брошур</t>
  </si>
  <si>
    <t>GoITeens_UA_DA_JUN_1y_3_23 (1)</t>
  </si>
  <si>
    <t xml:space="preserve">Розробка рекламного банера </t>
  </si>
  <si>
    <t xml:space="preserve">Писаренко Марія </t>
  </si>
  <si>
    <t>Ольга Гунько</t>
  </si>
  <si>
    <t>GoITeens_UA_DA_JUN_1y_5_23 2 група (студенти)</t>
  </si>
  <si>
    <t>Стандартна обробка фото</t>
  </si>
  <si>
    <t>DA_JUN_1y_7_23</t>
  </si>
  <si>
    <t>Проект з канви</t>
  </si>
  <si>
    <t xml:space="preserve">була в дорозі </t>
  </si>
  <si>
    <t>GoITeens_UA_DA_1y_26_23 (2)</t>
  </si>
  <si>
    <t>6 урок: Колір</t>
  </si>
  <si>
    <t>https://t.me/designer_sanek</t>
  </si>
  <si>
    <t>Jun 4 23</t>
  </si>
  <si>
    <t>Розробка рекламного банера</t>
  </si>
  <si>
    <t>№21, "Публічні виступи"</t>
  </si>
  <si>
    <t>Геннадій Мироненко</t>
  </si>
  <si>
    <t>GoITeens_UA_ROB_1y_8_23</t>
  </si>
  <si>
    <t>№22, "Публічні виступи"</t>
  </si>
  <si>
    <t>Наталія Радзивилюк</t>
  </si>
  <si>
    <t>GoITeens_UA_DA_1y_27_3</t>
  </si>
  <si>
    <t>7. Вправи по поєднанню кольорів</t>
  </si>
  <si>
    <t>GoITeens_UA_ROB_1y_30_23</t>
  </si>
  <si>
    <t>2 Ландшафт</t>
  </si>
  <si>
    <t>Ірина Севрук</t>
  </si>
  <si>
    <t>Антон Севрук</t>
  </si>
  <si>
    <t>Не відклвдно поїхала в лікарню</t>
  </si>
  <si>
    <t>GoITeens_UA_ROB_1y_12_23</t>
  </si>
  <si>
    <t>18. Me Myself and I</t>
  </si>
  <si>
    <t>відсутність світла та інтернету</t>
  </si>
  <si>
    <t>GoITeens_UA_ROB_1y_13_23_5 група</t>
  </si>
  <si>
    <t>Тема 17 - Joints and attachments</t>
  </si>
  <si>
    <t>Назарій Швед</t>
  </si>
  <si>
    <t>Операція за день до заняття</t>
  </si>
  <si>
    <t>23. Скіл-орієнтація</t>
  </si>
  <si>
    <t>Вимкнуло електропостачання.</t>
  </si>
  <si>
    <t>FE_1y_6_23 діти (2 підгрупа)</t>
  </si>
  <si>
    <t>37 Позиціонування елементів, призначення та властивості</t>
  </si>
  <si>
    <t>Захворіла😢</t>
  </si>
  <si>
    <t>29 Хмарочос Part 4</t>
  </si>
  <si>
    <t>На момент проведення заняття буду знаходитись в дорозі</t>
  </si>
  <si>
    <t xml:space="preserve">DA_JUN_1y_18_23 (2 група ) </t>
  </si>
  <si>
    <t>7 «анімація у Canva»</t>
  </si>
  <si>
    <t>Савчук Тетяна Вікторівна</t>
  </si>
  <si>
    <t>Юля Корнієнко</t>
  </si>
  <si>
    <t xml:space="preserve">Буду в дорозі без зв’язку </t>
  </si>
  <si>
    <t>GoITeens_UA_DA_JUN_1y_14_23</t>
  </si>
  <si>
    <t>12 - Оформлення сторінок для соціальних мереж. Другий урок</t>
  </si>
  <si>
    <t>Анастасія Козловська</t>
  </si>
  <si>
    <t>У мене іспит з німецької мови</t>
  </si>
  <si>
    <t>Останній екзамен в університеті</t>
  </si>
  <si>
    <t>№40 Ігрові механізми</t>
  </si>
  <si>
    <t>Необхідність терміново виїхати в іншу область.</t>
  </si>
  <si>
    <t>GoITeens_UA_MINE_1y_26_23(1)</t>
  </si>
  <si>
    <t>10. Хімічна лабораторія під землею</t>
  </si>
  <si>
    <t>Не заходило в гру</t>
  </si>
  <si>
    <t>GoITeens_UA_ROB_1y_26_23 (1)</t>
  </si>
  <si>
    <t>Поїздка (весілля)</t>
  </si>
  <si>
    <t>GoITeens_UA_MINE_KIDS_1y_20_23 (2 група)</t>
  </si>
  <si>
    <t>20 Об'єм. Венеція</t>
  </si>
  <si>
    <t>Консультація перед іспитом до магістратури</t>
  </si>
  <si>
    <t>GoITeens_UA_MINE_1y_40_12_07_25_4</t>
  </si>
  <si>
    <t xml:space="preserve">Світлана Шевченко </t>
  </si>
  <si>
    <t>Богдан Шевчук</t>
  </si>
  <si>
    <t xml:space="preserve">Ранкове отруєння </t>
  </si>
  <si>
    <t>GoITeens_Mine_KIDS_17_23</t>
  </si>
  <si>
    <t>24 Підводна гра для Агента</t>
  </si>
  <si>
    <t>Гончар Нікіта</t>
  </si>
  <si>
    <t>Технічні проблеми зі світлом</t>
  </si>
  <si>
    <t>GoITeens_Roblox_32_Students_G3</t>
  </si>
  <si>
    <t>2, Продовжуємо знайомство</t>
  </si>
  <si>
    <t>Іванна Фромель</t>
  </si>
  <si>
    <t>по стану здоров'я</t>
  </si>
  <si>
    <t>GoITeens_UA_DA_JUN_1y_17_22 (2 група)</t>
  </si>
  <si>
    <t>Ivanka Fomel</t>
  </si>
  <si>
    <t>зміна графіку на основній роботі</t>
  </si>
  <si>
    <t>DA_1y_19_22 (1 група)</t>
  </si>
  <si>
    <t>буду у лікарні</t>
  </si>
  <si>
    <t>MINE_KIDS_1y_11_23 (2 група)</t>
  </si>
  <si>
    <t>Тема 25.</t>
  </si>
  <si>
    <t>Відсутність електроенергії та зручних умов для проведення.</t>
  </si>
  <si>
    <t>GoITeens_UA_ROB_1y_19_23</t>
  </si>
  <si>
    <t>12. If-else логічні оператори</t>
  </si>
  <si>
    <t>Володимир Каськів</t>
  </si>
  <si>
    <t>Буду знаходитись в дорозі(котра займає декілька днів)</t>
  </si>
  <si>
    <t>PYTHON_1y_12_23</t>
  </si>
  <si>
    <t>7 Мрії і цілі</t>
  </si>
  <si>
    <t xml:space="preserve"> Пасічник Вікторія </t>
  </si>
  <si>
    <t xml:space="preserve">yavo700700@gmail.com (Віктор) </t>
  </si>
  <si>
    <t xml:space="preserve">погана погода та нестабільність інтернету </t>
  </si>
  <si>
    <t>DA_JUN_1y_14_23</t>
  </si>
  <si>
    <t xml:space="preserve">13 Закріплення </t>
  </si>
  <si>
    <t xml:space="preserve">Марія Миголь </t>
  </si>
  <si>
    <t xml:space="preserve">не встигаю повернутись з-за міста </t>
  </si>
  <si>
    <t xml:space="preserve">GoITeens_UA_DA_1y_27_1 </t>
  </si>
  <si>
    <t>8 Виділення, ФШ</t>
  </si>
  <si>
    <t>ще не знаю</t>
  </si>
  <si>
    <t>відпустка</t>
  </si>
  <si>
    <t>9 Обробка фото, ФШ</t>
  </si>
  <si>
    <t>не знаю</t>
  </si>
  <si>
    <t>DA_JUN_1y_29_05_07_23</t>
  </si>
  <si>
    <t>5 - Всласні стікерпаки</t>
  </si>
  <si>
    <t>Створення кейсу</t>
  </si>
  <si>
    <t>Створення кейсу 2</t>
  </si>
  <si>
    <t>UA_MINE_1y_22_23</t>
  </si>
  <si>
    <t>№12 Александрійський маяк</t>
  </si>
  <si>
    <t>Не було доступу до інтернету та ПК</t>
  </si>
  <si>
    <t>UA_DA_JUN_1y_12_23 (2 підгрупа)</t>
  </si>
  <si>
    <t xml:space="preserve">16-Створення календаря </t>
  </si>
  <si>
    <t xml:space="preserve">Мисан Марія </t>
  </si>
  <si>
    <t>Перебуваю у дорозі</t>
  </si>
  <si>
    <t>UA_MINE_1y_11 (1 гр)</t>
  </si>
  <si>
    <t>Урок 80	Подорож до Києва</t>
  </si>
  <si>
    <t>Нікіта Гончар</t>
  </si>
  <si>
    <t>UA_MINE_1y_7 (4 гр)</t>
  </si>
  <si>
    <t>Урок 42. Проекти</t>
  </si>
  <si>
    <t>UA_MINE_KIDS_1y_13_22</t>
  </si>
  <si>
    <t>Урок 57  Залізна дорога</t>
  </si>
  <si>
    <t>Урок 58 Усюди математика</t>
  </si>
  <si>
    <t>UA_MINE_1y_11 (1 гр)22</t>
  </si>
  <si>
    <t>Урок 81	Замки Західної України</t>
  </si>
  <si>
    <t>UA_DA_1y_17_23</t>
  </si>
  <si>
    <t>Міні-проект</t>
  </si>
  <si>
    <t xml:space="preserve">Савчук Валерія </t>
  </si>
  <si>
    <t xml:space="preserve">Піскова Юлія </t>
  </si>
  <si>
    <t>GoITeens_UA_KIDS_1y_40_08_07_29</t>
  </si>
  <si>
    <t>6  Kids. Заняття №5 Cтворення анімації "Персонаж, що танцює".</t>
  </si>
  <si>
    <t xml:space="preserve">Ніжник Кирило </t>
  </si>
  <si>
    <t xml:space="preserve"> біометрія до візи в канаду</t>
  </si>
  <si>
    <t>1y_16_23</t>
  </si>
  <si>
    <t>Номер 10, кольорова композиція</t>
  </si>
  <si>
    <t>Олеся Федорюк</t>
  </si>
  <si>
    <t>Довелось терміново вирішувати питання з університетом</t>
  </si>
  <si>
    <t>1Y_18_23</t>
  </si>
  <si>
    <t>10, кольорова композиція</t>
  </si>
  <si>
    <t>Вимкнули світло</t>
  </si>
  <si>
    <t>Типографіка (частина 1)</t>
  </si>
  <si>
    <t>GoITeens_UA_MINE_1y_20_23 (3 група)</t>
  </si>
  <si>
    <t>Відсутність світла</t>
  </si>
  <si>
    <t>GoITeens_UA_GD_1y_14_23</t>
  </si>
  <si>
    <t>погане самопочуття</t>
  </si>
  <si>
    <t>Дизайн UA_DA_1у_24_23</t>
  </si>
  <si>
    <t>5 шрифти</t>
  </si>
  <si>
    <t>Олександра Підвальна</t>
  </si>
  <si>
    <t>FE_1y_1_23</t>
  </si>
  <si>
    <t>Юлі Руденко</t>
  </si>
  <si>
    <t>вимкнення світла</t>
  </si>
  <si>
    <t>fe 1y_3_23</t>
  </si>
  <si>
    <t>GoITeens_UA_DA_1y_32_01_08_23</t>
  </si>
  <si>
    <t>1 Знайомство та анонс курсу</t>
  </si>
  <si>
    <t>Форс мажор - сімейні обставини</t>
  </si>
  <si>
    <t>GoITeens_UA_DA_1y_27_23_1</t>
  </si>
  <si>
    <t>6 «Самодисципліна»</t>
  </si>
  <si>
    <t>Поїздка. Буду в дорозі в цей час, ніяк не встигаю</t>
  </si>
  <si>
    <t xml:space="preserve">GoITeens_UA_DA_1y_20_23 </t>
  </si>
  <si>
    <t>8, емоційний інтелект. Закріплення</t>
  </si>
  <si>
    <t>Дуже поганий інтернет</t>
  </si>
  <si>
    <t>GoITeens_UA_MINE_1y_32_23</t>
  </si>
  <si>
    <t>9. Філософія так</t>
  </si>
  <si>
    <t xml:space="preserve">Новохатько Наталія </t>
  </si>
  <si>
    <t>Shuleshko Daria</t>
  </si>
  <si>
    <t xml:space="preserve">Терміново повезло кота у лікарню. </t>
  </si>
  <si>
    <t>DA_1y_6_23</t>
  </si>
  <si>
    <t>з додаткових або після позитивного мислення</t>
  </si>
  <si>
    <t>захворіла</t>
  </si>
  <si>
    <t>1y_41_18_07_26</t>
  </si>
  <si>
    <t>Заняття №4 Побудова перших ігрових механік в Minecraft Education за допомогою Агента</t>
  </si>
  <si>
    <t>Участь у математичній конференції</t>
  </si>
  <si>
    <t>GoITeens_UA_ROB_1y_1_23</t>
  </si>
  <si>
    <t>№31, тема «Заняття №35. Проект. Частина 1»</t>
  </si>
  <si>
    <t>Ілля Рубінський</t>
  </si>
  <si>
    <t>Не зможу провести заняття в цей день.</t>
  </si>
  <si>
    <t>21 Me Myself and I</t>
  </si>
  <si>
    <t xml:space="preserve">Іванна Фромель </t>
  </si>
  <si>
    <t>Фе_1у_3</t>
  </si>
  <si>
    <t>12-Date</t>
  </si>
  <si>
    <t>ROB_1y_18_23</t>
  </si>
  <si>
    <t>№14. Створення мініпроєкту</t>
  </si>
  <si>
    <t>Не матиму фізичної можливості провести заняття</t>
  </si>
  <si>
    <t xml:space="preserve">GoITeens_UA_MINE_1y_17_23 (2 група) </t>
  </si>
  <si>
    <t>19 Закріплення</t>
  </si>
  <si>
    <t>GoITeens_UA_DA_JUN_1y_31_13_07_23 студенти (1_group)</t>
  </si>
  <si>
    <t xml:space="preserve"> тема 6: Інструменти роботи в ІТ: електронні сервіси i комбінації клавіш. </t>
  </si>
  <si>
    <t xml:space="preserve">Александрова Євгенія </t>
  </si>
  <si>
    <t xml:space="preserve">Шулешко Дар'я </t>
  </si>
  <si>
    <t xml:space="preserve">Невідкладна подія, небуде можливості  мати інтернет </t>
  </si>
  <si>
    <t>GoITeens_UA_MINE_1y_34_23</t>
  </si>
  <si>
    <t>№6 Тема: Подорож до Стародавнього Єгипту: будуємо піраміду</t>
  </si>
  <si>
    <t xml:space="preserve">Затримався в дорозі їхав з відпочінку </t>
  </si>
  <si>
    <t>Не погоджувала. Сам знайшов заміну, мене не повідомив</t>
  </si>
  <si>
    <t>UA_DA_JUN_1y_30_11_07_23 (2)</t>
  </si>
  <si>
    <t>5 - Власні стікерпаки</t>
  </si>
  <si>
    <t>Uliana Usenko</t>
  </si>
  <si>
    <t xml:space="preserve">Іспит на отримання посвідчення водія </t>
  </si>
  <si>
    <t>GoITeens_UA_MINE_1y_20_23 (1 група)</t>
  </si>
  <si>
    <t>Александрійський маяк №15</t>
  </si>
  <si>
    <t>Зміна місця роботи</t>
  </si>
  <si>
    <t>GoITeens_UA_MINE_1y_38_23</t>
  </si>
  <si>
    <t>12. NPC i вивантаження проекту</t>
  </si>
  <si>
    <t xml:space="preserve">GoITeens_UA_FE_1y_19_17_07_23 </t>
  </si>
  <si>
    <t>4 Як запам'ятовувати все?</t>
  </si>
  <si>
    <t>Форс мажор - буду перебувати в дорозі на момент заняття</t>
  </si>
  <si>
    <t>GoITeens_UA_DA_JUN_1y_16_23_(1 підгрупа) дітки</t>
  </si>
  <si>
    <t>12 інфографіка</t>
  </si>
  <si>
    <t xml:space="preserve">Олеся Григор’єва </t>
  </si>
  <si>
    <t xml:space="preserve">Непередбачувані обставини </t>
  </si>
  <si>
    <t>№6 Подорож до стародавнього Єгипту ( будуємо піраміду )</t>
  </si>
  <si>
    <t xml:space="preserve">Кисельов Данило </t>
  </si>
  <si>
    <t xml:space="preserve">Дьогтяр Артур </t>
  </si>
  <si>
    <t xml:space="preserve">Зламався компʼютер </t>
  </si>
  <si>
    <t>додаткова  тема - Лідерство</t>
  </si>
  <si>
    <t>відпусткаа</t>
  </si>
  <si>
    <t>№ 17 5 правил публічних виступів</t>
  </si>
  <si>
    <t>49. Підключення бази даних до бота, запити до бази даних через бота</t>
  </si>
  <si>
    <t>50. Міні-проєкт: створення бота парсера, який буде записувати отримані дані у базу даних</t>
  </si>
  <si>
    <t>?</t>
  </si>
  <si>
    <t>51. Міні-проєкт: створення бота парсера, який буде записувати отримані дані у базу даних</t>
  </si>
  <si>
    <t>14. Публічні виступи</t>
  </si>
  <si>
    <t>Анастасія Щербакова</t>
  </si>
  <si>
    <t xml:space="preserve">№20 - Цикли </t>
  </si>
  <si>
    <t xml:space="preserve">Земський Олександр </t>
  </si>
  <si>
    <t xml:space="preserve">Заміна обладнання у місці проживання </t>
  </si>
  <si>
    <t>12-If else Логічні оператори</t>
  </si>
  <si>
    <t>GoITeens_UA_MINE_1y_44_29_07_29</t>
  </si>
  <si>
    <t>2. З чого складається професія</t>
  </si>
  <si>
    <t>Терміновий прийом у стоматолога</t>
  </si>
  <si>
    <t>43. Проект</t>
  </si>
  <si>
    <t>Болшунова Олена</t>
  </si>
  <si>
    <t>GoITeens_UA_FE_1y_18_06_07_23</t>
  </si>
  <si>
    <t>Як запам'ятати все? 2.0 5 заняття</t>
  </si>
  <si>
    <t>GoITeens_UA_DA_JUN_1y_32_22_07_23</t>
  </si>
  <si>
    <t>4 Закріплення</t>
  </si>
  <si>
    <t>15 Імпровізація</t>
  </si>
  <si>
    <t>Scratch_1y_4_</t>
  </si>
  <si>
    <t>22 Підводний човен</t>
  </si>
  <si>
    <t>відключення електроенергії, не встигла зарядити ноут</t>
  </si>
  <si>
    <t>16 - Створюємо та оформлюємо навчальний чек-лист</t>
  </si>
  <si>
    <t>Анна Грачова</t>
  </si>
  <si>
    <t xml:space="preserve">Іспит на посвідчення водія </t>
  </si>
  <si>
    <t>DA_JUN_1y_13_22 (3 група)</t>
  </si>
  <si>
    <t>40.  Вступ до вебдизайну та платформа Wix</t>
  </si>
  <si>
    <t>дорога без інтернету</t>
  </si>
  <si>
    <t>GoITeens_UA_ROB_1y_24_23</t>
  </si>
  <si>
    <t>Майн 4</t>
  </si>
  <si>
    <t xml:space="preserve">Відсутність доступу до комп'ютера </t>
  </si>
  <si>
    <t xml:space="preserve"> GoITeens_UA_MINE_1y_49_12_08_23  </t>
  </si>
  <si>
    <t xml:space="preserve">Заняття 1 "Знайомство" </t>
  </si>
  <si>
    <t xml:space="preserve">Трофимова Анастасія </t>
  </si>
  <si>
    <t xml:space="preserve">Вимкнули світло </t>
  </si>
  <si>
    <t>GoITeens_UA_GD_1y_10_23</t>
  </si>
  <si>
    <t>№13 Позитивне мислення</t>
  </si>
  <si>
    <t xml:space="preserve">Денікевич Лілія </t>
  </si>
  <si>
    <t>лікарняний</t>
  </si>
  <si>
    <t>Прийом у стоматолога</t>
  </si>
  <si>
    <t>DA_1y_30_18_07_2</t>
  </si>
  <si>
    <t>5 «Як запам‘ятовувати все? 2.0»</t>
  </si>
  <si>
    <t>Струк Наталя</t>
  </si>
  <si>
    <t xml:space="preserve">Робоча накладка </t>
  </si>
  <si>
    <t>PYTHON_1y_5_23</t>
  </si>
  <si>
    <t>Заняття 7. Тема "Підключення до Google Sheets". Закінчили на слайді 36</t>
  </si>
  <si>
    <t>На вихідних їду по справам до іншого міста з причини можливого переїзду</t>
  </si>
  <si>
    <t>Заняття 8. Тема "Основи парсингу". Ще не починали тему</t>
  </si>
  <si>
    <t>Їду по справах в інше місто з причин можливого переїзду</t>
  </si>
  <si>
    <t>GoITeens_UA_DA_JUN_1y_12_23 студенти (2 підгрупа)</t>
  </si>
  <si>
    <t>17  Практична робота з використанням референсів 💡</t>
  </si>
  <si>
    <t>Саша Лисенко</t>
  </si>
  <si>
    <t>Захворіла, не можу говорити</t>
  </si>
  <si>
    <t>23 Скіл орієнтація</t>
  </si>
  <si>
    <t xml:space="preserve">13 Позитивне мислення </t>
  </si>
  <si>
    <t>GoITeens_UA_GD_1y_8_23</t>
  </si>
  <si>
    <t xml:space="preserve">14 Як побороти лінь </t>
  </si>
  <si>
    <t>GoITeens_UA_MINE_1y_17_23</t>
  </si>
  <si>
    <t xml:space="preserve">25 Закріплення модулю </t>
  </si>
  <si>
    <t>GoITeens_UA_DA_JUN_1y_18_23</t>
  </si>
  <si>
    <t xml:space="preserve">9 Філософія так і прийняття рішень </t>
  </si>
  <si>
    <t xml:space="preserve">21 Me myself and I </t>
  </si>
  <si>
    <t>GoITeens_UA_PYTHON_1y_9_23</t>
  </si>
  <si>
    <t>20 Підготовка до публічних виступів 2.0</t>
  </si>
  <si>
    <t xml:space="preserve">Миголь Маша </t>
  </si>
  <si>
    <t>5, Подорож до Стародавнього Єгипту</t>
  </si>
  <si>
    <t>Анатолій Сенечин</t>
  </si>
  <si>
    <t>Погане інтернет підключення</t>
  </si>
  <si>
    <t>7, Емоційний інтелект</t>
  </si>
  <si>
    <t>Юлія Нікітюк</t>
  </si>
  <si>
    <t>Хвороба власної дитини</t>
  </si>
  <si>
    <t>GoITeens_UA_ROB_1y_34_05_08_23</t>
  </si>
  <si>
    <t>3, Світ ІТ</t>
  </si>
  <si>
    <t>Потрібно сестру малу забрати від кордону, буду в дорозі і немає нажаль змоги вийти на урок до діток</t>
  </si>
  <si>
    <t>56 Дизайн продукції (Мерч)</t>
  </si>
  <si>
    <t>GoITeens_UA_MATH_4с_3_29_06_23</t>
  </si>
  <si>
    <t>гордова анна</t>
  </si>
  <si>
    <t>анна кулабіна</t>
  </si>
  <si>
    <t>5, Внутрішній спокій</t>
  </si>
  <si>
    <t>Захворіла</t>
  </si>
  <si>
    <t>GoITeens_UA_ROB_1y_27_23</t>
  </si>
  <si>
    <t>8, Емоційний розвиток - закріплення</t>
  </si>
  <si>
    <t>Заахворіла</t>
  </si>
  <si>
    <t>GoITeens_UA_MINE_1y_36_23 (2 підгрупа)</t>
  </si>
  <si>
    <t>Заняття №8. Абсолютні координати</t>
  </si>
  <si>
    <t>Назар Звенигородський</t>
  </si>
  <si>
    <t>За сімейними обставинами виїджав до іншого міста, і в момент уроку був у дорозі.</t>
  </si>
  <si>
    <t>GoITeens_UA_DA_JUN_1y_35_05_08_23 (1)</t>
  </si>
  <si>
    <t>3 текст</t>
  </si>
  <si>
    <t>Григор’єва Олеся</t>
  </si>
  <si>
    <t>GoITeens_UA_DA_JUN_1y_26_23 студенти (2 підгрупа)</t>
  </si>
  <si>
    <t>Анімація в канва 9</t>
  </si>
  <si>
    <t>https://t.me/luly_sv20</t>
  </si>
  <si>
    <t>18 Змінні. Калькулятор. Ліфт</t>
  </si>
  <si>
    <t>DA_JUN_1y_33_26_07_23 - 1група️♥️ Tech skills</t>
  </si>
  <si>
    <t>№4, Власний фон</t>
  </si>
  <si>
    <t>Олександра  @kinkaang</t>
  </si>
  <si>
    <t>DA_JUN_1y_27_23 (1 група)Tech</t>
  </si>
  <si>
    <t>11, Офрмлення сторінок для соцмереж</t>
  </si>
  <si>
    <t>Олеся, https://t.me/kamidere16</t>
  </si>
  <si>
    <t>Технічне заняття для групи DA_JUN_1y_29_05_07_23</t>
  </si>
  <si>
    <t>8. Створення хайлайтів</t>
  </si>
  <si>
    <t>1y_18_23</t>
  </si>
  <si>
    <t>Оформлення сторінок для соц мереж (11)</t>
  </si>
  <si>
    <t>Практична робота з використанням референсів (7)</t>
  </si>
  <si>
    <t>Ольга Хунко</t>
  </si>
  <si>
    <t>Після грози виникла аварія у мережі</t>
  </si>
  <si>
    <t>9. Філософія так і прийняття рішень</t>
  </si>
  <si>
    <t>Скакун Люба</t>
  </si>
  <si>
    <t>Хрестини)))</t>
  </si>
  <si>
    <t>GoITeens_UA_MINE_1y_23_23 (4 група)</t>
  </si>
  <si>
    <t xml:space="preserve"> Христина Кіраль</t>
  </si>
  <si>
    <t>Проблеми з інтернетом</t>
  </si>
  <si>
    <t>№16. Постер. Типографіка</t>
  </si>
  <si>
    <t>Єлизавета Орлеан</t>
  </si>
  <si>
    <t>Анастасія Семченко</t>
  </si>
  <si>
    <t>Маю офіційний вихідний на основній роботі. Виїжджаю за місто задля безпеки, бо 24 серпня...</t>
  </si>
  <si>
    <t>GoITeens_UA_DA_1y_27_23_2</t>
  </si>
  <si>
    <t>Форс-мажор, аварійне викл світла</t>
  </si>
  <si>
    <t>GoITeens_UA_ROB_1y_13_23</t>
  </si>
  <si>
    <t>22. Темперамент і самопрезентація</t>
  </si>
  <si>
    <t>Щось з мікрофоном в міті</t>
  </si>
  <si>
    <t>GoITeens_UA_DA_JUN_1y_17_22 ( 2</t>
  </si>
  <si>
    <t xml:space="preserve"> підготовка презентацій</t>
  </si>
  <si>
    <t>Міжнародна конференція</t>
  </si>
  <si>
    <t>GoITeens_UA_MINE_1y_33_23 (4)</t>
  </si>
  <si>
    <t>11 Чого я хочу</t>
  </si>
  <si>
    <t>GoITeens_UA_DA_1y_6_22: 2 група</t>
  </si>
  <si>
    <t>Гусєва Є.В.</t>
  </si>
  <si>
    <t>Oleksandr Obenko</t>
  </si>
  <si>
    <t>перша</t>
  </si>
  <si>
    <t xml:space="preserve">дуже погане самопочуття </t>
  </si>
  <si>
    <t>GoITeens_UA_KIDS_1y_31_23(1 група)</t>
  </si>
  <si>
    <t>9 Діно</t>
  </si>
  <si>
    <t>Дарія Скрипник</t>
  </si>
  <si>
    <t>Поїздка за кордон</t>
  </si>
  <si>
    <t xml:space="preserve">Дарія Скрипник </t>
  </si>
  <si>
    <t>GoITeens_UA_MINE_KIDS_31_13_07_26</t>
  </si>
  <si>
    <t xml:space="preserve">9 Будиночок чарівника </t>
  </si>
  <si>
    <t>Shyryaev Mykyta</t>
  </si>
  <si>
    <t xml:space="preserve">Проблеми з інтернетом </t>
  </si>
  <si>
    <t xml:space="preserve">Сало Ольга </t>
  </si>
  <si>
    <t>22 Полювання на папуг</t>
  </si>
  <si>
    <t xml:space="preserve">Олена Шийка </t>
  </si>
  <si>
    <t>GoITeens_UA_FE_1y_11_22</t>
  </si>
  <si>
    <t>39 Вміння переконувати</t>
  </si>
  <si>
    <t>форс-мажорні обставини</t>
  </si>
  <si>
    <t>GoITeens_UA_MINE_1y_50_12_08_23_1 підгрупа</t>
  </si>
  <si>
    <t>буду у дорозі</t>
  </si>
  <si>
    <t>DA_1y_4_22 (1 група)</t>
  </si>
  <si>
    <t>95, проєкт</t>
  </si>
  <si>
    <t>Саша Савченко</t>
  </si>
  <si>
    <t>Затримка потягу тому не встигала</t>
  </si>
  <si>
    <t>15 Скіл орієнтація</t>
  </si>
  <si>
    <t xml:space="preserve">Юлія Аверчук </t>
  </si>
  <si>
    <t xml:space="preserve">гендерпаті у дуже близьких друзів </t>
  </si>
  <si>
    <t>GoITeens_UA_MINE_1y_23_23 (6 група)</t>
  </si>
  <si>
    <t>16. Імпровізація</t>
  </si>
  <si>
    <t>Олена Кравчик</t>
  </si>
  <si>
    <t>Хвора на ангіну, не можу говорити</t>
  </si>
  <si>
    <t>GoITeens_UA_DA_JUN_1y_29_05_07_23</t>
  </si>
  <si>
    <t>8, Емоційний розвиток Закріплення</t>
  </si>
  <si>
    <t>Лада Кутья</t>
  </si>
  <si>
    <t>MINE_1y_48_11_08_23_1 підгрупа</t>
  </si>
  <si>
    <t>Заняття №3. Перші побудови в Minecraft Education</t>
  </si>
  <si>
    <t xml:space="preserve">Не працює інтернет </t>
  </si>
  <si>
    <t>GoITeens_UA_DA_JUN_1y_39_19_08_23 (1)</t>
  </si>
  <si>
    <t>2 Додавання фото та робота з геометричними фігурами</t>
  </si>
  <si>
    <t>DA_JUN_1y_13_23 (2група)</t>
  </si>
  <si>
    <t>18 Семестровий проект (розробка портфоліо)</t>
  </si>
  <si>
    <t>UA_MINE_1y_7 (2 група) 2022</t>
  </si>
  <si>
    <t xml:space="preserve">7 Команди в JavaScript </t>
  </si>
  <si>
    <t xml:space="preserve">Олег Данилович </t>
  </si>
  <si>
    <t>Мій комп'ютер не встиг повернутися із сервісу.</t>
  </si>
  <si>
    <t>4. Закріплення. Світ ІТ</t>
  </si>
  <si>
    <t>Прикрі сімейні обставини</t>
  </si>
  <si>
    <t>DA_1y_3_23 (2)</t>
  </si>
  <si>
    <t>Ui-kit</t>
  </si>
  <si>
    <t>Olha Hunko</t>
  </si>
  <si>
    <t>Відсутність інтернету.</t>
  </si>
  <si>
    <t>GoITeens_UA_MINE_1y_51_15_08_23</t>
  </si>
  <si>
    <t>День народження у мами.</t>
  </si>
  <si>
    <t>UA_DA_1y_33_23</t>
  </si>
  <si>
    <t>5 зріз знань</t>
  </si>
  <si>
    <t>Відсутність інтернету</t>
  </si>
  <si>
    <t xml:space="preserve">Група GoITeens_UA_DA_JUN_1y_31_13_07_23 студенти (1_group) </t>
  </si>
  <si>
    <t xml:space="preserve">заняття  8 - Розвиток мислення. Увага.  </t>
  </si>
  <si>
    <t>Немає інтернету в новій квартирі (і це з'ясувалося тільки вчора ввечері , не встигнуть зробити)</t>
  </si>
  <si>
    <t>GD_1y_5_23</t>
  </si>
  <si>
    <t>24. Як стати класним другом</t>
  </si>
  <si>
    <t>Любов Скакун</t>
  </si>
  <si>
    <t>DA_JUN_1y_27_23 (1 група )</t>
  </si>
  <si>
    <t>13 - Інформаційний плакат</t>
  </si>
  <si>
    <t>Катерина Івасенко @ivasenkovaa</t>
  </si>
  <si>
    <t>накладка по часу</t>
  </si>
  <si>
    <t>Іван Калинчик</t>
  </si>
  <si>
    <t>UA_MINE_1y_3_23</t>
  </si>
  <si>
    <t>Проекти 1 семестр 2-ге заняття</t>
  </si>
  <si>
    <t xml:space="preserve">UA_DA_JUN_1y_31_13_07_23 </t>
  </si>
  <si>
    <t>8 Емоційний розвиток. Закріплення</t>
  </si>
  <si>
    <t>Дмитрієвський Юрій-Георгій</t>
  </si>
  <si>
    <t>Через шторм раптово зникло електропостачання та інтернет-мережа.</t>
  </si>
  <si>
    <t>MINE_1y_43_26_07_28</t>
  </si>
  <si>
    <t>1 Світ ІТ. Знайомство</t>
  </si>
  <si>
    <t>Технічна несправність ПК.</t>
  </si>
  <si>
    <t xml:space="preserve">GoITeens_UA_MINE_1y_7_23 </t>
  </si>
  <si>
    <t>33 Програмні помічники</t>
  </si>
  <si>
    <t xml:space="preserve">GoITeens_UA_DA_JUN_1y_25_23	</t>
  </si>
  <si>
    <t xml:space="preserve">7, Скріншоти та скринкасти. Як записати те, що зробив </t>
  </si>
  <si>
    <t>Семестровий проект (розробка портфоліо) 20</t>
  </si>
  <si>
    <t>Олександра</t>
  </si>
  <si>
    <t>форсмажор</t>
  </si>
  <si>
    <t>GoITeens_UA_ROB_1y_20_23</t>
  </si>
  <si>
    <t>16, Самостійність - закріплення</t>
  </si>
  <si>
    <t>Хвороба - каміні у нирці, треба було к лікарню на обстеження та процедури.</t>
  </si>
  <si>
    <t>GoITeens_UA_DA_JUN_1y_41_23_08_23</t>
  </si>
  <si>
    <t>1, «Вітання та знайомство»</t>
  </si>
  <si>
    <t xml:space="preserve">Сапун Олена </t>
  </si>
  <si>
    <t>16, Публічні виступи</t>
  </si>
  <si>
    <t>Хвороба - каміні у нирці, треба було у лікарню на процедури.</t>
  </si>
  <si>
    <t>GoITeens_UA_DA_1y_9_23</t>
  </si>
  <si>
    <t>22. Впевненість у собі</t>
  </si>
  <si>
    <t>Іванка Фромель</t>
  </si>
  <si>
    <t>Не змогла провести через накладку в діяльності, попередила тім-ліда завчасно</t>
  </si>
  <si>
    <t>UA_DA_1y_4_23</t>
  </si>
  <si>
    <t>Ілюстрація</t>
  </si>
  <si>
    <t>Не працює ноут</t>
  </si>
  <si>
    <t>№16 Мінотавр</t>
  </si>
  <si>
    <t>UA_DA_1У_26_23</t>
  </si>
  <si>
    <t>типографіка, частина 2</t>
  </si>
  <si>
    <t xml:space="preserve">технічна проблема </t>
  </si>
  <si>
    <t>18_23</t>
  </si>
  <si>
    <t xml:space="preserve">23. Банер для ютуб </t>
  </si>
  <si>
    <t xml:space="preserve">Мількова Анастасія Олександрівна </t>
  </si>
  <si>
    <t>Була в дорозі. Все матеріал для уроку надала</t>
  </si>
  <si>
    <t>MINE_KIDS_1y_28_1_07_23</t>
  </si>
  <si>
    <t>21. Фігури</t>
  </si>
  <si>
    <t>Буду їхати в потязі😢</t>
  </si>
  <si>
    <t>UA kids _1_Y_3_23(2)</t>
  </si>
  <si>
    <t>відрядження на основній роботі</t>
  </si>
  <si>
    <t>33 хмарочос частина 4</t>
  </si>
  <si>
    <t xml:space="preserve">Софія Нільга </t>
  </si>
  <si>
    <t>Анатолій сенечин</t>
  </si>
  <si>
    <t xml:space="preserve">Відсутність комп'ютера </t>
  </si>
  <si>
    <t>MINE_KIDS_1y_38_19_08_23</t>
  </si>
  <si>
    <t>7. Паркур</t>
  </si>
  <si>
    <t>Буду проводити в цей час Майстер клас від школи на Kyivbookfest</t>
  </si>
  <si>
    <t>ROB_1y_1_23</t>
  </si>
  <si>
    <t>Урок №36 Тема «Урок 41: Міжскриптова взаємодія»</t>
  </si>
  <si>
    <t>Не зможу провести урок в цей час.</t>
  </si>
  <si>
    <t>15. Підготовка до публічного виступу</t>
  </si>
  <si>
    <t>буду невдома, не зможу бути онлайн</t>
  </si>
  <si>
    <t>Олександра Савченко</t>
  </si>
  <si>
    <t>вімкнули світло не встигала зарядити гаджети і добратись до кавʼярні</t>
  </si>
  <si>
    <t>GoITeens_UA_DA_JUN_1y_43_02_09_23 (2)</t>
  </si>
  <si>
    <t xml:space="preserve">2, продовження знайомства </t>
  </si>
  <si>
    <t xml:space="preserve">Криворученко Анастасія </t>
  </si>
  <si>
    <t xml:space="preserve">FE_JUN_1y_18_19_08_23 </t>
  </si>
  <si>
    <t>4 Готуємося до проекту</t>
  </si>
  <si>
    <t>DA_JUN_1y_13_22</t>
  </si>
  <si>
    <t>46 додаткова тема</t>
  </si>
  <si>
    <t>Термін у лікаря</t>
  </si>
  <si>
    <t>UA_MATH_2c_2_24_06_23</t>
  </si>
  <si>
    <t>Заняття № 21. Тема: Віднімання чисел від чисел 14 і 15.  Визначення часу за годинником.</t>
  </si>
  <si>
    <t>особисті справи</t>
  </si>
  <si>
    <t>Заняття № 22. Тема: Віднімання чисел від чисел 16 і 17</t>
  </si>
  <si>
    <t>GoITeens_UA_DA_1y_36_15_08_23</t>
  </si>
  <si>
    <t>5. Що таке mind map?</t>
  </si>
  <si>
    <t>Застуда та погане самопочуття</t>
  </si>
  <si>
    <t>UA_KIDS_1y_27_23 (3)</t>
  </si>
  <si>
    <t>15. Гра «Загублена літера А»</t>
  </si>
  <si>
    <t xml:space="preserve">GoITeens_UA_DA_1y_27_3 </t>
  </si>
  <si>
    <t>№21. Ресайзи банерів. Частина 2</t>
  </si>
  <si>
    <t>Андрій Бабак</t>
  </si>
  <si>
    <t xml:space="preserve"> GoITeens_UA_DA_JUN_1y_25_23	</t>
  </si>
  <si>
    <t>№9, "Розвиток мислення. Пам'ять"</t>
  </si>
  <si>
    <t>Відключення електропостачання</t>
  </si>
  <si>
    <t>Микитчук К.</t>
  </si>
  <si>
    <t xml:space="preserve">Катерина Рурак </t>
  </si>
  <si>
    <t>звільнення</t>
  </si>
  <si>
    <t>Урок 6. Подорож до стародавнього Єгипту</t>
  </si>
  <si>
    <t>Арсен Хуснутдінов</t>
  </si>
  <si>
    <t>вирішую справи з документами</t>
  </si>
  <si>
    <t>GoITeens_Mine_36_23(2 підгрупа)</t>
  </si>
  <si>
    <t>Роза вітрів (2 частина)</t>
  </si>
  <si>
    <t>Sophia Nilga</t>
  </si>
  <si>
    <t>Я хотів би отримати заміну, щоб взяти участь у спортивних змаганнях. Це важливий захід для мене, де я можу показати свої спортивні навички та підтримати команду.</t>
  </si>
  <si>
    <t>GoITeens_UA_ROB_1y_15_23</t>
  </si>
  <si>
    <t xml:space="preserve">28 Тайм менеджмент </t>
  </si>
  <si>
    <t xml:space="preserve">Юзькова Інна </t>
  </si>
  <si>
    <t xml:space="preserve">Знаходжуся в лікарні </t>
  </si>
  <si>
    <t>GoITeens_UA_GD_1y_10_22</t>
  </si>
  <si>
    <t xml:space="preserve">44 Формування звичок </t>
  </si>
  <si>
    <t>GoITeens_UA_FE_1y_14_22</t>
  </si>
  <si>
    <t>37 Лідерство, чому важлива бути лідером?</t>
  </si>
  <si>
    <t xml:space="preserve">Скакун Люба </t>
  </si>
  <si>
    <t xml:space="preserve">Тема 32 7 звичок високоефективних підлітків </t>
  </si>
  <si>
    <t>Анастасія Педос</t>
  </si>
  <si>
    <t>(1) GoITeens_UA_ROB_1y_31_15_07_23</t>
  </si>
  <si>
    <t>10 - Створення партіклів з скріпта і настраювання їх</t>
  </si>
  <si>
    <t xml:space="preserve">Проблеми обладнання </t>
  </si>
  <si>
    <t>GoITeens_UA_MINE_1y_47_07_08_23</t>
  </si>
  <si>
    <t>5,  Модуль 1. Підсумки</t>
  </si>
  <si>
    <t xml:space="preserve">Юлія Курилюк </t>
  </si>
  <si>
    <t>Була в дорозі, не встигла доїхати до місця, де можна провести. Транспортні проблеми</t>
  </si>
  <si>
    <t xml:space="preserve">6. Інструменти роботи в ІТ: Електронні сервіси +робота з клавіатурою. </t>
  </si>
  <si>
    <t xml:space="preserve">Зоряна Хас </t>
  </si>
  <si>
    <t>Це мала б бути постійна заміна, але викладачка з постійної не могла того разу, тому я шукала разову. Все узгоджено було з ТЛ</t>
  </si>
  <si>
    <t>7 Скріншоти та скрінкасти. Як записати те, що зробив</t>
  </si>
  <si>
    <t>Анастасія Жулковська</t>
  </si>
  <si>
    <t>2 Це вже постійна заміна</t>
  </si>
  <si>
    <t>Не зможу вести цю групу, є накладка з основною роботою</t>
  </si>
  <si>
    <t>14 Архітектура, навігація та патерни app</t>
  </si>
  <si>
    <t>Савченко Саша</t>
  </si>
  <si>
    <t>Викладач захворіла</t>
  </si>
  <si>
    <t xml:space="preserve">GoITeens_UA_DA_JUN_1y_37_12_08_23 </t>
  </si>
  <si>
    <t>6, інтернет та електронні сервіси</t>
  </si>
  <si>
    <t>29 "Написання складних зображень за допомогою координат та кутів"</t>
  </si>
  <si>
    <t xml:space="preserve">Костянтин Помогаєв </t>
  </si>
  <si>
    <t>Дмитро Беркій</t>
  </si>
  <si>
    <t xml:space="preserve">У зв'язку з університетською подією </t>
  </si>
  <si>
    <t>UA_GD_1y_9_23_2 (студенти)</t>
  </si>
  <si>
    <t>№ 22 Підготовка до публічного виступу</t>
  </si>
  <si>
    <t>Анастасія Трофімова</t>
  </si>
  <si>
    <t>Буду в дорозі, не зможу провести заняття</t>
  </si>
  <si>
    <t>KIDS_1y_55_17_09_23_1 підгрупа</t>
  </si>
  <si>
    <t>1 заняття Знайомство з Scratch</t>
  </si>
  <si>
    <t>GoITeens_UA_DA_JUN_1y_22_23_(2 підгрупа)</t>
  </si>
  <si>
    <t>Урок 13 "Інформаційний плакат"</t>
  </si>
  <si>
    <t>@m__mysan</t>
  </si>
  <si>
    <t>Форс-мажор по особистим, сімейним справам.</t>
  </si>
  <si>
    <t>1y_15_22</t>
  </si>
  <si>
    <t xml:space="preserve">Фласк 3 тема сортування і фільтри </t>
  </si>
  <si>
    <t xml:space="preserve">Лікарня </t>
  </si>
  <si>
    <t>GoITeens_UA_MINE_1y_53_22_08_23</t>
  </si>
  <si>
    <t xml:space="preserve">5 Міні проект </t>
  </si>
  <si>
    <t>Лікарняне</t>
  </si>
  <si>
    <t>GoITeens_UA_PYTHON_1y_18_21_08_23</t>
  </si>
  <si>
    <t>5 Як запам'ятовувати все? 2.0</t>
  </si>
  <si>
    <t>Емоційна грамотність 2.0</t>
  </si>
  <si>
    <t>Марія Костюк</t>
  </si>
  <si>
    <t>GoITeens_UA_MINE_1y_3_23</t>
  </si>
  <si>
    <t xml:space="preserve">63 Лідерство - це вміння надихати та досягати </t>
  </si>
  <si>
    <t>Надія Орловська</t>
  </si>
  <si>
    <t>7 Єгипетський сфінкс</t>
  </si>
  <si>
    <t>Арсен Хуснутдинов</t>
  </si>
  <si>
    <t xml:space="preserve">Оксана Ковтало </t>
  </si>
  <si>
    <t>похід до зубного</t>
  </si>
  <si>
    <t>GoITeens_UA_DA_1y_13_22</t>
  </si>
  <si>
    <t xml:space="preserve">Лікарняне </t>
  </si>
  <si>
    <t>GoITeens_UA_FE_1y_12_23</t>
  </si>
  <si>
    <t>20 Підготовка до публічного виступу</t>
  </si>
  <si>
    <t>GoITeens_ROB_1y_16_22</t>
  </si>
  <si>
    <t>43 Як зрозуміти свої бажання?</t>
  </si>
  <si>
    <t>Іванка Фромел</t>
  </si>
  <si>
    <t>Лякарняне</t>
  </si>
  <si>
    <t>GoITeens_UA_DA_JUN_1y_12_23</t>
  </si>
  <si>
    <t xml:space="preserve">26 Ресурси людини </t>
  </si>
  <si>
    <t>GoITeens_UA_DA_1y_6_22</t>
  </si>
  <si>
    <t xml:space="preserve"> GoITeens_UA_ROB_1y_19_23 </t>
  </si>
  <si>
    <t>Ivanka Fromel</t>
  </si>
  <si>
    <t xml:space="preserve">приїхала викладач з Харкова і проводила дуже важливий тренінг </t>
  </si>
  <si>
    <t>№ 26 Креативне мислення. Частина 1</t>
  </si>
  <si>
    <t xml:space="preserve">26 ресурси людини </t>
  </si>
  <si>
    <t xml:space="preserve">Проблеми з технікою </t>
  </si>
  <si>
    <t xml:space="preserve">29 Закріплення </t>
  </si>
  <si>
    <t xml:space="preserve">Маша Миголь </t>
  </si>
  <si>
    <t>44 Buket list</t>
  </si>
  <si>
    <t>38 Як побороти страх?</t>
  </si>
  <si>
    <t>33 Що таке конфлікти?</t>
  </si>
  <si>
    <t>GoITeens_UA_DA_1y_28_08_07_23 (2)</t>
  </si>
  <si>
    <t>13 заняття — позитивне мислення</t>
  </si>
  <si>
    <t>Не буде можливості провести заняття.</t>
  </si>
  <si>
    <t>GoITeens_UA_DA_1y_3_23 (2)</t>
  </si>
  <si>
    <t>37. Додаткова тема</t>
  </si>
  <si>
    <t>20_23 mine kids</t>
  </si>
  <si>
    <t>31 Підземний ТЦ</t>
  </si>
  <si>
    <t>Diana Mazuryk</t>
  </si>
  <si>
    <t>Буду в потязі</t>
  </si>
  <si>
    <t>DA_JUN_1y_18_23 (2 група )</t>
  </si>
  <si>
    <t>17.Створення календаря</t>
  </si>
  <si>
    <t>UA_DA_1y_46_26_09_23</t>
  </si>
  <si>
    <t>Тема 1: Adobe Photoshop. Вводне заняття.</t>
  </si>
  <si>
    <t xml:space="preserve">27. Що таке переконання? </t>
  </si>
  <si>
    <t>Була в дорозі, не могла провести повноцінне заняття, бо був нестабільний інтернет</t>
  </si>
  <si>
    <t xml:space="preserve">DA_JUN_1y_20_23 </t>
  </si>
  <si>
    <t>MINE_35_23</t>
  </si>
  <si>
    <t>13. Самостійність (закріплення)</t>
  </si>
  <si>
    <t>6 Інструменти в роботі ІТ: електронні сервіси і комбінації клавіш</t>
  </si>
  <si>
    <t>6 Самодисципліна</t>
  </si>
  <si>
    <t xml:space="preserve">17 5 правил публічних виступів </t>
  </si>
  <si>
    <t xml:space="preserve">64 Активно слухати =  розуміти </t>
  </si>
  <si>
    <t xml:space="preserve">Надія Орловська </t>
  </si>
  <si>
    <t xml:space="preserve">45 Чого я насправді хочу </t>
  </si>
  <si>
    <t>21 TED GoITeens</t>
  </si>
  <si>
    <t xml:space="preserve">27 Критичне мислення </t>
  </si>
  <si>
    <t xml:space="preserve">Катерина Белікова </t>
  </si>
  <si>
    <t>DA_1y_15_23 (2)</t>
  </si>
  <si>
    <t>45  Іконки в Illustrator</t>
  </si>
  <si>
    <t>Ірина Дєдова</t>
  </si>
  <si>
    <t>сімейні обставини, просто не можу перенести на інший день і час</t>
  </si>
  <si>
    <t>19, Темперамент і самопрезентація</t>
  </si>
  <si>
    <t>17, Імпровізація</t>
  </si>
  <si>
    <t>18. TEDxGoITeens</t>
  </si>
  <si>
    <t>Alexandra Bigotska</t>
  </si>
  <si>
    <t>Не співбадає графік на основній роботі</t>
  </si>
  <si>
    <t>18. Презентація. Публічні виступи: продовження</t>
  </si>
  <si>
    <t>jun 1 y 26_23</t>
  </si>
  <si>
    <t>15 - навчальний чек лист</t>
  </si>
  <si>
    <t>за сімейними обставинами, форс мажор</t>
  </si>
  <si>
    <t>DA_1y_34_07_08_23_2</t>
  </si>
  <si>
    <t>Анімація</t>
  </si>
  <si>
    <t>Альона Фараонова</t>
  </si>
  <si>
    <t>Поїхав в інше місто і не мав змогу провести урок</t>
  </si>
  <si>
    <t>Стікери в телеграм</t>
  </si>
  <si>
    <t>8. Закріплення</t>
  </si>
  <si>
    <t>Треміновий візит до стоматолога</t>
  </si>
  <si>
    <t>GoITeens_UA_MINE_1y_56_02_09_23</t>
  </si>
  <si>
    <t>4. Готуємося до проекту</t>
  </si>
  <si>
    <t>Терміновий візит до стоматолога</t>
  </si>
  <si>
    <t>Вийшла накладка робіт</t>
  </si>
  <si>
    <t>9, Філософія «Так» і мистецтво прийняття рішень</t>
  </si>
  <si>
    <t>Сильна втома</t>
  </si>
  <si>
    <t>GoITeens_UA_FE_1y_8</t>
  </si>
  <si>
    <t>№ 27 Креативне мислення. Частина 2</t>
  </si>
  <si>
    <t>В той час була у дорозі</t>
  </si>
  <si>
    <t>№ 23 Підготовка до публічного виступу 2.0</t>
  </si>
  <si>
    <t>У цей час була у дорозі</t>
  </si>
  <si>
    <t>MINE_1y_49_12_08_23 (1)</t>
  </si>
  <si>
    <t>5(Подорож до стародавнього Єгипту)</t>
  </si>
  <si>
    <t>олімпіада з програмування</t>
  </si>
  <si>
    <t>GoITeens_UA_MINE_1y_25_23</t>
  </si>
  <si>
    <t>16 Знайомство з Google Sheets</t>
  </si>
  <si>
    <t xml:space="preserve">Зайцева Марина Володимирівна </t>
  </si>
  <si>
    <t>Проблеми в родині</t>
  </si>
  <si>
    <t>DA_1у_47_28_09</t>
  </si>
  <si>
    <t>2 освоєння комп‘ютера</t>
  </si>
  <si>
    <t>Катя Супчан</t>
  </si>
  <si>
    <t xml:space="preserve">Переїзд, не має стабільного інтернета </t>
  </si>
  <si>
    <t>24 TEDxGoITeens</t>
  </si>
  <si>
    <t>Анастасію Миршавку</t>
  </si>
  <si>
    <t>Беру паузу до нового року, оскільки не встигаю через завантаження на основній роботі</t>
  </si>
  <si>
    <t>28 Володар часу. Тайм менеджмент</t>
  </si>
  <si>
    <t>Беру паузу до нового року, оскільки не встигаю з завантаженням по основній роботі.</t>
  </si>
  <si>
    <t>DA _1y_26_23</t>
  </si>
  <si>
    <t>Рекламні банери</t>
  </si>
  <si>
    <t>Переїзд, не стабільний інтернет</t>
  </si>
  <si>
    <t>DA_1y_24_23</t>
  </si>
  <si>
    <t>Самченко Анастасія</t>
  </si>
  <si>
    <t>DA_1у_24_23</t>
  </si>
  <si>
    <t>міні проект</t>
  </si>
  <si>
    <t>переїзд, відсутність інтернета стабільного</t>
  </si>
  <si>
    <t>DA_1у_4_23</t>
  </si>
  <si>
    <t>завершення брендбука</t>
  </si>
  <si>
    <t>Мирослава Козлюк</t>
  </si>
  <si>
    <t>переїзд, не стабільний інет</t>
  </si>
  <si>
    <t>DA_1у_8_23</t>
  </si>
  <si>
    <t>завершення кейсу, брендбук</t>
  </si>
  <si>
    <t>UA_ FE_ JUN_1У_8_23</t>
  </si>
  <si>
    <t>22 темперамент та самопрезентація</t>
  </si>
  <si>
    <t>переїзд, відсутність стабільного інета</t>
  </si>
  <si>
    <t>DA_1у_26_23</t>
  </si>
  <si>
    <t>стыкер пак для телеграм</t>
  </si>
  <si>
    <t>Корныэнко Юлія</t>
  </si>
  <si>
    <t>Любов Веренко</t>
  </si>
  <si>
    <t>GoITeens_ROB_1y_17_23 (3)</t>
  </si>
  <si>
    <t>23. Відношення до себе. Закріплення</t>
  </si>
  <si>
    <t>участь у заходах з вшанування загиблого колеги та друга</t>
  </si>
  <si>
    <t>23. Скіл орієнтація</t>
  </si>
  <si>
    <t>Наталя Новохатько</t>
  </si>
  <si>
    <t>заходи з вшанування загиблого колеги та друга</t>
  </si>
  <si>
    <t>GoITeens_UA_MATH_9_2c_27_09_23</t>
  </si>
  <si>
    <t>4 Порівняння об'єктів, виявлення найкращого/найгіршого об'єкта за його ознаками</t>
  </si>
  <si>
    <t>Володимир Слюсар</t>
  </si>
  <si>
    <t>5 " Нумерація об'єктів всередині групи, упорядкування об'єктів за зростанням та спаданням "</t>
  </si>
  <si>
    <t>GoITeens_UA_MINE_1y_7_23</t>
  </si>
  <si>
    <t>37 Лідерство - це вміння надихати та досягати</t>
  </si>
  <si>
    <t>Брендбук</t>
  </si>
  <si>
    <t xml:space="preserve">Корнієнко Юлія </t>
  </si>
  <si>
    <t>Форс-мажорні обставини</t>
  </si>
  <si>
    <t>Корнієнео Юлія</t>
  </si>
  <si>
    <t>GoITeens_UA_DA_1y_31_29_07_23</t>
  </si>
  <si>
    <t>11 Емоційний інтелект</t>
  </si>
  <si>
    <t xml:space="preserve">Відключення світла </t>
  </si>
  <si>
    <t>MINE_1y_44_29_07_23_1 підгрупа</t>
  </si>
  <si>
    <t>Роза вітрів</t>
  </si>
  <si>
    <t>раптова відсутність інтернету</t>
  </si>
  <si>
    <t xml:space="preserve">26 - Розробка рекламного банера </t>
  </si>
  <si>
    <t>Богдан Грозний</t>
  </si>
  <si>
    <t>Форс-мажор</t>
  </si>
  <si>
    <t>UA_MINE_KIDS_1y_12_23(4 група)</t>
  </si>
  <si>
    <t>№47 "Батут. NPC"</t>
  </si>
  <si>
    <t>Максим Кучеренко</t>
  </si>
  <si>
    <t>Потрібно буде поїхати на обстеження в інститут серцево-судинної хірургії імені М.М. Амосова, і не встигну приїхати до початку уроку.</t>
  </si>
  <si>
    <t>DA_JUN_1y_44_05_09_23 (1)</t>
  </si>
  <si>
    <t>5, підготовка до проєкту</t>
  </si>
  <si>
    <t>стан здоров*я</t>
  </si>
  <si>
    <t xml:space="preserve">GoITeens_UA_DA_JUN_1y_22_23_(3 підгрупа) </t>
  </si>
  <si>
    <t>15, імпровізація</t>
  </si>
  <si>
    <t>DA_1y_33_23</t>
  </si>
  <si>
    <t>17 Пост у соц мережі</t>
  </si>
  <si>
    <t>Марина Ново</t>
  </si>
  <si>
    <t>DA_JUN_15_22</t>
  </si>
  <si>
    <t>Бур’ян Олександра</t>
  </si>
  <si>
    <t>GoITeens_UA_DA_1y_47_28_09_23</t>
  </si>
  <si>
    <t>1. Знайомство з викладачем та командою одногрупників</t>
  </si>
  <si>
    <t>Технічні проблеми з ноутбуком</t>
  </si>
  <si>
    <t>10.Чого я хочу</t>
  </si>
  <si>
    <t>Погане самопочуття та зник голос</t>
  </si>
  <si>
    <t>6. Інструменти роботи в ІТ: електронні сервіси i комбінації клавіш</t>
  </si>
  <si>
    <t>Погане почуття та зник голос</t>
  </si>
  <si>
    <t>GoITeens</t>
  </si>
  <si>
    <t>3 - Історія Дизайну</t>
  </si>
  <si>
    <t>Обставини</t>
  </si>
  <si>
    <t>GD_1y_19_07_08_23 (1 підгрупа)</t>
  </si>
  <si>
    <t>10. Строкова змінна</t>
  </si>
  <si>
    <t xml:space="preserve">Поліщук Остап </t>
  </si>
  <si>
    <t>Відсутність зв'язку</t>
  </si>
  <si>
    <t>GoITeens_UA_DA_1y_8_23 3 підгрупа</t>
  </si>
  <si>
    <t>58 - Створення брендбуку. Частина 2</t>
  </si>
  <si>
    <t>GoITeens_UA_DA_1y_47_28_09_23 2 підгрупа</t>
  </si>
  <si>
    <t>4 - Композиція</t>
  </si>
  <si>
    <t xml:space="preserve">GoITeens_UA_DA_JUN_1y_36_08_08_23 </t>
  </si>
  <si>
    <t>10 Повторення i швидкість набору</t>
  </si>
  <si>
    <t>GoITeens_UA_DA_JUN_1y_30_11_07_23</t>
  </si>
  <si>
    <t>22 Темперамент і самопрезентація</t>
  </si>
  <si>
    <t>Валерія Завада</t>
  </si>
  <si>
    <t xml:space="preserve">захворіла
</t>
  </si>
  <si>
    <t>GoITeens_UA_DA_JUN_1y_31_13_07_23</t>
  </si>
  <si>
    <t xml:space="preserve">15. Практичні інструменти тайм-менеджменту </t>
  </si>
  <si>
    <t xml:space="preserve">Оксана Молчанова </t>
  </si>
  <si>
    <t>Вимкнули неочікувано світло, і мобільний інтернет не тягнув</t>
  </si>
  <si>
    <t xml:space="preserve">16. Публічні виступи. Закріплення </t>
  </si>
  <si>
    <t>@Nadiia Orlovska</t>
  </si>
  <si>
    <t>Ангіна</t>
  </si>
  <si>
    <t>MINE_TAB_1y_2_23</t>
  </si>
  <si>
    <t>10. Чого я хочу</t>
  </si>
  <si>
    <t>@Ivanka Fromel</t>
  </si>
  <si>
    <t xml:space="preserve">Ангіна </t>
  </si>
  <si>
    <t>DA_JUN_1y_49_23 2 підгрупа</t>
  </si>
  <si>
    <t>4. Готуємося до проєкту</t>
  </si>
  <si>
    <t>@Nataliia Hapak</t>
  </si>
  <si>
    <t>ROB_1y_50_30_ 09_23</t>
  </si>
  <si>
    <t>@Yuliia Rudenko</t>
  </si>
  <si>
    <t>24 Що таке самокритика</t>
  </si>
  <si>
    <t>Марина Нікуліна</t>
  </si>
  <si>
    <t xml:space="preserve">дводенний інтенсив з навчання </t>
  </si>
  <si>
    <t>GoITeens_UA_DA_JUN_1y_46_16_09_23 4 підгрупа</t>
  </si>
  <si>
    <t>Відсутній</t>
  </si>
  <si>
    <t>MINE_1y_26_23 (2)</t>
  </si>
  <si>
    <t>20 "Висячі сади Семіраміди"</t>
  </si>
  <si>
    <t>перебуватиму на лікуванні</t>
  </si>
  <si>
    <t>21 "Як зробити хорошу презентацію"</t>
  </si>
  <si>
    <t>UA_MINE_1y_18_23</t>
  </si>
  <si>
    <t>18 Канали та акведуки</t>
  </si>
  <si>
    <t>Микита Ширяєв</t>
  </si>
  <si>
    <t>DA_1y_58_05_10_23</t>
  </si>
  <si>
    <t>Я захворіла</t>
  </si>
  <si>
    <t xml:space="preserve"> Група:UA_MINE_TAB_1y_1_27 </t>
  </si>
  <si>
    <t xml:space="preserve"> Заняття 12.Тема : NPS і вивантаження проекту</t>
  </si>
  <si>
    <t xml:space="preserve">Брикайло Ольга </t>
  </si>
  <si>
    <t xml:space="preserve"> @NataliHapak </t>
  </si>
  <si>
    <t>День народження у тата(ювілей).</t>
  </si>
  <si>
    <t>7. Скріншоти та скрінкасти. Як записати те, що зробив</t>
  </si>
  <si>
    <t>Прийом у лікаря</t>
  </si>
  <si>
    <t>UA_MINE_KIDS_1y_24_23 (1 підгрупа)</t>
  </si>
  <si>
    <t>Теиа 27. Портали. Монстри</t>
  </si>
  <si>
    <t xml:space="preserve">Корчовий Максим </t>
  </si>
  <si>
    <t>Неможливість провести урок без сильного галасу на фоні</t>
  </si>
  <si>
    <t>GoITeens_UA_DA_1y_47_28_09_23 (2)</t>
  </si>
  <si>
    <t>5 - Методики композиції</t>
  </si>
  <si>
    <t>GoITeens_UA_GD_1y_13_23</t>
  </si>
  <si>
    <t>22 - Впевненість в собі</t>
  </si>
  <si>
    <t>їду в Україну</t>
  </si>
  <si>
    <t>GoITeens_UA_FE_1y_3_23</t>
  </si>
  <si>
    <t>35 - Комунікація</t>
  </si>
  <si>
    <t>їду вУкраїну</t>
  </si>
  <si>
    <t>GoITeens_UA_ROB_1y_32_20_07_23</t>
  </si>
  <si>
    <t>14 - Публічні виступи</t>
  </si>
  <si>
    <t>Юля Садовая</t>
  </si>
  <si>
    <t>9 - розвиток мислення. Пам'ять</t>
  </si>
  <si>
    <t>GoITeens_UA_DA_JUN_1y_34_02_08_23</t>
  </si>
  <si>
    <t>12 - презентація робіт</t>
  </si>
  <si>
    <t>GoITeens_UA_PYTHON_1y_21_16_09_23</t>
  </si>
  <si>
    <t>6 - Самодисципліна</t>
  </si>
  <si>
    <t>12 - Креатив як навичка</t>
  </si>
  <si>
    <t>12 Емоційний грамотність 2.0</t>
  </si>
  <si>
    <t>завершення кейсу</t>
  </si>
  <si>
    <t>Ліза Єфременко</t>
  </si>
  <si>
    <t>відсутність інета</t>
  </si>
  <si>
    <t>DA_1y_47_28_09_23</t>
  </si>
  <si>
    <t>Мирослава Козлік</t>
  </si>
  <si>
    <t>вступ до ілюстратора</t>
  </si>
  <si>
    <t>композиція</t>
  </si>
  <si>
    <t>DA_1y_8_23</t>
  </si>
  <si>
    <t>проект після ілюстратора</t>
  </si>
  <si>
    <t>Корнієнкл Юлія</t>
  </si>
  <si>
    <t>Козлік Мирослава</t>
  </si>
  <si>
    <t>Тема: 14 Проходи до Лабіринту</t>
  </si>
  <si>
    <t xml:space="preserve"> Овечко Анастасія</t>
  </si>
  <si>
    <t>Причиною заміни є те, що я на цілий день поїхав на дуже важливі спортивні змагання</t>
  </si>
  <si>
    <t>GoITeens_UA_MINE_KIDS_1y_36_10_08_23</t>
  </si>
  <si>
    <t>Урок 18. Змінні. Калькулятор. Ліфт</t>
  </si>
  <si>
    <t>Yuliia Kravchenko</t>
  </si>
  <si>
    <t>Причина для заміни: Нездатність поєднувати роботу з навчанням.</t>
  </si>
  <si>
    <t>GoITeens_UA_DA_JUN_1y_41_23_08_23 - 2 група (Діти)</t>
  </si>
  <si>
    <t>урок 9, анімація</t>
  </si>
  <si>
    <t xml:space="preserve">у цей час не матиму інтернету </t>
  </si>
  <si>
    <t>Заняття №34.  Ефект доповненої реальності</t>
  </si>
  <si>
    <t>Середа Таня</t>
  </si>
  <si>
    <t>У зв'язку з університетською подією</t>
  </si>
  <si>
    <t>GoITeens_UA_MINE_1y_32_23 (2)</t>
  </si>
  <si>
    <t>Темперамент і самопрезентація</t>
  </si>
  <si>
    <t xml:space="preserve">захворіла і не маю голосу </t>
  </si>
  <si>
    <t>обставини</t>
  </si>
  <si>
    <t>56 - Створення Брендбуку</t>
  </si>
  <si>
    <t>da_1y_4_23 3group</t>
  </si>
  <si>
    <t>6  Плагін Vectory 3d в фігмі</t>
  </si>
  <si>
    <t xml:space="preserve">буду в дорозі, немає технічної можливості </t>
  </si>
  <si>
    <t>GoITeens_UA_FE_JUN_1y_20_06_09_23</t>
  </si>
  <si>
    <t>Непедбачувані обставини</t>
  </si>
  <si>
    <t>DA_1y_26_23</t>
  </si>
  <si>
    <t>рекламні банери</t>
  </si>
  <si>
    <t>Артем Золотарьов</t>
  </si>
  <si>
    <t>cітка</t>
  </si>
  <si>
    <t>Міша Поротіков</t>
  </si>
  <si>
    <t>GoITeens_UA_MINE_1y_52_19_08_23_2 підгрупа</t>
  </si>
  <si>
    <t>8 Абсолютні координати</t>
  </si>
  <si>
    <t>Тема: 15 Нитка Аріадни. Як вийти з лабіринту</t>
  </si>
  <si>
    <t xml:space="preserve">Причиною заміни є недостатність часу для поєднання навчання і роботи. </t>
  </si>
  <si>
    <t>40. Підготовка до презентації проектів</t>
  </si>
  <si>
    <t>Maria Kostyak</t>
  </si>
  <si>
    <t>В мене багато роботи (основної)  і я не встигну підготуватись до заняття, на якому треба 2 уроки разом вмістити. В Марії є досвід і вона краще проведе. Я ні разу не випускала групу, а вона за 1 заняття зможе дізнатись їхні слабкі сторони та як покращити до захисту.</t>
  </si>
  <si>
    <t>GoITeens_UA_ROB_1y_28_04_07_23</t>
  </si>
  <si>
    <t>15, Імпровізація</t>
  </si>
  <si>
    <t xml:space="preserve">Марина Бутовська </t>
  </si>
  <si>
    <t>Була в дорозі, не могла провести заняття</t>
  </si>
  <si>
    <t xml:space="preserve">14, Публічні виступи </t>
  </si>
  <si>
    <t xml:space="preserve">Була в дорозі, не могла провести заняття </t>
  </si>
  <si>
    <t>GoITeens_UA_DA_JUN_1y_43_02_09_23 (3)</t>
  </si>
  <si>
    <t xml:space="preserve"> №8  Створення хайлайтів</t>
  </si>
  <si>
    <t>Дарина Кириленко</t>
  </si>
  <si>
    <t>Рената Мірошникова</t>
  </si>
  <si>
    <t>хвороба викладача</t>
  </si>
  <si>
    <t xml:space="preserve">DA_JUN_1y_7_23(2 група ) </t>
  </si>
  <si>
    <t xml:space="preserve">31. Мокап для лого </t>
  </si>
  <si>
    <t>Motion_1y_5/ 1y_4</t>
  </si>
  <si>
    <t>15 Ораторське мистецтво</t>
  </si>
  <si>
    <t>немає світла</t>
  </si>
  <si>
    <t xml:space="preserve">GoITeens_UA_DA_1y_39_26_08_23 </t>
  </si>
  <si>
    <t>10 - Як покращити продуктивність?</t>
  </si>
  <si>
    <t>створення кейсу</t>
  </si>
  <si>
    <t>термін до лікаря</t>
  </si>
  <si>
    <t>типографіка</t>
  </si>
  <si>
    <t>похід до лікаря</t>
  </si>
  <si>
    <t>GoITeens_UA_DA_JUN_1y_36_08_08_23</t>
  </si>
  <si>
    <t xml:space="preserve">11 Підготовка до міні-проекту </t>
  </si>
  <si>
    <t>UA_DA_1y_5_23</t>
  </si>
  <si>
    <t>39 Здатність вирішувати складні задачі</t>
  </si>
  <si>
    <t>Maryna Nikulina</t>
  </si>
  <si>
    <t>захворілв</t>
  </si>
  <si>
    <t>DA_JUN_1y_8_23</t>
  </si>
  <si>
    <t xml:space="preserve">Maria Kostyak </t>
  </si>
  <si>
    <t>DA_1y_3_23</t>
  </si>
  <si>
    <t>Kateryna Belikova</t>
  </si>
  <si>
    <t>27 критичне мислення</t>
  </si>
  <si>
    <t xml:space="preserve">16, Нарахування балів у іграх </t>
  </si>
  <si>
    <t>Переїзд в інше місто</t>
  </si>
  <si>
    <t xml:space="preserve">GoITeens_UA_DA_JUN_1y_56_16_10_23 </t>
  </si>
  <si>
    <t xml:space="preserve">2. Продовження знайомства </t>
  </si>
  <si>
    <t xml:space="preserve">Орловська Надія </t>
  </si>
  <si>
    <t>Іконки</t>
  </si>
  <si>
    <t>Артем Золоторьв</t>
  </si>
  <si>
    <t>Відсутність інета</t>
  </si>
  <si>
    <t>Створення Кейсу</t>
  </si>
  <si>
    <t>Артем Золотарев</t>
  </si>
  <si>
    <t>MINE_KIDS_1y_52_07_10_23</t>
  </si>
  <si>
    <t>7 Паркур</t>
  </si>
  <si>
    <t>Їду в інше місто оформлювати документи</t>
  </si>
  <si>
    <t>DA_1y_59_</t>
  </si>
  <si>
    <t>2 Що таке софт скілс</t>
  </si>
  <si>
    <t>жулковська Анастасія</t>
  </si>
  <si>
    <t>Перебої з інтернетом через аварійний стан</t>
  </si>
  <si>
    <t>1_y_9_23</t>
  </si>
  <si>
    <t>36 гра Калькулятор</t>
  </si>
  <si>
    <t xml:space="preserve">Свід Ірина Іванівна </t>
  </si>
  <si>
    <t xml:space="preserve">Ольга Конасова </t>
  </si>
  <si>
    <t xml:space="preserve">Хвороба </t>
  </si>
  <si>
    <t>GoITeens_UA_DA_1y_38_2</t>
  </si>
  <si>
    <t>Постер з типографікою</t>
  </si>
  <si>
    <t>Сімейна причина</t>
  </si>
  <si>
    <t>GoITeens_UA_DA_1y_38_2 (студенти)</t>
  </si>
  <si>
    <t>16 - Постер. Типографіка</t>
  </si>
  <si>
    <t>26 - Реклама у Instagram Stories</t>
  </si>
  <si>
    <t>13 Закрiплення модуль 3</t>
  </si>
  <si>
    <t xml:space="preserve">в дорозі була </t>
  </si>
  <si>
    <t>67 cеместровий проект</t>
  </si>
  <si>
    <t xml:space="preserve">Гусеєва Єлизавета </t>
  </si>
  <si>
    <t>UA_DA_1y_47_23</t>
  </si>
  <si>
    <t>Вправи по поєднанню кольорів</t>
  </si>
  <si>
    <t>Козлик Мирослава</t>
  </si>
  <si>
    <t xml:space="preserve">24 як стати класним другом </t>
  </si>
  <si>
    <t xml:space="preserve">Лілія Денікевич </t>
  </si>
  <si>
    <t xml:space="preserve">Захворіла </t>
  </si>
  <si>
    <t>Фронтенд 11</t>
  </si>
  <si>
    <t>48 Страхи</t>
  </si>
  <si>
    <t>GoITeens_UA_DA_1y_47_28_10_09 - 23 група 2</t>
  </si>
  <si>
    <t>7 - Вправи до поєднання кольорів</t>
  </si>
  <si>
    <t>MINE_KIDS_1y_57_26_10_23(1)</t>
  </si>
  <si>
    <t>№2 Магія ферми</t>
  </si>
  <si>
    <t>Ярослав Плаксій</t>
  </si>
  <si>
    <t>Анастасія Овечко</t>
  </si>
  <si>
    <t>Накладка по роботі</t>
  </si>
  <si>
    <t>Реєстрація на платформах</t>
  </si>
  <si>
    <t>захворів, через це з'їхал графік занять</t>
  </si>
  <si>
    <t>DA_UA_1y_26_23</t>
  </si>
  <si>
    <t>Міні проект</t>
  </si>
  <si>
    <t>DA_UA_1y_24_23</t>
  </si>
  <si>
    <t>UA_MINE_1y_31_23</t>
  </si>
  <si>
    <t>19 "Багаторівнева клумба"</t>
  </si>
  <si>
    <t>Дьогтяр Артурр</t>
  </si>
  <si>
    <t>Сдаю практичний іспит в ТСЦ</t>
  </si>
  <si>
    <t xml:space="preserve">GoITeens_UA_DA_JUN_1y_41_23_08_23 - 1 група </t>
  </si>
  <si>
    <t xml:space="preserve">Оформлення сторінок для соціальних мереж </t>
  </si>
  <si>
    <t xml:space="preserve">Олександра Клоченок </t>
  </si>
  <si>
    <t>GoITeens DA_JUN_24_23</t>
  </si>
  <si>
    <t xml:space="preserve">Розробка банера на Ютуб </t>
  </si>
  <si>
    <t>16/ Як побороти лінь?</t>
  </si>
  <si>
    <t>GoIteens_FE_JUN_1y_19_29_08_23</t>
  </si>
  <si>
    <t>10 Повторення та швидкість набору</t>
  </si>
  <si>
    <t>Термін до лікаря</t>
  </si>
  <si>
    <t>33 координати світу. командні блоки</t>
  </si>
  <si>
    <t>Лупій Анна</t>
  </si>
  <si>
    <t>Захворів, температура, нежить, болить горло</t>
  </si>
  <si>
    <t>GoITeens_UA_DA_1y_52_18_10_23</t>
  </si>
  <si>
    <t>Тематичне</t>
  </si>
  <si>
    <t>Буду в іншому місті</t>
  </si>
  <si>
    <t>42 Як зрозуміти себе?</t>
  </si>
  <si>
    <t>Nataliia Hapak</t>
  </si>
  <si>
    <t>GoITeens_UA_DA_1y_7_2</t>
  </si>
  <si>
    <t>9. Аналіз сайту</t>
  </si>
  <si>
    <t>Не встигала доїхати вчасно на заняття</t>
  </si>
  <si>
    <t>GD_1y_25_21_10_23</t>
  </si>
  <si>
    <t>№ 3. Тема: Ефективне навчання</t>
  </si>
  <si>
    <t>Відсутність основного викладача в місті в зв'язку із змаганнями з гандболу (Чемпіонат України).</t>
  </si>
  <si>
    <t>MINE_1y_64_30_09_23</t>
  </si>
  <si>
    <t>№6. Тема: Інструменти роботи в IT</t>
  </si>
  <si>
    <t xml:space="preserve">Оlena Ryzha  </t>
  </si>
  <si>
    <t xml:space="preserve">GoITeens_UA_DA_JUN_1y_43_02_09_23 </t>
  </si>
  <si>
    <t>10 заняття, тема "розклад дня. робота з часом. як встигати більше?"</t>
  </si>
  <si>
    <t>(2 група) UA_MINE_1y_45_01_08_23</t>
  </si>
  <si>
    <t xml:space="preserve">Юлія Руденко </t>
  </si>
  <si>
    <t xml:space="preserve">GoITeens_UA_DA_JUN_1y_52_30_09_23 (2) </t>
  </si>
  <si>
    <t xml:space="preserve">тема 6 «Створення розповідей та дописів для Instagram» </t>
  </si>
  <si>
    <t>Смерть близької людини</t>
  </si>
  <si>
    <t>GoITeens_UA_DA_JUN_1y_61_28_10_23 (2)</t>
  </si>
  <si>
    <t>тема 2 «Додавання фото та робота з геометричними фігурами»</t>
  </si>
  <si>
    <t>тема 16 «Розробка брошур»</t>
  </si>
  <si>
    <t>Піднялась температура</t>
  </si>
  <si>
    <t xml:space="preserve">GoITeens_UA_ROB_1y_39_22_08_23 </t>
  </si>
  <si>
    <t>12 Креатив, як навичка</t>
  </si>
  <si>
    <t xml:space="preserve">Піднялась температура </t>
  </si>
  <si>
    <t>UA_MINE_1y_63_27_09_23</t>
  </si>
  <si>
    <t>№5 Подорож до Стародавнього Єгипту</t>
  </si>
  <si>
    <t>13. Позитивне мислення</t>
  </si>
  <si>
    <t>UA_DA_JUN_1y_51_26_09_23 - 1 група</t>
  </si>
  <si>
    <t xml:space="preserve">Практична робота з використанням референсів </t>
  </si>
  <si>
    <t>DA_JUN_1y_47_19_09_23</t>
  </si>
  <si>
    <t>Кольорова Композиція</t>
  </si>
  <si>
    <t xml:space="preserve"> Гончар Катерина</t>
  </si>
  <si>
    <t>20_23</t>
  </si>
  <si>
    <t>49 Квест «Парк Розваг»</t>
  </si>
  <si>
    <t xml:space="preserve">Буду в дорозі, відрядження </t>
  </si>
  <si>
    <t xml:space="preserve">GoITeens_UA_FE_1y_29_18_10_23 (2) </t>
  </si>
  <si>
    <t xml:space="preserve">Командне завдання </t>
  </si>
  <si>
    <t xml:space="preserve">За сімейними обставинами </t>
  </si>
  <si>
    <t xml:space="preserve">GoITeens_DA_1y_59_21_10_23		</t>
  </si>
  <si>
    <t>3. Ефективне навчання</t>
  </si>
  <si>
    <t>відсутність інтернету через аварію</t>
  </si>
  <si>
    <t xml:space="preserve">GoITeens_UA_FE_1y_31	</t>
  </si>
  <si>
    <t>8. Як досягати своїх цілей?</t>
  </si>
  <si>
    <t>відсутність інтернеьту</t>
  </si>
  <si>
    <t xml:space="preserve">GoITeens_UA_FE_JUN_1y_21_16_09_23			</t>
  </si>
  <si>
    <t>8. Увага</t>
  </si>
  <si>
    <t>відсутність інтернету</t>
  </si>
  <si>
    <t xml:space="preserve">GoITeens_UA_DA_JUN_1y_46_16_09_23				</t>
  </si>
  <si>
    <t>DA_JUN_1y_13_23 (3 група)</t>
  </si>
  <si>
    <t>29 Створення власного бренду</t>
  </si>
  <si>
    <t xml:space="preserve">Євюкова Олександра </t>
  </si>
  <si>
    <t>Вікторія Косточка</t>
  </si>
  <si>
    <t>Перевантаження на основній роботі, форс мажор.</t>
  </si>
  <si>
    <t>DA_JUN_1y_36_08_08_23 (2)</t>
  </si>
  <si>
    <t xml:space="preserve">Оформлення презентації  для будь якого шкільного предмету </t>
  </si>
  <si>
    <t>GoITeens_UA_MINE_1y_6_23</t>
  </si>
  <si>
    <t>26	Ресурси людини</t>
  </si>
  <si>
    <t>18 заняття старої програми  — підготовка до публічних виступів, що є важливим.</t>
  </si>
  <si>
    <t>Буду в дорозі.</t>
  </si>
  <si>
    <t>DA_1y_27_3</t>
  </si>
  <si>
    <t>38. Ілюстратор. Види ефектів</t>
  </si>
  <si>
    <t>Віолета Джеммел</t>
  </si>
  <si>
    <t>Потрібно було закрити проект на основній роботі. Нне відпускали,, мала допрацювати</t>
  </si>
  <si>
    <t xml:space="preserve">42 Мрії/цілі, smart </t>
  </si>
  <si>
    <t>MINE_1y_68_14_10_23</t>
  </si>
  <si>
    <t>5 Готуємося до проекту</t>
  </si>
  <si>
    <t>день народження</t>
  </si>
  <si>
    <t>GoITeens_UA_MINE_1y_50_12_08_23</t>
  </si>
  <si>
    <t>14 "NPC i вивантаження проекту"</t>
  </si>
  <si>
    <t>GD_1y_25_21_10_23 (3 група)</t>
  </si>
  <si>
    <t>№4, Тема: Самодисципліна</t>
  </si>
  <si>
    <t>Відсутність головного викладача в місті в зв’язку із змаганнями з гандболу (Чемпіонат України).</t>
  </si>
  <si>
    <t>DA_1y_35_12_08_23</t>
  </si>
  <si>
    <t>19. Стікерпак для телеграм</t>
  </si>
  <si>
    <t>Терміново потрібно було поїхати в інше місто, на жаль в той час коли заняття.
Намагались перенести трохи на інший час але не вийшло домовитись.</t>
  </si>
  <si>
    <t>GoITeens_UA_DA_JUN_1y_35_05_08_23(1)</t>
  </si>
  <si>
    <t>15 Колесо балансу (нова програма)</t>
  </si>
  <si>
    <t>Олександр Тараканов</t>
  </si>
  <si>
    <t>Олімпіада</t>
  </si>
  <si>
    <t>11. Підготовка до міні-проекту</t>
  </si>
  <si>
    <t>ГРВІ(відсутність глосу)</t>
  </si>
  <si>
    <t>MINE_1y_43_26_07_28 (2 група)</t>
  </si>
  <si>
    <t>16 Закріплення</t>
  </si>
  <si>
    <t>DA_1y_61_04_11_23(2) Діти</t>
  </si>
  <si>
    <t>2 - Освоєння ПК</t>
  </si>
  <si>
    <t>Гусєва</t>
  </si>
  <si>
    <t>2 - Освоєння ПК (практика)</t>
  </si>
  <si>
    <t>Гусєва Ліза</t>
  </si>
  <si>
    <t>Артем Золотарьво</t>
  </si>
  <si>
    <t xml:space="preserve">сімені обставини </t>
  </si>
  <si>
    <t>GoITeens_UA_ROB_1y_31_15_07_23</t>
  </si>
  <si>
    <t>21 Підготовка до презентації проектів</t>
  </si>
  <si>
    <t>10 Повторення і швидкість набору</t>
  </si>
  <si>
    <t>Maliuk Anastasia</t>
  </si>
  <si>
    <t>GoITeens_UA_DA_1y_35_2</t>
  </si>
  <si>
    <t xml:space="preserve">15 урок Як побороти лінь? </t>
  </si>
  <si>
    <t>Олена Гриневич</t>
  </si>
  <si>
    <t>Була в дорозі і не могла провести урок</t>
  </si>
  <si>
    <t>GoITeens_UA_DA_1y_25_23</t>
  </si>
  <si>
    <t>20 урок Позитивне мислення</t>
  </si>
  <si>
    <t>GoITeens_UA_FE_JUN_1y_25_31_10_23</t>
  </si>
  <si>
    <t>3 «Світ ІТ»</t>
  </si>
  <si>
    <t>Сафонова Татьяна</t>
  </si>
  <si>
    <t>Контрольна робота з іспанської мови в університеті</t>
  </si>
  <si>
    <t>GoITeens_UA_DA_JUN_1y_55_10_10_23</t>
  </si>
  <si>
    <t>переїзд</t>
  </si>
  <si>
    <t xml:space="preserve">34 Корисні вмілки </t>
  </si>
  <si>
    <t xml:space="preserve">Змінився графік </t>
  </si>
  <si>
    <t>DA_JUN_1y_18_23</t>
  </si>
  <si>
    <t>22 Арт обробка фото</t>
  </si>
  <si>
    <t>відрядження</t>
  </si>
  <si>
    <t>24 Ресурси людини</t>
  </si>
  <si>
    <t xml:space="preserve">Юля Руденко </t>
  </si>
  <si>
    <t xml:space="preserve">не встигала, через навчання </t>
  </si>
  <si>
    <t>22 впевненість у собі ( частина 2 про самооцінку)</t>
  </si>
  <si>
    <t xml:space="preserve">Марина Нікуліна </t>
  </si>
  <si>
    <t xml:space="preserve">Не встигала,  через навчання 
</t>
  </si>
  <si>
    <t>4 маски у фігма</t>
  </si>
  <si>
    <t>UA_DA_1y_8_23</t>
  </si>
  <si>
    <t>FE_1y_8_23</t>
  </si>
  <si>
    <t>Критичне мислення</t>
  </si>
  <si>
    <t>Аліна Дєдова</t>
  </si>
  <si>
    <t>17. 5 правил публічних виступів</t>
  </si>
  <si>
    <t>GoITeens_UA_DA_1y_45_23_09_23</t>
  </si>
  <si>
    <t>9. Колесо життєвого балансу</t>
  </si>
  <si>
    <t>GoIteens_UA_FE_1y_6_23</t>
  </si>
  <si>
    <t>38. Страхи. Як навчитись побороти страхи?</t>
  </si>
  <si>
    <t>не виходить по часу на цьому тижні провести, з наступного вже все узгоджено</t>
  </si>
  <si>
    <t>В  університеті поставили пару о 16:00 і я не встигатиму на заняття(</t>
  </si>
  <si>
    <t>MINE_KIDS_1y_54_13_10_23</t>
  </si>
  <si>
    <t xml:space="preserve">10 "Хімічна лабораторія під землею. Зілля.	"	</t>
  </si>
  <si>
    <t>Поїздка в інше місто</t>
  </si>
  <si>
    <t xml:space="preserve">GoITeens_UA_MINE_TAB_1y_8_23 </t>
  </si>
  <si>
    <t>7 Єгипетський Сфінкс</t>
  </si>
  <si>
    <t xml:space="preserve">14 Пасіка. Карта місцевості. Мішені	</t>
  </si>
  <si>
    <t>12. NPS та вивантеження проекту</t>
  </si>
  <si>
    <t xml:space="preserve"> GoITeens_UA_MINE_1y_2_23</t>
  </si>
  <si>
    <t>24. "Етикет"</t>
  </si>
  <si>
    <t xml:space="preserve">GoITeens_UA_MINE_1y_52_19_08_23		</t>
  </si>
  <si>
    <t>14, "Розклад дня. Робота з часом. Як встигати більше?"</t>
  </si>
  <si>
    <t>17 Етикет</t>
  </si>
  <si>
    <t>Оксана Молчанова</t>
  </si>
  <si>
    <t>виїзд в Україну</t>
  </si>
  <si>
    <t>13 Розклад дня, робота з часом</t>
  </si>
  <si>
    <t xml:space="preserve">16 Цілі по SMART </t>
  </si>
  <si>
    <t>10 Як покращити продуктивність?</t>
  </si>
  <si>
    <t>16 Скіл орієнтація</t>
  </si>
  <si>
    <t>GoITeens_UA_GD_1y_19_07_08_23 (2)</t>
  </si>
  <si>
    <t>16 Як мотивувати себе та інших?</t>
  </si>
  <si>
    <t xml:space="preserve">DA_JUN_1y_4_23 (1 підгрупа) </t>
  </si>
  <si>
    <t>42   Анатомія сайтів. Створення свого першого сайту</t>
  </si>
  <si>
    <t xml:space="preserve"> @rsmaydf </t>
  </si>
  <si>
    <t>На жаль, буду не вдома</t>
  </si>
  <si>
    <t>UA_MINE_1y_30_23 (2 підгрупа)</t>
  </si>
  <si>
    <t>19. Багаторівнева клумба</t>
  </si>
  <si>
    <t>захворіла, ангіна(</t>
  </si>
  <si>
    <t>10, повторення та швидкість набору</t>
  </si>
  <si>
    <t>GoITeens_UA_DA_JUN_1y_22_23_</t>
  </si>
  <si>
    <t>20, Практичні інструменти тайм-менеджменту</t>
  </si>
  <si>
    <t>12, міні-проєкт</t>
  </si>
  <si>
    <t>Анастасія Жульковська</t>
  </si>
  <si>
    <t>GoITeens_UA_DA_JUN_1y_37_12_08_23</t>
  </si>
  <si>
    <t>14, практичні інструменти тайм-менеджменту</t>
  </si>
  <si>
    <t>GoITeens_UA_MINE_1y_29_23_(2 підгрупа)</t>
  </si>
  <si>
    <t>21. Власнi проєкти. Підготовка</t>
  </si>
  <si>
    <t>Захворіла ангіною</t>
  </si>
  <si>
    <t xml:space="preserve">ROB_1y_39_22_08_23 </t>
  </si>
  <si>
    <t>Креативність</t>
  </si>
  <si>
    <t>Наталія Гапак</t>
  </si>
  <si>
    <t>№49 Правила та секрети успішного публічного виступу</t>
  </si>
  <si>
    <t>День народження брата</t>
  </si>
  <si>
    <t>№28 Безпека в інтернеті</t>
  </si>
  <si>
    <t>GoITeens_UA_DA_JUN_1y_53_04_10_23</t>
  </si>
  <si>
    <t>8. Розвиток мислення. Увага</t>
  </si>
  <si>
    <t>Тимошенко Анна (@lyssapin)</t>
  </si>
  <si>
    <t>Марина Нікуліна (@maryna_nikulina)</t>
  </si>
  <si>
    <t>День народження викладача</t>
  </si>
  <si>
    <t>ua_da_1у_47_28</t>
  </si>
  <si>
    <t xml:space="preserve">міні проект </t>
  </si>
  <si>
    <t xml:space="preserve">захворіла </t>
  </si>
  <si>
    <t>Indiv_MATH_4с_Shportko Mykhailo</t>
  </si>
  <si>
    <t xml:space="preserve">Тетяна Дорофій </t>
  </si>
  <si>
    <t xml:space="preserve">Потрібно поїхати по справам з документами </t>
  </si>
  <si>
    <t>5 Міні-проект</t>
  </si>
  <si>
    <t>хворію</t>
  </si>
  <si>
    <t>GoITeens_UA_MINE_KIDS_1y_12_23 (3 група)</t>
  </si>
  <si>
    <t xml:space="preserve">53 - 54 Вікторна </t>
  </si>
  <si>
    <t xml:space="preserve">Проблеми зі зв'язком </t>
  </si>
  <si>
    <t>11/25/0023</t>
  </si>
  <si>
    <t>GoITeens_UA_DA_JUN_1y_58_21_10_23 (1) студенти</t>
  </si>
  <si>
    <t xml:space="preserve">Тема 6 : Створення розповідей і дописів в Інстаграм </t>
  </si>
  <si>
    <t>Юлія Титаренко @J23fff</t>
  </si>
  <si>
    <t xml:space="preserve">Відсутність гарного підключення до мережі інтернет. Лаги в програмах через заплановані відключення світла. </t>
  </si>
  <si>
    <t xml:space="preserve">GoITeens_UA_MINE_1y_61_20_09_23			</t>
  </si>
  <si>
    <t>10. Повторення і швидкість набору</t>
  </si>
  <si>
    <t>Поїздка закордон</t>
  </si>
  <si>
    <t xml:space="preserve">GoITeens_UA_FE_1y_8	</t>
  </si>
  <si>
    <t>Ділова комунікація</t>
  </si>
  <si>
    <t xml:space="preserve">GoITeens_UA_DA_JUN_1y_66_09_11_23				</t>
  </si>
  <si>
    <t xml:space="preserve">	GoITeens_UA_ROB_1y_25_23		</t>
  </si>
  <si>
    <t>Ресурси людини</t>
  </si>
  <si>
    <t xml:space="preserve">GoITeens_UA_DA_JUN_1y_67_10_11_23			</t>
  </si>
  <si>
    <t xml:space="preserve">			GoITeens_UA_ROB_1y_35_08_08_23			</t>
  </si>
  <si>
    <t>Me Myself and I</t>
  </si>
  <si>
    <t xml:space="preserve">GoITeens_UA_DA_JUN_1y_30_11_07_23 			</t>
  </si>
  <si>
    <t>20. Основні помилки презентації</t>
  </si>
  <si>
    <t>Миршавська Анастасія</t>
  </si>
  <si>
    <t xml:space="preserve">	GoITeens_UA_DA_JUN_1y_65_08_11_23 						</t>
  </si>
  <si>
    <t>Хвора</t>
  </si>
  <si>
    <t>Група GoITeens_UA_MINE_1y_34_23</t>
  </si>
  <si>
    <t xml:space="preserve">19 Багаторівнева клумба </t>
  </si>
  <si>
    <t>Анна Грицик</t>
  </si>
  <si>
    <t xml:space="preserve">Знаходжусь за містом за сімейними обставинами </t>
  </si>
  <si>
    <t>(1)DA_1y_53_21_10_23</t>
  </si>
  <si>
    <t>Мудборд. Урок №11</t>
  </si>
  <si>
    <t>Сімейний захід</t>
  </si>
  <si>
    <t>GoITeens_UA_MINE_1y_15_23</t>
  </si>
  <si>
    <t>36 Закріплення курсу</t>
  </si>
  <si>
    <t>Через непогоду (випало за 15 годин 30 см снігу), є проблеми із світом та інтернетом. Не відомо чи буде воно взагалі на момент заняття.</t>
  </si>
  <si>
    <t>MINE_KIDS_1y_57_26_10_23_2 підг</t>
  </si>
  <si>
    <t>Урок 9. Будинок Чарівника</t>
  </si>
  <si>
    <t>день народження у цей день</t>
  </si>
  <si>
    <t>MINE_KIDS_1y_10_23(3 група)</t>
  </si>
  <si>
    <t>Урок 68. Таємна Біолабораторія з монстрами</t>
  </si>
  <si>
    <t>Олександр Литвин</t>
  </si>
  <si>
    <t>GoITeens_UA_MINE_1y_23_23</t>
  </si>
  <si>
    <t>Kateryna Verzun</t>
  </si>
  <si>
    <t>Не встигала провести</t>
  </si>
  <si>
    <t>MINE_1y_65_03_10_23_2</t>
  </si>
  <si>
    <t>Інструменти роботи в IT</t>
  </si>
  <si>
    <t>GoITeens_UA_KIDS_1y_30_23 (1)</t>
  </si>
  <si>
    <t>Поїздка до іншого міста. В дорозі неможливо провести урок</t>
  </si>
  <si>
    <t>11/26/0023</t>
  </si>
  <si>
    <t>MATH_2c_індив_ Іван Ардуіно</t>
  </si>
  <si>
    <t>урок № 8 «Лічба об'єктів від 51 до 100, порівняння чисел в межах від 51 до 100»</t>
  </si>
  <si>
    <t xml:space="preserve">Шевченко Ілля </t>
  </si>
  <si>
    <t xml:space="preserve">Немає світла </t>
  </si>
  <si>
    <t>11/28/0023</t>
  </si>
  <si>
    <t>Індив. math_6c Бойко Софія</t>
  </si>
  <si>
    <t>5 Подільність натуральних чисел</t>
  </si>
  <si>
    <t>Ксенія Загоруйко</t>
  </si>
  <si>
    <t xml:space="preserve">Смерть дідуся, приїхав до нього немає
тут звʼязку та світла </t>
  </si>
  <si>
    <t>GoITeens_UA_MATH_4c_7_29_08_23</t>
  </si>
  <si>
    <t>25 Узгальнуємо знання нумерації трицифрових чисел. лічимо тисячами</t>
  </si>
  <si>
    <t>Смерть дідуся, приїхав до нього, тут замело снігом, немає звʼязку та світла</t>
  </si>
  <si>
    <t>FE_JUN_1y_23_09_10_23</t>
  </si>
  <si>
    <t>DA_68_22_11_23 (1 група)</t>
  </si>
  <si>
    <t>2. Що таке Soft Skills</t>
  </si>
  <si>
    <t>14. Розклад дня. Робота із часом</t>
  </si>
  <si>
    <t>Кривошия Марина Василівна</t>
  </si>
  <si>
    <t>32. 7 звичок високоефективних підлітків</t>
  </si>
  <si>
    <t>Перебувала в лікарні на терміновому лікуванні з 14.11 до 18.11.</t>
  </si>
  <si>
    <t>GoITeens_UA_FE_JUN_1y_14_23</t>
  </si>
  <si>
    <t>14. Імпровізація</t>
  </si>
  <si>
    <t>ROB_1y_55_17_10_23</t>
  </si>
  <si>
    <t>5. Емоції, відчуття, настрій, почуття</t>
  </si>
  <si>
    <t>8 Асболютні координати</t>
  </si>
  <si>
    <t>Анастасія Лупій</t>
  </si>
  <si>
    <t>Так треба</t>
  </si>
  <si>
    <t>«Створення власного чек-листа» 15</t>
  </si>
  <si>
    <t xml:space="preserve">Захист роботи в університеті </t>
  </si>
  <si>
    <t>32. Підготовка до презентації проектів</t>
  </si>
  <si>
    <t xml:space="preserve">Іванка Фромель </t>
  </si>
  <si>
    <t xml:space="preserve">Сімейні проблеми </t>
  </si>
  <si>
    <t>GoITeens_UA_DA_JUN_1y_25_23</t>
  </si>
  <si>
    <t xml:space="preserve">25. Ненасильницьке спілкування </t>
  </si>
  <si>
    <t>GoITeens_UA_FE_JUN_1y_22_26_09_23</t>
  </si>
  <si>
    <t>Адріана</t>
  </si>
  <si>
    <t>GoITeens_UA_DA_JUN_1y_47_19_09_23</t>
  </si>
  <si>
    <t>11. Підготовка до міні проєкту</t>
  </si>
  <si>
    <t>FE_JUN_1y_4_23 для студентів</t>
  </si>
  <si>
    <t>Креативність 2.0</t>
  </si>
  <si>
    <t>їду закордон</t>
  </si>
  <si>
    <t>FE_JUN_1y_4_23</t>
  </si>
  <si>
    <t>скіл орієнтація</t>
  </si>
  <si>
    <t>DA_1y_1_23 (3 група)</t>
  </si>
  <si>
    <t>сила волі</t>
  </si>
  <si>
    <t>емоційний інтелект 2</t>
  </si>
  <si>
    <t>Їду закордон</t>
  </si>
  <si>
    <t>24 Підготовка до презентації</t>
  </si>
  <si>
    <t xml:space="preserve">Борецька Софія </t>
  </si>
  <si>
    <t>Дмириєвський Юрій-Георгій</t>
  </si>
  <si>
    <t>Технічні</t>
  </si>
  <si>
    <t>53 звички</t>
  </si>
  <si>
    <t xml:space="preserve">Неля Лабунець </t>
  </si>
  <si>
    <t>День народження</t>
  </si>
  <si>
    <t>GoITeens_UA_MATH_4с_2_24_06_23</t>
  </si>
  <si>
    <t>Модуль: 43 "вивчаємо геометричні фігури в просторі"</t>
  </si>
  <si>
    <t xml:space="preserve">Василевський Дмитро </t>
  </si>
  <si>
    <t>Поважна)</t>
  </si>
  <si>
    <t>DA_JUN_1y_45_13_09_23 - 1 група</t>
  </si>
  <si>
    <t>12. Презентація наших робіт</t>
  </si>
  <si>
    <t xml:space="preserve">DA_JUN_1y_60_25_10_23 - 2 група </t>
  </si>
  <si>
    <t>6. Інструменти роботи в ІТ: електронні сервіси і комбінації клавіш</t>
  </si>
  <si>
    <t>GoITeens_UA_DA_JUN_1y_54_07_10_23</t>
  </si>
  <si>
    <t>9 Анімація в канві</t>
  </si>
  <si>
    <t>@somouu Вікторія</t>
  </si>
  <si>
    <t>GoITeens_UA_DA_JUN_1y_57_19_10_23</t>
  </si>
  <si>
    <t>7. Практична робота з використанням референсів</t>
  </si>
  <si>
    <t>Форс мажор, не змогла вчасно доїхати додому</t>
  </si>
  <si>
    <t>GoITeens_UA_FE_1y_36_25_11_23</t>
  </si>
  <si>
    <t>7Пісумок. Продуктивність</t>
  </si>
  <si>
    <t>Відсутність інтернету (аварія через погодні умови)</t>
  </si>
  <si>
    <t xml:space="preserve">MINE_Advanced_2y_9_18_11_23		</t>
  </si>
  <si>
    <t>Відсутність інтернету через складні погодні умови</t>
  </si>
  <si>
    <t>18. Підготовка до презентації проектів</t>
  </si>
  <si>
    <t>14. Розклад дня. Робота із часом. Як встигати більше?</t>
  </si>
  <si>
    <t>10. Як запам'ятовувати все? Методи запам'ятовування інформації</t>
  </si>
  <si>
    <t>GoITeens_UA_FE_1y_19_17_07_23</t>
  </si>
  <si>
    <t>21 Як стати класним спікером</t>
  </si>
  <si>
    <t>Go_UA_math_2c_13_29_11_23</t>
  </si>
  <si>
    <t>3. Лічба об'єктів від 11 до 20</t>
  </si>
  <si>
    <t>Надія Гук</t>
  </si>
  <si>
    <t>23 Етикет</t>
  </si>
  <si>
    <t xml:space="preserve">Анастасія Іванченко   </t>
  </si>
  <si>
    <t>GoITeens_UA_DA_JUN_1y_61_28_10_23</t>
  </si>
  <si>
    <t>5 Інструменти роботи в Іт</t>
  </si>
  <si>
    <t xml:space="preserve">Іра Білецька  </t>
  </si>
  <si>
    <t>DA_1y_40_06_09_23</t>
  </si>
  <si>
    <t>25. Постер. Типографіка</t>
  </si>
  <si>
    <t>В сімʼї трапилась біда, терміново потрібно було їхати в інше місто до рідних і на похорон.</t>
  </si>
  <si>
    <t>GoITeens_UA_DA_1у_50 (1 група)</t>
  </si>
  <si>
    <t>18, Анімація</t>
  </si>
  <si>
    <t>Шукаю заміну</t>
  </si>
  <si>
    <t>Захворіла, терміново треба до лікаря</t>
  </si>
  <si>
    <t>GoITeens_UA_PYTHON_1y_22_25_09_23</t>
  </si>
  <si>
    <t>8 Інтелект-мапи</t>
  </si>
  <si>
    <t>Погане самопочуття у мене було 13 листопада 2023 року</t>
  </si>
  <si>
    <t>DA_JUN_1y_13_23</t>
  </si>
  <si>
    <t>Корисні вмілки</t>
  </si>
  <si>
    <t>27 Критичне мислення</t>
  </si>
  <si>
    <t>виїзд на Україну</t>
  </si>
  <si>
    <t>16 цілі по smart</t>
  </si>
  <si>
    <t>19 Міні-проект</t>
  </si>
  <si>
    <t>13 Позитивне мислення</t>
  </si>
  <si>
    <t>13. Розклад дня РОБОТА З ЧАСОМ</t>
  </si>
  <si>
    <t>Юля Бондар</t>
  </si>
  <si>
    <t>навчання)</t>
  </si>
  <si>
    <t xml:space="preserve">UA_DA_1у_4_23 </t>
  </si>
  <si>
    <t>41 Формування звичок</t>
  </si>
  <si>
    <t>GoITeens_UA_ROB_1y_57_21_10_23</t>
  </si>
  <si>
    <t>8 Підсумки Модуля</t>
  </si>
  <si>
    <t>Марія Kostyak</t>
  </si>
  <si>
    <t>3?</t>
  </si>
  <si>
    <t>DA_JUN_1y_33_23 - 1група️</t>
  </si>
  <si>
    <t>19, портфоліо</t>
  </si>
  <si>
    <t>голос пропав, хворіла</t>
  </si>
  <si>
    <t>DA_1y_27 1 група</t>
  </si>
  <si>
    <t>46, власний бренд</t>
  </si>
  <si>
    <t>2 (в цій групі 1)</t>
  </si>
  <si>
    <t>голосу нема, хворіла</t>
  </si>
  <si>
    <t xml:space="preserve">DA 1y28 | DA 1y31 | DA 1y25  | DA JUN 1y26 </t>
  </si>
  <si>
    <t>передала тім лідам і викладачам на заміну в ЛС</t>
  </si>
  <si>
    <t>Вікторія Косточка, Катерина Супчан(2)групи, Марія</t>
  </si>
  <si>
    <t>3-4-5-6(в кожній групі 1-а)</t>
  </si>
  <si>
    <t>немає голосу, хворіла</t>
  </si>
  <si>
    <t xml:space="preserve">Гусєва </t>
  </si>
  <si>
    <t xml:space="preserve">Victoria Kostochka  </t>
  </si>
  <si>
    <t xml:space="preserve">Хворію </t>
  </si>
  <si>
    <t>GoIteens_UA_DA_1y_43_20_09_23</t>
  </si>
  <si>
    <t xml:space="preserve">12 урок Емоційна грамотність 2.0 </t>
  </si>
  <si>
    <t>Здатність вирішувати складні задачі 39 урок</t>
  </si>
  <si>
    <t>Наваленкл Юлія</t>
  </si>
  <si>
    <t>30 Впевненість у собі. Частина 2</t>
  </si>
  <si>
    <t>(2)DA_1y_53_21_10_23</t>
  </si>
  <si>
    <t>Віолетта Джеммел</t>
  </si>
  <si>
    <t>Змагання дитини у цей день</t>
  </si>
  <si>
    <t>DA_2y_3_08_09_23</t>
  </si>
  <si>
    <t xml:space="preserve">26 Міні проект </t>
  </si>
  <si>
    <t xml:space="preserve">Був перший пробний іспит в автошколі </t>
  </si>
  <si>
    <t xml:space="preserve">FE_1y_19_17_07_23				</t>
  </si>
  <si>
    <t>12, Вревненість в собі</t>
  </si>
  <si>
    <t>Відсутність електропостачання, зв'язку і інтернету</t>
  </si>
  <si>
    <t>GoITeens_UA_KIDS_1y_53_23_Group 3</t>
  </si>
  <si>
    <t xml:space="preserve">Пінчук Тетяна </t>
  </si>
  <si>
    <t>Анна Ходіс</t>
  </si>
  <si>
    <t xml:space="preserve">Дитина хворіла. Трапились ускладнення. </t>
  </si>
  <si>
    <t>GoITeens_UA_MINE_TAB_1y_13_28_11_23</t>
  </si>
  <si>
    <t>3 « Продовжуємо знайомство»</t>
  </si>
  <si>
    <t xml:space="preserve">Малишева Олександра </t>
  </si>
  <si>
    <t>GoITeens_UA_MINE_1y_62_26_09_23_2</t>
  </si>
  <si>
    <t>11    NPS i вивантаження проекту</t>
  </si>
  <si>
    <t>Не було інтернету та зв'язку</t>
  </si>
  <si>
    <t>21, "Як зробити хорошу презентацію"</t>
  </si>
  <si>
    <t>Їду в інше місто на підвищення кваліфікації.</t>
  </si>
  <si>
    <t>PYTHON_1y_30_02_12_23</t>
  </si>
  <si>
    <t xml:space="preserve">Тема 3, ефективне навчання </t>
  </si>
  <si>
    <t xml:space="preserve">Третяк Мар'яна Володимирівна </t>
  </si>
  <si>
    <t>Юлія Завальна</t>
  </si>
  <si>
    <t>GoITeens_UA_KIDS_1y_23_23 2 гр</t>
  </si>
  <si>
    <t>29 Написання складних зображень (візерунків, букв) за допомогою координат та кутів</t>
  </si>
  <si>
    <t>Олена Рибкіна</t>
  </si>
  <si>
    <t>особисте(дуже дуже)</t>
  </si>
  <si>
    <t>UA_KIDS_1y_29_23 (2)</t>
  </si>
  <si>
    <t>27.Використання олівця.</t>
  </si>
  <si>
    <t xml:space="preserve">Ольга </t>
  </si>
  <si>
    <t>особисте (дуже дуже)</t>
  </si>
  <si>
    <t>MINE_1y_78_11_11_23</t>
  </si>
  <si>
    <t>Тема 6: Мрії та мапа бажань</t>
  </si>
  <si>
    <t>Тема 12: NPS та вивантаження проєкту</t>
  </si>
  <si>
    <t>27. Lightroom. Знайомство з програмою.</t>
  </si>
  <si>
    <t>Бігун Дарʼя</t>
  </si>
  <si>
    <t>Kateryna Honchar</t>
  </si>
  <si>
    <t>GoITeens_UA_DA_1y_16_22</t>
  </si>
  <si>
    <t>49. Як зрозуміти свої бажання? (стара програма)</t>
  </si>
  <si>
    <t xml:space="preserve">Захарчук Денис </t>
  </si>
  <si>
    <t>Хвороба: відсутність голосу та погане самопочуття.</t>
  </si>
  <si>
    <t xml:space="preserve">GoITeens_UA_ROB_1y_74_09_12_23 </t>
  </si>
  <si>
    <t>2; продовження знайомства</t>
  </si>
  <si>
    <t>1у28, 1у31, 1у25, дж 1у26</t>
  </si>
  <si>
    <t>в приваті у викладачів що заміняють</t>
  </si>
  <si>
    <t>Катерина Супчан, Вікторія косточка, Карина</t>
  </si>
  <si>
    <t>7-8-9-10</t>
  </si>
  <si>
    <t>хворію, немаю голосу</t>
  </si>
  <si>
    <t>19. Підготовка до презентації проектів</t>
  </si>
  <si>
    <t>Бєлікова Катерина</t>
  </si>
  <si>
    <t>Нещасний випадок в сім`ї</t>
  </si>
  <si>
    <t>16. Знайомство з Google Sheets</t>
  </si>
  <si>
    <t>Нещасний випадок в сім'ї</t>
  </si>
  <si>
    <t>16 закріплення</t>
  </si>
  <si>
    <t>Марта Демчук</t>
  </si>
  <si>
    <t>FE_1y_36_25_11_23(1) Софт</t>
  </si>
  <si>
    <t>4 Дисципліна</t>
  </si>
  <si>
    <t>У мене був випускний виступ в школі акторської майстерності</t>
  </si>
  <si>
    <t>GoITeens_UA_DA_JUN_1y_22_23_(2 підгрупа) дітки</t>
  </si>
  <si>
    <t>Заняття №24. Iнтро-лого для Youtube у Canva</t>
  </si>
  <si>
    <t>Через масштабну кібер-атаку в Україні відсутність інтернету</t>
  </si>
  <si>
    <t>40 Як обрати свою професію</t>
  </si>
  <si>
    <t>Заздалегідь запланована поїздка, тоді ще не було цієї групи</t>
  </si>
  <si>
    <t>Не встиг на урок</t>
  </si>
  <si>
    <t>DA_JUN_1y_51_26_09_23 - 1 група</t>
  </si>
  <si>
    <t xml:space="preserve">13.Інформаційний плакат </t>
  </si>
  <si>
    <t xml:space="preserve">Мисах Маша </t>
  </si>
  <si>
    <t>34 Корисні вмілки</t>
  </si>
  <si>
    <t>Погано себе почуваю</t>
  </si>
  <si>
    <t>UA_DA_JUN_1y_36_08_08_23 (2)</t>
  </si>
  <si>
    <t>18. Семестровий проект ( розробка портфоліо)</t>
  </si>
  <si>
    <t xml:space="preserve">Катя Гончар </t>
  </si>
  <si>
    <t>DA_JUN_1y_47_19_09_23 (1)</t>
  </si>
  <si>
    <t xml:space="preserve">14. Оформлення презентації </t>
  </si>
  <si>
    <t xml:space="preserve">Була в дорозі </t>
  </si>
  <si>
    <t xml:space="preserve">DA_JUN_1y_41_23_08_23 </t>
  </si>
  <si>
    <t>18. Семестровий проект розробка портфоліо</t>
  </si>
  <si>
    <t>Ольга Гунко</t>
  </si>
  <si>
    <t>8) Розвиток мислення.Увага</t>
  </si>
  <si>
    <t xml:space="preserve">Очний іспит в університеті </t>
  </si>
  <si>
    <t xml:space="preserve">ROB_1y_72_04_12_23 </t>
  </si>
  <si>
    <t>Маріна Нікуліна</t>
  </si>
  <si>
    <t>Вимкнуло світло.</t>
  </si>
  <si>
    <t>26. Ресурси людини</t>
  </si>
  <si>
    <t>MINE_KIDS_1y_50_28_09_23_1</t>
  </si>
  <si>
    <t xml:space="preserve">Захворів, лежу з температурою </t>
  </si>
  <si>
    <t>UA_DA_1y_10_23 (1)</t>
  </si>
  <si>
    <t>№ 26. Семестровий проєкт</t>
  </si>
  <si>
    <t>58 Усюди математика</t>
  </si>
  <si>
    <t>Анастасія Люпі</t>
  </si>
  <si>
    <t>Екзамен</t>
  </si>
  <si>
    <t>18 Міні-проєкт. Самоорганізація</t>
  </si>
  <si>
    <t>Захищаю магістерську роботу в універі</t>
  </si>
  <si>
    <t>GoITeens_UA_ROB_1y_67_18_11_23</t>
  </si>
  <si>
    <t>7 цілі по смарт</t>
  </si>
  <si>
    <t>Захищаю магістерську в універі</t>
  </si>
  <si>
    <t>GoITeens_UA_DA_1y_75_16_12_23</t>
  </si>
  <si>
    <t>3 Історія Дизайну</t>
  </si>
  <si>
    <t>Не встигаю на заняття через дорогу</t>
  </si>
  <si>
    <t>UA_MINE_KIDS_1y_8_23 (3 підгрупа)</t>
  </si>
  <si>
    <t>Єгор Поліщук</t>
  </si>
  <si>
    <t>Юридичні питання</t>
  </si>
  <si>
    <t>GoITeens_UA_DA_1y_13_23 (1)</t>
  </si>
  <si>
    <t>62 Семестровий проект (3)</t>
  </si>
  <si>
    <t>63 Семестровий проект (4)</t>
  </si>
  <si>
    <t>Кощлик Мирослава</t>
  </si>
  <si>
    <t>Владислав Веретенніков</t>
  </si>
  <si>
    <t>GoITeens_UA_DA_1у_48 (1 група)</t>
  </si>
  <si>
    <t>заняття 1, Lightroom , тема: знайомство з програмою</t>
  </si>
  <si>
    <t>Вікторія Косточка (vikakostochka16@gmail.com)</t>
  </si>
  <si>
    <t>особиста</t>
  </si>
  <si>
    <t>21. Me, myself and I</t>
  </si>
  <si>
    <t>Іра Білецька</t>
  </si>
  <si>
    <t>Проблеми зі здоров'ям</t>
  </si>
  <si>
    <t>17. Google Sheets &amp; Minecraft</t>
  </si>
  <si>
    <t>GoITeens_UA_DA_JUN_1y_69_18_11_23</t>
  </si>
  <si>
    <t>6. Створення розповідей та дописів для Інстаграм</t>
  </si>
  <si>
    <t>Технічні проблеми з комп'ютером</t>
  </si>
  <si>
    <t>11. Оформлення осторінок для соціальних мереж</t>
  </si>
  <si>
    <t>Технічні пробеми з комп'ютером</t>
  </si>
  <si>
    <t>GoITeens_UA_DA_JUN_1y_46_16_09_23</t>
  </si>
  <si>
    <t>15. Навчальний чеклист</t>
  </si>
  <si>
    <t>GoITeens_UA_DA_JUN_1y_79_12_12_23</t>
  </si>
  <si>
    <t>Анастасія Демчук</t>
  </si>
  <si>
    <t>Немає можливості провести</t>
  </si>
  <si>
    <t>DA_JUN_7_23</t>
  </si>
  <si>
    <t xml:space="preserve">«Головний екран сайту. Кнопка СТА. Стиль сайту» </t>
  </si>
  <si>
    <t xml:space="preserve">Марія Пісаренко </t>
  </si>
  <si>
    <t>DA_JUN_ 62_30_10_23</t>
  </si>
  <si>
    <t>Кольорова композиція</t>
  </si>
  <si>
    <t xml:space="preserve">відпустка </t>
  </si>
  <si>
    <t>DA_JUN_1y_51_26_09_23</t>
  </si>
  <si>
    <t>«Створення та оформлення навчальний чек-лист»</t>
  </si>
  <si>
    <t>DA_JUN_1y_41_23_08_23</t>
  </si>
  <si>
    <t>Стандартна обробка фото»</t>
  </si>
  <si>
    <t xml:space="preserve">Марія Писаренко </t>
  </si>
  <si>
    <t>Проект: оформлення стрічки інстаграм</t>
  </si>
  <si>
    <t xml:space="preserve">марія Писаренко </t>
  </si>
  <si>
    <t>Створення другого та 3 екрану по обраному шаблону</t>
  </si>
  <si>
    <t>Оформлення сторінок для соціальних мереж»</t>
  </si>
  <si>
    <t>Розробка брошюр</t>
  </si>
  <si>
    <t xml:space="preserve">Арт обробка фото» </t>
  </si>
  <si>
    <t>GoITeens_UA_DA_1y_40_06_09_23 (3)</t>
  </si>
  <si>
    <t>урок 9, тема: міні-проєкт Lightroom</t>
  </si>
  <si>
    <t>UA_DA_JUN_1y_54_07_10_23</t>
  </si>
  <si>
    <t>Інформаційний плакат 13</t>
  </si>
  <si>
    <t xml:space="preserve">Ярина Лучкiна </t>
  </si>
  <si>
    <t>GoITeens_UA_MINE_TAB_1y_15_18_12_23</t>
  </si>
  <si>
    <t>Тема №3 Перші побудови в Minecraft: Education</t>
  </si>
  <si>
    <t xml:space="preserve">Зустріч з батьком військовим, яка пройде не в рідному місті. Через це не матиму змоги провести заняття. </t>
  </si>
  <si>
    <t xml:space="preserve">Бурʼян Олександра </t>
  </si>
  <si>
    <t>JUN_24_23</t>
  </si>
  <si>
    <t xml:space="preserve">Брендовий одяг </t>
  </si>
  <si>
    <t>Олександра Григорʼєва</t>
  </si>
  <si>
    <t xml:space="preserve">Брендова продукція </t>
  </si>
  <si>
    <t>Редагування. Панель</t>
  </si>
  <si>
    <t xml:space="preserve">Козлюк Мирослава </t>
  </si>
  <si>
    <t>Редагування. Панель - 2</t>
  </si>
  <si>
    <t>DA_2y_10_18_11_23</t>
  </si>
  <si>
    <t>Розробка постів для соціальних мереж» «Анімація»</t>
  </si>
  <si>
    <t>Procreate</t>
  </si>
  <si>
    <t>Ксенія Павлова</t>
  </si>
  <si>
    <t>8 Урок. Тема: Пухнастий друг</t>
  </si>
  <si>
    <t>Важливі сімейні обставини</t>
  </si>
  <si>
    <t>3 - світ ІТ</t>
  </si>
  <si>
    <t>Ірина Білецька</t>
  </si>
  <si>
    <t>непередбачувані обставини</t>
  </si>
  <si>
    <t>(2)UA_DA_JUN_1y_54_07_10_23</t>
  </si>
  <si>
    <t xml:space="preserve">Тема 12. Інфорграфіка </t>
  </si>
  <si>
    <t xml:space="preserve">Титаренко Юлія </t>
  </si>
  <si>
    <t>(2) DA_JUN_1y_37_12_08_23</t>
  </si>
  <si>
    <t>19, основні помилки в презентаціях</t>
  </si>
  <si>
    <t>(2)DA_JUN_1y_83_23_12_23</t>
  </si>
  <si>
    <t>1, знайомство</t>
  </si>
  <si>
    <t>4 (в попередніх формах наплутала трохи)</t>
  </si>
  <si>
    <t>GoITeens_UA_DA_1y_72_05_12_23</t>
  </si>
  <si>
    <t>5. Тайм-менеджмент. Ефективний роподіл свого часу</t>
  </si>
  <si>
    <t>44. Новорічні привітання</t>
  </si>
  <si>
    <t>Зміна графіку, та незмога вести урок саме в той час</t>
  </si>
  <si>
    <t>Minecraft_індив_Дзюбенко Олексій</t>
  </si>
  <si>
    <t>9. Подорож до Стародавньої Греції</t>
  </si>
  <si>
    <t>Oleh Danylovych (@Alegka0)</t>
  </si>
  <si>
    <t>По домовленності з адміном пробуємо змінити підхід до студента, змінивши викладача</t>
  </si>
  <si>
    <t>10. Храм Ніки. Олімпійські ігри</t>
  </si>
  <si>
    <t>По домовленності з адміном, пробуємо змінити підхід до студента, змінивши викладача</t>
  </si>
  <si>
    <t>DA_JUN_1y_83_23_12_23</t>
  </si>
  <si>
    <t>3 Оформлення тексту</t>
  </si>
  <si>
    <t xml:space="preserve">Їду з міста. Не буде ні гарного інтернету, ні зв'язку, для проведення занять </t>
  </si>
  <si>
    <t xml:space="preserve">DA_JUN_1y_18_23 </t>
  </si>
  <si>
    <t>33 Брендовий одяг</t>
  </si>
  <si>
    <t>Сергій Коваленко</t>
  </si>
  <si>
    <t>Їду з міста. Не буде стабільного інтернету та зв'язку, щоб проводити заняття</t>
  </si>
  <si>
    <t>UA_DA_1y_47_28</t>
  </si>
  <si>
    <t>21 ресайзи банерів</t>
  </si>
  <si>
    <t>Тетяна Парахненко</t>
  </si>
  <si>
    <t>4 Власний фон</t>
  </si>
  <si>
    <t>GoITeens_UA_DA_JUN_1y_67_10_11_23. (2)</t>
  </si>
  <si>
    <t xml:space="preserve">№8  “Створення Highlights для Instagram”  </t>
  </si>
  <si>
    <t xml:space="preserve">У зв'язку з новорічними святами потрібно було поїхати за місто.  </t>
  </si>
  <si>
    <t>Новорічне</t>
  </si>
  <si>
    <t>поїздка в інше місто</t>
  </si>
  <si>
    <t>Підводна гра для агента</t>
  </si>
  <si>
    <t>Oksana Kovtalo</t>
  </si>
  <si>
    <t>32 Постер свого бренду</t>
  </si>
  <si>
    <t>DA_1y_57_31_10_23 (1 підгрупа)</t>
  </si>
  <si>
    <t>Не встигала приїхати додому</t>
  </si>
  <si>
    <t>UA_DA_1y_65_16_11_23 (2)</t>
  </si>
  <si>
    <t>15. Постер з обробленими фото</t>
  </si>
  <si>
    <t>форс-мажорні обставини, не встигала провести урок</t>
  </si>
  <si>
    <t>GoITeens_UA_DA_1y_78_23_12_23</t>
  </si>
  <si>
    <t>Композиція. Методики композиції (Урок 5)</t>
  </si>
  <si>
    <t>Катерина Войтенко</t>
  </si>
  <si>
    <t>Маю поїхати до іншого міста за сімейними обставинами</t>
  </si>
  <si>
    <t>DA_1y_70_30_11_23</t>
  </si>
  <si>
    <t>12 міні-проєкт</t>
  </si>
  <si>
    <t>Анна Клименко</t>
  </si>
  <si>
    <t xml:space="preserve">Дмитро Шульга </t>
  </si>
  <si>
    <t xml:space="preserve">не матиму доступу до інтернету </t>
  </si>
  <si>
    <t>GoITeens_UA_DA_1y_44_23</t>
  </si>
  <si>
    <t>16 Як мотивувати себе та інших</t>
  </si>
  <si>
    <t>20, семестровий проєкт 3</t>
  </si>
  <si>
    <t xml:space="preserve">Oleksandr Obenko  </t>
  </si>
  <si>
    <t>50 Масиви. Будинок передбачень</t>
  </si>
  <si>
    <t>Юридичні питання майна</t>
  </si>
  <si>
    <t>UA_DA_1y_65_16_11_23</t>
  </si>
  <si>
    <t>17. Розробка постів для соціальних мереж </t>
  </si>
  <si>
    <t>Liubov Verenko</t>
  </si>
  <si>
    <t>відпустка на основній роботі</t>
  </si>
  <si>
    <t>18	Анімація </t>
  </si>
  <si>
    <t>Kateryna_Voit</t>
  </si>
  <si>
    <t>35 додаємо і віднімаємо іменовані числа</t>
  </si>
  <si>
    <t>GoITeens_UA_MATH_3с_14_12_12_23</t>
  </si>
  <si>
    <t xml:space="preserve">6 Точка, промінь, відрізок, ламана </t>
  </si>
  <si>
    <t xml:space="preserve">8 Повторення латинського алфавіту </t>
  </si>
  <si>
    <t>36 Повторюємо вза'ємопов'язні величини</t>
  </si>
  <si>
    <t xml:space="preserve">Лупій Анастасія </t>
  </si>
  <si>
    <t xml:space="preserve"> Мрії та мапа бажань_6 заняття</t>
  </si>
  <si>
    <t>Волонтерська поїздка.</t>
  </si>
  <si>
    <t>15. Комунікація з людьми</t>
  </si>
  <si>
    <t xml:space="preserve"> Da_1y_4_23 (3 підгрупа)</t>
  </si>
  <si>
    <t xml:space="preserve"> 23 Анімація в app</t>
  </si>
  <si>
    <t xml:space="preserve">Неможливість провести заняття за сімейними обставинами </t>
  </si>
  <si>
    <t xml:space="preserve"> Емоційний інтелект. Турбота про себе.</t>
  </si>
  <si>
    <t>За станом здоров'я</t>
  </si>
  <si>
    <t>Вчимося вчитися. Інструменти роботи в IT.</t>
  </si>
  <si>
    <t>GoITeens_UA_KIDS_1y_39_28_07_23 Підгрупа 2</t>
  </si>
  <si>
    <t xml:space="preserve">Рибкіна Олена </t>
  </si>
  <si>
    <t>Я в лікарні</t>
  </si>
  <si>
    <t>D.Junior62_30_10_23(2 підгр)</t>
  </si>
  <si>
    <t>11. Підготовка до проекту</t>
  </si>
  <si>
    <t>Неочікувано треба було поїхати в інше місто, в цей час була в потязі.</t>
  </si>
  <si>
    <t>1/15/0024</t>
  </si>
  <si>
    <t>GoITeens_UA_DA_JUN_1y_50_25_09_23 - 2 група (Діти)</t>
  </si>
  <si>
    <t>17 Створення календаря</t>
  </si>
  <si>
    <t>Суханова Валерія pterodactelll23@gmail.com</t>
  </si>
  <si>
    <t>особиста причина</t>
  </si>
  <si>
    <t xml:space="preserve">GoITeens_UA_DA_1y_12_23_3 </t>
  </si>
  <si>
    <t>31. Тайм-менеджмент</t>
  </si>
  <si>
    <t>ROB_1y_39_22_08_23</t>
  </si>
  <si>
    <t>20 Підготовка до презентації проектів</t>
  </si>
  <si>
    <t>Erika Hunkevych</t>
  </si>
  <si>
    <t>поїздка</t>
  </si>
  <si>
    <t>GoITeens_UA_KIDS_1y_30_23</t>
  </si>
  <si>
    <t>29 Створення складних зображень</t>
  </si>
  <si>
    <t>Юлія Крючкова</t>
  </si>
  <si>
    <t>23. Що таке самокритика?</t>
  </si>
  <si>
    <t>18. Як стати класним спікером?</t>
  </si>
  <si>
    <t>DA_1y_25_23</t>
  </si>
  <si>
    <t>26. Що таке цінності?</t>
  </si>
  <si>
    <t>9 Анімація в Канва</t>
  </si>
  <si>
    <t>Юля Титаренко</t>
  </si>
  <si>
    <t>GoITeens_UA_DA_JUN_1y_15_23 студенти (1 підгрупа)</t>
  </si>
  <si>
    <t>29 тема: аналіз бренду</t>
  </si>
  <si>
    <t>Ходила до лікаря</t>
  </si>
  <si>
    <t>GoITeens_UA_DA_1y_47_28_09_23_(1)</t>
  </si>
  <si>
    <t>28 Інтерфейс та основи LR</t>
  </si>
  <si>
    <t xml:space="preserve">Наталія Корнелюк </t>
  </si>
  <si>
    <t>Kovryga Alina</t>
  </si>
  <si>
    <t xml:space="preserve"> GoITeens_UA_DA_JUN_1y_64_04_11_23</t>
  </si>
  <si>
    <t>13 Швидкість набору</t>
  </si>
  <si>
    <t>Math_4c_15_12_01_24</t>
  </si>
  <si>
    <t>3. Множення та ділення чисел в межах 1000</t>
  </si>
  <si>
    <t>Ілля Шевченко</t>
  </si>
  <si>
    <t>ROB_1y_43_05_09_23 (2) діти</t>
  </si>
  <si>
    <t>joints and attachments</t>
  </si>
  <si>
    <t xml:space="preserve">GoITeens_UA_ART_KIDS_1y_8_17_01_24 </t>
  </si>
  <si>
    <t>1 заняття 1 тема</t>
  </si>
  <si>
    <t>Терміново треба поїхати на декілька днів без змоги проводити заняття</t>
  </si>
  <si>
    <t>Пресети(LR)</t>
  </si>
  <si>
    <t>Natalia Kornelyuk</t>
  </si>
  <si>
    <t>Kateryna Voitenko</t>
  </si>
  <si>
    <t>GoITeens_UA_ART_KIDS_1y_5_23_12_23</t>
  </si>
  <si>
    <t>5, Аксолотль тема 3</t>
  </si>
  <si>
    <t xml:space="preserve">Треба терміново поїхати </t>
  </si>
  <si>
    <t>GoITeens_UA_DA_1y_81_13_01_24(2)</t>
  </si>
  <si>
    <t>3, «Історія дизайну»</t>
  </si>
  <si>
    <t xml:space="preserve">Очний захист курсової в університеті в іншому місті </t>
  </si>
  <si>
    <t>12, Цілі по Smart</t>
  </si>
  <si>
    <t>Непередбачувані сімейні обставини</t>
  </si>
  <si>
    <t>Mine_Kids_1y_41_24.08.23</t>
  </si>
  <si>
    <t>№40 Механізм. Ракета</t>
  </si>
  <si>
    <t>Хвороба (пропав голос)</t>
  </si>
  <si>
    <t>ART_KIDS_1y_4_21_12_23 (2)</t>
  </si>
  <si>
    <t xml:space="preserve">Заняття 4, тема 2 Магічні пензлики </t>
  </si>
  <si>
    <t>Лукʼянець Аліса</t>
  </si>
  <si>
    <t>Марія Ільющенко</t>
  </si>
  <si>
    <t xml:space="preserve">GoITeens_UA_DA_JUN_1y_31_13_07_23 </t>
  </si>
  <si>
    <t>30 Ресурси людини</t>
  </si>
  <si>
    <t>Аварійне відключення електропостачання</t>
  </si>
  <si>
    <t>GoITeens_UA_DA_1y_39_02_09_23</t>
  </si>
  <si>
    <t>20. Підготовка до публічного виступу 2.0</t>
  </si>
  <si>
    <t>У мене поставили раніше іспит, то не встигаю, на жаль, ніяк.</t>
  </si>
  <si>
    <t>DA_1y_81_13_01_24(1)</t>
  </si>
  <si>
    <t>2    	 Що таке Soft Skills</t>
  </si>
  <si>
    <t xml:space="preserve">Марія Новосільська </t>
  </si>
  <si>
    <t xml:space="preserve">1 (якщо за січень) </t>
  </si>
  <si>
    <t xml:space="preserve">захворіла, зник голос 
</t>
  </si>
  <si>
    <t xml:space="preserve"> DA_JUN_1y_14_23</t>
  </si>
  <si>
    <t xml:space="preserve">39 Сила Звичок </t>
  </si>
  <si>
    <t xml:space="preserve">Адріана </t>
  </si>
  <si>
    <t xml:space="preserve">GoITeens_UA_PYTHON_1y_35_13_01_24 </t>
  </si>
  <si>
    <t>2. Що таке Soft Skills?</t>
  </si>
  <si>
    <t>Зубний біль та візит до стоматолога</t>
  </si>
  <si>
    <t>Екзамен в університеті, який неможливо здати потім</t>
  </si>
  <si>
    <t>35. Ненасильницьке спілкування</t>
  </si>
  <si>
    <t xml:space="preserve">Видалили зуб, не можу нормально говорити </t>
  </si>
  <si>
    <t>Програмні помічники</t>
  </si>
  <si>
    <t>Презентації в canva</t>
  </si>
  <si>
    <t>модуль 4, Підготовка до міні проектів по презентаціях</t>
  </si>
  <si>
    <t>19, Підготовка до публічного виступу</t>
  </si>
  <si>
    <t>UA_ART_JUN_1y_7_25_12_23 2</t>
  </si>
  <si>
    <t>№5 Малюємо світлом</t>
  </si>
  <si>
    <t>Була в лікаря в іншому місті. Було заплановано, тому заміну шукала зараніше</t>
  </si>
  <si>
    <t>-, Володар часу. Тайм менеджмент</t>
  </si>
  <si>
    <t>20 Після презентації проектів</t>
  </si>
  <si>
    <t>Адріяна П'єц</t>
  </si>
  <si>
    <t>GoITeens_UA_DA_JUN_1y_31_13_07_23 студенти (1 group)</t>
  </si>
  <si>
    <t>Не можливість провести заняття</t>
  </si>
  <si>
    <t>FE_1y_22_07_08_23</t>
  </si>
  <si>
    <t>24 Як стати класним другом?</t>
  </si>
  <si>
    <t>Поліна Шейкіна</t>
  </si>
  <si>
    <t>GoITeens_UA_MINE_1y_76_07_11_23</t>
  </si>
  <si>
    <t>12. Скрінкасти</t>
  </si>
  <si>
    <t>Фесак Вікторія vfesak203@gmail.com</t>
  </si>
  <si>
    <t>Особиста ситуація, не зможу вийти у цей час</t>
  </si>
  <si>
    <t>GoITeens_UA_MINE_1y_82_21_11_23</t>
  </si>
  <si>
    <t>10. Інструменти роботи в ІТ</t>
  </si>
  <si>
    <t>Юлія Наваленко btryulia@gmail.com</t>
  </si>
  <si>
    <t>джун 1 у 29</t>
  </si>
  <si>
    <t>30, аналіз бренду</t>
  </si>
  <si>
    <t>Парахненко</t>
  </si>
  <si>
    <t>батьківськи збори у дитини</t>
  </si>
  <si>
    <t>24. Як стати класним другом?</t>
  </si>
  <si>
    <t>Зубний біль</t>
  </si>
  <si>
    <t>8. Інтелект-мапи</t>
  </si>
  <si>
    <t>24 Власні проєкти</t>
  </si>
  <si>
    <t xml:space="preserve">Захворів </t>
  </si>
  <si>
    <t>32. Екстремальні ситуації. Конфлікти.</t>
  </si>
  <si>
    <t xml:space="preserve">Каширіна Альона Володимирівна </t>
  </si>
  <si>
    <t>Юлія Наваленко</t>
  </si>
  <si>
    <t xml:space="preserve">DA_1y_25_23 </t>
  </si>
  <si>
    <t xml:space="preserve">28. Безпека в інтернеті </t>
  </si>
  <si>
    <t>37. Сітка</t>
  </si>
  <si>
    <t xml:space="preserve">похід до лікаря </t>
  </si>
  <si>
    <t>Gr2_DA_1y_65_16_11_23</t>
  </si>
  <si>
    <t>21. Ресайз банерів ч.2</t>
  </si>
  <si>
    <t>форс-мажор, не встигала по часу</t>
  </si>
  <si>
    <t>GoITeens_UA_DA_1y_75_16_12_23 (2)</t>
  </si>
  <si>
    <t>13 Типографіка 1</t>
  </si>
  <si>
    <t>Ноутбук зламався</t>
  </si>
  <si>
    <t>DA_1y_61_04_11_23(2)</t>
  </si>
  <si>
    <t>Ресайзи банерів</t>
  </si>
  <si>
    <t>Зламався ноутбук</t>
  </si>
  <si>
    <t>GoITeens_UA_PYTHON_1y_24_14_10_23</t>
  </si>
  <si>
    <t>15 Комунікація з людьми</t>
  </si>
  <si>
    <t xml:space="preserve">Вибухи біля дому </t>
  </si>
  <si>
    <t>ROB_1y_39_22_08_23 (</t>
  </si>
  <si>
    <t>Підготовка до презентації проектів</t>
  </si>
  <si>
    <t>Андріана П'єц</t>
  </si>
  <si>
    <t xml:space="preserve"> GoITeens_UA_MINE_1y_60_16_09_23</t>
  </si>
  <si>
    <t>18. Етикет</t>
  </si>
  <si>
    <t>Була в цей час в потязі</t>
  </si>
  <si>
    <t>8, інтструменти роботи в ІТ</t>
  </si>
  <si>
    <t xml:space="preserve">GoITeens_UA_DA_JUN_1y_22_23_(2 підгрупа) </t>
  </si>
  <si>
    <t xml:space="preserve">Заняття 33 "Програмні помічники" </t>
  </si>
  <si>
    <t>Треба поїхати до родича у лікарню в інше місто та не буде змоги провести заняття</t>
  </si>
  <si>
    <t xml:space="preserve"> MINE_1y_49_12_08_23 (1) </t>
  </si>
  <si>
    <t xml:space="preserve">Заняття 27 "Що таке mind map" </t>
  </si>
  <si>
    <t xml:space="preserve"> FE_1y_32_28_10_23 </t>
  </si>
  <si>
    <t xml:space="preserve">Заняття 16 "Моє оточення" </t>
  </si>
  <si>
    <t xml:space="preserve">Миршавка Анастасія </t>
  </si>
  <si>
    <t xml:space="preserve">Треба поїхати до родича у лікарню в інше місто та не буде змоги провести заняття </t>
  </si>
  <si>
    <t>MINE_KIDS_TAB_1y_10_12_12_23</t>
  </si>
  <si>
    <t>12Хімія. Теплоблок. Бенгальські вогні. Відбілювач</t>
  </si>
  <si>
    <t>Богдана Образцова</t>
  </si>
  <si>
    <t>GoITeens_UA_Motion_1y_5_04_07_23</t>
  </si>
  <si>
    <t>2/7/0024</t>
  </si>
  <si>
    <t>GoITeens_UA_DA_JUN_1y_82_20_12_23 -2 група</t>
  </si>
  <si>
    <t>Олександра Григорʼєва mailto:hryhorievaoleksandra1609@gmail.com</t>
  </si>
  <si>
    <t>Буду перебувати в іншій країні, для того щоб вирішити питання з документами</t>
  </si>
  <si>
    <t>Чому важливо бути лідером?</t>
  </si>
  <si>
    <t>2/8/0024</t>
  </si>
  <si>
    <t>GoITeens_UA_DA_JUN_1y_80_14_12_23 (2)</t>
  </si>
  <si>
    <t>Карина Савченко</t>
  </si>
  <si>
    <t>Буду закордоном по справах</t>
  </si>
  <si>
    <t>MINE_KIDS_1y_71_22_22_23</t>
  </si>
  <si>
    <t>11 « Ефекти. Повітряні кульки. Агент прикрашає.</t>
  </si>
  <si>
    <t>День народження в мене, 20 рочків)</t>
  </si>
  <si>
    <t>MINE_1y_56_23</t>
  </si>
  <si>
    <t xml:space="preserve">18: Канали та акведуки </t>
  </si>
  <si>
    <t>Valentyn Yushchyshyn</t>
  </si>
  <si>
    <t>Не встигну до уроку добратись до робочого місця з іншого міста</t>
  </si>
  <si>
    <t>20 Підготовка до публічного виступу 2.0</t>
  </si>
  <si>
    <t>необхідність поїздки по основній роботі</t>
  </si>
  <si>
    <t>GoITeens_UA_PYTHON_1y_27_18_11_23 (1 підгрупа Студенти)</t>
  </si>
  <si>
    <t xml:space="preserve">Там кілька занять </t>
  </si>
  <si>
    <t xml:space="preserve">Бондар Юлія </t>
  </si>
  <si>
    <t>8 Інтелект мапи</t>
  </si>
  <si>
    <t>GoITeens_UA_ROB_1y_35_08_08_23 (1 група)</t>
  </si>
  <si>
    <t xml:space="preserve">Заняття 25 "Що таке mind map" </t>
  </si>
  <si>
    <t>DA_1y_41_12_09_23</t>
  </si>
  <si>
    <t>42. Розробка іконок, частина 2</t>
  </si>
  <si>
    <t>Victoria Kostochka</t>
  </si>
  <si>
    <t>особисті причини</t>
  </si>
  <si>
    <t>GoITeens_UA_KIDS_1у_52_09_09_23</t>
  </si>
  <si>
    <t>22, гра "Полювання на папуг"</t>
  </si>
  <si>
    <t>Вікторія Миколаєнко</t>
  </si>
  <si>
    <t>Ольга Сало</t>
  </si>
  <si>
    <t>GoITeens_UA_MINE_1y_52_19_08_23</t>
  </si>
  <si>
    <t>25 , Конфлікти</t>
  </si>
  <si>
    <t xml:space="preserve">Лабунець Неля </t>
  </si>
  <si>
    <t xml:space="preserve">29. Креативність та як її розвивати </t>
  </si>
  <si>
    <t xml:space="preserve"> GoITeens_UA_ART_KIDS_1y_6_25_12_23 3 підгрупа</t>
  </si>
  <si>
    <t xml:space="preserve"> 7 заняття , тема «Я-художник»</t>
  </si>
  <si>
    <t xml:space="preserve">Федаш Наталія </t>
  </si>
  <si>
    <t xml:space="preserve">Акритова Аліна </t>
  </si>
  <si>
    <t xml:space="preserve">Поїздка в Київ </t>
  </si>
  <si>
    <t>Підгрупа 2 MINE_1y_60_16_09_23</t>
  </si>
  <si>
    <t>Мостовий Віталій Олександрович</t>
  </si>
  <si>
    <t>Просадилося горло, тому не можу говорити багато</t>
  </si>
  <si>
    <t>GoITeens_UA_PYTHON_1y_35_13_01_24</t>
  </si>
  <si>
    <t>4. Самодисципліна</t>
  </si>
  <si>
    <t>Сестра потрапила в лікарню, потрібно було терміново їхати, тому що в Києві з родичів я єдина</t>
  </si>
  <si>
    <t>GoITeens_UA_ART_KIDS_1y_8_17_01_24 (2 підгрупа)</t>
  </si>
  <si>
    <t xml:space="preserve">4, хто такий аксолотль </t>
  </si>
  <si>
    <t xml:space="preserve">Аліна Акритова </t>
  </si>
  <si>
    <t>Наталя Федаш</t>
  </si>
  <si>
    <t xml:space="preserve">8, пухнастий друг </t>
  </si>
  <si>
    <t xml:space="preserve">Наталя Федаш </t>
  </si>
  <si>
    <t>Треба терміново від їхати</t>
  </si>
  <si>
    <t>GoITeens_UA_DA_2y_4_18_08_23</t>
  </si>
  <si>
    <t>Розробка власного бренда</t>
  </si>
  <si>
    <t>відпустка у зв'язку з навчанням</t>
  </si>
  <si>
    <t>Розробка власного бренда 2</t>
  </si>
  <si>
    <t>GoITeens_UA_DA_JUN_1y_40_22_08_23 (1)</t>
  </si>
  <si>
    <t>банер в ютуб</t>
  </si>
  <si>
    <t>Ярослав Худий</t>
  </si>
  <si>
    <t>Юлія Борболюк</t>
  </si>
  <si>
    <t>патерн</t>
  </si>
  <si>
    <t>Катя Гончар</t>
  </si>
  <si>
    <t>логотип</t>
  </si>
  <si>
    <t>29 Закріплення</t>
  </si>
  <si>
    <t>Відсутність можливості провести заняття через запланований переїзд.</t>
  </si>
  <si>
    <t>A_JUN_1y_69_18_11_23 1 підгрупа</t>
  </si>
  <si>
    <t>13. Інформаційний плакат</t>
  </si>
  <si>
    <t>зміна графіку</t>
  </si>
  <si>
    <t>14, Презентація</t>
  </si>
  <si>
    <t>Анна Плаз</t>
  </si>
  <si>
    <t>15. Чеклист</t>
  </si>
  <si>
    <t xml:space="preserve">ROB_1y_64_13_11_23 </t>
  </si>
  <si>
    <t>13 Закріплення (Самостійність)</t>
  </si>
  <si>
    <t xml:space="preserve">Захворіла
</t>
  </si>
  <si>
    <t xml:space="preserve">DA_JUN_1y_27_23 </t>
  </si>
  <si>
    <t>GoITeens_UA_FE_1y_42_17_01_24</t>
  </si>
  <si>
    <t>4 Самодисципліна</t>
  </si>
  <si>
    <t xml:space="preserve">Наваленко Юлія </t>
  </si>
  <si>
    <t>63 Як не залежати від думки оточуючих</t>
  </si>
  <si>
    <t>Анастасія Савчин</t>
  </si>
  <si>
    <t>конференція  на основній роботі</t>
  </si>
  <si>
    <t>GoITeens_UA_DA_1y_35_12_08_23(1)</t>
  </si>
  <si>
    <t>30 Редагування. Панелі_2 (lightroom)</t>
  </si>
  <si>
    <t>Дмитро Шульга</t>
  </si>
  <si>
    <t>29, «Саморегуляція»</t>
  </si>
  <si>
    <t>Їду з учнями у поїздку</t>
  </si>
  <si>
    <t>Весілля у брата, брат воїн ЗСУ</t>
  </si>
  <si>
    <t>26. Міні-проєкт ч.2</t>
  </si>
  <si>
    <t xml:space="preserve">Юлія Наваленко </t>
  </si>
  <si>
    <t xml:space="preserve">у дуже близької людини день народження 
</t>
  </si>
  <si>
    <t>Майн 96_30_12_2023</t>
  </si>
  <si>
    <t xml:space="preserve">8 абсолютні координати </t>
  </si>
  <si>
    <t>Наталія Касьянова</t>
  </si>
  <si>
    <t>PYTHON_1y_1_03_02_24 (1 група)</t>
  </si>
  <si>
    <t>Заняття 2 Що таке Soft Skills?</t>
  </si>
  <si>
    <t>Не встигала повернутись додому щоб провести урок</t>
  </si>
  <si>
    <t>GoITeens_UA_DA_JUN_1y_79_11_12_23</t>
  </si>
  <si>
    <t>10 - Кольорова композиція</t>
  </si>
  <si>
    <t>Влад Тарнавський</t>
  </si>
  <si>
    <t>Тема: 16 закріплення модулю публічні виступи</t>
  </si>
  <si>
    <t>Тема: 18, Саморегуляція</t>
  </si>
  <si>
    <t xml:space="preserve">PYTHON_1y_21_16_09_23_2 підгрупа </t>
  </si>
  <si>
    <t xml:space="preserve">що таке самокритика </t>
  </si>
  <si>
    <t xml:space="preserve">GoITeens_UA_ROB_1y_34__23 (3) </t>
  </si>
  <si>
    <t xml:space="preserve"> Іванна Фромель</t>
  </si>
  <si>
    <t>DA_1y_20_23 (2)</t>
  </si>
  <si>
    <t xml:space="preserve">№11, фігма, прототип сайту моб.версія </t>
  </si>
  <si>
    <t>Татьяна Парахненко</t>
  </si>
  <si>
    <t>№11, фігма, прототип сайту моб. версія</t>
  </si>
  <si>
    <t xml:space="preserve">23 Банер для Youtube каналу </t>
  </si>
  <si>
    <t xml:space="preserve">Катерина Гончар </t>
  </si>
  <si>
    <t xml:space="preserve">була хвора </t>
  </si>
  <si>
    <t xml:space="preserve">DA_JUN_1y_85_28_12_23 (2) </t>
  </si>
  <si>
    <t>тема 8:  Створення хайлайтів</t>
  </si>
  <si>
    <t>Через погане самопочуття</t>
  </si>
  <si>
    <t>MATH_4с_1_13_02_24</t>
  </si>
  <si>
    <t>2 Вчимося працювати в Jamboard. Розвивальні завдання.</t>
  </si>
  <si>
    <t xml:space="preserve">Гук Надія </t>
  </si>
  <si>
    <t>Сьогодні отримую диплом про другу вищу освіту (освітній менеджмент) - офіційне вручення дипломів + дорога, не встигаю повернутися до заняття</t>
  </si>
  <si>
    <t>GoITeens_UA_DA_JUN_1y_59</t>
  </si>
  <si>
    <t>20. Конфлікти</t>
  </si>
  <si>
    <t>Юлія Дмитренко</t>
  </si>
  <si>
    <t>Була в потязі в цей час.</t>
  </si>
  <si>
    <t xml:space="preserve">UA_DA_1y_24_23 (1 підгрупа) </t>
  </si>
  <si>
    <t>які є стилі веб дизайну</t>
  </si>
  <si>
    <t>"які бувають види сайтів"</t>
  </si>
  <si>
    <t>Вероніка Полосмак</t>
  </si>
  <si>
    <t>UA_FE_1y_8_23 (1підгрупа)</t>
  </si>
  <si>
    <t>як запам'ятовувати все, частина 2</t>
  </si>
  <si>
    <t>Маліюк Анастасія</t>
  </si>
  <si>
    <t>міні проект розробка сайта кейс</t>
  </si>
  <si>
    <t>Катерина Рибалченко</t>
  </si>
  <si>
    <t>міні проект розробка сайта анімація</t>
  </si>
  <si>
    <t>Рибалченко Катерина</t>
  </si>
  <si>
    <t>24.Реєстрація на платформах</t>
  </si>
  <si>
    <t>UA_Da_1y_4_23</t>
  </si>
  <si>
    <t>Міні проект рощробка сайта</t>
  </si>
  <si>
    <t>GD_1y_39_20_01_24 (1)</t>
  </si>
  <si>
    <t>5 Тайм-менеджмент. Ефективний розподіл свого часу</t>
  </si>
  <si>
    <t>Ілля Серафімов</t>
  </si>
  <si>
    <t>Захворів. Мав надію, що таки зможу провести урок, але геть зліг з температурою.</t>
  </si>
  <si>
    <t>DA_1y_59_21_10_23 (1 Підгрупа)</t>
  </si>
  <si>
    <t>17 Сильні та слабкі сторони особистості</t>
  </si>
  <si>
    <t xml:space="preserve">Шейкіна Поліна </t>
  </si>
  <si>
    <t>GoITeens_UA_DA_JUN_1y_64_04_11_23</t>
  </si>
  <si>
    <t>18 Саморегуляція</t>
  </si>
  <si>
    <t>через хворобу</t>
  </si>
  <si>
    <t>GoITeens_UA_MINE_KIDS_1y_9_23 (4 група)</t>
  </si>
  <si>
    <t>88 Тауерський міст</t>
  </si>
  <si>
    <t>GoITeens_UA_DA_JUN_1y_89_12_01_24</t>
  </si>
  <si>
    <t>6 - Створення розповідей та дописів для Instagram</t>
  </si>
  <si>
    <t>Аглія</t>
  </si>
  <si>
    <t>Я хворіла, складно було вести всі групи, для частини своїх груп взяла заміни</t>
  </si>
  <si>
    <t>2 підгрупа DA_JUN_1y_90_14_01_24</t>
  </si>
  <si>
    <t xml:space="preserve"> 5 заняття  Підготовка до проєкту </t>
  </si>
  <si>
    <t>Боретська Софія</t>
  </si>
  <si>
    <t>Пропав домашній інтернет</t>
  </si>
  <si>
    <t>Семестровий проект WIX</t>
  </si>
  <si>
    <t>Олеся Григорʼєва</t>
  </si>
  <si>
    <t xml:space="preserve">В дорозі </t>
  </si>
  <si>
    <t>JUN_ 62_30_10_23</t>
  </si>
  <si>
    <t xml:space="preserve">Створення Календаря </t>
  </si>
  <si>
    <t xml:space="preserve">Олеся Григорʼєва </t>
  </si>
  <si>
    <t>GoITeens_UA_MINE_KIDS_1y_20_23 (3 група)</t>
  </si>
  <si>
    <t>77, Кулінарія + міні-проєкт</t>
  </si>
  <si>
    <t xml:space="preserve">Відрядження </t>
  </si>
  <si>
    <t>29. Закріплення</t>
  </si>
  <si>
    <t>Термінова зустріч з приводу навчання</t>
  </si>
  <si>
    <t>GoITeens_UA_ART_JUN_1y_1_19_12_23 - 1 група</t>
  </si>
  <si>
    <t xml:space="preserve">8 ,Модельєри </t>
  </si>
  <si>
    <t xml:space="preserve">Наталія Федаш </t>
  </si>
  <si>
    <t>2га</t>
  </si>
  <si>
    <t>MINE_1y_64_30_09_23 (2)</t>
  </si>
  <si>
    <t>Проходи по лабіринту</t>
  </si>
  <si>
    <t>їду навідувати маму в лікарні</t>
  </si>
  <si>
    <t>GoITeens_UA_KIDS_1y_53_23_Group 1</t>
  </si>
  <si>
    <t>23 "гра футбол для двох гравців"</t>
  </si>
  <si>
    <t>Веретенніков Владислав</t>
  </si>
  <si>
    <t xml:space="preserve">Стан здоров'я, хвороба </t>
  </si>
  <si>
    <t>Підземний торговий центр</t>
  </si>
  <si>
    <t>GoITeens_UA_MINE_KIDS_1y_31_13_07_26</t>
  </si>
  <si>
    <t>42 Структурні блоки</t>
  </si>
  <si>
    <t>12, елементи інтерфейсу користувача (UI)</t>
  </si>
  <si>
    <t>Ліля ?</t>
  </si>
  <si>
    <t xml:space="preserve">Стан здоровʼя, майже повністю відсутній голос та інші симптоми </t>
  </si>
  <si>
    <t>DA_JUN_1y_95_25_01_24</t>
  </si>
  <si>
    <t>2, софт і хард скілз</t>
  </si>
  <si>
    <t xml:space="preserve">GoITeens_UA_DA_JUN_1y_76_05_12_23 </t>
  </si>
  <si>
    <t>9, підготовка до міні-проєкту</t>
  </si>
  <si>
    <t>GoITeens_UA_PYTHON_1y_31_12_12_23</t>
  </si>
  <si>
    <t xml:space="preserve">9, концентрація та увага </t>
  </si>
  <si>
    <t>сімейні обставини, на постійній основі віддала, бо незручний час</t>
  </si>
  <si>
    <t xml:space="preserve">GoITeens_UA_DA_JUN_1y_22_23_(3 </t>
  </si>
  <si>
    <t>GoITeens_UA_MINE_1y_95_22_12_23</t>
  </si>
  <si>
    <t>6, мрії та мапа бажань</t>
  </si>
  <si>
    <t>10, скрінкасти</t>
  </si>
  <si>
    <t>Погане сампочуття.</t>
  </si>
  <si>
    <t>9. Увага та вміння концентруватися</t>
  </si>
  <si>
    <t>Погане самопочуття.</t>
  </si>
  <si>
    <t>GoITeens_UA_MATH_3с_1_13_02_24</t>
  </si>
  <si>
    <t>4. Дія віднімання та її компоненти.</t>
  </si>
  <si>
    <t>UA_DA_1y_24_23</t>
  </si>
  <si>
    <t>Які бувають види сайтів</t>
  </si>
  <si>
    <t>GoITeens_UA_DA_1y_46_26_09_23</t>
  </si>
  <si>
    <t>37 - Сітка</t>
  </si>
  <si>
    <t>Я хворіла, голос сів</t>
  </si>
  <si>
    <t>GoITeens_UA_DA_JUN_1y_60_25_10_23 - 2 група (Діти)</t>
  </si>
  <si>
    <t>18 - Семестровий проєкт (Оформлення Інстаграм )</t>
  </si>
  <si>
    <t>Олександра Григор'єва</t>
  </si>
  <si>
    <t>Я захворіла, сів голос</t>
  </si>
  <si>
    <t>GoITeens_UA_DA_1y_77_21_12_23</t>
  </si>
  <si>
    <t>Юлія Бондар</t>
  </si>
  <si>
    <t>Затримали на навчанні</t>
  </si>
  <si>
    <t xml:space="preserve"> GoITeens_UA_MINE_1y_28_23</t>
  </si>
  <si>
    <t>30 Як зробити хорошу презентацію</t>
  </si>
  <si>
    <t>Через хворобу</t>
  </si>
  <si>
    <t xml:space="preserve">GoITeens_UA_MINE_1y_84_25_11_23 </t>
  </si>
  <si>
    <t>14 Розвиток  мислення  Пам'ять</t>
  </si>
  <si>
    <t>GoITeens_UA_DA_1y_38_2 (2 підгрупа)</t>
  </si>
  <si>
    <t>45 Розробка власного бренда</t>
  </si>
  <si>
    <t>DA_1y_55_25_10_23(студенти)</t>
  </si>
  <si>
    <t>Урок 1. Основи в іллюстраторі</t>
  </si>
  <si>
    <t>GoITeens_UA_MINE_1y_106_31_01_24 (1 група)</t>
  </si>
  <si>
    <t>4  Вчимося працювати в джамборд</t>
  </si>
  <si>
    <t>Їду домовлятися за дистанційну практику в цей час</t>
  </si>
  <si>
    <t>25 Конфлікти</t>
  </si>
  <si>
    <t>Anastasiia Savchyn</t>
  </si>
  <si>
    <t>31 Soft &amp; Hard skills</t>
  </si>
  <si>
    <t xml:space="preserve">GoITeens_UA_FE_1y_34_08_11_23 </t>
  </si>
  <si>
    <t>Хто такі Тінейджери</t>
  </si>
  <si>
    <t>GoITeens_UA_DA_JUN_1y_94_23_01_24</t>
  </si>
  <si>
    <t>5  «Світ ІТ»</t>
  </si>
  <si>
    <t>GoITeens_UA_ART_KIDS_1y_6_25_12_23 3 підгрупа</t>
  </si>
  <si>
    <t xml:space="preserve">10, смайлики </t>
  </si>
  <si>
    <t xml:space="preserve"> Наталія Федаш </t>
  </si>
  <si>
    <t xml:space="preserve">Ольга Смотрова </t>
  </si>
  <si>
    <t xml:space="preserve">відсутність світла </t>
  </si>
  <si>
    <t>UA_DA_JUN_1y_73_28_11_23</t>
  </si>
  <si>
    <t xml:space="preserve">#14 Оформлення презентації </t>
  </si>
  <si>
    <t>Технічний момент, не матиму світла та інтернету через ремонт на лінії у час заняття. Коли немає світла, не маю і мобільного інтернету, тому краще заміна, чем переносити заняття на пізно увечері. Це моя перша заміна, заміняла інших кілька разів.</t>
  </si>
  <si>
    <t>KIDS_1y_74_02_11_23</t>
  </si>
  <si>
    <t>19 тема. Гра "Сита ферма"</t>
  </si>
  <si>
    <t>За станом здоровʼя</t>
  </si>
  <si>
    <t>KIDS_1y_85_28_11_23(2 підгр)</t>
  </si>
  <si>
    <t>15 тема "Загублена літера А"</t>
  </si>
  <si>
    <t>Каріна Пайдик</t>
  </si>
  <si>
    <t>DA_1y_20_23 (1)</t>
  </si>
  <si>
    <t>14. Фігма, міні-проєкт ( створення сайту 1 частина )</t>
  </si>
  <si>
    <t>Їду в інше місто</t>
  </si>
  <si>
    <t>GoITeens_UA_ROB_1y_79_26_12_23</t>
  </si>
  <si>
    <t>Ольга Івашура</t>
  </si>
  <si>
    <t>GoITeens_UA_MINE_1y_54_28_08_23_2 підгрупа</t>
  </si>
  <si>
    <t xml:space="preserve">21. Підготовка до власних проектів </t>
  </si>
  <si>
    <t xml:space="preserve">Нурієва Валерія </t>
  </si>
  <si>
    <t>Зміна графіку на основній роботі, не зможу вести заняття в цей день :((((</t>
  </si>
  <si>
    <t xml:space="preserve">  Підгрупа 2 GoITeens_UA_ART_JUN_1y_1_08_02_24</t>
  </si>
  <si>
    <t>Ольга Смотрова</t>
  </si>
  <si>
    <t xml:space="preserve">Треба до нотаріуса </t>
  </si>
  <si>
    <t>1. Стандартна обробка фото</t>
  </si>
  <si>
    <t>Дарія Кобильська</t>
  </si>
  <si>
    <t>21. Компліменти і впевненість</t>
  </si>
  <si>
    <t>Дарʼя Куць</t>
  </si>
  <si>
    <t>Я була в дорозі в цей час</t>
  </si>
  <si>
    <t>GoITeens_UA_MINE_1y_52_19_08_23_1підгрупа</t>
  </si>
  <si>
    <t>16 лабіринт мінотавра</t>
  </si>
  <si>
    <t xml:space="preserve">Гаврилюк Микита Валентинович </t>
  </si>
  <si>
    <t>Анна Оджиковська, Ann Odzhykovska</t>
  </si>
  <si>
    <t xml:space="preserve">Вимкнення світла </t>
  </si>
  <si>
    <t xml:space="preserve">GoITeens_UA_MINE_1y_59_12_09_23_(2) </t>
  </si>
  <si>
    <t>25 Презентація проєктів</t>
  </si>
  <si>
    <t>Проблеми із здоров'ям</t>
  </si>
  <si>
    <t>GoITeens_UA_MINE_1y_55_29_08_23</t>
  </si>
  <si>
    <t>25. Після захисту проєкту</t>
  </si>
  <si>
    <t xml:space="preserve">GoITeens_UA_MINE_1y_69_17_10_23 </t>
  </si>
  <si>
    <t>20. Що я відчуваю</t>
  </si>
  <si>
    <t xml:space="preserve">Микитюк Анастасія </t>
  </si>
  <si>
    <t>GoITeens_UA_FE_JUN_1y_9_23</t>
  </si>
  <si>
    <t xml:space="preserve">10. Як покращити продуктивність </t>
  </si>
  <si>
    <t xml:space="preserve">21. Компліменти та впевненість </t>
  </si>
  <si>
    <t xml:space="preserve"> №5 тайм-менеджмент. Ефективний розподіл свого часу</t>
  </si>
  <si>
    <t>Весілля подруги.</t>
  </si>
  <si>
    <t>GoITeens_UA_DA_JUN_1y_59(2 підгр)</t>
  </si>
  <si>
    <t>22. Ненасильницьке спілкування</t>
  </si>
  <si>
    <t>Yuliia Dmytrenko</t>
  </si>
  <si>
    <t>Взяла декілька замін, оскільки зараз у відпустці в іншій країні</t>
  </si>
  <si>
    <t>MINE_1y_59_12_09_23 (1 підгрупа)</t>
  </si>
  <si>
    <t>29. Основні помилки в презентації</t>
  </si>
  <si>
    <t>Юля Костюк</t>
  </si>
  <si>
    <t xml:space="preserve">   </t>
  </si>
  <si>
    <t>ROB_1y_43_05_09_23 (3 підгрупа)</t>
  </si>
  <si>
    <t>Олексій Дмитриєвський</t>
  </si>
  <si>
    <t xml:space="preserve">    </t>
  </si>
  <si>
    <t>Math_Teens_1y_1_16_12_23 (2 підгрупа)</t>
  </si>
  <si>
    <t>25 Основна властивість раціонального дробу</t>
  </si>
  <si>
    <t>Вікторія Матяш</t>
  </si>
  <si>
    <t>Разові змагання, які перенесли в останній момент на дату, до якої готовий не був</t>
  </si>
  <si>
    <t>KIDS_1y_86_06_12_23</t>
  </si>
  <si>
    <t>Пропав голос</t>
  </si>
  <si>
    <t>№18, NPS та вивантаження проєкту.</t>
  </si>
  <si>
    <t>Занедужала.</t>
  </si>
  <si>
    <t>Тема: Як зробити хорошу презентацію?</t>
  </si>
  <si>
    <t>Відсутність потрібної техніки</t>
  </si>
  <si>
    <t>Як стати класним другом</t>
  </si>
  <si>
    <t>конфлікти і переговори</t>
  </si>
  <si>
    <t>DA_1Y_82_17_01_24</t>
  </si>
  <si>
    <t>14. Типографіка (частина 2)</t>
  </si>
  <si>
    <t>Дарина Примак</t>
  </si>
  <si>
    <t>Kateryna Voit</t>
  </si>
  <si>
    <t>Math_Junior_1_17_02_24 (1 група)</t>
  </si>
  <si>
    <t>5 Розв'язування на додавання, віднімання, множення</t>
  </si>
  <si>
    <t>Шендюх Тетяна Василівна</t>
  </si>
  <si>
    <t>Тетяна Шуленко</t>
  </si>
  <si>
    <t>Захворіла дитина</t>
  </si>
  <si>
    <t>79. Міні проєкт. Розробка сайта (2 частина)</t>
  </si>
  <si>
    <t>Полякова Альбіна Вадимівна</t>
  </si>
  <si>
    <t>GoITeens_UA_ROB_1y_90_31_01_24</t>
  </si>
  <si>
    <t>5 Світ ІТ</t>
  </si>
  <si>
    <t>14, критичне мислення</t>
  </si>
  <si>
    <t>33. Робота з кольором в Adobe Lightroom</t>
  </si>
  <si>
    <t>форс мажор, не встигатиму по часу</t>
  </si>
  <si>
    <t>Смайлики 9</t>
  </si>
  <si>
    <t xml:space="preserve">Ірина Васільєва </t>
  </si>
  <si>
    <t>Потрапила в Лікарню</t>
  </si>
  <si>
    <t>ROB_1y_64_13_11_23</t>
  </si>
  <si>
    <t xml:space="preserve">Прихворіла 
</t>
  </si>
  <si>
    <t>DA_JUN_1y_27_23</t>
  </si>
  <si>
    <t>15 Презентація наших робіт</t>
  </si>
  <si>
    <t>Прихворіла</t>
  </si>
  <si>
    <t>14 Хто я? — Тінейджер!</t>
  </si>
  <si>
    <t xml:space="preserve">Прихворіла </t>
  </si>
  <si>
    <t>GoITeens_UA__DA_1y_8_28_02_24</t>
  </si>
  <si>
    <t>2 "Що таке Soft Skills?"</t>
  </si>
  <si>
    <t>Поліна Ляшенко</t>
  </si>
  <si>
    <t>Yulia Sadova</t>
  </si>
  <si>
    <t>Зараз у відпустці, часто в дорозі не маю звʼязку</t>
  </si>
  <si>
    <t>GoITeens_UA_DA_JUN_1y_59 (2 подгруп)</t>
  </si>
  <si>
    <t>23. Підготовка до проекту</t>
  </si>
  <si>
    <t>DA_JUN_1Y_96_27_01_24</t>
  </si>
  <si>
    <t>Анастасія Коваль</t>
  </si>
  <si>
    <t>Вікторія vika.k.07042006@gmail.com</t>
  </si>
  <si>
    <t xml:space="preserve">Буду в цей день у іншому місті по важливим справам, не зможу провести заняття </t>
  </si>
  <si>
    <t>DA_JUN_1y_85_28_12_23 (2)</t>
  </si>
  <si>
    <t xml:space="preserve">Мірошникова Рената </t>
  </si>
  <si>
    <t>Що таке цінності?</t>
  </si>
  <si>
    <t>DA_LIGHT_1_25_11_23</t>
  </si>
  <si>
    <t>“14. Типографіка (частина 2)“</t>
  </si>
  <si>
    <t xml:space="preserve">Kateryna Voit </t>
  </si>
  <si>
    <t>(1)UA_DA_JUN_1y_54_07_10_23</t>
  </si>
  <si>
    <t>Арт-обробка фото</t>
  </si>
  <si>
    <t>@Baka_Shinjiiii</t>
  </si>
  <si>
    <t>буду не в місті</t>
  </si>
  <si>
    <t>Тема 8 Інтелект-мапи</t>
  </si>
  <si>
    <t>Ілля Серафімов bozhevilnuy@gmail.com</t>
  </si>
  <si>
    <t>Марія Костяк mariak9908@gmail.com</t>
  </si>
  <si>
    <t>Сімейні обставини. Батько на добу приїзжає з фронту, декілька місяців не бачились, хочу провести з ним час</t>
  </si>
  <si>
    <t>ROB_1y_50_30_09_23 (1)</t>
  </si>
  <si>
    <t>24, Критичне мислення</t>
  </si>
  <si>
    <t>Буду в дорозі на потяг і не встигаю провести заняття.</t>
  </si>
  <si>
    <t>9. Увага, вміння концентруватися</t>
  </si>
  <si>
    <t>Роман Мельніков</t>
  </si>
  <si>
    <t>ROB_1y_57_21_10_23 (2 підгрупа)</t>
  </si>
  <si>
    <t>24 Етикет</t>
  </si>
  <si>
    <t>У мене зник голос, дуже тяжко говорити. На заміні викладачка для них вже знайома, тому проблем не виникне і група маленька. ТЛ не писала, бо вже не робочий час</t>
  </si>
  <si>
    <t xml:space="preserve">GoITeens_UA_ DA_1y_85_27_01_24 </t>
  </si>
  <si>
    <t>Дуже погане самопочуття, голос пропав</t>
  </si>
  <si>
    <t>6 Тайм менеджмент частина 2</t>
  </si>
  <si>
    <t>71 Тема - довільна, ми вжи вичерпали всі теми зі старої програми</t>
  </si>
  <si>
    <t>Група - (батьки 2підгрупа) GoITeens_UA_MINE_1y_28_23</t>
  </si>
  <si>
    <t xml:space="preserve">№42 Автономне житло </t>
  </si>
  <si>
    <t xml:space="preserve">Люпій Анастасія </t>
  </si>
  <si>
    <t>Йду на концерт, попереджала завчасно ☺️</t>
  </si>
  <si>
    <t>36. Проект Оформлення інстаграм</t>
  </si>
  <si>
    <t>Форм мажор. Відмінили мою поїздку. Тому потрібно їхати раніше потягом додому.</t>
  </si>
  <si>
    <t>Маю поїхати в інше місто (за сімейними обставинами)</t>
  </si>
  <si>
    <t>GoITeens_UA_DA_JUN_1y_67_10_11_23</t>
  </si>
  <si>
    <t xml:space="preserve">№18 «Семестровий проєкт» </t>
  </si>
  <si>
    <t xml:space="preserve">GoITeens_UA_DA_JUN_1y_52_30_09_23 </t>
  </si>
  <si>
    <t xml:space="preserve"> 24 Інтро-лого для Ютуб у Canva</t>
  </si>
  <si>
    <t>16 Розробка брошур</t>
  </si>
  <si>
    <t>Курси з проф. підготовки, після цього ми перенесли час занять у групі. Аня погодила :)</t>
  </si>
  <si>
    <t xml:space="preserve">GoITeens_UA_DA_JUN_1y_59_24_10_23 </t>
  </si>
  <si>
    <t>№21 «Стандартна обробка фото»</t>
  </si>
  <si>
    <t>Хворію(((</t>
  </si>
  <si>
    <t>GoITeens_UA_DA_JUN_1y_76_05_12_23</t>
  </si>
  <si>
    <t xml:space="preserve">№15 Чек-лист </t>
  </si>
  <si>
    <t>Хворію(</t>
  </si>
  <si>
    <t>Мої сильні та слабкі сторони особистості</t>
  </si>
  <si>
    <t xml:space="preserve"> GoITeens_UA_DA_JUN_1y_67_10_11_23</t>
  </si>
  <si>
    <t>24 Презентація проектів</t>
  </si>
  <si>
    <t>Не встигла на заняття, бо була в дорозі</t>
  </si>
  <si>
    <t>25 Ненасильницьке спілкування</t>
  </si>
  <si>
    <t>Марина Кривошия</t>
  </si>
  <si>
    <t>ROB_1y_57_21_10_23</t>
  </si>
  <si>
    <t xml:space="preserve">22 Компліменти та впевненість </t>
  </si>
  <si>
    <t>Буду в місці де жахливий інтернет, може сильно зависати</t>
  </si>
  <si>
    <t>№27 Знайомство з програмою Adobe Lightroom</t>
  </si>
  <si>
    <t>Похід на концерт</t>
  </si>
  <si>
    <t>Канали та акведуки 18</t>
  </si>
  <si>
    <t xml:space="preserve">Микита Гаврилюк </t>
  </si>
  <si>
    <t xml:space="preserve">Зміна основного виду діяльності </t>
  </si>
  <si>
    <t>GoITeens_UA_FE_1y_22_07_08_23</t>
  </si>
  <si>
    <t>32 - 7 звичок високоефективних підлітків</t>
  </si>
  <si>
    <t>№80 "Подорож до Києва"</t>
  </si>
  <si>
    <t>Lupii Anastasiia</t>
  </si>
  <si>
    <t>DA 1y29</t>
  </si>
  <si>
    <t>Сітки в Фігма</t>
  </si>
  <si>
    <t>Помагаєв Костя</t>
  </si>
  <si>
    <t>стан здоровя</t>
  </si>
  <si>
    <t>Math_Junior_1y_1_17_02_24 (1 група)</t>
  </si>
  <si>
    <t>11 "Числові вирази. Буквені вирази та формули"</t>
  </si>
  <si>
    <t>Немаю можливості продовжувати працювати</t>
  </si>
  <si>
    <t>43 - Анімаційні іконки</t>
  </si>
  <si>
    <t>Віуторія Косточка</t>
  </si>
  <si>
    <t>34 - Брендова продукція</t>
  </si>
  <si>
    <t>1y29-2</t>
  </si>
  <si>
    <t>Сітки у Фігма, 20-03 - Маски</t>
  </si>
  <si>
    <t>Кучер</t>
  </si>
  <si>
    <t>1-2</t>
  </si>
  <si>
    <t>jun 1y29</t>
  </si>
  <si>
    <t>35 Розробка бренду</t>
  </si>
  <si>
    <t>Погрібний</t>
  </si>
  <si>
    <t>у цій групі 1</t>
  </si>
  <si>
    <t>DA_1y_55_25_10_23</t>
  </si>
  <si>
    <t>21 Особисті кордони</t>
  </si>
  <si>
    <t>Денис Захарчук</t>
  </si>
  <si>
    <t>Викладач захворів</t>
  </si>
  <si>
    <t>37. Сітка (Adobe Illustrator)</t>
  </si>
  <si>
    <t>погане самопочуття(</t>
  </si>
  <si>
    <t>26 Критичне мислення</t>
  </si>
  <si>
    <t>Reznichenco Liliya</t>
  </si>
  <si>
    <t>ROB_1y_87_20_01_24</t>
  </si>
  <si>
    <t>№10. Тема: Вчимося вчитися. Інструменти роботи в ІТ</t>
  </si>
  <si>
    <t>Марія Петричук</t>
  </si>
  <si>
    <t>Відсутність світла та інтернету.</t>
  </si>
  <si>
    <t>10. Як запам'ятовувати все, методи запам'ятовування інформації</t>
  </si>
  <si>
    <t>ГРВІ</t>
  </si>
  <si>
    <t>32. Закріплення 33. Програмні помічники</t>
  </si>
  <si>
    <t xml:space="preserve">GoITeens_UA_DA_1y_75_16_12_23 </t>
  </si>
  <si>
    <t>14. Хто я? - Тінейджер!</t>
  </si>
  <si>
    <t>17. Мої сильні та слабкі сторони особистості</t>
  </si>
  <si>
    <t>29. Головні риси успішних людей</t>
  </si>
  <si>
    <t xml:space="preserve"> GoITeens_UA_DA_1y_82_17_01_24 </t>
  </si>
  <si>
    <t>DA_1y_44_23 (1 група )</t>
  </si>
  <si>
    <t>25 - Типографіка з ефектами</t>
  </si>
  <si>
    <t>Daria Bihun</t>
  </si>
  <si>
    <t>Motion_1y_2_24_02_24</t>
  </si>
  <si>
    <t>Ксенія Кабзанова</t>
  </si>
  <si>
    <t xml:space="preserve">Тимур Чернов </t>
  </si>
  <si>
    <t xml:space="preserve">Відсутність електроенергії та зв'язку </t>
  </si>
  <si>
    <t>Відсутність електроенергії та зв'язку</t>
  </si>
  <si>
    <t>ROB_1y_1_03_02_24 (2 група)</t>
  </si>
  <si>
    <t>8. Готуємось до проєкту</t>
  </si>
  <si>
    <t>не встигла дістатись додому</t>
  </si>
  <si>
    <t>KIDS_1Y_57_26_10_23</t>
  </si>
  <si>
    <t>тема «Механізм. Ракета» Урок 40</t>
  </si>
  <si>
    <t xml:space="preserve">Mykyta Zuber   </t>
  </si>
  <si>
    <t xml:space="preserve"> тема «Космічна станція» Урок 41</t>
  </si>
  <si>
    <t>GoITeens_UA_DA_1y_61_04_11_23</t>
  </si>
  <si>
    <t>Моє Оточення</t>
  </si>
  <si>
    <t xml:space="preserve">Yuliia Rudenko </t>
  </si>
  <si>
    <t>Пропав голос, прийшлось брати заміни на багато уроків</t>
  </si>
  <si>
    <t>GoITeens_UA_DA_JUN_1y_52_30_09_23</t>
  </si>
  <si>
    <t>27 Motion Designer</t>
  </si>
  <si>
    <t>Наталя Гусарська</t>
  </si>
  <si>
    <t>GoITeens_UA_DA_1y_82_17_01_24</t>
  </si>
  <si>
    <t>10. Як запам'ятовувати все. Методи запам'ятовування інформації</t>
  </si>
  <si>
    <t>Юлія Пустова</t>
  </si>
  <si>
    <t>DA_1y_79_27_12_23</t>
  </si>
  <si>
    <t>27. Знайомство з програмою Adobe Lightroom</t>
  </si>
  <si>
    <t xml:space="preserve">Несправність пк </t>
  </si>
  <si>
    <t>GoITeens_UA_DA_1y_43_20_09_23</t>
  </si>
  <si>
    <t>29. Як знайти своє хобі?</t>
  </si>
  <si>
    <t xml:space="preserve">Чех Роман </t>
  </si>
  <si>
    <t xml:space="preserve">36 Закріплення </t>
  </si>
  <si>
    <t xml:space="preserve">Завальна Юлія </t>
  </si>
  <si>
    <t xml:space="preserve">Технічна несправність ПК, на сервісному обслуговуванні. +Погане самопочуття через захворювання </t>
  </si>
  <si>
    <t>GoITeens_UA_DA_1y_56_27_10_23</t>
  </si>
  <si>
    <t>44. Міні-проект: Верстка книги і обробка фото в одному стилі</t>
  </si>
  <si>
    <t>Поїдка</t>
  </si>
  <si>
    <t xml:space="preserve">7 Мрії та мапа бажань </t>
  </si>
  <si>
    <t>ПК на сервісному обслуговуванні а також Хворію.</t>
  </si>
  <si>
    <t>MINE_1y_11_15_03_24 (1 підгрупа)</t>
  </si>
  <si>
    <t>№2. Soft and hard skills</t>
  </si>
  <si>
    <t>DA_1y_55_25_10_23 cтуденти</t>
  </si>
  <si>
    <t>Важлива подія</t>
  </si>
  <si>
    <t>GoITeens_UA_MATH_3с_16_27_01_24</t>
  </si>
  <si>
    <t>16 тема: "Знаходження невідомого множника.Визначення часу за годинником.Час.Квартал."</t>
  </si>
  <si>
    <t>в звязку зі станом здоров'я</t>
  </si>
  <si>
    <t>PYTHON_1y_22_25_09_23 (2 підгрупа)</t>
  </si>
  <si>
    <t>25. Підготовка до проекту 1</t>
  </si>
  <si>
    <t xml:space="preserve">Погане самопочуття, зник голос, з ТЛ обговорено </t>
  </si>
  <si>
    <t>DA_1y_64_13_11_23 (1 група)</t>
  </si>
  <si>
    <t>21. Особисті межі</t>
  </si>
  <si>
    <t>Євгенія Єфременко</t>
  </si>
  <si>
    <t>GD_1y_32_27_11_23</t>
  </si>
  <si>
    <t>19. Переконання , стереотипи</t>
  </si>
  <si>
    <t>2 Увага, вміння концентруватися</t>
  </si>
  <si>
    <t xml:space="preserve">Руденко Юлія </t>
  </si>
  <si>
    <t>31. Бакет ліст</t>
  </si>
  <si>
    <t>Проблеми з ноутбуком</t>
  </si>
  <si>
    <t>11. Як швидко та ефективно читати, як запам'ятовувати тексти</t>
  </si>
  <si>
    <t>№24. Тема: Підсумкове заняття модулю - Я пізнаю себе</t>
  </si>
  <si>
    <t>Петрчук Марія</t>
  </si>
  <si>
    <t>Відсутність викладача у зв'язку зі змаганнями з гандболу (Кубок України).</t>
  </si>
  <si>
    <t>DA_1y_66_18_11_23</t>
  </si>
  <si>
    <t>№20. Тема: Як знайти своє хобі?</t>
  </si>
  <si>
    <t>Відсутність викладача у зв'язку зі змаганнями з гандболу (Кубок України)</t>
  </si>
  <si>
    <t>№22. Тема: Турбота про себе</t>
  </si>
  <si>
    <t>GoITeens_UA_DA_JUN_1y_9_27_02_24</t>
  </si>
  <si>
    <t xml:space="preserve">5. Готуємося до проекту </t>
  </si>
  <si>
    <t xml:space="preserve">Дегтяр Альона Павлівна </t>
  </si>
  <si>
    <t xml:space="preserve">Не було світла в Харкові </t>
  </si>
  <si>
    <t>     GoITeens_UA_DA_1y_72_05_12_23</t>
  </si>
  <si>
    <t xml:space="preserve">17. Мої сильні та слабкі сторони </t>
  </si>
  <si>
    <t>A_MINE_1y_40_12_07_25</t>
  </si>
  <si>
    <t>39 Повторення.Вчимося робити скріншоти</t>
  </si>
  <si>
    <t>MINE_1y_38_04_07_23</t>
  </si>
  <si>
    <t>40 Скрінкасти.Як записати те що зробив</t>
  </si>
  <si>
    <t>Danylo Ohiienko</t>
  </si>
  <si>
    <t>12 «Скрінкасти. Як записати те, що зробив»</t>
  </si>
  <si>
    <t>Савченко Дарʼя</t>
  </si>
  <si>
    <t>Візит до лікаря</t>
  </si>
  <si>
    <t xml:space="preserve">GoITeens_UA_MINE_1y_24_23		</t>
  </si>
  <si>
    <t>16 «Як мотивувати себе та інших?»</t>
  </si>
  <si>
    <t>Савчекно Дарʼя</t>
  </si>
  <si>
    <t>27 Презентація проєктів</t>
  </si>
  <si>
    <t>За 15 хвилин до початку уроку вимкнули світло в будинку.</t>
  </si>
  <si>
    <t>32 Розвиваємо аналітичне мислення</t>
  </si>
  <si>
    <t>Olha Ivashura</t>
  </si>
  <si>
    <t>GoITeens_UA_PYTHON_1y_32_20_12_23</t>
  </si>
  <si>
    <t>Тема 15: Комунікація з людьми</t>
  </si>
  <si>
    <t>Важлива зустріч, яку не можу перенести на інший час.</t>
  </si>
  <si>
    <t>44. Формування звичок</t>
  </si>
  <si>
    <t xml:space="preserve">Відʼїзд </t>
  </si>
  <si>
    <t>29 «Креативність і як її розвивати»</t>
  </si>
  <si>
    <t>40 «Як обрати професію»</t>
  </si>
  <si>
    <t>DA_1y_3_10_02_24 (2 група)</t>
  </si>
  <si>
    <t>18 Анімація</t>
  </si>
  <si>
    <t>проблеми з інтернетом</t>
  </si>
  <si>
    <t>18. Анімація</t>
  </si>
  <si>
    <t>Вероніка Полосьмак</t>
  </si>
  <si>
    <t>У основного викладача проблеми з інтернетом</t>
  </si>
  <si>
    <t>46 - Семестровий проєкт</t>
  </si>
  <si>
    <t>Kostiuchenko Polina</t>
  </si>
  <si>
    <t>Вимкнули світло за 15 хвилин до початку заняття</t>
  </si>
  <si>
    <t>GoITeens_UA_DA_JUN_1y_6_21_02_24</t>
  </si>
  <si>
    <t>7 Розвиток мислення. Увага</t>
  </si>
  <si>
    <t>День народження у сина, боюсь не встигну повернутися до цього часу додому.</t>
  </si>
  <si>
    <t>30, світ ютуб та міні-проєкт</t>
  </si>
  <si>
    <t>GD_1y_8_27_03_24</t>
  </si>
  <si>
    <t>2 софт скіл</t>
  </si>
  <si>
    <t>Оксана Молчалова</t>
  </si>
  <si>
    <t xml:space="preserve">DA_JUN_ 62_30_10_23(1 підгр) </t>
  </si>
  <si>
    <t xml:space="preserve">22 Арт обробка </t>
  </si>
  <si>
    <t xml:space="preserve">Хруленко Єлизавета </t>
  </si>
  <si>
    <t>26. Motion Designer і як ним стати. Розвиваємо аналітичне мислення</t>
  </si>
  <si>
    <t>Була термінова зустріч по роботі</t>
  </si>
  <si>
    <t>GoITeens_UA_DA_1y_24_23</t>
  </si>
  <si>
    <t>40. Як обрати професію</t>
  </si>
  <si>
    <t>вимкнули світло</t>
  </si>
  <si>
    <t>28 Креативність</t>
  </si>
  <si>
    <t>Буду в дорозі в цей час</t>
  </si>
  <si>
    <t>29 Основні помилки в презентації</t>
  </si>
  <si>
    <t>(батьки 2підгрупа) GoITeens_UA_MINE_1y_28_23</t>
  </si>
  <si>
    <t>№46. Самостійна робота над проектами</t>
  </si>
  <si>
    <t>Юлія Кравченко</t>
  </si>
  <si>
    <t>форс мажор на основній роботі</t>
  </si>
  <si>
    <t>GoITeens_UA_DA_1y_1_01_02_24</t>
  </si>
  <si>
    <t>21. Ресайз банерів частина 2</t>
  </si>
  <si>
    <t xml:space="preserve">Карплюк Юлія </t>
  </si>
  <si>
    <t>UA_DA_1y_65_16_11_23 (2</t>
  </si>
  <si>
    <t>42. Розробка іконок. Частина 2</t>
  </si>
  <si>
    <t>їду на відпочинок)</t>
  </si>
  <si>
    <t>MOTION_DESIGN_1y_4_09_04_24</t>
  </si>
  <si>
    <t>Моушн 1 сем_2 урок_Знайомство з програмою, основи роботи.</t>
  </si>
  <si>
    <t xml:space="preserve">Кулешов Іван </t>
  </si>
  <si>
    <t>Аня Балясова</t>
  </si>
  <si>
    <t xml:space="preserve">Немає світла. Нестабільність електромережі та з'єднання інтернету в Харкові. </t>
  </si>
  <si>
    <t>24 Презентація проєктів</t>
  </si>
  <si>
    <t>Ксенія Павлові</t>
  </si>
  <si>
    <t>Урок 32 Як цвіте кульбаба 2</t>
  </si>
  <si>
    <t xml:space="preserve">Боровко Римма </t>
  </si>
  <si>
    <t>Непередбачувані обставини (відрядження основна робота)</t>
  </si>
  <si>
    <t>GoITeens_UA_FE_1y_28_07_10_23 (2 підгрупа)</t>
  </si>
  <si>
    <t>28.  Постановка цілей</t>
  </si>
  <si>
    <t>Відсутність світла та зв'язку</t>
  </si>
  <si>
    <t>GoITeens_UA_DA_JUN_1y_40_22_08_23 (4)</t>
  </si>
  <si>
    <t>33 тема Брендовий одяг</t>
  </si>
  <si>
    <t xml:space="preserve">DA_2y_3_08_09_23 1 </t>
  </si>
  <si>
    <t>53.Розробка буклета. Частина 2</t>
  </si>
  <si>
    <t xml:space="preserve">48. Семестровий проект </t>
  </si>
  <si>
    <t xml:space="preserve">54. Дизайн продукції </t>
  </si>
  <si>
    <t xml:space="preserve">Клоченок Олександра </t>
  </si>
  <si>
    <t xml:space="preserve">37,38 Сітка. Види ефектів </t>
  </si>
  <si>
    <t xml:space="preserve">23. Банер. Єдиний стиль для власного Youtube- каналу </t>
  </si>
  <si>
    <t xml:space="preserve">Аліна Коврига </t>
  </si>
  <si>
    <t xml:space="preserve">DA_JUN_1y_51_26_09_23 </t>
  </si>
  <si>
    <t>27.Розробка рекламного банеру</t>
  </si>
  <si>
    <t>ROB_1y_65_14_11_23</t>
  </si>
  <si>
    <t>Саморегуляція</t>
  </si>
  <si>
    <t>Змагання з гандболу. Чемпіонат України. Суперліга</t>
  </si>
  <si>
    <t>Скрінкасти. Як записати те, що зробив</t>
  </si>
  <si>
    <t>GD_1y_25_21_10_23 (3)</t>
  </si>
  <si>
    <t>Підготовка до проєкту. Корегування текстів</t>
  </si>
  <si>
    <t>DA_1y_66_23 (1)</t>
  </si>
  <si>
    <t>Як зрозуміти, що я хочу від життя?</t>
  </si>
  <si>
    <t>Компліменти та впевненість</t>
  </si>
  <si>
    <t>MINE_1y_64_30_09_23 (3)</t>
  </si>
  <si>
    <t>Модуль 5. Семестровий проєкт. Як успішно представляти свої проєкти?</t>
  </si>
  <si>
    <t xml:space="preserve">DA_JUN_1y_36_08_08_23 </t>
  </si>
  <si>
    <t>Мокап для лого</t>
  </si>
  <si>
    <t>Лілія Іщенко</t>
  </si>
  <si>
    <t xml:space="preserve">DA_JUN_1y_47_19_09_23 </t>
  </si>
  <si>
    <t>Аналіз бренду</t>
  </si>
  <si>
    <t xml:space="preserve">Дарина Кириленко </t>
  </si>
  <si>
    <t>Постер свого бренду</t>
  </si>
  <si>
    <t xml:space="preserve">DA_JUN_24_23 </t>
  </si>
  <si>
    <t xml:space="preserve">49.Кінцевий проект сайт портфоліо» </t>
  </si>
  <si>
    <t>DA_2y_3_08_09_23 1 підгрупа</t>
  </si>
  <si>
    <t>55. Дизайн продукції. Частина 2</t>
  </si>
  <si>
    <t xml:space="preserve"> марія писаренко</t>
  </si>
  <si>
    <t xml:space="preserve">DA_2y_3_08_09_23 </t>
  </si>
  <si>
    <t>56. Створення Кейсу</t>
  </si>
  <si>
    <t xml:space="preserve">39,40 «Ефекти»; «Типографіка з ефектами» </t>
  </si>
  <si>
    <t>Войтенко  Катерина</t>
  </si>
  <si>
    <t>26. Зоопарк</t>
  </si>
  <si>
    <t>Кулібабіна Ганна</t>
  </si>
  <si>
    <t>Vlad Keller</t>
  </si>
  <si>
    <t xml:space="preserve">Складнощі зі співпрацею. Не підійшов підхід до учня. </t>
  </si>
  <si>
    <t xml:space="preserve">Activation Managers </t>
  </si>
  <si>
    <t>TeamLead AM</t>
  </si>
  <si>
    <t xml:space="preserve">Анастасія Лужанська
</t>
  </si>
  <si>
    <t>AM</t>
  </si>
  <si>
    <t>Юля Лошакова</t>
  </si>
  <si>
    <t>v.moskalenko@goiteens.global</t>
  </si>
  <si>
    <t>Ліна Сорочкіна</t>
  </si>
  <si>
    <t>Support Managers</t>
  </si>
  <si>
    <t>TeamLead SM групи 1</t>
  </si>
  <si>
    <t>Надія Виговська</t>
  </si>
  <si>
    <t>n.vyhovska@goiteens.global</t>
  </si>
  <si>
    <t xml:space="preserve">@nadiia_vyhovska
</t>
  </si>
  <si>
    <t>SM</t>
  </si>
  <si>
    <t>v.karapysh@goiteens.global</t>
  </si>
  <si>
    <t>Ярослава Жижневська</t>
  </si>
  <si>
    <t>https://t.me/yasyasyaaa</t>
  </si>
  <si>
    <t>https://t.me/Lysenko_Ivan26</t>
  </si>
  <si>
    <t>Водка Марія</t>
  </si>
  <si>
    <t xml:space="preserve">m.vodka@goiteens.global </t>
  </si>
  <si>
    <t>https://t.me/mariiavodka</t>
  </si>
  <si>
    <t>https://t.me/adlissss</t>
  </si>
  <si>
    <t>Анатолій Федорчук</t>
  </si>
  <si>
    <t>@BonBoleiro</t>
  </si>
  <si>
    <t>Тимочко Юрій</t>
  </si>
  <si>
    <t>y.tymochko@goiteens.global</t>
  </si>
  <si>
    <t>https://t.me/thejugo</t>
  </si>
  <si>
    <t>Анастасія Шпартюк</t>
  </si>
  <si>
    <t>a.shpartiuk@goiteens.global</t>
  </si>
  <si>
    <t>@a_a_1209</t>
  </si>
  <si>
    <t>Катерина Бабіна</t>
  </si>
  <si>
    <t>k.babina@goiteens.global</t>
  </si>
  <si>
    <t>https://t.me/katyakatherinaa</t>
  </si>
  <si>
    <t>TeamLead OM</t>
  </si>
  <si>
    <t xml:space="preserve">Вовченко Богдана </t>
  </si>
  <si>
    <t>@danavov (https://t.me/danavov)</t>
  </si>
  <si>
    <t>OM</t>
  </si>
  <si>
    <t>Теренкова Аліна</t>
  </si>
  <si>
    <t>@terenkova_a (https://t.me/terenkova_a)</t>
  </si>
  <si>
    <t xml:space="preserve">Бондаренко Ольга </t>
  </si>
  <si>
    <t>@Bond_Olha (https://t.me/Bond_Olha)</t>
  </si>
  <si>
    <t>Кучіна Валерія</t>
  </si>
  <si>
    <t>Анастасія Будз</t>
  </si>
  <si>
    <t xml:space="preserve">a.budz@goiteens.global
</t>
  </si>
  <si>
    <t>https://t.me/BudzNastya</t>
  </si>
  <si>
    <t>TeamLead SM групи 3</t>
  </si>
  <si>
    <t>s.odzukovska@goiteens.global</t>
  </si>
  <si>
    <t>Аня Петляк</t>
  </si>
  <si>
    <t>a.petlyak@goiteens.global</t>
  </si>
  <si>
    <t>@Hanna2ooo</t>
  </si>
  <si>
    <t xml:space="preserve">Дарина Шумінська </t>
  </si>
  <si>
    <t>d.shuminska@goiteens.global</t>
  </si>
  <si>
    <t>@darynkas</t>
  </si>
  <si>
    <t>Свиридов Станіслав</t>
  </si>
  <si>
    <t>s.svyrydov@goiteens.global</t>
  </si>
  <si>
    <t>@AlionaRubaiko</t>
  </si>
  <si>
    <t>d.​lutsyk@​goiteens.​global</t>
  </si>
  <si>
    <t>Петров Філіп</t>
  </si>
  <si>
    <t>f.petrov@goiteens.global</t>
  </si>
  <si>
    <t>https://t.me/filipp_petrov02</t>
  </si>
  <si>
    <t>Павленко Аліна</t>
  </si>
  <si>
    <t>a.​pavlenko@​goiteens.​global</t>
  </si>
  <si>
    <t>@alinochka_pavlenko</t>
  </si>
  <si>
    <t>TeamLead SM групи 4</t>
  </si>
  <si>
    <t xml:space="preserve"> Валентин Кузьмич</t>
  </si>
  <si>
    <t>Даніелла Нерознікова</t>
  </si>
  <si>
    <t>@Valeriia_L23</t>
  </si>
  <si>
    <t>v.yavtushenko@goiteens.global</t>
  </si>
  <si>
    <t>@GoITeensadmin</t>
  </si>
  <si>
    <t>Алла Петрішина</t>
  </si>
  <si>
    <t>Individual education</t>
  </si>
  <si>
    <t>Вікторія Дементьєва (Легал)</t>
  </si>
  <si>
    <t>TeamLead Indiv Education</t>
  </si>
  <si>
    <t>Ірина Матяш</t>
  </si>
  <si>
    <t>i.matiash@goiteens.global</t>
  </si>
  <si>
    <t>@Irina_Matiash</t>
  </si>
  <si>
    <t>SM indiv</t>
  </si>
  <si>
    <t>Гурчина Яна</t>
  </si>
  <si>
    <t xml:space="preserve">Микитченко Ірина </t>
  </si>
  <si>
    <t>Retention</t>
  </si>
  <si>
    <t>Customer Retention Specialist</t>
  </si>
  <si>
    <t>Ірина Черткова</t>
  </si>
  <si>
    <t>Awake manager</t>
  </si>
  <si>
    <t>Тетяна Дідух</t>
  </si>
  <si>
    <t>t.didukh@goiteens.ua</t>
  </si>
  <si>
    <t>o.​yakubovsky@​goiteens.​global</t>
  </si>
  <si>
    <t>https://t.me/Alexandr_Vkt</t>
  </si>
  <si>
    <t>Finance</t>
  </si>
  <si>
    <t>Олег Чав'як</t>
  </si>
  <si>
    <t>o.chaviak@goiteens.ua</t>
  </si>
  <si>
    <t>@olegcha</t>
  </si>
  <si>
    <t>Фінансисовий менеджер</t>
  </si>
  <si>
    <t>Владислав Мулін</t>
  </si>
  <si>
    <t>v.mulin@goiteens.global</t>
  </si>
  <si>
    <t>@mvs_dp</t>
  </si>
  <si>
    <t>CRM менеджер</t>
  </si>
  <si>
    <t>Quality Control</t>
  </si>
  <si>
    <t>Анастасія Дудкіна</t>
  </si>
  <si>
    <t>a.dudkina@goiteens.global</t>
  </si>
  <si>
    <t>@anastasiadud</t>
  </si>
  <si>
    <t>TL QC</t>
  </si>
  <si>
    <t>Анжеліка Савченко</t>
  </si>
  <si>
    <t>a.savchenko@goiteens.global</t>
  </si>
  <si>
    <t>https://t.me/drange_p</t>
  </si>
  <si>
    <t>TL QC SM</t>
  </si>
  <si>
    <t>Ірина Сторожа</t>
  </si>
  <si>
    <t>i.storozha@goiteens.global</t>
  </si>
  <si>
    <t>https://t.me/istorozha</t>
  </si>
  <si>
    <t>TL QC Teachers</t>
  </si>
  <si>
    <t>Качинська Наталя</t>
  </si>
  <si>
    <t xml:space="preserve">assessment_goiteens@goiteens.ua
</t>
  </si>
  <si>
    <t>https://t.me/tasha_kachynska</t>
  </si>
  <si>
    <t>Assessor</t>
  </si>
  <si>
    <t>Кравчук Віолетта</t>
  </si>
  <si>
    <t>https://t.me/VioKravchuk</t>
  </si>
  <si>
    <t>Бабіч Анна</t>
  </si>
  <si>
    <t>https://t.me/haanaab</t>
  </si>
  <si>
    <t>Голда Ратмир</t>
  </si>
  <si>
    <t>https://t.me/goldaratmyrqa</t>
  </si>
  <si>
    <t>Отенко Юлія</t>
  </si>
  <si>
    <t>https://t.me/Otenko_Julia</t>
  </si>
  <si>
    <t>Цимбал Анюта</t>
  </si>
  <si>
    <t>https://t.me/anuta_tsymbal</t>
  </si>
  <si>
    <t>Team Leaders Teachers Care</t>
  </si>
  <si>
    <t xml:space="preserve">a.odzhykovska@goiteens.ua
</t>
  </si>
  <si>
    <t>Design junior</t>
  </si>
  <si>
    <t>t.tarasovych@goiteens.ua</t>
  </si>
  <si>
    <t>Design&amp;Motion</t>
  </si>
  <si>
    <t>a.makovska@goiteens.global</t>
  </si>
  <si>
    <t>@anna_mako96</t>
  </si>
  <si>
    <t>Front-End/Front-jun</t>
  </si>
  <si>
    <t>o.serbyn@goiteens.ua</t>
  </si>
  <si>
    <t>v.terentieva@goiteens.ua</t>
  </si>
  <si>
    <t xml:space="preserve">@Vlada Oziminska </t>
  </si>
  <si>
    <t>Діана Ложанська</t>
  </si>
  <si>
    <t>d.mazuryk@goiteens.ua</t>
  </si>
  <si>
    <t>Аліна Максименко</t>
  </si>
  <si>
    <t>a.maximenko@goiteens.ua</t>
  </si>
  <si>
    <t>Scratch&amp;Minecraft</t>
  </si>
  <si>
    <t>o.tretiak@goiteens.ua</t>
  </si>
  <si>
    <t>Soft-skills №1</t>
  </si>
  <si>
    <t xml:space="preserve">Юля Іванішена </t>
  </si>
  <si>
    <t>Soft-skills №2</t>
  </si>
  <si>
    <t>o.hrynevych@goiteens.ua</t>
  </si>
  <si>
    <t>@AsufarutoiAi</t>
  </si>
  <si>
    <t>Soft-skills №3</t>
  </si>
  <si>
    <t>LMS GoITeens</t>
  </si>
  <si>
    <t>Назар Лисенко</t>
  </si>
  <si>
    <t>n.lysenko@goiteens.global</t>
  </si>
  <si>
    <t>@nazarlysenkoo</t>
  </si>
  <si>
    <t xml:space="preserve">Tech Support Manager LMS, Lead Content Managers LMS </t>
  </si>
  <si>
    <t>Дата передачі</t>
  </si>
  <si>
    <t>ПІБ учня та контактні дані</t>
  </si>
  <si>
    <t>Оплатив/не оплатив</t>
  </si>
  <si>
    <t>Юцишин Валентин</t>
  </si>
  <si>
    <t>Кірпа Максим, телефон батьків +380959013721</t>
  </si>
  <si>
    <r>
      <rPr>
        <sz val="9"/>
        <color rgb="FF1155CC"/>
        <rFont val="Google Sans Mono"/>
      </rPr>
      <t>380503687799</t>
    </r>
    <r>
      <rPr>
        <sz val="9"/>
        <color theme="1"/>
        <rFont val="Google Sans Mono"/>
      </rPr>
      <t xml:space="preserve"> Стоянов Олексій Юрійович
Просять телефонувати тільки з 16:00 до 18:00
</t>
    </r>
    <r>
      <rPr>
        <sz val="10"/>
        <color theme="1"/>
        <rFont val="Arial"/>
        <family val="2"/>
        <charset val="204"/>
      </rPr>
      <t>Малий вже знає основи пайтона, було б краще якби зразу на 2 семестр підключився, який в нас орієнтовно через тиждень стартує
Підключити в групу GolTeens_UA_PYTHON_1y_23_03_10_23</t>
    </r>
  </si>
  <si>
    <t>дарина</t>
  </si>
  <si>
    <t>ГІГ/ФОП</t>
  </si>
  <si>
    <t>Акаунт Адміна CHM</t>
  </si>
  <si>
    <t>a.chervynska@goiteens.global</t>
  </si>
  <si>
    <t>КХМ використовують для записів</t>
  </si>
  <si>
    <t>Олександра Кравцова</t>
  </si>
  <si>
    <t>alexandra.kravtsova@goit.ua</t>
  </si>
  <si>
    <t>@oleksandrakravtsova</t>
  </si>
  <si>
    <t>LMS</t>
  </si>
  <si>
    <t>Валерія Осіпова</t>
  </si>
  <si>
    <t>v.osipova@goit.global</t>
  </si>
  <si>
    <t>@Levravra</t>
  </si>
  <si>
    <t>Методист</t>
  </si>
  <si>
    <t>Олена Самкова</t>
  </si>
  <si>
    <t>e.samkova@goiteens.ua</t>
  </si>
  <si>
    <t>@elena_samkova</t>
  </si>
  <si>
    <t>Менеджер з підбору та контролю викладачів</t>
  </si>
  <si>
    <t>NPS 02</t>
  </si>
  <si>
    <t xml:space="preserve">Майнкрафт </t>
  </si>
  <si>
    <t>Сapacity</t>
  </si>
  <si>
    <t>Агапіна Анастасія</t>
  </si>
  <si>
    <t xml:space="preserve">
a.agapina@goiteens.global</t>
  </si>
  <si>
    <t>@agapina_anastasiia</t>
  </si>
  <si>
    <t>Capacity</t>
  </si>
  <si>
    <t>@ahsamam</t>
  </si>
  <si>
    <t>Майнкрафт</t>
  </si>
  <si>
    <t xml:space="preserve">a.odzhykovska@goiteens.global
</t>
  </si>
  <si>
    <t>Тім лід дизайн</t>
  </si>
  <si>
    <t>Тім лід  пайтон</t>
  </si>
  <si>
    <t>a.mykh@goiteens.global</t>
  </si>
  <si>
    <t>@nastia_miks</t>
  </si>
  <si>
    <t>Тім лід гейдмев</t>
  </si>
  <si>
    <t>Дідур Ольга</t>
  </si>
  <si>
    <t>o.didur@goiteens.global</t>
  </si>
  <si>
    <t>@wassabiolia</t>
  </si>
  <si>
    <t>Скретч/Роблокс</t>
  </si>
  <si>
    <t xml:space="preserve"> Тім лід Фронт-енд</t>
  </si>
  <si>
    <t xml:space="preserve">Дизайн </t>
  </si>
  <si>
    <t>Матюшко Марія</t>
  </si>
  <si>
    <t>@masha_matiushko</t>
  </si>
  <si>
    <t>Мулін Владислав</t>
  </si>
  <si>
    <t xml:space="preserve">
chm.design@goiteens.global
</t>
  </si>
  <si>
    <t>Геймдев, Роблокс</t>
  </si>
  <si>
    <t>Ада Самойлова</t>
  </si>
  <si>
    <t>Поліна Білоус</t>
  </si>
  <si>
    <t>p.bilous@goiteens.global</t>
  </si>
  <si>
    <t>y.bodnar@goiteens.global</t>
  </si>
  <si>
    <t>Тім лід soft skills</t>
  </si>
  <si>
    <t>@drange_p</t>
  </si>
  <si>
    <t xml:space="preserve">Катя Доан </t>
  </si>
  <si>
    <t xml:space="preserve">
k.doan@goiteens.global</t>
  </si>
  <si>
    <t>@becauseiamkkk</t>
  </si>
  <si>
    <t>Тім Лід Роблокс та Скретч, Майнкрафт</t>
  </si>
  <si>
    <t>CHM Minecraft</t>
  </si>
  <si>
    <t>@Yasyasyaaa</t>
  </si>
  <si>
    <t>Діана Горела</t>
  </si>
  <si>
    <t>d.horela@goiteens.global</t>
  </si>
  <si>
    <t>@theacidlif</t>
  </si>
  <si>
    <t>CHM Design</t>
  </si>
  <si>
    <t>CHM Roblox</t>
  </si>
  <si>
    <t>CHM GameDev</t>
  </si>
  <si>
    <t xml:space="preserve">Анна Суворова </t>
  </si>
  <si>
    <t>Анна Титаренко</t>
  </si>
  <si>
    <t>https://t.me/ann_tytarenko</t>
  </si>
  <si>
    <t>Марія Мусієнко</t>
  </si>
  <si>
    <t>m.musiienko@goiteens.global</t>
  </si>
  <si>
    <t>@mariia_goit</t>
  </si>
  <si>
    <t>Аліна Малюта</t>
  </si>
  <si>
    <t>a.maliuta@goiteens.global</t>
  </si>
  <si>
    <t>@maliutalina</t>
  </si>
  <si>
    <t>Надія Купрієвич</t>
  </si>
  <si>
    <t xml:space="preserve">n.kuprievich@goiteens.global
</t>
  </si>
  <si>
    <t>https://t.me/Nadya_Kuprievich</t>
  </si>
  <si>
    <t>Customer Relationship Management</t>
  </si>
  <si>
    <t>Тім лід сервіс менеджерів</t>
  </si>
  <si>
    <t>до 1 липня</t>
  </si>
  <si>
    <t>Юля Петренко</t>
  </si>
  <si>
    <t>y.petrenko@goiteens.ua</t>
  </si>
  <si>
    <t>@Petrenko_Julija</t>
  </si>
  <si>
    <t xml:space="preserve">Кирило Проноза
</t>
  </si>
  <si>
    <t>k.pronoza@goiteens.ua</t>
  </si>
  <si>
    <t xml:space="preserve">@kirillan7
</t>
  </si>
  <si>
    <t>Адміністратор</t>
  </si>
  <si>
    <t>Менеджер контролю якості</t>
  </si>
  <si>
    <t>Адміністрація</t>
  </si>
  <si>
    <t>Тім лід адміністраторів групи до 1 липня</t>
  </si>
  <si>
    <t>Каттерина Бабіна</t>
  </si>
  <si>
    <t>@Kateryna Babina</t>
  </si>
  <si>
    <t>Олекасндр Якубовський</t>
  </si>
  <si>
    <t xml:space="preserve">@Olexander Yakubovsky </t>
  </si>
  <si>
    <t xml:space="preserve">@Anatolii Fedorchuk </t>
  </si>
  <si>
    <t xml:space="preserve">@Svitlana Rotar </t>
  </si>
  <si>
    <t>https://t.me/FilippPetrov</t>
  </si>
  <si>
    <t>Валерія Кучіна</t>
  </si>
  <si>
    <t xml:space="preserve">@Valeriia </t>
  </si>
  <si>
    <t>Кризис менеджер</t>
  </si>
  <si>
    <t>Індивідуальний адміністратор</t>
  </si>
  <si>
    <t>k.doan@goiteens.global</t>
  </si>
  <si>
    <t>Тім лід адміністраторів групи 2</t>
  </si>
  <si>
    <t xml:space="preserve">Дудкіна Анастасія </t>
  </si>
  <si>
    <t>додатково Адміністратор</t>
  </si>
  <si>
    <t>@yleto (https://t.me/yleto)</t>
  </si>
  <si>
    <t xml:space="preserve">Суворова Анна </t>
  </si>
  <si>
    <t xml:space="preserve">Титаренко Анна </t>
  </si>
  <si>
    <t>@poltorania (https://t.me/poltorania)</t>
  </si>
  <si>
    <t>@yaryna_shuminska</t>
  </si>
  <si>
    <t>Стецько Ірина</t>
  </si>
  <si>
    <t>i.stetsko@goiteens.global</t>
  </si>
  <si>
    <t xml:space="preserve">Савченко Анжеліка </t>
  </si>
  <si>
    <t>не працює см</t>
  </si>
  <si>
    <t xml:space="preserve">Оджиковська Анна </t>
  </si>
  <si>
    <t>Адміністратор до 1 липня</t>
  </si>
  <si>
    <t>Тетяна  Волошиненко</t>
  </si>
  <si>
    <t>t.voloshinenko@goiteens.global</t>
  </si>
  <si>
    <t xml:space="preserve">Тім лід адмінітраторів група 4 </t>
  </si>
  <si>
    <t>Вікторія Демент'єва (Легал)</t>
  </si>
  <si>
    <t>Олександр Рєзнік</t>
  </si>
  <si>
    <t>o.rieznik@goiteens.global</t>
  </si>
  <si>
    <t>@asera12345</t>
  </si>
  <si>
    <t xml:space="preserve">Анастасія Миршавка
</t>
  </si>
  <si>
    <t>a.myrshavka@goiteens.global</t>
  </si>
  <si>
    <t>Катерина Харіна</t>
  </si>
  <si>
    <t>k.kharina@goiteens.global</t>
  </si>
  <si>
    <t>@KaterynkaGoIT</t>
  </si>
  <si>
    <t>Фінанси</t>
  </si>
  <si>
    <t xml:space="preserve">ТІМ ЛІДИ технічних напрямків </t>
  </si>
  <si>
    <t>Тім лід геймдев</t>
  </si>
  <si>
    <t>Тім лід Роблокс</t>
  </si>
  <si>
    <t>@Vlada Terentieva</t>
  </si>
  <si>
    <t>Тім лід Майнкрафт</t>
  </si>
  <si>
    <t>Тім лід скретч та майнкрафт</t>
  </si>
  <si>
    <t>Тім лід софти</t>
  </si>
  <si>
    <t>Технічний спеціаліст</t>
  </si>
  <si>
    <t>Дата проведення заняття</t>
  </si>
  <si>
    <t>Час проведення</t>
  </si>
  <si>
    <t>Группа</t>
  </si>
  <si>
    <t>Номер заняття/тема</t>
  </si>
  <si>
    <t>Основний викладач</t>
  </si>
  <si>
    <t>Заміняючий викладач</t>
  </si>
  <si>
    <t>Регулярна/Разова</t>
  </si>
  <si>
    <t>Minecraft Junior</t>
  </si>
  <si>
    <t>UA_Mine_1y_14(3 підгрупа)</t>
  </si>
  <si>
    <t>«Хмарочос»</t>
  </si>
  <si>
    <t xml:space="preserve">"У рідному місті поганий зв'язок". Менеджер вирішив сам не замінювати викладача, а перенести урок на інший день. </t>
  </si>
  <si>
    <t>Mine 15</t>
  </si>
  <si>
    <t>Ігрові механізми, 15 урок</t>
  </si>
  <si>
    <t>"Я планую поїздку, не знаю, чи там буде інтернет"</t>
  </si>
  <si>
    <t>GoITeens_UA_MINE_1y_12_22 (4 група)</t>
  </si>
  <si>
    <t>Урок 14. Акведуки та канали</t>
  </si>
  <si>
    <t>"Прокинулась з температурою"</t>
  </si>
  <si>
    <t>Minecraft Kids</t>
  </si>
  <si>
    <t>26 тема, метро</t>
  </si>
  <si>
    <t>"Нема світла та зв'язку"</t>
  </si>
  <si>
    <t>Багаторівневі клумби. Треба клумби та колони з ними зробити</t>
  </si>
  <si>
    <t>Вадим Заїка</t>
  </si>
  <si>
    <t>треба навчити будувати квадрати та прямокутники з предметів та блоків</t>
  </si>
  <si>
    <t>Яна Страшок</t>
  </si>
  <si>
    <t>Таня Волошиненко</t>
  </si>
  <si>
    <t>Mine_Kids_1у_7_23(1)</t>
  </si>
  <si>
    <t>Треба розібрати координати</t>
  </si>
  <si>
    <t>Аліна з Харкова, тому вже 2 день без світла</t>
  </si>
  <si>
    <t>19.00</t>
  </si>
  <si>
    <t>FE_1y_3_23 (1 підгрупа)</t>
  </si>
  <si>
    <t>Стилі</t>
  </si>
  <si>
    <t>Юлія Пелячик</t>
  </si>
  <si>
    <t>Андрій Бегма в Харкові був без світла</t>
  </si>
  <si>
    <t>18.00</t>
  </si>
  <si>
    <t>позиціонування</t>
  </si>
  <si>
    <t>Олександр Морра</t>
  </si>
  <si>
    <t>Рома Зеньо</t>
  </si>
  <si>
    <t>Відсутність світла в Харкові</t>
  </si>
  <si>
    <t>FE 1y_8_22</t>
  </si>
  <si>
    <t>Проектна робота</t>
  </si>
  <si>
    <t xml:space="preserve">GoITeens_UA_MINE_1y_1_23 (3 група) </t>
  </si>
  <si>
    <t>Номер 8</t>
  </si>
  <si>
    <t>Буде їхати в інше місто</t>
  </si>
  <si>
    <t>Власний проект, частина 3</t>
  </si>
  <si>
    <t>Іван Калинчак</t>
  </si>
  <si>
    <t>батько помер/займався похороном</t>
  </si>
  <si>
    <t>заняття 4</t>
  </si>
  <si>
    <t>Олександр Земський</t>
  </si>
  <si>
    <t>Хворий з температурою 39</t>
  </si>
  <si>
    <t>14 урок</t>
  </si>
  <si>
    <t>Артур Андрєєв</t>
  </si>
  <si>
    <t>Пішов до стоматолога</t>
  </si>
  <si>
    <t>Mine_kids_1y2</t>
  </si>
  <si>
    <t>Абсолютні координати</t>
  </si>
  <si>
    <t>Буде на зібранні у школі, в якій працює</t>
  </si>
  <si>
    <t>UA_MINE_1Y_10_23 (2 підгрупа)</t>
  </si>
  <si>
    <t>урок 4. Світ ІТ закріплення</t>
  </si>
  <si>
    <t>зломався ноут, не працює взагалі</t>
  </si>
  <si>
    <t>GoITeens_DA_1y_6_23 (2 група )</t>
  </si>
  <si>
    <t xml:space="preserve">урок 3. Світ ІТ </t>
  </si>
  <si>
    <t>FE_JUN_1y_1</t>
  </si>
  <si>
    <t>таймменеджмент</t>
  </si>
  <si>
    <t>Дізайн 3,4</t>
  </si>
  <si>
    <t>інша зайнятість, робоча подорож</t>
  </si>
  <si>
    <t xml:space="preserve">Mine 16 </t>
  </si>
  <si>
    <t>Mine 1y 1 (2)</t>
  </si>
  <si>
    <t>Повторення</t>
  </si>
  <si>
    <t>Данило Букша</t>
  </si>
  <si>
    <t>не знайшли</t>
  </si>
  <si>
    <t>попередив, що до 13 не буде світла. Сказав, що центр незламності на заправці, там не має змоги провести</t>
  </si>
  <si>
    <t>FE 1y_13</t>
  </si>
  <si>
    <t>Менторська</t>
  </si>
  <si>
    <t>Іра Соколова</t>
  </si>
  <si>
    <t>захворів, попередив за годину до заняття</t>
  </si>
  <si>
    <t>18.30</t>
  </si>
  <si>
    <t>FE_1y_1_23 (2 підгрупа)</t>
  </si>
  <si>
    <t>Анімації</t>
  </si>
  <si>
    <t>Андрій Клим</t>
  </si>
  <si>
    <t>попередив, що вимкнули світло за годину до заняття</t>
  </si>
  <si>
    <t>Курс</t>
  </si>
  <si>
    <t>Время</t>
  </si>
  <si>
    <t>ПН</t>
  </si>
  <si>
    <t>ВТ</t>
  </si>
  <si>
    <t>СР</t>
  </si>
  <si>
    <t>ЧТ</t>
  </si>
  <si>
    <t>ПТ</t>
  </si>
  <si>
    <t>СБ</t>
  </si>
  <si>
    <t>ВС</t>
  </si>
  <si>
    <t>10:00 - 10:30</t>
  </si>
  <si>
    <t>10:30 - 11:00</t>
  </si>
  <si>
    <t>11:00 - 11:30</t>
  </si>
  <si>
    <t>11:30 - 12:00</t>
  </si>
  <si>
    <t>12:00 - 12:30</t>
  </si>
  <si>
    <t>12:30 - 13:00</t>
  </si>
  <si>
    <t>13:00 - 13:30</t>
  </si>
  <si>
    <t>13:30 - 14:00</t>
  </si>
  <si>
    <t>14:00 - 14:30</t>
  </si>
  <si>
    <t>14:30 - 15:00</t>
  </si>
  <si>
    <t>15:00 - 15:30</t>
  </si>
  <si>
    <t>15:30 - 16:00</t>
  </si>
  <si>
    <t>16:00 - 16:30</t>
  </si>
  <si>
    <t>16:30 - 17:00</t>
  </si>
  <si>
    <t>17:00 - 17:30</t>
  </si>
  <si>
    <t>17:30 - 18:00</t>
  </si>
  <si>
    <t>18:00 - 18:30</t>
  </si>
  <si>
    <t>18:30 - 19:00</t>
  </si>
  <si>
    <t>19:00 - 19:30</t>
  </si>
  <si>
    <t>19:30 - 20:00</t>
  </si>
  <si>
    <t>20:00 - 20:30</t>
  </si>
  <si>
    <t>20:30 - 21:00</t>
  </si>
  <si>
    <t>Всього у прайм</t>
  </si>
  <si>
    <t xml:space="preserve">COUNTA из </t>
  </si>
  <si>
    <t>ААА</t>
  </si>
  <si>
    <t>C</t>
  </si>
  <si>
    <t>Итого</t>
  </si>
  <si>
    <t>#Н/Д</t>
  </si>
  <si>
    <t>#ДЕЛ/0!</t>
  </si>
  <si>
    <t>Початок роботи</t>
  </si>
  <si>
    <t>Дата</t>
  </si>
  <si>
    <t>стаж 3 місяці</t>
  </si>
  <si>
    <t>Стаж 6 місяців</t>
  </si>
  <si>
    <t>Стаж рік</t>
  </si>
  <si>
    <t>UA_Mine_1y_3 (4 група)</t>
  </si>
  <si>
    <t>Преза</t>
  </si>
  <si>
    <t>Контакт</t>
  </si>
  <si>
    <t>Досвід</t>
  </si>
  <si>
    <t>пошук</t>
  </si>
  <si>
    <t>Остап Ленонов</t>
  </si>
  <si>
    <t>GameDev/Roblox</t>
  </si>
  <si>
    <t>з вересня</t>
  </si>
  <si>
    <t>UE4/C++ Developer, Professional Gamer</t>
  </si>
  <si>
    <t xml:space="preserve"> Анастасія Агапіна</t>
  </si>
  <si>
    <t>Кирил Свідерський</t>
  </si>
  <si>
    <t>@kaiZer_Svidersky</t>
  </si>
  <si>
    <t xml:space="preserve">2 года UE4 developer в Vostok Games, 9 месяцев в Dragon's Lake, сейчас в Kevuru Games
</t>
  </si>
  <si>
    <t xml:space="preserve"> Валентин Кузьміч</t>
  </si>
  <si>
    <t>Тимур Краснянський</t>
  </si>
  <si>
    <t xml:space="preserve"> Студент УКУ  Програміст з досвідом роботи з мовою C# Переможець олімпіад з комп’ютерної графіки та комп’ютерної анімації 2019-2020  Проект Наука, про створення компілятора та мови програмування:  https://youtu.be/3icoATwJpA0  Досвід роботи у Goiteens -1,5 роки</t>
  </si>
  <si>
    <t xml:space="preserve"> Влада Москаленко</t>
  </si>
  <si>
    <t>Федір Ходченко</t>
  </si>
  <si>
    <t>Engineering manager у ClipboardHealth.
6 років досвіду в gamedev індустрії.
Загальний досвід програмування 14 років</t>
  </si>
  <si>
    <t xml:space="preserve"> Дар'я Бойко</t>
  </si>
  <si>
    <t xml:space="preserve">Олексій Швець ментор </t>
  </si>
  <si>
    <t>студент GoITeens</t>
  </si>
  <si>
    <t>Юля Максимець</t>
  </si>
  <si>
    <t>Minecraft/Scratch</t>
  </si>
  <si>
    <t xml:space="preserve">380 93 765 7217 телеграм </t>
  </si>
  <si>
    <t xml:space="preserve">ohra2007@gmail.com </t>
  </si>
  <si>
    <t>Викладач інформатики з 11-річним досвідом
Тренер в проекті eKIDs від EPAM
Автор програм Scratch і Minecraft Education 
у GoITeens</t>
  </si>
  <si>
    <t>Євгенія Середенко</t>
  </si>
  <si>
    <t>Minecraft/FE_Junior</t>
  </si>
  <si>
    <t>@EvgeniyaSeredenko</t>
  </si>
  <si>
    <t xml:space="preserve">Викладач з Minecraft Education 6+ років
Спеціаліст із використання web-сервісів для маркетингу, менеджер з продажів
</t>
  </si>
  <si>
    <t>Аня Оджиковська</t>
  </si>
  <si>
    <t>ann_odzhykovska@goiteens.ua</t>
  </si>
  <si>
    <t>Викладач з Minecraft Education та Scratch
Автор програми Scratch у GoITeens 
Досвід роботи 2 роки</t>
  </si>
  <si>
    <t>Maximenko.Alina.060419@gmail.com</t>
  </si>
  <si>
    <t>Викладач GoITeens 1 рік
Викладач інформатики у Харкові
Мови програмування: Pascal, C, HTML+CSS+JS</t>
  </si>
  <si>
    <t>Ліза Кевхаян</t>
  </si>
  <si>
    <t>Graphic Designer, викладач дизайну</t>
  </si>
  <si>
    <t>Олег Гап'юк</t>
  </si>
  <si>
    <t>FE_React</t>
  </si>
  <si>
    <t>https://drive.google.com/file/d/1JaVUaePnueHiw570Zaylby1zWjc1JADK/view</t>
  </si>
  <si>
    <t>Вадим Пічурін</t>
  </si>
  <si>
    <t>FE_JS</t>
  </si>
  <si>
    <t xml:space="preserve">3 роки full stack
SafeSwiss Company,
Front-End developer
</t>
  </si>
  <si>
    <t>Анна Маковська</t>
  </si>
  <si>
    <t>Віктор Сташко</t>
  </si>
  <si>
    <t>@StasKefir
staskefir99@gmail.com</t>
  </si>
  <si>
    <t xml:space="preserve">
Front-end розробник з 2017-го року.
Викладач напрямку Front-end у GoITeens 2+ роки
Головний тренер програми для підлітків eKids від компанії EPAM
Ментор eKids Teens від компанії EPAM
</t>
  </si>
  <si>
    <t>Володимир Паньків</t>
  </si>
  <si>
    <t>призупинили</t>
  </si>
  <si>
    <t>3 роки frontend development / 2 роки full stack october cms developer / теперішня посада  IT  Mentor  PM &amp; Teacher  at Softserve</t>
  </si>
  <si>
    <t>Іван Медвєдєв</t>
  </si>
  <si>
    <t>FE_HTML/CSS</t>
  </si>
  <si>
    <r>
      <rPr>
        <u/>
        <sz val="10"/>
        <rFont val="Tahoma, Arial"/>
      </rPr>
      <t>Front-end Developer  Mediol 
Викладач 8 рокі</t>
    </r>
    <r>
      <rPr>
        <u/>
        <sz val="10"/>
        <color rgb="FF000000"/>
        <rFont val="Tahoma, Arial"/>
      </rPr>
      <t xml:space="preserve">в
</t>
    </r>
    <r>
      <rPr>
        <u/>
        <sz val="10"/>
        <color rgb="FF1155CC"/>
        <rFont val="Tahoma, Arial"/>
      </rPr>
      <t>https://drive.google.com/open?id=1gc3dAdsjoyTnKoptTy175i1L7tjMqD</t>
    </r>
    <r>
      <rPr>
        <u/>
        <sz val="10"/>
        <color rgb="FF1155CC"/>
        <rFont val="Tahoma, Arial"/>
      </rPr>
      <t>yd</t>
    </r>
  </si>
  <si>
    <t xml:space="preserve">Ірина Малюга </t>
  </si>
  <si>
    <t xml:space="preserve">Працює з технологіями HTML, CSS, JavaScript, React, Redux, Node.js.
Розробляю сайти та маю навички Scram-мастера  у командній роботі.
 Go-IT вже понад 1 рік та маю попередній досвід викладання.
</t>
  </si>
  <si>
    <t>Вадим Корнієнко</t>
  </si>
  <si>
    <t xml:space="preserve">Святослав Качмар </t>
  </si>
  <si>
    <t>SkillUp, викладач WordPress</t>
  </si>
  <si>
    <t>Слава Герасімов</t>
  </si>
  <si>
    <t>Pytnon</t>
  </si>
  <si>
    <t>Technical Skills: Python, Java, C++, JS, PostgreSQL, MongoDB, DynamoDB, Django, Flask, aiohttp, Vue JS, Celery, Redis, RabbitMQ, AWS
Work Experience
Python Developer (Sep 2020 – Present) Brander</t>
  </si>
  <si>
    <t>Валерія Кисільова</t>
  </si>
  <si>
    <t xml:space="preserve">Максим Матвіїв </t>
  </si>
  <si>
    <t>Pytnon/FE_JS</t>
  </si>
  <si>
    <t xml:space="preserve">Досвід в IT 3 роки Основний напрямок роботи Fullstack (Python, Express backend) Закінчив КНУ ім. Т. Г Шевченка, Інженерія ПО. </t>
  </si>
  <si>
    <t xml:space="preserve">Андрій Акмурзін </t>
  </si>
  <si>
    <t>soft skills_teens</t>
  </si>
  <si>
    <t>@aakmurzin
andrew.akmurzin@gmail.com</t>
  </si>
  <si>
    <t>Викладач соціології в Хакрівському національному університеті Каразіна , тренер soft skills 4 роки</t>
  </si>
  <si>
    <t>Юля Приходько</t>
  </si>
  <si>
    <t>yprykhodko@goit.ua</t>
  </si>
  <si>
    <t xml:space="preserve">
Project Manager, Cero Studio</t>
  </si>
  <si>
    <t>Тетяна Чав'як</t>
  </si>
  <si>
    <t>soft skills</t>
  </si>
  <si>
    <t>tchaviak@goiteens.ua</t>
  </si>
  <si>
    <t xml:space="preserve">Head of Study GoITeens
soft skills тренер 2 роки </t>
  </si>
  <si>
    <t>Софія Максимова</t>
  </si>
  <si>
    <t>soft skills_kids</t>
  </si>
  <si>
    <t>декрет</t>
  </si>
  <si>
    <t>Магістр психології, ХНУ ім. Каразіна
Сертефіцірована арт-терапевт і коуч.
Організатор, ментор, тренер великих міських проектів для дітей та молоді.
Організатор та ведуча розвиваючої он-лайн ігри для дітей старше 5 років, Mad Head Kids Kahoot.</t>
  </si>
  <si>
    <t>Артур Дмитришин</t>
  </si>
  <si>
    <t>1 рік Project Manager - Care Centre of Germany, 1 рік Community Manager в Холдингу емоцій !ФЕСТ, 6 місяців Functional Coordinator в SoftServe</t>
  </si>
  <si>
    <t>Мар'янна Якимець</t>
  </si>
  <si>
    <t>Виховниця Пластових Пташат- 3 роки
Розробка програм для дошкільнят та дітей молодшого шкільного віку
Інтенсив Естонської освітньої програми Edumus та волонтерство в ліцеї за напрямком мистецтво.</t>
  </si>
  <si>
    <t>Сергій Жуковський</t>
  </si>
  <si>
    <t>Анастасія Крилова</t>
  </si>
  <si>
    <t xml:space="preserve">1. Працювала 3 роки на телебаченні - журналістом. 
2.  Займалась дебатами та викладала для старшокласників ораторське мистецтво та основи дебатів. 
3. За професією викладач-психолог, за час роботи у школі приймала участь у Всеукраїнській освітній програмі "Демократична школа", де працювала з віковою категорією 12-14 років та вивчала з ними лідерство та основи демократії.
4. Працює  у напрямку soft skills у компанії GoIT 7 місяців, з яких у GoITeens 4 місяці. 
</t>
  </si>
  <si>
    <t>Михайло Максимов</t>
  </si>
  <si>
    <t>Міша на замінах</t>
  </si>
  <si>
    <t>mikhail_maksimov@goit.ua</t>
  </si>
  <si>
    <t xml:space="preserve">Викладач GoITeens Minecraft(2 роки)
Мови програмування:JS,Python, c++, </t>
  </si>
  <si>
    <t xml:space="preserve">Влад Шевчук </t>
  </si>
  <si>
    <t>ментор FE</t>
  </si>
  <si>
    <t xml:space="preserve">кращий студент Goiteens
Навички: HTML, CSS, JS
</t>
  </si>
  <si>
    <t>Ілона Миронюк</t>
  </si>
  <si>
    <t>Юля Тичинська</t>
  </si>
  <si>
    <t>Project Manager, тренер soft skills</t>
  </si>
  <si>
    <t>Юля Царьова</t>
  </si>
  <si>
    <t>тренер soft skills, тренер публічних виступів
6 років</t>
  </si>
  <si>
    <t>Калерія Березовська</t>
  </si>
  <si>
    <t xml:space="preserve">Олександр Толстяк </t>
  </si>
  <si>
    <t xml:space="preserve">Python_пробні </t>
  </si>
  <si>
    <t xml:space="preserve">Микола Момотенко </t>
  </si>
  <si>
    <t>у Маріуполі, не виїхав і не працює</t>
  </si>
  <si>
    <t>https://career.habr.com/nick-momotenko</t>
  </si>
  <si>
    <t xml:space="preserve">Дмитро Ковалюк </t>
  </si>
  <si>
    <t xml:space="preserve">доцент Національного технічного університету України «Київський політехнічний інститут ім. Ігоря Сікорського», кандидат технічних наук
досвід програмування  – 10 років.
- HTML, CSS, JS (Front-end).
- PHP, PYTHON (Back-end).
- PHP, PYTHON та JS фреймворки (Zend, Laravel, Flask …)
- MySQL, PostgreSQL (бази даних).
- Gulp, Git та ін. (засоби автоматизації розробки).
</t>
  </si>
  <si>
    <t>@AnnaG007</t>
  </si>
  <si>
    <t>Викладач гурткa Minecraft і Робототехніка
Школа Think Global, Львів, Україна
Школа Вільних і Небайдужих, Львів, Україна
MakerSpace Lviv
Проводила заняття з гри Minecraft для дітей до 12 років, а також асистувала викладачу на заняттях з робототехніки та будівництва з лего.</t>
  </si>
  <si>
    <t>Максим Копистко</t>
  </si>
  <si>
    <t xml:space="preserve">Soft skills </t>
  </si>
  <si>
    <t>https://rabota.ua/candidates/14362880</t>
  </si>
  <si>
    <t xml:space="preserve">Ірина Рудика </t>
  </si>
  <si>
    <t xml:space="preserve"> ⁃ Практикуюча тренерка з soft-skills, що спеціалізується на темі персональної ефективності, емоційного інтелекту та комунікацій (більше 400 год практичної роботи); 
 ⁃ менторка Школи тренерів 2.0 та викладачка курсу з ЕІ та ораторської майстерності;
 ⁃ методологиня по створенню дистанційних навчальних скорм-курсів («Практичний тайм-менеджмент», «Персональна ефективність», «Лідерство», «Креативне мислення», «Емоційний інтелект», «Профорієнтація для школярів», «Мистецтво викладання», «Школа журналістики», «Організація івентів», «Правильне харчування», «Сучасна українська»);
 ⁃ методологиня освітніх програм для державних службовців;
 ⁃ соавтор курсу «Розвиток персональної ефективності» для Української Школи Урядування;
 ⁃ тренерка з м‘яких навичок клубу HR You;
 ⁃ тьюторка з емоційного інтелекту для дітей (6-12р) за системою SEL (social and emotional learning) (КМДШ);
 ⁃ спікерка форумів «Емоційна сімка», «Освіта 3.0»;
 ⁃ розробниця авторських тренінг-курсів «Мистецтво переговорів», «Вчимося вчитися», «Ми - команда!»;
 ⁃ Поетеса.</t>
  </si>
  <si>
    <t>Василь Гуменюк</t>
  </si>
  <si>
    <t>PM, психолог</t>
  </si>
  <si>
    <t>Тетяна Швацька</t>
  </si>
  <si>
    <t>Тренер профорієнтації</t>
  </si>
  <si>
    <r>
      <rPr>
        <u/>
        <sz val="10"/>
        <color rgb="FF1155CC"/>
        <rFont val="Arial"/>
        <family val="2"/>
        <charset val="204"/>
      </rPr>
      <t xml:space="preserve">http://joxi.ru/ZrJxNKLibD0EV2
</t>
    </r>
    <r>
      <rPr>
        <u/>
        <sz val="10"/>
        <color rgb="FF000000"/>
        <rFont val="Arial"/>
        <family val="2"/>
        <charset val="204"/>
      </rPr>
      <t xml:space="preserve">Репетитор англійської та математики, </t>
    </r>
  </si>
  <si>
    <t xml:space="preserve">Оксана Давидова </t>
  </si>
  <si>
    <t>Davydovaksenia105@gmail.com</t>
  </si>
  <si>
    <t>Ольга Дідур</t>
  </si>
  <si>
    <t xml:space="preserve">Юля Сивоненко </t>
  </si>
  <si>
    <t xml:space="preserve">Front-end </t>
  </si>
  <si>
    <t>sivonenkoyulia@gmail.com</t>
  </si>
  <si>
    <t xml:space="preserve">Валерія Павлюк </t>
  </si>
  <si>
    <t xml:space="preserve">Відео мейкінг </t>
  </si>
  <si>
    <t>@valerie_pavliuk</t>
  </si>
  <si>
    <t>valeriepavliuk@gmail.com</t>
  </si>
  <si>
    <t>Пустова Юля</t>
  </si>
  <si>
    <t xml:space="preserve">Катерина Теценко </t>
  </si>
  <si>
    <t>@Катерина Таценко</t>
  </si>
  <si>
    <t>Resolutions.one@gmail.com</t>
  </si>
  <si>
    <t>http://joxi.ru/Dr8zvYgtJ97kX2</t>
  </si>
  <si>
    <t>Володимир Маїло</t>
  </si>
  <si>
    <t xml:space="preserve">Minecraft </t>
  </si>
  <si>
    <t>http://joxi.ru/Vm6EEW1cR6ORRr</t>
  </si>
  <si>
    <t>http://joxi.ru/nAyDDjgCaBXRN2</t>
  </si>
  <si>
    <t xml:space="preserve">Сергій Шостак </t>
  </si>
  <si>
    <t>http://joxi.ru/KAgRkVliNPJXL2
SoftServe</t>
  </si>
  <si>
    <t xml:space="preserve">Федір Зимін </t>
  </si>
  <si>
    <t xml:space="preserve">GameDev </t>
  </si>
  <si>
    <r>
      <rPr>
        <sz val="10"/>
        <rFont val="Arial"/>
        <family val="2"/>
        <charset val="204"/>
      </rPr>
      <t xml:space="preserve">https://play.google.com/store/apps/details?id=co.urmobi.hollywood_master
https://play.google.com/store/apps/details?id=urmobi.games.magic.find.the.difference
https://play.google.com/store/apps/details?id=urmobi.games.infectedkingdom
http://joxi.ru/v29b4YMiRMWZvA
</t>
    </r>
    <r>
      <rPr>
        <u/>
        <sz val="10"/>
        <color rgb="FF1155CC"/>
        <rFont val="Arial"/>
        <family val="2"/>
        <charset val="204"/>
      </rPr>
      <t>http://joxi.ru/5mdK09bta75e4r</t>
    </r>
  </si>
  <si>
    <t>Січень 2022</t>
  </si>
  <si>
    <t xml:space="preserve">Михайло Лютий </t>
  </si>
  <si>
    <t>mlyutyyv@gmail.com</t>
  </si>
  <si>
    <t xml:space="preserve">http://joxi.ru/J2bEgzGIq4ZPPm   </t>
  </si>
  <si>
    <t>Валерія Доморацька</t>
  </si>
  <si>
    <t>http://joxi.ru/Vm6eZYXI3xZOWr</t>
  </si>
  <si>
    <t>http://joxi.ru/eAOxxjoC6Blyar</t>
  </si>
  <si>
    <t xml:space="preserve">Юлия Руденко </t>
  </si>
  <si>
    <t>@stupina_j</t>
  </si>
  <si>
    <t>http://joxi.ru/ZrJWzK5fQ10JPm</t>
  </si>
  <si>
    <t>http://joxi.ru/5mdVVZ6iaw0qlA</t>
  </si>
  <si>
    <t>Євген Хлусов</t>
  </si>
  <si>
    <t>@hlsk3</t>
  </si>
  <si>
    <t>Марина Лютинська</t>
  </si>
  <si>
    <t>http://joxi.ru/J2bEgzGIqXdyym</t>
  </si>
  <si>
    <t>Наталя Литовченко</t>
  </si>
  <si>
    <t>более 3-х лет разрабатываю программное обеспечение. Сейчас работаю как Back-end .NET developer, начинала свою карьеру как Full-stack developer. Базовый стек технологий это:
Back: C#, .NET;
Front: HTML, CSS, Js, Angular, AngularJs;
Databases: MsSQL, MongoDB.</t>
  </si>
  <si>
    <t>http://joxi.ru/DrlxNWYiGak7Dr</t>
  </si>
  <si>
    <t>Лютий 2022</t>
  </si>
  <si>
    <t>Марина Редька</t>
  </si>
  <si>
    <t>http://joxi.ru/n2Y7gJ1IkkOEar</t>
  </si>
  <si>
    <t xml:space="preserve">Владислав Кошевой </t>
  </si>
  <si>
    <t>http://joxi.ru/RmzOEywivvlaQ2</t>
  </si>
  <si>
    <t xml:space="preserve">Вадим Кінев </t>
  </si>
  <si>
    <t>Front-end Jun</t>
  </si>
  <si>
    <t>@vadim_kinev</t>
  </si>
  <si>
    <t>http://joxi.ru/823edY3IzzenXr</t>
  </si>
  <si>
    <t>Балдич Станіслав Олегович</t>
  </si>
  <si>
    <t>http://joxi.ru/n2Y7gJ1IkkgGMr</t>
  </si>
  <si>
    <t>Березень 2022</t>
  </si>
  <si>
    <t>Яна (резерв на укр)</t>
  </si>
  <si>
    <t xml:space="preserve">Minecraft/Front </t>
  </si>
  <si>
    <t>48 605 063 405</t>
  </si>
  <si>
    <t>yanavit21@gmail.com</t>
  </si>
  <si>
    <t xml:space="preserve">Софія Ясіновська </t>
  </si>
  <si>
    <t>Design PL</t>
  </si>
  <si>
    <t>48 535 746 989</t>
  </si>
  <si>
    <t>Роман Даниленко</t>
  </si>
  <si>
    <t>http://joxi.ru/8AnDyKaiNnZGDm</t>
  </si>
  <si>
    <t xml:space="preserve">Ростислав Пеленський </t>
  </si>
  <si>
    <t xml:space="preserve">38093 436 93 19
</t>
  </si>
  <si>
    <t>Катя Пташка</t>
  </si>
  <si>
    <t xml:space="preserve">Motion </t>
  </si>
  <si>
    <t>@katiaptashka</t>
  </si>
  <si>
    <t>katia.ptashka@gmail.com</t>
  </si>
  <si>
    <t>Станіслав Карагачов</t>
  </si>
  <si>
    <t xml:space="preserve">російськомовний призупинили через його зайнятість </t>
  </si>
  <si>
    <t>Дмитро Зозуля</t>
  </si>
  <si>
    <t>Minecraft PL</t>
  </si>
  <si>
    <t>Dm.Zozulia@gmail.com</t>
  </si>
  <si>
    <t>Микола П'ятков</t>
  </si>
  <si>
    <t>Roblox/GD</t>
  </si>
  <si>
    <t>Марія Лисенко</t>
  </si>
  <si>
    <t>charmchai01@gmail.com</t>
  </si>
  <si>
    <t>Олена Угленко</t>
  </si>
  <si>
    <t>Ірина Соколова</t>
  </si>
  <si>
    <t xml:space="preserve">Дарія Нестерова </t>
  </si>
  <si>
    <t>nesterovadaria4@gmail.com</t>
  </si>
  <si>
    <t>Травень</t>
  </si>
  <si>
    <t>Оксана Петришин</t>
  </si>
  <si>
    <t>http://joxi.ru/823eQyWTzMzQlr</t>
  </si>
  <si>
    <t xml:space="preserve">Микита Яцюра </t>
  </si>
  <si>
    <t>Данило Носенко</t>
  </si>
  <si>
    <t>Python/Roblo</t>
  </si>
  <si>
    <t>Ігор Макхотка</t>
  </si>
  <si>
    <t>Іван Марасін</t>
  </si>
  <si>
    <t>ivanmarasin@gmail.com</t>
  </si>
  <si>
    <t>galina_om@ukr.net</t>
  </si>
  <si>
    <t xml:space="preserve">Андрій Солонченко </t>
  </si>
  <si>
    <t>Soft skills PL</t>
  </si>
  <si>
    <t xml:space="preserve">запросила на курс </t>
  </si>
  <si>
    <t xml:space="preserve">Антон Стеценко </t>
  </si>
  <si>
    <t>Дарина Ряшко</t>
  </si>
  <si>
    <t>Soft skills</t>
  </si>
  <si>
    <t>@daaashha_r</t>
  </si>
  <si>
    <t>dryashko@gmail.com</t>
  </si>
  <si>
    <t xml:space="preserve">Анастасія Десна </t>
  </si>
  <si>
    <t>Юля Доброскок</t>
  </si>
  <si>
    <t>Yuliya.dobroskok5@gmail.com</t>
  </si>
  <si>
    <t>https://europa.eu/europass/eportfolio/api/eprofile/shared-profile/c8701ae2-fba9-46f9-981b-88bf243c78af?view=html10:55</t>
  </si>
  <si>
    <t>Євгеній Чурілов</t>
  </si>
  <si>
    <t xml:space="preserve">infoche89@gmail.com
</t>
  </si>
  <si>
    <t xml:space="preserve">Олексій Токовенко </t>
  </si>
  <si>
    <t>Python/Roblox/Front/</t>
  </si>
  <si>
    <t>Олександр Глущенко</t>
  </si>
  <si>
    <t>Гліб Щегельський</t>
  </si>
  <si>
    <t>Дмитро Дубик</t>
  </si>
  <si>
    <t>Flashbackd@gmail.com</t>
  </si>
  <si>
    <t xml:space="preserve"> Олександр Єсаулов
</t>
  </si>
  <si>
    <t>Roblox/Python/GameDev/Front</t>
  </si>
  <si>
    <t>Нікіта Дубяга</t>
  </si>
  <si>
    <t>Анастасія Раскіна</t>
  </si>
  <si>
    <t>Володя Каськів</t>
  </si>
  <si>
    <t>Minecraft/Roblox/Python/Scratch</t>
  </si>
  <si>
    <t>Kaskiv11@gmail.com</t>
  </si>
  <si>
    <t xml:space="preserve">Дмитро Скрипка </t>
  </si>
  <si>
    <t xml:space="preserve">Roblox </t>
  </si>
  <si>
    <t xml:space="preserve">Валентин Рябінський </t>
  </si>
  <si>
    <t>Roblox/Python/Unity/</t>
  </si>
  <si>
    <t xml:space="preserve">erohinv56@gmail.com
</t>
  </si>
  <si>
    <t>Юрій Комиса</t>
  </si>
  <si>
    <t xml:space="preserve">@bombiteen </t>
  </si>
  <si>
    <t>@unikkym</t>
  </si>
  <si>
    <t>Вадим Бейда</t>
  </si>
  <si>
    <t>Михайло Єськов</t>
  </si>
  <si>
    <t>@threedking</t>
  </si>
  <si>
    <t>Настя Дроненко</t>
  </si>
  <si>
    <t>nastida.dr@gmail.com</t>
  </si>
  <si>
    <t>Діана  Грицан</t>
  </si>
  <si>
    <t>після 10.07.</t>
  </si>
  <si>
    <t>Роксолана Рибіна</t>
  </si>
  <si>
    <t>Soft Skills Minecraft</t>
  </si>
  <si>
    <t>Яна  Калагастова</t>
  </si>
  <si>
    <t>Тетяна Чудік</t>
  </si>
  <si>
    <t xml:space="preserve">Валерія Савчук </t>
  </si>
  <si>
    <t>Cерпень</t>
  </si>
  <si>
    <t>Катерина Середняк</t>
  </si>
  <si>
    <t>Марина Бондар</t>
  </si>
  <si>
    <t>Юлія Кравчинська</t>
  </si>
  <si>
    <t>@YuliiaKravchynska</t>
  </si>
  <si>
    <t>yuliia.kravchynska@gmail.com</t>
  </si>
  <si>
    <t>Катерина Єфременюк</t>
  </si>
  <si>
    <t>Олена  Блізнякова</t>
  </si>
  <si>
    <t>Тільки на дорослі напрямки!!!</t>
  </si>
  <si>
    <t>Неля Марчик</t>
  </si>
  <si>
    <t>Каріна Пірумшоєва</t>
  </si>
  <si>
    <t>@Pirumshoeva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</si>
</sst>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dd\.mm"/>
    <numFmt numFmtId="166" formatCode="dd\.mm\."/>
    <numFmt numFmtId="167" formatCode="d\.m"/>
    <numFmt numFmtId="168" formatCode="d\.m\."/>
    <numFmt numFmtId="169" formatCode="dd\.mm\.yyyy"/>
    <numFmt numFmtId="170" formatCode="m/d/yyyy\ h:mm:ss"/>
    <numFmt numFmtId="171" formatCode="dd\.mm\.yyyy\ h:mm:ss"/>
    <numFmt numFmtId="172" formatCode="dd&quot;.&quot;mm&quot;.&quot;yy"/>
  </numFmts>
  <fonts count="220">
    <font>
      <sz val="10"/>
      <color rgb="FF000000"/>
      <name val="Arial"/>
      <scheme val="minor"/>
    </font>
    <font>
      <sz val="11"/>
      <color rgb="FF000000"/>
      <name val="Arial"/>
      <family val="2"/>
      <charset val="204"/>
    </font>
    <font>
      <sz val="10"/>
      <color theme="1"/>
      <name val="Montserrat"/>
    </font>
    <font>
      <b/>
      <sz val="10"/>
      <color theme="1"/>
      <name val="Montserrat"/>
    </font>
    <font>
      <sz val="10"/>
      <name val="Arial"/>
      <family val="2"/>
      <charset val="204"/>
    </font>
    <font>
      <sz val="11"/>
      <color rgb="FF313949"/>
      <name val="Zoho_Puvi_Regular"/>
    </font>
    <font>
      <sz val="11"/>
      <color rgb="FF3C4043"/>
      <name val="Montserrat"/>
    </font>
    <font>
      <sz val="10"/>
      <color rgb="FF1155CC"/>
      <name val="Montserrat"/>
    </font>
    <font>
      <sz val="10"/>
      <color theme="1"/>
      <name val="Montserrat"/>
    </font>
    <font>
      <sz val="9"/>
      <color rgb="FF000000"/>
      <name val="Montserrat"/>
    </font>
    <font>
      <sz val="10"/>
      <color rgb="FF000000"/>
      <name val="Montserrat"/>
    </font>
    <font>
      <sz val="10"/>
      <color rgb="FF000000"/>
      <name val="Montserrat"/>
    </font>
    <font>
      <sz val="11"/>
      <color theme="1"/>
      <name val="Montserrat"/>
    </font>
    <font>
      <sz val="11"/>
      <color rgb="FF000000"/>
      <name val="Montserrat"/>
    </font>
    <font>
      <sz val="10"/>
      <color theme="1"/>
      <name val="Arial"/>
      <family val="2"/>
      <charset val="204"/>
      <scheme val="minor"/>
    </font>
    <font>
      <sz val="10"/>
      <color rgb="FF000000"/>
      <name val="Arial"/>
      <family val="2"/>
      <charset val="204"/>
    </font>
    <font>
      <sz val="10"/>
      <color theme="1"/>
      <name val="Arial"/>
      <family val="2"/>
      <charset val="204"/>
    </font>
    <font>
      <sz val="10"/>
      <color theme="1"/>
      <name val="Roboto"/>
    </font>
    <font>
      <sz val="11"/>
      <color theme="1"/>
      <name val="Inconsolata"/>
    </font>
    <font>
      <u/>
      <sz val="10"/>
      <color rgb="FF1155CC"/>
      <name val="Montserrat"/>
    </font>
    <font>
      <u/>
      <sz val="10"/>
      <color rgb="FF1155CC"/>
      <name val="Montserrat"/>
    </font>
    <font>
      <sz val="10"/>
      <color rgb="FF202124"/>
      <name val="Montserrat"/>
    </font>
    <font>
      <u/>
      <sz val="10"/>
      <color rgb="FF000000"/>
      <name val="Montserrat"/>
    </font>
    <font>
      <u/>
      <sz val="10"/>
      <color theme="1"/>
      <name val="Montserrat"/>
    </font>
    <font>
      <sz val="12"/>
      <color theme="1"/>
      <name val="Montserrat"/>
    </font>
    <font>
      <u/>
      <sz val="10"/>
      <color rgb="FF1155CC"/>
      <name val="Arial"/>
      <family val="2"/>
      <charset val="204"/>
    </font>
    <font>
      <sz val="11"/>
      <color theme="1"/>
      <name val="Arial"/>
      <family val="2"/>
      <charset val="204"/>
    </font>
    <font>
      <u/>
      <sz val="10"/>
      <color rgb="FF0000FF"/>
      <name val="Montserrat"/>
    </font>
    <font>
      <sz val="10"/>
      <color rgb="FF3C4043"/>
      <name val="Montserrat"/>
    </font>
    <font>
      <sz val="9"/>
      <color rgb="FF4CAF50"/>
      <name val="-apple-system"/>
    </font>
    <font>
      <sz val="10"/>
      <color rgb="FF1967D2"/>
      <name val="Montserrat"/>
    </font>
    <font>
      <i/>
      <sz val="11"/>
      <color rgb="FF3C4043"/>
      <name val="Montserrat"/>
    </font>
    <font>
      <u/>
      <sz val="10"/>
      <color rgb="FF0000FF"/>
      <name val="Montserrat"/>
    </font>
    <font>
      <u/>
      <sz val="10"/>
      <color rgb="FF1155CC"/>
      <name val="Montserrat"/>
    </font>
    <font>
      <u/>
      <sz val="10"/>
      <color rgb="FF1155CC"/>
      <name val="Montserrat"/>
    </font>
    <font>
      <u/>
      <sz val="10"/>
      <color rgb="FF1155CC"/>
      <name val="Montserrat"/>
    </font>
    <font>
      <u/>
      <sz val="10"/>
      <color rgb="FF1155CC"/>
      <name val="Montserrat"/>
    </font>
    <font>
      <u/>
      <sz val="10"/>
      <color rgb="FF1155CC"/>
      <name val="Montserrat"/>
    </font>
    <font>
      <u/>
      <sz val="10"/>
      <color rgb="FF1155CC"/>
      <name val="Montserrat"/>
    </font>
    <font>
      <u/>
      <sz val="10"/>
      <color theme="1"/>
      <name val="Montserrat"/>
    </font>
    <font>
      <u/>
      <sz val="10"/>
      <color rgb="FF1155CC"/>
      <name val="Montserrat"/>
    </font>
    <font>
      <u/>
      <sz val="10"/>
      <color rgb="FF1155CC"/>
      <name val="Montserrat"/>
    </font>
    <font>
      <sz val="10"/>
      <color rgb="FF202124"/>
      <name val="Montserrat"/>
    </font>
    <font>
      <i/>
      <sz val="11"/>
      <color rgb="FF3C4043"/>
      <name val="Roboto"/>
    </font>
    <font>
      <u/>
      <sz val="10"/>
      <color theme="1"/>
      <name val="Montserrat"/>
    </font>
    <font>
      <u/>
      <sz val="10"/>
      <color theme="1"/>
      <name val="Montserrat"/>
    </font>
    <font>
      <sz val="11"/>
      <color rgb="FF202124"/>
      <name val="Montserrat"/>
    </font>
    <font>
      <i/>
      <sz val="10"/>
      <color rgb="FF3C4043"/>
      <name val="Montserrat"/>
    </font>
    <font>
      <sz val="10"/>
      <color rgb="FF222222"/>
      <name val="Montserrat"/>
    </font>
    <font>
      <u/>
      <sz val="11"/>
      <color rgb="FF000000"/>
      <name val="Montserrat"/>
    </font>
    <font>
      <u/>
      <sz val="11"/>
      <color rgb="FF0000FF"/>
      <name val="Arial"/>
      <family val="2"/>
      <charset val="204"/>
    </font>
    <font>
      <u/>
      <sz val="10"/>
      <color theme="1"/>
      <name val="Montserrat"/>
    </font>
    <font>
      <u/>
      <sz val="10"/>
      <color rgb="FF1155CC"/>
      <name val="Montserrat"/>
    </font>
    <font>
      <sz val="9"/>
      <color rgb="FF000000"/>
      <name val="&quot;Times New Roman&quot;"/>
    </font>
    <font>
      <sz val="10"/>
      <color rgb="FF1D1C1D"/>
      <name val="Montserrat"/>
    </font>
    <font>
      <u/>
      <sz val="11"/>
      <color rgb="FF0000FF"/>
      <name val="Slack-Lato"/>
    </font>
    <font>
      <sz val="12"/>
      <color rgb="FF000000"/>
      <name val="Roboto"/>
    </font>
    <font>
      <u/>
      <sz val="10"/>
      <color rgb="FF1155CC"/>
      <name val="&quot;Google Sans&quot;"/>
    </font>
    <font>
      <u/>
      <sz val="10"/>
      <color rgb="FF1155CC"/>
      <name val="Montserrat"/>
    </font>
    <font>
      <strike/>
      <sz val="10"/>
      <color theme="1"/>
      <name val="Montserrat"/>
    </font>
    <font>
      <sz val="11"/>
      <color rgb="FF1D1C1D"/>
      <name val="Arial"/>
      <family val="2"/>
      <charset val="204"/>
    </font>
    <font>
      <sz val="10"/>
      <color rgb="FF1F1F1F"/>
      <name val="Montserrat"/>
    </font>
    <font>
      <u/>
      <sz val="10"/>
      <color rgb="FF1155CC"/>
      <name val="Montserrat"/>
    </font>
    <font>
      <u/>
      <sz val="10"/>
      <color theme="1"/>
      <name val="Montserrat"/>
    </font>
    <font>
      <u/>
      <sz val="10"/>
      <color theme="1"/>
      <name val="Montserrat"/>
    </font>
    <font>
      <sz val="10"/>
      <color rgb="FF3C5D79"/>
      <name val="Montserrat"/>
    </font>
    <font>
      <u/>
      <sz val="10"/>
      <color rgb="FF0000FF"/>
      <name val="Montserrat"/>
    </font>
    <font>
      <sz val="10"/>
      <color rgb="FF1F6BC0"/>
      <name val="Montserrat"/>
    </font>
    <font>
      <sz val="11"/>
      <color rgb="FF000000"/>
      <name val="Inconsolata"/>
    </font>
    <font>
      <sz val="11"/>
      <color theme="1"/>
      <name val="Arial"/>
      <family val="2"/>
      <charset val="204"/>
      <scheme val="minor"/>
    </font>
    <font>
      <u/>
      <sz val="11"/>
      <color rgb="FF1155CC"/>
      <name val="Montserrat"/>
    </font>
    <font>
      <u/>
      <sz val="10"/>
      <color rgb="FF1155CC"/>
      <name val="Montserrat"/>
    </font>
    <font>
      <u/>
      <sz val="11"/>
      <color rgb="FF1155CC"/>
      <name val="Montserrat"/>
    </font>
    <font>
      <sz val="10"/>
      <color rgb="FF000000"/>
      <name val="Roboto"/>
    </font>
    <font>
      <u/>
      <sz val="9"/>
      <color rgb="FF0000FF"/>
      <name val="Montserrat"/>
    </font>
    <font>
      <sz val="11"/>
      <color rgb="FF1D1C1D"/>
      <name val="Slack-Lato"/>
    </font>
    <font>
      <u/>
      <sz val="10"/>
      <color rgb="FF0000FF"/>
      <name val="Montserrat"/>
    </font>
    <font>
      <u/>
      <sz val="10"/>
      <color rgb="FF0000FF"/>
      <name val="Montserrat"/>
    </font>
    <font>
      <sz val="11"/>
      <color rgb="FF1D1C1D"/>
      <name val="Montserrat"/>
    </font>
    <font>
      <sz val="10"/>
      <color theme="1"/>
      <name val="Tahoma"/>
      <family val="2"/>
      <charset val="204"/>
    </font>
    <font>
      <u/>
      <sz val="10"/>
      <color rgb="FF0000FF"/>
      <name val="Montserrat"/>
    </font>
    <font>
      <sz val="11"/>
      <color theme="1"/>
      <name val="&quot;Helvetica Neue&quot;"/>
    </font>
    <font>
      <u/>
      <sz val="10"/>
      <color rgb="FF1155CC"/>
      <name val="Roboto"/>
    </font>
    <font>
      <u/>
      <sz val="10"/>
      <color rgb="FF0000FF"/>
      <name val="Montserrat"/>
    </font>
    <font>
      <u/>
      <sz val="12"/>
      <color rgb="FF0056B3"/>
      <name val="Roboto"/>
    </font>
    <font>
      <u/>
      <sz val="10"/>
      <color rgb="FF0000FF"/>
      <name val="Arial"/>
      <family val="2"/>
      <charset val="204"/>
    </font>
    <font>
      <sz val="9"/>
      <color rgb="FF1F1F1F"/>
      <name val="&quot;Google Sans&quot;"/>
    </font>
    <font>
      <u/>
      <sz val="10"/>
      <color theme="1"/>
      <name val="Montserrat"/>
    </font>
    <font>
      <u/>
      <sz val="10"/>
      <color rgb="FF1155CC"/>
      <name val="Montserrat"/>
    </font>
    <font>
      <u/>
      <sz val="10"/>
      <color rgb="FF1F6BC0"/>
      <name val="Arial"/>
      <family val="2"/>
      <charset val="204"/>
      <scheme val="minor"/>
    </font>
    <font>
      <b/>
      <sz val="11"/>
      <color rgb="FF3C4043"/>
      <name val="Arial"/>
      <family val="2"/>
      <charset val="204"/>
    </font>
    <font>
      <b/>
      <sz val="10"/>
      <color theme="1"/>
      <name val="Montserrat"/>
    </font>
    <font>
      <b/>
      <u/>
      <sz val="10"/>
      <color rgb="FF0000FF"/>
      <name val="Montserrat"/>
    </font>
    <font>
      <sz val="18"/>
      <color theme="1"/>
      <name val="Montserrat"/>
    </font>
    <font>
      <b/>
      <sz val="12"/>
      <color theme="1"/>
      <name val="Montserrat"/>
    </font>
    <font>
      <strike/>
      <sz val="12"/>
      <color theme="1"/>
      <name val="Montserrat"/>
    </font>
    <font>
      <strike/>
      <sz val="10"/>
      <color theme="1"/>
      <name val="Montserrat"/>
    </font>
    <font>
      <strike/>
      <sz val="10"/>
      <color rgb="FF000000"/>
      <name val="Montserrat"/>
    </font>
    <font>
      <sz val="12"/>
      <color rgb="FF202124"/>
      <name val="Montserrat"/>
    </font>
    <font>
      <sz val="10"/>
      <color rgb="FF222222"/>
      <name val="Montserrat"/>
    </font>
    <font>
      <strike/>
      <sz val="11"/>
      <color rgb="FF3C4043"/>
      <name val="Montserrat"/>
    </font>
    <font>
      <strike/>
      <sz val="10"/>
      <color rgb="FF3C4043"/>
      <name val="Montserrat"/>
    </font>
    <font>
      <sz val="10"/>
      <color rgb="FF5E5E5E"/>
      <name val="Montserrat"/>
    </font>
    <font>
      <sz val="9"/>
      <color theme="1"/>
      <name val="Montserrat"/>
    </font>
    <font>
      <sz val="10"/>
      <color rgb="FF3C4043"/>
      <name val="Montserrat"/>
    </font>
    <font>
      <u/>
      <sz val="11"/>
      <color rgb="FF1155CC"/>
      <name val="Montserrat"/>
    </font>
    <font>
      <u/>
      <sz val="10"/>
      <color theme="1"/>
      <name val="Montserrat"/>
    </font>
    <font>
      <sz val="12"/>
      <color rgb="FF000000"/>
      <name val="Montserrat"/>
    </font>
    <font>
      <u/>
      <sz val="10"/>
      <color rgb="FF1155CC"/>
      <name val="Montserrat"/>
    </font>
    <font>
      <u/>
      <sz val="10"/>
      <color rgb="FF0000FF"/>
      <name val="Montserrat"/>
    </font>
    <font>
      <u/>
      <sz val="10"/>
      <color rgb="FF0000FF"/>
      <name val="Montserrat"/>
    </font>
    <font>
      <u/>
      <sz val="10"/>
      <color rgb="FF0000FF"/>
      <name val="Montserrat"/>
    </font>
    <font>
      <u/>
      <sz val="10"/>
      <color rgb="FF0000FF"/>
      <name val="Montserrat"/>
    </font>
    <font>
      <u/>
      <sz val="10"/>
      <color rgb="FF1967D2"/>
      <name val="Montserrat"/>
    </font>
    <font>
      <u/>
      <sz val="10"/>
      <color rgb="FF202124"/>
      <name val="Montserrat"/>
    </font>
    <font>
      <u/>
      <sz val="10"/>
      <color rgb="FF0000FF"/>
      <name val="Montserrat"/>
    </font>
    <font>
      <u/>
      <sz val="10"/>
      <color rgb="FF0000FF"/>
      <name val="Montserrat"/>
    </font>
    <font>
      <u/>
      <sz val="10"/>
      <color rgb="FF0000FF"/>
      <name val="Montserrat"/>
    </font>
    <font>
      <strike/>
      <sz val="10"/>
      <color rgb="FF0000FF"/>
      <name val="Montserrat"/>
    </font>
    <font>
      <b/>
      <sz val="12"/>
      <color rgb="FF000000"/>
      <name val="Montserrat"/>
    </font>
    <font>
      <u/>
      <sz val="10"/>
      <color rgb="FF0000FF"/>
      <name val="Arial"/>
      <family val="2"/>
      <charset val="204"/>
    </font>
    <font>
      <b/>
      <u/>
      <sz val="11"/>
      <color rgb="FF0A66C2"/>
      <name val="&quot;Helvetica Neue&quot;"/>
    </font>
    <font>
      <sz val="9"/>
      <color rgb="FF3C5D79"/>
      <name val="Montserrat"/>
    </font>
    <font>
      <u/>
      <sz val="10"/>
      <color rgb="FF0000FF"/>
      <name val="Montserrat"/>
    </font>
    <font>
      <sz val="10"/>
      <color rgb="FF202124"/>
      <name val="Roboto"/>
    </font>
    <font>
      <sz val="11"/>
      <color rgb="FF3C4043"/>
      <name val="Roboto"/>
    </font>
    <font>
      <u/>
      <sz val="10"/>
      <color rgb="FF1155CC"/>
      <name val="Arial"/>
      <family val="2"/>
      <charset val="204"/>
    </font>
    <font>
      <sz val="10"/>
      <color rgb="FF3C4043"/>
      <name val="Roboto"/>
    </font>
    <font>
      <sz val="10"/>
      <color theme="1"/>
      <name val="Arial"/>
      <family val="2"/>
      <charset val="204"/>
      <scheme val="minor"/>
    </font>
    <font>
      <u/>
      <sz val="10"/>
      <color rgb="FF0000FF"/>
      <name val="Montserrat"/>
    </font>
    <font>
      <u/>
      <sz val="10"/>
      <color rgb="FF0000FF"/>
      <name val="Montserrat"/>
    </font>
    <font>
      <sz val="11"/>
      <color rgb="FF333333"/>
      <name val="&quot;Source Sans Pro&quot;"/>
    </font>
    <font>
      <u/>
      <sz val="10"/>
      <color rgb="FF0000FF"/>
      <name val="&quot;Work Sans&quot;"/>
    </font>
    <font>
      <b/>
      <sz val="11"/>
      <color theme="1"/>
      <name val="Montserrat"/>
    </font>
    <font>
      <b/>
      <sz val="10"/>
      <color rgb="FF1155CC"/>
      <name val="Montserrat"/>
    </font>
    <font>
      <b/>
      <sz val="10"/>
      <color theme="1"/>
      <name val="Arial"/>
      <family val="2"/>
      <charset val="204"/>
      <scheme val="minor"/>
    </font>
    <font>
      <u/>
      <sz val="10"/>
      <color rgb="FF1155CC"/>
      <name val="Montserrat"/>
    </font>
    <font>
      <u/>
      <sz val="10"/>
      <color rgb="FF1155CC"/>
      <name val="Montserrat"/>
    </font>
    <font>
      <u/>
      <sz val="10"/>
      <color rgb="FF1155CC"/>
      <name val="Montserrat"/>
    </font>
    <font>
      <b/>
      <sz val="10"/>
      <color rgb="FF000000"/>
      <name val="Montserrat"/>
    </font>
    <font>
      <sz val="10"/>
      <color rgb="FF1155CC"/>
      <name val="Montserrat"/>
    </font>
    <font>
      <sz val="10"/>
      <color rgb="FF3C78D8"/>
      <name val="Montserrat"/>
    </font>
    <font>
      <u/>
      <sz val="11"/>
      <color theme="1"/>
      <name val="Montserrat"/>
    </font>
    <font>
      <u/>
      <sz val="11"/>
      <color theme="1"/>
      <name val="Montserrat"/>
    </font>
    <font>
      <u/>
      <sz val="10"/>
      <color rgb="FF1155CC"/>
      <name val="Montserrat"/>
    </font>
    <font>
      <sz val="11"/>
      <color theme="1"/>
      <name val="Helvetica Neue"/>
    </font>
    <font>
      <u/>
      <sz val="10"/>
      <color rgb="FF0000FF"/>
      <name val="Montserrat"/>
    </font>
    <font>
      <u/>
      <sz val="9"/>
      <color rgb="FF0000FF"/>
      <name val="Montserrat"/>
    </font>
    <font>
      <sz val="10"/>
      <color rgb="FF000000"/>
      <name val="Roboto"/>
    </font>
    <font>
      <u/>
      <sz val="11"/>
      <color rgb="FF000000"/>
      <name val="Inconsolata"/>
    </font>
    <font>
      <u/>
      <sz val="10"/>
      <color theme="1"/>
      <name val="Montserrat"/>
    </font>
    <font>
      <b/>
      <sz val="10"/>
      <color theme="1"/>
      <name val="Arial"/>
      <family val="2"/>
      <charset val="204"/>
    </font>
    <font>
      <sz val="10"/>
      <color rgb="FF1F1F1F"/>
      <name val="&quot;Google Sans&quot;"/>
    </font>
    <font>
      <sz val="11"/>
      <color theme="1"/>
      <name val="Bitter"/>
    </font>
    <font>
      <sz val="10"/>
      <color rgb="FF000000"/>
      <name val="Docs-Montserrat"/>
    </font>
    <font>
      <sz val="11"/>
      <color rgb="FF000000"/>
      <name val="Docs-Montserrat"/>
    </font>
    <font>
      <sz val="10"/>
      <color rgb="FF1D1C1D"/>
      <name val="Arial"/>
      <family val="2"/>
      <charset val="204"/>
    </font>
    <font>
      <sz val="10"/>
      <color theme="1"/>
      <name val="Arial"/>
      <family val="2"/>
      <charset val="204"/>
    </font>
    <font>
      <sz val="11"/>
      <color rgb="FF1155CC"/>
      <name val="Montserrat"/>
    </font>
    <font>
      <u/>
      <sz val="10"/>
      <color rgb="FF1155CC"/>
      <name val="Montserrat"/>
    </font>
    <font>
      <u/>
      <sz val="10"/>
      <color rgb="FF1155CC"/>
      <name val="Montserrat"/>
    </font>
    <font>
      <u/>
      <sz val="10"/>
      <color rgb="FF1155CC"/>
      <name val="Montserrat"/>
    </font>
    <font>
      <u/>
      <sz val="10"/>
      <color rgb="FF0000FF"/>
      <name val="Montserrat"/>
    </font>
    <font>
      <u/>
      <sz val="10"/>
      <color rgb="FF1155CC"/>
      <name val="Montserrat"/>
    </font>
    <font>
      <sz val="9"/>
      <color rgb="FF000000"/>
      <name val="&quot;docs-Google Sans Mono&quot;"/>
    </font>
    <font>
      <b/>
      <sz val="11"/>
      <color rgb="FF000000"/>
      <name val="Docs-Bitter"/>
    </font>
    <font>
      <sz val="9"/>
      <color rgb="FF000000"/>
      <name val="&quot;Google Sans Mono&quot;"/>
    </font>
    <font>
      <sz val="9"/>
      <color rgb="FF444746"/>
      <name val="&quot;Google Sans&quot;"/>
    </font>
    <font>
      <b/>
      <sz val="11"/>
      <color rgb="FF000000"/>
      <name val="Bitter"/>
    </font>
    <font>
      <b/>
      <sz val="11"/>
      <color theme="1"/>
      <name val="Bitter"/>
    </font>
    <font>
      <b/>
      <sz val="11"/>
      <color theme="1"/>
      <name val="Arial"/>
      <family val="2"/>
      <charset val="204"/>
    </font>
    <font>
      <u/>
      <sz val="10"/>
      <color theme="1"/>
      <name val="Roboto"/>
    </font>
    <font>
      <sz val="10"/>
      <color rgb="FF1F6BC0"/>
      <name val="Arial"/>
      <family val="2"/>
      <charset val="204"/>
      <scheme val="minor"/>
    </font>
    <font>
      <u/>
      <sz val="10"/>
      <color rgb="FF0000FF"/>
      <name val="Arial"/>
      <family val="2"/>
      <charset val="204"/>
    </font>
    <font>
      <u/>
      <sz val="10"/>
      <color rgb="FF1155CC"/>
      <name val="Arial"/>
      <family val="2"/>
      <charset val="204"/>
    </font>
    <font>
      <b/>
      <i/>
      <sz val="10"/>
      <color theme="1"/>
      <name val="Arial"/>
      <family val="2"/>
      <charset val="204"/>
    </font>
    <font>
      <u/>
      <sz val="10"/>
      <color rgb="FF1155CC"/>
      <name val="Arial"/>
      <family val="2"/>
      <charset val="204"/>
    </font>
    <font>
      <u/>
      <sz val="10"/>
      <color rgb="FF1155CC"/>
      <name val="Arial"/>
      <family val="2"/>
      <charset val="204"/>
    </font>
    <font>
      <u/>
      <sz val="10"/>
      <color rgb="FF1155CC"/>
      <name val="Arial"/>
      <family val="2"/>
      <charset val="204"/>
    </font>
    <font>
      <sz val="11"/>
      <color rgb="FF000000"/>
      <name val="Slack-Lato"/>
    </font>
    <font>
      <u/>
      <sz val="10"/>
      <color rgb="FF0000FF"/>
      <name val="Arial"/>
      <family val="2"/>
      <charset val="204"/>
    </font>
    <font>
      <u/>
      <sz val="10"/>
      <color rgb="FF0000FF"/>
      <name val="Arial"/>
      <family val="2"/>
      <charset val="204"/>
    </font>
    <font>
      <u/>
      <sz val="10"/>
      <color rgb="FF1155CC"/>
      <name val="Arial"/>
      <family val="2"/>
      <charset val="204"/>
    </font>
    <font>
      <u/>
      <sz val="10"/>
      <color rgb="FF1155CC"/>
      <name val="Arial"/>
      <family val="2"/>
      <charset val="204"/>
    </font>
    <font>
      <sz val="10"/>
      <color rgb="FF000000"/>
      <name val="Arial"/>
      <family val="2"/>
      <charset val="204"/>
      <scheme val="minor"/>
    </font>
    <font>
      <sz val="11"/>
      <color theme="1"/>
      <name val="Slack-Lato"/>
    </font>
    <font>
      <b/>
      <sz val="10"/>
      <color rgb="FFFFFFFF"/>
      <name val="Arial"/>
      <family val="2"/>
      <charset val="204"/>
    </font>
    <font>
      <b/>
      <sz val="10"/>
      <color rgb="FFFFFFFF"/>
      <name val="Montserrat"/>
    </font>
    <font>
      <b/>
      <sz val="10"/>
      <color rgb="FFFFFFFF"/>
      <name val="Arial"/>
      <family val="2"/>
      <charset val="204"/>
      <scheme val="minor"/>
    </font>
    <font>
      <u/>
      <sz val="10"/>
      <color rgb="FF3A6D99"/>
      <name val="Tahoma"/>
      <family val="2"/>
      <charset val="204"/>
    </font>
    <font>
      <u/>
      <sz val="10"/>
      <color rgb="FF3A6D99"/>
      <name val="Tahoma"/>
      <family val="2"/>
      <charset val="204"/>
    </font>
    <font>
      <b/>
      <u/>
      <sz val="10"/>
      <color rgb="FF0000FF"/>
      <name val="Arial"/>
      <family val="2"/>
      <charset val="204"/>
    </font>
    <font>
      <u/>
      <sz val="10"/>
      <color rgb="FF1155CC"/>
      <name val="Roboto"/>
    </font>
    <font>
      <u/>
      <sz val="10"/>
      <color rgb="FF3C4043"/>
      <name val="Roboto"/>
    </font>
    <font>
      <b/>
      <u/>
      <sz val="10"/>
      <color rgb="FF1155CC"/>
      <name val="Arial"/>
      <family val="2"/>
      <charset val="204"/>
    </font>
    <font>
      <u/>
      <sz val="10"/>
      <color theme="1"/>
      <name val="Tahoma"/>
      <family val="2"/>
      <charset val="204"/>
    </font>
    <font>
      <u/>
      <sz val="10"/>
      <color rgb="FF0000FF"/>
      <name val="Tahoma"/>
      <family val="2"/>
      <charset val="204"/>
    </font>
    <font>
      <b/>
      <strike/>
      <sz val="10"/>
      <color theme="1"/>
      <name val="Arial"/>
      <family val="2"/>
      <charset val="204"/>
    </font>
    <font>
      <strike/>
      <sz val="10"/>
      <color theme="1"/>
      <name val="Arial"/>
      <family val="2"/>
      <charset val="204"/>
    </font>
    <font>
      <u/>
      <sz val="10"/>
      <color rgb="FF4A86E8"/>
      <name val="Roboto"/>
    </font>
    <font>
      <sz val="10"/>
      <color rgb="FF5F6368"/>
      <name val="Roboto"/>
    </font>
    <font>
      <sz val="10"/>
      <color rgb="FF3A6D99"/>
      <name val="Tahoma"/>
      <family val="2"/>
      <charset val="204"/>
    </font>
    <font>
      <sz val="10"/>
      <color rgb="FF1F6BC0"/>
      <name val="Arial"/>
      <family val="2"/>
      <charset val="204"/>
    </font>
    <font>
      <u/>
      <sz val="10"/>
      <color rgb="FF1155CC"/>
      <name val="Arial"/>
      <family val="2"/>
      <charset val="204"/>
    </font>
    <font>
      <u/>
      <sz val="10"/>
      <color rgb="FF1F6BC0"/>
      <name val="Arial"/>
      <family val="2"/>
      <charset val="204"/>
    </font>
    <font>
      <sz val="10"/>
      <color rgb="FF04359D"/>
      <name val="Arial"/>
      <family val="2"/>
      <charset val="204"/>
    </font>
    <font>
      <u/>
      <sz val="10"/>
      <color rgb="FF0000FF"/>
      <name val="Arial"/>
      <family val="2"/>
      <charset val="204"/>
    </font>
    <font>
      <u/>
      <sz val="12"/>
      <color rgb="FF0056B3"/>
      <name val="Roboto"/>
    </font>
    <font>
      <strike/>
      <u/>
      <sz val="10"/>
      <color rgb="FF1155CC"/>
      <name val="Arial"/>
      <family val="2"/>
      <charset val="204"/>
    </font>
    <font>
      <u/>
      <sz val="10"/>
      <color rgb="FF0056B3"/>
      <name val="Roboto"/>
    </font>
    <font>
      <u/>
      <sz val="10"/>
      <color rgb="FF0056B3"/>
      <name val="Roboto"/>
    </font>
    <font>
      <sz val="10"/>
      <name val="Montserrat"/>
    </font>
    <font>
      <sz val="13"/>
      <color theme="1"/>
      <name val="Montserrat"/>
    </font>
    <font>
      <i/>
      <sz val="10"/>
      <color theme="1"/>
      <name val="Montserrat"/>
    </font>
    <font>
      <sz val="9"/>
      <color rgb="FF1155CC"/>
      <name val="Google Sans Mono"/>
    </font>
    <font>
      <sz val="9"/>
      <color theme="1"/>
      <name val="Google Sans Mono"/>
    </font>
    <font>
      <u/>
      <sz val="10"/>
      <name val="Tahoma, Arial"/>
    </font>
    <font>
      <u/>
      <sz val="10"/>
      <color rgb="FF000000"/>
      <name val="Tahoma, Arial"/>
    </font>
    <font>
      <u/>
      <sz val="10"/>
      <color rgb="FF1155CC"/>
      <name val="Tahoma, Arial"/>
    </font>
    <font>
      <u/>
      <sz val="10"/>
      <color rgb="FF000000"/>
      <name val="Arial"/>
      <family val="2"/>
      <charset val="204"/>
    </font>
  </fonts>
  <fills count="33">
    <fill>
      <patternFill patternType="none"/>
    </fill>
    <fill>
      <patternFill patternType="gray125"/>
    </fill>
    <fill>
      <patternFill patternType="solid">
        <fgColor rgb="FFF9F9F9"/>
        <bgColor rgb="FFF9F9F9"/>
      </patternFill>
    </fill>
    <fill>
      <patternFill patternType="solid">
        <fgColor rgb="FFFCE8B2"/>
        <bgColor rgb="FFFCE8B2"/>
      </patternFill>
    </fill>
    <fill>
      <patternFill patternType="solid">
        <fgColor rgb="FFD0E0E3"/>
        <bgColor rgb="FFD0E0E3"/>
      </patternFill>
    </fill>
    <fill>
      <patternFill patternType="solid">
        <fgColor rgb="FFFCE5CD"/>
        <bgColor rgb="FFFCE5CD"/>
      </patternFill>
    </fill>
    <fill>
      <patternFill patternType="solid">
        <fgColor rgb="FFC9DAF8"/>
        <bgColor rgb="FFC9DAF8"/>
      </patternFill>
    </fill>
    <fill>
      <patternFill patternType="solid">
        <fgColor rgb="FFEAD1DC"/>
        <bgColor rgb="FFEAD1DC"/>
      </patternFill>
    </fill>
    <fill>
      <patternFill patternType="solid">
        <fgColor rgb="FFFFFFFF"/>
        <bgColor rgb="FFFFFFFF"/>
      </patternFill>
    </fill>
    <fill>
      <patternFill patternType="solid">
        <fgColor rgb="FFFFF2CC"/>
        <bgColor rgb="FFFFF2CC"/>
      </patternFill>
    </fill>
    <fill>
      <patternFill patternType="solid">
        <fgColor rgb="FFCFE2F3"/>
        <bgColor rgb="FFCFE2F3"/>
      </patternFill>
    </fill>
    <fill>
      <patternFill patternType="solid">
        <fgColor rgb="FFD9EAD3"/>
        <bgColor rgb="FFD9EAD3"/>
      </patternFill>
    </fill>
    <fill>
      <patternFill patternType="solid">
        <fgColor rgb="FFFFE599"/>
        <bgColor rgb="FFFFE599"/>
      </patternFill>
    </fill>
    <fill>
      <patternFill patternType="solid">
        <fgColor rgb="FF2F3438"/>
        <bgColor rgb="FF2F3438"/>
      </patternFill>
    </fill>
    <fill>
      <patternFill patternType="solid">
        <fgColor rgb="FFF4CCCC"/>
        <bgColor rgb="FFF4CCCC"/>
      </patternFill>
    </fill>
    <fill>
      <patternFill patternType="solid">
        <fgColor rgb="FFB6D7A8"/>
        <bgColor rgb="FFB6D7A8"/>
      </patternFill>
    </fill>
    <fill>
      <patternFill patternType="solid">
        <fgColor theme="0"/>
        <bgColor theme="0"/>
      </patternFill>
    </fill>
    <fill>
      <patternFill patternType="solid">
        <fgColor rgb="FFE06666"/>
        <bgColor rgb="FFE06666"/>
      </patternFill>
    </fill>
    <fill>
      <patternFill patternType="solid">
        <fgColor rgb="FFFF0000"/>
        <bgColor rgb="FFFF0000"/>
      </patternFill>
    </fill>
    <fill>
      <patternFill patternType="solid">
        <fgColor rgb="FFF8F8F8"/>
        <bgColor rgb="FFF8F8F8"/>
      </patternFill>
    </fill>
    <fill>
      <patternFill patternType="solid">
        <fgColor rgb="FFFFFF00"/>
        <bgColor rgb="FFFFFF00"/>
      </patternFill>
    </fill>
    <fill>
      <patternFill patternType="solid">
        <fgColor rgb="FFEFEFEF"/>
        <bgColor rgb="FFEFEFEF"/>
      </patternFill>
    </fill>
    <fill>
      <patternFill patternType="solid">
        <fgColor rgb="FF93C47D"/>
        <bgColor rgb="FF93C47D"/>
      </patternFill>
    </fill>
    <fill>
      <patternFill patternType="solid">
        <fgColor rgb="FFFF9900"/>
        <bgColor rgb="FFFF9900"/>
      </patternFill>
    </fill>
    <fill>
      <patternFill patternType="solid">
        <fgColor rgb="FFF9CB9C"/>
        <bgColor rgb="FFF9CB9C"/>
      </patternFill>
    </fill>
    <fill>
      <patternFill patternType="solid">
        <fgColor rgb="FFDADFE8"/>
        <bgColor rgb="FFDADFE8"/>
      </patternFill>
    </fill>
    <fill>
      <patternFill patternType="solid">
        <fgColor rgb="FFB4A7D6"/>
        <bgColor rgb="FFB4A7D6"/>
      </patternFill>
    </fill>
    <fill>
      <patternFill patternType="solid">
        <fgColor rgb="FFEA9999"/>
        <bgColor rgb="FFEA9999"/>
      </patternFill>
    </fill>
    <fill>
      <patternFill patternType="solid">
        <fgColor rgb="FF666666"/>
        <bgColor rgb="FF666666"/>
      </patternFill>
    </fill>
    <fill>
      <patternFill patternType="solid">
        <fgColor rgb="FF38761D"/>
        <bgColor rgb="FF38761D"/>
      </patternFill>
    </fill>
    <fill>
      <patternFill patternType="solid">
        <fgColor rgb="FF6AA84F"/>
        <bgColor rgb="FF6AA84F"/>
      </patternFill>
    </fill>
    <fill>
      <patternFill patternType="solid">
        <fgColor rgb="FFF6B26B"/>
        <bgColor rgb="FFF6B26B"/>
      </patternFill>
    </fill>
    <fill>
      <patternFill patternType="solid">
        <fgColor rgb="FF8093B3"/>
        <bgColor rgb="FF8093B3"/>
      </patternFill>
    </fill>
  </fills>
  <borders count="50">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top/>
      <bottom/>
      <diagonal/>
    </border>
    <border>
      <left/>
      <right style="thick">
        <color rgb="FF000000"/>
      </right>
      <top/>
      <bottom/>
      <diagonal/>
    </border>
    <border>
      <left/>
      <right style="medium">
        <color rgb="FF000000"/>
      </right>
      <top/>
      <bottom/>
      <diagonal/>
    </border>
    <border>
      <left/>
      <right style="thick">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style="thin">
        <color rgb="FF000000"/>
      </left>
      <right/>
      <top/>
      <bottom/>
      <diagonal/>
    </border>
    <border>
      <left/>
      <right/>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ck">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medium">
        <color rgb="FF000000"/>
      </top>
      <bottom/>
      <diagonal/>
    </border>
    <border>
      <left/>
      <right/>
      <top style="thick">
        <color rgb="FF000000"/>
      </top>
      <bottom/>
      <diagonal/>
    </border>
    <border>
      <left style="medium">
        <color rgb="FF000000"/>
      </left>
      <right/>
      <top/>
      <bottom/>
      <diagonal/>
    </border>
    <border>
      <left/>
      <right style="thick">
        <color rgb="FF000000"/>
      </right>
      <top/>
      <bottom style="medium">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n">
        <color rgb="FF000000"/>
      </right>
      <top style="thick">
        <color rgb="FF000000"/>
      </top>
      <bottom style="thick">
        <color rgb="FF000000"/>
      </bottom>
      <diagonal/>
    </border>
    <border>
      <left/>
      <right style="thin">
        <color rgb="FF000000"/>
      </right>
      <top style="thick">
        <color rgb="FF000000"/>
      </top>
      <bottom style="thick">
        <color rgb="FF000000"/>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n">
        <color rgb="FF000000"/>
      </bottom>
      <diagonal/>
    </border>
    <border>
      <left/>
      <right style="thick">
        <color rgb="FF000000"/>
      </right>
      <top/>
      <bottom style="thin">
        <color rgb="FF000000"/>
      </bottom>
      <diagonal/>
    </border>
    <border>
      <left style="thick">
        <color rgb="FF000000"/>
      </left>
      <right style="thin">
        <color rgb="FF000000"/>
      </right>
      <top/>
      <bottom/>
      <diagonal/>
    </border>
    <border>
      <left/>
      <right style="thin">
        <color rgb="FF000000"/>
      </right>
      <top/>
      <bottom/>
      <diagonal/>
    </border>
    <border>
      <left style="thick">
        <color rgb="FF000000"/>
      </left>
      <right/>
      <top style="thin">
        <color rgb="FF000000"/>
      </top>
      <bottom style="thin">
        <color rgb="FF000000"/>
      </bottom>
      <diagonal/>
    </border>
    <border>
      <left style="thick">
        <color rgb="FF000000"/>
      </left>
      <right style="thin">
        <color rgb="FF000000"/>
      </right>
      <top style="thick">
        <color rgb="FF000000"/>
      </top>
      <bottom style="thin">
        <color rgb="FF000000"/>
      </bottom>
      <diagonal/>
    </border>
    <border>
      <left/>
      <right style="thin">
        <color rgb="FF000000"/>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ck">
        <color rgb="FF000000"/>
      </right>
      <top/>
      <bottom/>
      <diagonal/>
    </border>
    <border>
      <left style="thick">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style="thick">
        <color rgb="FF000000"/>
      </left>
      <right style="thin">
        <color rgb="FF000000"/>
      </right>
      <top/>
      <bottom style="thick">
        <color rgb="FF000000"/>
      </bottom>
      <diagonal/>
    </border>
    <border>
      <left/>
      <right style="thin">
        <color rgb="FF000000"/>
      </right>
      <top/>
      <bottom style="thick">
        <color rgb="FF000000"/>
      </bottom>
      <diagonal/>
    </border>
    <border>
      <left style="thick">
        <color rgb="FF000000"/>
      </left>
      <right/>
      <top/>
      <bottom style="thin">
        <color rgb="FF000000"/>
      </bottom>
      <diagonal/>
    </border>
    <border>
      <left style="thin">
        <color rgb="FF000000"/>
      </left>
      <right style="thin">
        <color rgb="FF000000"/>
      </right>
      <top/>
      <bottom style="thick">
        <color rgb="FF000000"/>
      </bottom>
      <diagonal/>
    </border>
    <border>
      <left style="thin">
        <color rgb="FF000000"/>
      </left>
      <right style="thick">
        <color rgb="FF000000"/>
      </right>
      <top/>
      <bottom style="thick">
        <color rgb="FF000000"/>
      </bottom>
      <diagonal/>
    </border>
    <border>
      <left/>
      <right/>
      <top/>
      <bottom style="thin">
        <color rgb="FF000000"/>
      </bottom>
      <diagonal/>
    </border>
  </borders>
  <cellStyleXfs count="1">
    <xf numFmtId="0" fontId="0" fillId="0" borderId="0"/>
  </cellStyleXfs>
  <cellXfs count="685">
    <xf numFmtId="0" fontId="0" fillId="0" borderId="0" xfId="0"/>
    <xf numFmtId="0" fontId="1" fillId="2" borderId="0" xfId="0" applyFont="1" applyFill="1"/>
    <xf numFmtId="0" fontId="2" fillId="3" borderId="0" xfId="0" applyFont="1" applyFill="1" applyAlignment="1">
      <alignment horizontal="left"/>
    </xf>
    <xf numFmtId="0" fontId="3" fillId="3" borderId="0" xfId="0" applyFont="1" applyFill="1" applyAlignment="1">
      <alignment horizontal="center"/>
    </xf>
    <xf numFmtId="0" fontId="3" fillId="4" borderId="3" xfId="0" applyFont="1" applyFill="1" applyBorder="1" applyAlignment="1">
      <alignment horizontal="center"/>
    </xf>
    <xf numFmtId="0" fontId="3" fillId="4" borderId="4" xfId="0" applyFont="1" applyFill="1" applyBorder="1" applyAlignment="1">
      <alignment horizontal="center"/>
    </xf>
    <xf numFmtId="0" fontId="5" fillId="8" borderId="0" xfId="0" applyFont="1" applyFill="1" applyAlignment="1">
      <alignment wrapText="1"/>
    </xf>
    <xf numFmtId="0" fontId="2" fillId="3" borderId="0" xfId="0" applyFont="1" applyFill="1" applyAlignment="1">
      <alignment horizontal="center" vertical="center" wrapText="1"/>
    </xf>
    <xf numFmtId="0" fontId="3" fillId="3" borderId="0" xfId="0" applyFont="1" applyFill="1" applyAlignment="1">
      <alignment horizontal="center" vertical="center" wrapText="1"/>
    </xf>
    <xf numFmtId="0" fontId="3" fillId="3" borderId="8" xfId="0" applyFont="1" applyFill="1" applyBorder="1" applyAlignment="1">
      <alignment horizontal="center" vertical="center" wrapText="1"/>
    </xf>
    <xf numFmtId="0" fontId="3" fillId="4" borderId="2"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 xfId="0" applyFont="1" applyFill="1" applyBorder="1" applyAlignment="1">
      <alignment horizontal="center" vertical="center" wrapText="1"/>
    </xf>
    <xf numFmtId="0" fontId="3" fillId="4" borderId="4" xfId="0" applyFont="1" applyFill="1" applyBorder="1" applyAlignment="1">
      <alignment horizontal="center" vertical="center"/>
    </xf>
    <xf numFmtId="0" fontId="6" fillId="8" borderId="0" xfId="0" applyFont="1" applyFill="1"/>
    <xf numFmtId="0" fontId="7" fillId="0" borderId="0" xfId="0" applyFont="1" applyAlignment="1">
      <alignment horizontal="left"/>
    </xf>
    <xf numFmtId="0" fontId="8" fillId="0" borderId="0" xfId="0" applyFont="1"/>
    <xf numFmtId="0" fontId="2" fillId="8" borderId="0" xfId="0" applyFont="1" applyFill="1"/>
    <xf numFmtId="0" fontId="2" fillId="0" borderId="0" xfId="0" applyFont="1"/>
    <xf numFmtId="0" fontId="2" fillId="0" borderId="6" xfId="0" applyFont="1" applyBorder="1"/>
    <xf numFmtId="0" fontId="2" fillId="8" borderId="5" xfId="0" applyFont="1" applyFill="1" applyBorder="1" applyAlignment="1">
      <alignment horizontal="center" vertical="center"/>
    </xf>
    <xf numFmtId="1"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center"/>
    </xf>
    <xf numFmtId="10" fontId="9" fillId="8" borderId="5" xfId="0" applyNumberFormat="1" applyFont="1" applyFill="1" applyBorder="1" applyAlignment="1">
      <alignment horizontal="center"/>
    </xf>
    <xf numFmtId="3" fontId="2" fillId="0" borderId="6" xfId="0" applyNumberFormat="1" applyFont="1" applyBorder="1" applyAlignment="1">
      <alignment horizontal="center" vertical="center"/>
    </xf>
    <xf numFmtId="10" fontId="9" fillId="8" borderId="0" xfId="0" applyNumberFormat="1" applyFont="1" applyFill="1"/>
    <xf numFmtId="0" fontId="10" fillId="8" borderId="5" xfId="0" applyFont="1" applyFill="1" applyBorder="1" applyAlignment="1">
      <alignment horizontal="center" vertical="center"/>
    </xf>
    <xf numFmtId="0" fontId="2" fillId="0" borderId="6" xfId="0" applyFont="1" applyBorder="1" applyAlignment="1">
      <alignment horizontal="center" vertical="center"/>
    </xf>
    <xf numFmtId="0" fontId="2" fillId="0" borderId="0" xfId="0" applyFont="1" applyAlignment="1">
      <alignment horizontal="center" vertical="center"/>
    </xf>
    <xf numFmtId="0" fontId="11" fillId="8" borderId="0" xfId="0" applyFont="1" applyFill="1"/>
    <xf numFmtId="0" fontId="8" fillId="0" borderId="0" xfId="0" applyFont="1" applyAlignment="1">
      <alignment horizontal="left"/>
    </xf>
    <xf numFmtId="0" fontId="8" fillId="8" borderId="0" xfId="0" applyFont="1" applyFill="1" applyAlignment="1">
      <alignment horizontal="left" wrapText="1"/>
    </xf>
    <xf numFmtId="0" fontId="8" fillId="0" borderId="6" xfId="0" applyFont="1" applyBorder="1"/>
    <xf numFmtId="0" fontId="12" fillId="0" borderId="0" xfId="0" applyFont="1" applyAlignment="1">
      <alignment horizontal="center"/>
    </xf>
    <xf numFmtId="0" fontId="8" fillId="0" borderId="7" xfId="0" applyFont="1" applyBorder="1"/>
    <xf numFmtId="0" fontId="14" fillId="0" borderId="0" xfId="0" applyFont="1"/>
    <xf numFmtId="0" fontId="15" fillId="8" borderId="0" xfId="0" applyFont="1" applyFill="1" applyAlignment="1">
      <alignment wrapText="1"/>
    </xf>
    <xf numFmtId="0" fontId="16" fillId="8" borderId="0" xfId="0" applyFont="1" applyFill="1" applyAlignment="1">
      <alignment horizontal="left" wrapText="1"/>
    </xf>
    <xf numFmtId="0" fontId="17" fillId="8" borderId="0" xfId="0" applyFont="1" applyFill="1" applyAlignment="1">
      <alignment horizontal="left" wrapText="1"/>
    </xf>
    <xf numFmtId="0" fontId="14" fillId="0" borderId="6" xfId="0" applyFont="1" applyBorder="1"/>
    <xf numFmtId="0" fontId="18" fillId="0" borderId="0" xfId="0" applyFont="1" applyAlignment="1">
      <alignment horizontal="center"/>
    </xf>
    <xf numFmtId="0" fontId="14" fillId="0" borderId="7" xfId="0" applyFont="1" applyBorder="1"/>
    <xf numFmtId="0" fontId="12" fillId="8" borderId="9" xfId="0" applyFont="1" applyFill="1" applyBorder="1"/>
    <xf numFmtId="0" fontId="2" fillId="0" borderId="0" xfId="0" applyFont="1" applyAlignment="1">
      <alignment horizontal="left"/>
    </xf>
    <xf numFmtId="0" fontId="2" fillId="8" borderId="0" xfId="0" applyFont="1" applyFill="1" applyAlignment="1">
      <alignment horizontal="left"/>
    </xf>
    <xf numFmtId="0" fontId="10" fillId="8" borderId="0" xfId="0" applyFont="1" applyFill="1"/>
    <xf numFmtId="0" fontId="2" fillId="6" borderId="0" xfId="0" applyFont="1" applyFill="1" applyAlignment="1">
      <alignment horizontal="left"/>
    </xf>
    <xf numFmtId="0" fontId="2" fillId="9" borderId="0" xfId="0" applyFont="1" applyFill="1"/>
    <xf numFmtId="10" fontId="2" fillId="0" borderId="0" xfId="0" applyNumberFormat="1" applyFont="1"/>
    <xf numFmtId="0" fontId="2" fillId="10" borderId="0" xfId="0" applyFont="1" applyFill="1"/>
    <xf numFmtId="0" fontId="19" fillId="8" borderId="0" xfId="0" applyFont="1" applyFill="1"/>
    <xf numFmtId="0" fontId="7" fillId="9" borderId="0" xfId="0" applyFont="1" applyFill="1"/>
    <xf numFmtId="0" fontId="2" fillId="11" borderId="6" xfId="0" applyFont="1" applyFill="1" applyBorder="1" applyAlignment="1">
      <alignment horizontal="center" vertical="center"/>
    </xf>
    <xf numFmtId="0" fontId="20" fillId="8" borderId="0" xfId="0" applyFont="1" applyFill="1"/>
    <xf numFmtId="0" fontId="21" fillId="8" borderId="0" xfId="0" applyFont="1" applyFill="1"/>
    <xf numFmtId="0" fontId="8" fillId="0" borderId="0" xfId="0" applyFont="1" applyAlignment="1">
      <alignment horizontal="center"/>
    </xf>
    <xf numFmtId="0" fontId="22" fillId="8" borderId="0" xfId="0" applyFont="1" applyFill="1"/>
    <xf numFmtId="0" fontId="23" fillId="8" borderId="0" xfId="0" applyFont="1" applyFill="1"/>
    <xf numFmtId="10" fontId="10" fillId="0" borderId="5" xfId="0" applyNumberFormat="1" applyFont="1" applyBorder="1" applyAlignment="1">
      <alignment horizontal="center"/>
    </xf>
    <xf numFmtId="0" fontId="10" fillId="8" borderId="0" xfId="0" applyFont="1" applyFill="1" applyAlignment="1">
      <alignment wrapText="1"/>
    </xf>
    <xf numFmtId="0" fontId="12" fillId="8" borderId="0" xfId="0" applyFont="1" applyFill="1"/>
    <xf numFmtId="0" fontId="8" fillId="0" borderId="6" xfId="0" applyFont="1" applyBorder="1" applyAlignment="1">
      <alignment horizontal="center" vertical="center"/>
    </xf>
    <xf numFmtId="0" fontId="8" fillId="0" borderId="0" xfId="0" applyFont="1" applyAlignment="1">
      <alignment horizontal="center" vertical="center"/>
    </xf>
    <xf numFmtId="0" fontId="12" fillId="0" borderId="6" xfId="0" applyFont="1" applyBorder="1" applyAlignment="1">
      <alignment horizontal="center" vertical="center"/>
    </xf>
    <xf numFmtId="0" fontId="24" fillId="0" borderId="0" xfId="0" applyFont="1" applyAlignment="1">
      <alignment horizontal="center" vertical="center"/>
    </xf>
    <xf numFmtId="0" fontId="14" fillId="0" borderId="0" xfId="0" applyFont="1" applyAlignment="1">
      <alignment horizontal="center"/>
    </xf>
    <xf numFmtId="0" fontId="27" fillId="0" borderId="0" xfId="0" applyFont="1"/>
    <xf numFmtId="0" fontId="28" fillId="8" borderId="0" xfId="0" applyFont="1" applyFill="1"/>
    <xf numFmtId="0" fontId="29" fillId="13" borderId="0" xfId="0" applyFont="1" applyFill="1"/>
    <xf numFmtId="0" fontId="30" fillId="8" borderId="0" xfId="0" applyFont="1" applyFill="1"/>
    <xf numFmtId="0" fontId="13" fillId="8" borderId="5" xfId="0" applyFont="1" applyFill="1" applyBorder="1" applyAlignment="1">
      <alignment horizontal="center" vertical="center"/>
    </xf>
    <xf numFmtId="0" fontId="7" fillId="8" borderId="0" xfId="0" applyFont="1" applyFill="1" applyAlignment="1">
      <alignment horizontal="left"/>
    </xf>
    <xf numFmtId="0" fontId="10" fillId="8" borderId="0" xfId="0" applyFont="1" applyFill="1" applyAlignment="1">
      <alignment horizontal="left"/>
    </xf>
    <xf numFmtId="0" fontId="2" fillId="9" borderId="0" xfId="0" applyFont="1" applyFill="1" applyAlignment="1">
      <alignment horizontal="left"/>
    </xf>
    <xf numFmtId="0" fontId="31" fillId="8" borderId="0" xfId="0" applyFont="1" applyFill="1"/>
    <xf numFmtId="0" fontId="8" fillId="8" borderId="0" xfId="0" applyFont="1" applyFill="1"/>
    <xf numFmtId="0" fontId="32" fillId="0" borderId="0" xfId="0" applyFont="1" applyAlignment="1">
      <alignment horizontal="left"/>
    </xf>
    <xf numFmtId="0" fontId="33" fillId="0" borderId="0" xfId="0" applyFont="1" applyAlignment="1">
      <alignment horizontal="left"/>
    </xf>
    <xf numFmtId="0" fontId="6" fillId="0" borderId="0" xfId="0" applyFont="1"/>
    <xf numFmtId="0" fontId="8" fillId="14" borderId="0" xfId="0" applyFont="1" applyFill="1"/>
    <xf numFmtId="0" fontId="34" fillId="0" borderId="0" xfId="0" applyFont="1"/>
    <xf numFmtId="0" fontId="12" fillId="8" borderId="10" xfId="0" applyFont="1" applyFill="1" applyBorder="1"/>
    <xf numFmtId="0" fontId="35" fillId="0" borderId="10" xfId="0" applyFont="1" applyBorder="1"/>
    <xf numFmtId="0" fontId="2" fillId="0" borderId="10" xfId="0" applyFont="1" applyBorder="1"/>
    <xf numFmtId="0" fontId="36" fillId="8" borderId="0" xfId="0" applyFont="1" applyFill="1"/>
    <xf numFmtId="0" fontId="2" fillId="8" borderId="0" xfId="0" applyFont="1" applyFill="1" applyAlignment="1">
      <alignment horizontal="right"/>
    </xf>
    <xf numFmtId="0" fontId="13" fillId="8" borderId="0" xfId="0" applyFont="1" applyFill="1"/>
    <xf numFmtId="0" fontId="2" fillId="8" borderId="0" xfId="0" applyFont="1" applyFill="1" applyAlignment="1">
      <alignment horizontal="left" wrapText="1"/>
    </xf>
    <xf numFmtId="0" fontId="12" fillId="10" borderId="0" xfId="0" applyFont="1" applyFill="1"/>
    <xf numFmtId="0" fontId="8" fillId="8" borderId="0" xfId="0" applyFont="1" applyFill="1" applyAlignment="1">
      <alignment horizontal="left"/>
    </xf>
    <xf numFmtId="0" fontId="7" fillId="8" borderId="0" xfId="0" applyFont="1" applyFill="1" applyAlignment="1">
      <alignment horizontal="left" wrapText="1"/>
    </xf>
    <xf numFmtId="0" fontId="37" fillId="0" borderId="0" xfId="0" applyFont="1" applyAlignment="1">
      <alignment horizontal="left"/>
    </xf>
    <xf numFmtId="0" fontId="38" fillId="0" borderId="0" xfId="0" applyFont="1"/>
    <xf numFmtId="0" fontId="39" fillId="8" borderId="0" xfId="0" applyFont="1" applyFill="1"/>
    <xf numFmtId="0" fontId="13" fillId="8" borderId="0" xfId="0" applyFont="1" applyFill="1" applyAlignment="1">
      <alignment vertical="top" wrapText="1"/>
    </xf>
    <xf numFmtId="0" fontId="40" fillId="9" borderId="0" xfId="0" applyFont="1" applyFill="1"/>
    <xf numFmtId="0" fontId="2" fillId="16" borderId="0" xfId="0" applyFont="1" applyFill="1"/>
    <xf numFmtId="0" fontId="13" fillId="8" borderId="0" xfId="0" applyFont="1" applyFill="1" applyAlignment="1">
      <alignment wrapText="1"/>
    </xf>
    <xf numFmtId="0" fontId="41" fillId="8" borderId="0" xfId="0" applyFont="1" applyFill="1"/>
    <xf numFmtId="0" fontId="42" fillId="8" borderId="0" xfId="0" applyFont="1" applyFill="1"/>
    <xf numFmtId="0" fontId="43" fillId="8" borderId="0" xfId="0" applyFont="1" applyFill="1"/>
    <xf numFmtId="0" fontId="2" fillId="0" borderId="0" xfId="0" applyFont="1" applyAlignment="1">
      <alignment horizontal="left" wrapText="1"/>
    </xf>
    <xf numFmtId="0" fontId="44" fillId="8" borderId="0" xfId="0" applyFont="1" applyFill="1"/>
    <xf numFmtId="0" fontId="8" fillId="15" borderId="0" xfId="0" applyFont="1" applyFill="1"/>
    <xf numFmtId="0" fontId="45" fillId="0" borderId="0" xfId="0" applyFont="1" applyAlignment="1">
      <alignment horizontal="left"/>
    </xf>
    <xf numFmtId="0" fontId="7" fillId="8" borderId="0" xfId="0" applyFont="1" applyFill="1"/>
    <xf numFmtId="0" fontId="46" fillId="8" borderId="0" xfId="0" applyFont="1" applyFill="1"/>
    <xf numFmtId="0" fontId="12" fillId="14" borderId="0" xfId="0" applyFont="1" applyFill="1"/>
    <xf numFmtId="0" fontId="47" fillId="8" borderId="0" xfId="0" applyFont="1" applyFill="1"/>
    <xf numFmtId="0" fontId="48" fillId="8" borderId="0" xfId="0" applyFont="1" applyFill="1"/>
    <xf numFmtId="0" fontId="12" fillId="0" borderId="0" xfId="0" applyFont="1"/>
    <xf numFmtId="0" fontId="12" fillId="0" borderId="5" xfId="0" applyFont="1" applyBorder="1" applyAlignment="1">
      <alignment horizontal="center"/>
    </xf>
    <xf numFmtId="10" fontId="49" fillId="0" borderId="5" xfId="0" applyNumberFormat="1" applyFont="1" applyBorder="1" applyAlignment="1">
      <alignment horizontal="center" vertical="center"/>
    </xf>
    <xf numFmtId="10" fontId="14" fillId="0" borderId="0" xfId="0" applyNumberFormat="1" applyFont="1"/>
    <xf numFmtId="0" fontId="26" fillId="8" borderId="0" xfId="0" applyFont="1" applyFill="1"/>
    <xf numFmtId="0" fontId="16" fillId="0" borderId="0" xfId="0" applyFont="1"/>
    <xf numFmtId="0" fontId="16" fillId="8" borderId="0" xfId="0" applyFont="1" applyFill="1"/>
    <xf numFmtId="0" fontId="12" fillId="0" borderId="0" xfId="0" applyFont="1" applyAlignment="1">
      <alignment horizontal="left"/>
    </xf>
    <xf numFmtId="0" fontId="50" fillId="8" borderId="0" xfId="0" applyFont="1" applyFill="1" applyAlignment="1">
      <alignment horizontal="left"/>
    </xf>
    <xf numFmtId="0" fontId="10" fillId="0" borderId="0" xfId="0" applyFont="1"/>
    <xf numFmtId="0" fontId="10" fillId="8" borderId="0" xfId="0" applyFont="1" applyFill="1" applyAlignment="1">
      <alignment horizontal="left" wrapText="1"/>
    </xf>
    <xf numFmtId="0" fontId="51" fillId="0" borderId="0" xfId="0" applyFont="1"/>
    <xf numFmtId="0" fontId="52" fillId="8" borderId="0" xfId="0" applyFont="1" applyFill="1" applyAlignment="1">
      <alignment horizontal="left"/>
    </xf>
    <xf numFmtId="0" fontId="10" fillId="0" borderId="0" xfId="0" applyFont="1" applyAlignment="1">
      <alignment horizontal="left"/>
    </xf>
    <xf numFmtId="0" fontId="53" fillId="8" borderId="0" xfId="0" applyFont="1" applyFill="1" applyAlignment="1">
      <alignment horizontal="left"/>
    </xf>
    <xf numFmtId="0" fontId="55" fillId="8" borderId="0" xfId="0" applyFont="1" applyFill="1" applyAlignment="1">
      <alignment horizontal="left"/>
    </xf>
    <xf numFmtId="0" fontId="12" fillId="8" borderId="11" xfId="0" applyFont="1" applyFill="1" applyBorder="1"/>
    <xf numFmtId="0" fontId="14" fillId="0" borderId="0" xfId="0" applyFont="1" applyAlignment="1">
      <alignment horizontal="left"/>
    </xf>
    <xf numFmtId="0" fontId="7" fillId="0" borderId="0" xfId="0" applyFont="1" applyAlignment="1">
      <alignment horizontal="left" wrapText="1"/>
    </xf>
    <xf numFmtId="0" fontId="56" fillId="8" borderId="0" xfId="0" applyFont="1" applyFill="1"/>
    <xf numFmtId="0" fontId="7" fillId="0" borderId="0" xfId="0" applyFont="1"/>
    <xf numFmtId="0" fontId="57" fillId="8" borderId="0" xfId="0" applyFont="1" applyFill="1"/>
    <xf numFmtId="0" fontId="58" fillId="0" borderId="0" xfId="0" applyFont="1"/>
    <xf numFmtId="0" fontId="12" fillId="7" borderId="0" xfId="0" applyFont="1" applyFill="1"/>
    <xf numFmtId="0" fontId="59" fillId="0" borderId="0" xfId="0" applyFont="1"/>
    <xf numFmtId="0" fontId="61" fillId="8" borderId="0" xfId="0" applyFont="1" applyFill="1"/>
    <xf numFmtId="0" fontId="62" fillId="8" borderId="0" xfId="0" applyFont="1" applyFill="1"/>
    <xf numFmtId="0" fontId="2" fillId="8" borderId="0" xfId="0" applyFont="1" applyFill="1" applyAlignment="1">
      <alignment wrapText="1"/>
    </xf>
    <xf numFmtId="0" fontId="63" fillId="0" borderId="0" xfId="0" applyFont="1"/>
    <xf numFmtId="0" fontId="64" fillId="0" borderId="0" xfId="0" applyFont="1"/>
    <xf numFmtId="0" fontId="65" fillId="9" borderId="0" xfId="0" applyFont="1" applyFill="1"/>
    <xf numFmtId="0" fontId="66" fillId="0" borderId="0" xfId="0" applyFont="1"/>
    <xf numFmtId="0" fontId="67" fillId="8" borderId="0" xfId="0" applyFont="1" applyFill="1"/>
    <xf numFmtId="0" fontId="14" fillId="8" borderId="0" xfId="0" applyFont="1" applyFill="1"/>
    <xf numFmtId="0" fontId="11" fillId="18" borderId="0" xfId="0" applyFont="1" applyFill="1"/>
    <xf numFmtId="0" fontId="16" fillId="7" borderId="0" xfId="0" applyFont="1" applyFill="1"/>
    <xf numFmtId="0" fontId="8" fillId="8" borderId="0" xfId="0" applyFont="1" applyFill="1" applyAlignment="1">
      <alignment wrapText="1"/>
    </xf>
    <xf numFmtId="0" fontId="8" fillId="0" borderId="0" xfId="0" applyFont="1" applyAlignment="1">
      <alignment vertical="top"/>
    </xf>
    <xf numFmtId="0" fontId="14" fillId="7" borderId="0" xfId="0" applyFont="1" applyFill="1"/>
    <xf numFmtId="0" fontId="69" fillId="8" borderId="0" xfId="0" applyFont="1" applyFill="1"/>
    <xf numFmtId="0" fontId="42" fillId="8" borderId="0" xfId="0" applyFont="1" applyFill="1" applyAlignment="1">
      <alignment horizontal="left"/>
    </xf>
    <xf numFmtId="0" fontId="70" fillId="8" borderId="0" xfId="0" applyFont="1" applyFill="1"/>
    <xf numFmtId="0" fontId="8" fillId="16" borderId="0" xfId="0" applyFont="1" applyFill="1"/>
    <xf numFmtId="0" fontId="8" fillId="7" borderId="0" xfId="0" applyFont="1" applyFill="1"/>
    <xf numFmtId="0" fontId="8" fillId="0" borderId="0" xfId="0" applyFont="1" applyAlignment="1">
      <alignment horizontal="right"/>
    </xf>
    <xf numFmtId="0" fontId="16" fillId="0" borderId="6" xfId="0" applyFont="1" applyBorder="1"/>
    <xf numFmtId="0" fontId="71" fillId="8" borderId="0" xfId="0" applyFont="1" applyFill="1"/>
    <xf numFmtId="0" fontId="72" fillId="8" borderId="0" xfId="0" applyFont="1" applyFill="1"/>
    <xf numFmtId="0" fontId="12" fillId="8" borderId="0" xfId="0" applyFont="1" applyFill="1" applyAlignment="1">
      <alignment horizontal="left"/>
    </xf>
    <xf numFmtId="0" fontId="28" fillId="8" borderId="0" xfId="0" applyFont="1" applyFill="1" applyAlignment="1">
      <alignment horizontal="left"/>
    </xf>
    <xf numFmtId="0" fontId="74" fillId="0" borderId="0" xfId="0" applyFont="1"/>
    <xf numFmtId="0" fontId="8" fillId="6" borderId="0" xfId="0" applyFont="1" applyFill="1"/>
    <xf numFmtId="0" fontId="75" fillId="19" borderId="0" xfId="0" applyFont="1" applyFill="1" applyAlignment="1">
      <alignment horizontal="left"/>
    </xf>
    <xf numFmtId="0" fontId="8" fillId="4" borderId="0" xfId="0" applyFont="1" applyFill="1"/>
    <xf numFmtId="0" fontId="76" fillId="8" borderId="0" xfId="0" applyFont="1" applyFill="1"/>
    <xf numFmtId="0" fontId="7" fillId="8" borderId="0" xfId="0" applyFont="1" applyFill="1" applyAlignment="1">
      <alignment horizontal="right"/>
    </xf>
    <xf numFmtId="0" fontId="8" fillId="8" borderId="0" xfId="0" applyFont="1" applyFill="1" applyAlignment="1">
      <alignment horizontal="right"/>
    </xf>
    <xf numFmtId="0" fontId="60" fillId="0" borderId="0" xfId="0" applyFont="1" applyAlignment="1">
      <alignment horizontal="left"/>
    </xf>
    <xf numFmtId="0" fontId="77" fillId="0" borderId="0" xfId="0" applyFont="1"/>
    <xf numFmtId="0" fontId="42" fillId="0" borderId="0" xfId="0" applyFont="1"/>
    <xf numFmtId="0" fontId="28" fillId="0" borderId="0" xfId="0" applyFont="1"/>
    <xf numFmtId="0" fontId="16" fillId="0" borderId="0" xfId="0" applyFont="1" applyAlignment="1">
      <alignment horizontal="left"/>
    </xf>
    <xf numFmtId="0" fontId="79" fillId="8" borderId="0" xfId="0" applyFont="1" applyFill="1" applyAlignment="1">
      <alignment horizontal="left" wrapText="1"/>
    </xf>
    <xf numFmtId="0" fontId="80" fillId="0" borderId="0" xfId="0" applyFont="1" applyAlignment="1">
      <alignment horizontal="left"/>
    </xf>
    <xf numFmtId="0" fontId="8" fillId="9" borderId="0" xfId="0" applyFont="1" applyFill="1" applyAlignment="1">
      <alignment horizontal="left"/>
    </xf>
    <xf numFmtId="0" fontId="8" fillId="0" borderId="0" xfId="0" applyFont="1" applyAlignment="1">
      <alignment horizontal="left" wrapText="1"/>
    </xf>
    <xf numFmtId="0" fontId="15" fillId="8" borderId="0" xfId="0" applyFont="1" applyFill="1"/>
    <xf numFmtId="0" fontId="8" fillId="11" borderId="0" xfId="0" applyFont="1" applyFill="1"/>
    <xf numFmtId="0" fontId="15" fillId="6" borderId="0" xfId="0" applyFont="1" applyFill="1" applyAlignment="1">
      <alignment wrapText="1"/>
    </xf>
    <xf numFmtId="0" fontId="11" fillId="4" borderId="0" xfId="0" applyFont="1" applyFill="1"/>
    <xf numFmtId="0" fontId="15" fillId="0" borderId="0" xfId="0" applyFont="1"/>
    <xf numFmtId="0" fontId="81" fillId="0" borderId="0" xfId="0" applyFont="1"/>
    <xf numFmtId="0" fontId="16" fillId="9" borderId="0" xfId="0" applyFont="1" applyFill="1" applyAlignment="1">
      <alignment horizontal="left" wrapText="1"/>
    </xf>
    <xf numFmtId="0" fontId="8" fillId="9" borderId="0" xfId="0" applyFont="1" applyFill="1"/>
    <xf numFmtId="0" fontId="16" fillId="0" borderId="0" xfId="0" applyFont="1" applyAlignment="1">
      <alignment horizontal="left" wrapText="1"/>
    </xf>
    <xf numFmtId="0" fontId="15" fillId="4" borderId="0" xfId="0" applyFont="1" applyFill="1"/>
    <xf numFmtId="0" fontId="15" fillId="8" borderId="0" xfId="0" applyFont="1" applyFill="1" applyAlignment="1">
      <alignment horizontal="left"/>
    </xf>
    <xf numFmtId="0" fontId="16" fillId="8" borderId="0" xfId="0" applyFont="1" applyFill="1" applyAlignment="1">
      <alignment horizontal="left"/>
    </xf>
    <xf numFmtId="0" fontId="11" fillId="8" borderId="0" xfId="0" applyFont="1" applyFill="1" applyAlignment="1">
      <alignment wrapText="1"/>
    </xf>
    <xf numFmtId="0" fontId="82" fillId="8" borderId="0" xfId="0" applyFont="1" applyFill="1"/>
    <xf numFmtId="0" fontId="83" fillId="0" borderId="0" xfId="0" applyFont="1" applyAlignment="1">
      <alignment horizontal="left"/>
    </xf>
    <xf numFmtId="0" fontId="84" fillId="8" borderId="0" xfId="0" applyFont="1" applyFill="1"/>
    <xf numFmtId="0" fontId="85" fillId="0" borderId="0" xfId="0" applyFont="1"/>
    <xf numFmtId="0" fontId="86" fillId="8" borderId="0" xfId="0" applyFont="1" applyFill="1"/>
    <xf numFmtId="0" fontId="87" fillId="0" borderId="0" xfId="0" applyFont="1"/>
    <xf numFmtId="0" fontId="88" fillId="0" borderId="0" xfId="0" applyFont="1"/>
    <xf numFmtId="0" fontId="89" fillId="0" borderId="0" xfId="0" applyFont="1"/>
    <xf numFmtId="0" fontId="13" fillId="0" borderId="0" xfId="0" applyFont="1" applyAlignment="1">
      <alignment horizontal="left"/>
    </xf>
    <xf numFmtId="0" fontId="2" fillId="8" borderId="0" xfId="0" applyFont="1" applyFill="1" applyAlignment="1">
      <alignment horizontal="center" vertical="center"/>
    </xf>
    <xf numFmtId="0" fontId="90" fillId="8" borderId="0" xfId="0" applyFont="1" applyFill="1" applyAlignment="1">
      <alignment horizontal="center" vertical="center"/>
    </xf>
    <xf numFmtId="0" fontId="91" fillId="0" borderId="0" xfId="0" applyFont="1" applyAlignment="1">
      <alignment horizontal="center" vertical="center" wrapText="1"/>
    </xf>
    <xf numFmtId="0" fontId="92" fillId="0" borderId="0" xfId="0" applyFont="1" applyAlignment="1">
      <alignment horizontal="center" vertical="center" wrapText="1"/>
    </xf>
    <xf numFmtId="0" fontId="93" fillId="0" borderId="0" xfId="0" applyFont="1" applyAlignment="1">
      <alignment horizontal="center"/>
    </xf>
    <xf numFmtId="165" fontId="8" fillId="0" borderId="0" xfId="0" applyNumberFormat="1" applyFont="1"/>
    <xf numFmtId="0" fontId="8" fillId="0" borderId="0" xfId="0" applyFont="1" applyAlignment="1">
      <alignment wrapText="1"/>
    </xf>
    <xf numFmtId="0" fontId="94" fillId="11" borderId="0" xfId="0" applyFont="1" applyFill="1"/>
    <xf numFmtId="165" fontId="8" fillId="11" borderId="0" xfId="0" applyNumberFormat="1" applyFont="1" applyFill="1"/>
    <xf numFmtId="0" fontId="8" fillId="11" borderId="0" xfId="0" applyFont="1" applyFill="1" applyAlignment="1">
      <alignment wrapText="1"/>
    </xf>
    <xf numFmtId="0" fontId="24" fillId="11" borderId="0" xfId="0" applyFont="1" applyFill="1"/>
    <xf numFmtId="0" fontId="24" fillId="11" borderId="12" xfId="0" applyFont="1" applyFill="1" applyBorder="1"/>
    <xf numFmtId="0" fontId="8" fillId="11" borderId="12" xfId="0" applyFont="1" applyFill="1" applyBorder="1"/>
    <xf numFmtId="165" fontId="8" fillId="11" borderId="12" xfId="0" applyNumberFormat="1" applyFont="1" applyFill="1" applyBorder="1"/>
    <xf numFmtId="0" fontId="8" fillId="11" borderId="12" xfId="0" applyFont="1" applyFill="1" applyBorder="1" applyAlignment="1">
      <alignment wrapText="1"/>
    </xf>
    <xf numFmtId="0" fontId="11" fillId="11" borderId="0" xfId="0" applyFont="1" applyFill="1" applyAlignment="1">
      <alignment horizontal="left" wrapText="1"/>
    </xf>
    <xf numFmtId="0" fontId="24" fillId="20" borderId="0" xfId="0" applyFont="1" applyFill="1"/>
    <xf numFmtId="0" fontId="8" fillId="20" borderId="0" xfId="0" applyFont="1" applyFill="1"/>
    <xf numFmtId="165" fontId="8" fillId="20" borderId="0" xfId="0" applyNumberFormat="1" applyFont="1" applyFill="1"/>
    <xf numFmtId="0" fontId="8" fillId="20" borderId="0" xfId="0" applyFont="1" applyFill="1" applyAlignment="1">
      <alignment wrapText="1"/>
    </xf>
    <xf numFmtId="0" fontId="24" fillId="8" borderId="0" xfId="0" applyFont="1" applyFill="1"/>
    <xf numFmtId="0" fontId="24" fillId="0" borderId="0" xfId="0" applyFont="1"/>
    <xf numFmtId="0" fontId="11" fillId="8" borderId="0" xfId="0" applyFont="1" applyFill="1" applyAlignment="1">
      <alignment horizontal="left"/>
    </xf>
    <xf numFmtId="0" fontId="11" fillId="8" borderId="0" xfId="0" applyFont="1" applyFill="1" applyAlignment="1">
      <alignment horizontal="left" wrapText="1"/>
    </xf>
    <xf numFmtId="0" fontId="8" fillId="5" borderId="0" xfId="0" applyFont="1" applyFill="1"/>
    <xf numFmtId="0" fontId="24" fillId="8" borderId="0" xfId="0" applyFont="1" applyFill="1" applyAlignment="1">
      <alignment wrapText="1"/>
    </xf>
    <xf numFmtId="0" fontId="95" fillId="8" borderId="0" xfId="0" applyFont="1" applyFill="1"/>
    <xf numFmtId="0" fontId="96" fillId="8" borderId="0" xfId="0" applyFont="1" applyFill="1"/>
    <xf numFmtId="0" fontId="96" fillId="0" borderId="0" xfId="0" applyFont="1"/>
    <xf numFmtId="165" fontId="96" fillId="0" borderId="0" xfId="0" applyNumberFormat="1" applyFont="1"/>
    <xf numFmtId="0" fontId="96" fillId="0" borderId="0" xfId="0" applyFont="1" applyAlignment="1">
      <alignment wrapText="1"/>
    </xf>
    <xf numFmtId="0" fontId="95" fillId="0" borderId="0" xfId="0" applyFont="1"/>
    <xf numFmtId="0" fontId="97" fillId="8" borderId="0" xfId="0" applyFont="1" applyFill="1" applyAlignment="1">
      <alignment horizontal="left" wrapText="1"/>
    </xf>
    <xf numFmtId="0" fontId="11" fillId="21" borderId="0" xfId="0" applyFont="1" applyFill="1" applyAlignment="1">
      <alignment horizontal="left"/>
    </xf>
    <xf numFmtId="0" fontId="98" fillId="8" borderId="0" xfId="0" applyFont="1" applyFill="1" applyAlignment="1">
      <alignment horizontal="left"/>
    </xf>
    <xf numFmtId="0" fontId="99" fillId="8" borderId="0" xfId="0" applyFont="1" applyFill="1"/>
    <xf numFmtId="0" fontId="100" fillId="8" borderId="0" xfId="0" applyFont="1" applyFill="1"/>
    <xf numFmtId="0" fontId="94" fillId="9" borderId="0" xfId="0" applyFont="1" applyFill="1"/>
    <xf numFmtId="165" fontId="8" fillId="9" borderId="0" xfId="0" applyNumberFormat="1" applyFont="1" applyFill="1"/>
    <xf numFmtId="0" fontId="8" fillId="9" borderId="0" xfId="0" applyFont="1" applyFill="1" applyAlignment="1">
      <alignment wrapText="1"/>
    </xf>
    <xf numFmtId="0" fontId="24" fillId="9" borderId="0" xfId="0" applyFont="1" applyFill="1"/>
    <xf numFmtId="0" fontId="48" fillId="9" borderId="0" xfId="0" applyFont="1" applyFill="1"/>
    <xf numFmtId="165" fontId="2" fillId="9" borderId="0" xfId="0" applyNumberFormat="1" applyFont="1" applyFill="1"/>
    <xf numFmtId="0" fontId="11" fillId="9" borderId="0" xfId="0" applyFont="1" applyFill="1" applyAlignment="1">
      <alignment horizontal="left"/>
    </xf>
    <xf numFmtId="0" fontId="95" fillId="9" borderId="0" xfId="0" applyFont="1" applyFill="1"/>
    <xf numFmtId="0" fontId="59" fillId="9" borderId="0" xfId="0" applyFont="1" applyFill="1"/>
    <xf numFmtId="0" fontId="101" fillId="9" borderId="0" xfId="0" applyFont="1" applyFill="1"/>
    <xf numFmtId="165" fontId="59" fillId="9" borderId="0" xfId="0" applyNumberFormat="1" applyFont="1" applyFill="1"/>
    <xf numFmtId="0" fontId="96" fillId="9" borderId="0" xfId="0" applyFont="1" applyFill="1"/>
    <xf numFmtId="0" fontId="96" fillId="9" borderId="0" xfId="0" applyFont="1" applyFill="1" applyAlignment="1">
      <alignment wrapText="1"/>
    </xf>
    <xf numFmtId="0" fontId="28" fillId="9" borderId="0" xfId="0" applyFont="1" applyFill="1"/>
    <xf numFmtId="0" fontId="102" fillId="9" borderId="0" xfId="0" applyFont="1" applyFill="1" applyAlignment="1">
      <alignment vertical="top"/>
    </xf>
    <xf numFmtId="0" fontId="103" fillId="9" borderId="0" xfId="0" applyFont="1" applyFill="1"/>
    <xf numFmtId="0" fontId="104" fillId="9" borderId="0" xfId="0" applyFont="1" applyFill="1"/>
    <xf numFmtId="0" fontId="8" fillId="9" borderId="0" xfId="0" applyFont="1" applyFill="1" applyAlignment="1">
      <alignment horizontal="right"/>
    </xf>
    <xf numFmtId="0" fontId="6" fillId="9" borderId="0" xfId="0" applyFont="1" applyFill="1"/>
    <xf numFmtId="0" fontId="99" fillId="9" borderId="0" xfId="0" applyFont="1" applyFill="1"/>
    <xf numFmtId="0" fontId="105" fillId="9" borderId="0" xfId="0" applyFont="1" applyFill="1"/>
    <xf numFmtId="0" fontId="12" fillId="9" borderId="0" xfId="0" applyFont="1" applyFill="1"/>
    <xf numFmtId="166" fontId="8" fillId="9" borderId="0" xfId="0" applyNumberFormat="1" applyFont="1" applyFill="1"/>
    <xf numFmtId="0" fontId="100" fillId="9" borderId="0" xfId="0" applyFont="1" applyFill="1"/>
    <xf numFmtId="165" fontId="96" fillId="9" borderId="0" xfId="0" applyNumberFormat="1" applyFont="1" applyFill="1"/>
    <xf numFmtId="0" fontId="106" fillId="9" borderId="0" xfId="0" applyFont="1" applyFill="1"/>
    <xf numFmtId="0" fontId="107" fillId="9" borderId="0" xfId="0" applyFont="1" applyFill="1" applyAlignment="1">
      <alignment horizontal="left"/>
    </xf>
    <xf numFmtId="0" fontId="108" fillId="9" borderId="0" xfId="0" applyFont="1" applyFill="1"/>
    <xf numFmtId="167" fontId="8" fillId="9" borderId="0" xfId="0" applyNumberFormat="1" applyFont="1" applyFill="1"/>
    <xf numFmtId="0" fontId="109" fillId="9" borderId="3" xfId="0" applyFont="1" applyFill="1" applyBorder="1"/>
    <xf numFmtId="167" fontId="96" fillId="9" borderId="0" xfId="0" applyNumberFormat="1" applyFont="1" applyFill="1"/>
    <xf numFmtId="0" fontId="24" fillId="9" borderId="13" xfId="0" applyFont="1" applyFill="1" applyBorder="1"/>
    <xf numFmtId="0" fontId="8" fillId="9" borderId="14" xfId="0" applyFont="1" applyFill="1" applyBorder="1"/>
    <xf numFmtId="0" fontId="8" fillId="9" borderId="10" xfId="0" applyFont="1" applyFill="1" applyBorder="1"/>
    <xf numFmtId="0" fontId="110" fillId="9" borderId="0" xfId="0" applyFont="1" applyFill="1"/>
    <xf numFmtId="168" fontId="8" fillId="9" borderId="0" xfId="0" applyNumberFormat="1" applyFont="1" applyFill="1"/>
    <xf numFmtId="166" fontId="8" fillId="20" borderId="0" xfId="0" applyNumberFormat="1" applyFont="1" applyFill="1"/>
    <xf numFmtId="167" fontId="8" fillId="0" borderId="0" xfId="0" applyNumberFormat="1" applyFont="1"/>
    <xf numFmtId="0" fontId="103" fillId="8" borderId="0" xfId="0" applyFont="1" applyFill="1"/>
    <xf numFmtId="0" fontId="21" fillId="0" borderId="0" xfId="0" applyFont="1"/>
    <xf numFmtId="0" fontId="111" fillId="0" borderId="3" xfId="0" applyFont="1" applyBorder="1"/>
    <xf numFmtId="0" fontId="112" fillId="0" borderId="3" xfId="0" applyFont="1" applyBorder="1"/>
    <xf numFmtId="0" fontId="94" fillId="6" borderId="0" xfId="0" applyFont="1" applyFill="1"/>
    <xf numFmtId="165" fontId="8" fillId="6" borderId="0" xfId="0" applyNumberFormat="1" applyFont="1" applyFill="1"/>
    <xf numFmtId="0" fontId="8" fillId="6" borderId="0" xfId="0" applyFont="1" applyFill="1" applyAlignment="1">
      <alignment wrapText="1"/>
    </xf>
    <xf numFmtId="0" fontId="104" fillId="8" borderId="0" xfId="0" applyFont="1" applyFill="1"/>
    <xf numFmtId="0" fontId="113" fillId="8" borderId="0" xfId="0" applyFont="1" applyFill="1"/>
    <xf numFmtId="0" fontId="114" fillId="8" borderId="0" xfId="0" applyFont="1" applyFill="1"/>
    <xf numFmtId="0" fontId="115" fillId="8" borderId="0" xfId="0" applyFont="1" applyFill="1"/>
    <xf numFmtId="0" fontId="116" fillId="0" borderId="0" xfId="0" applyFont="1"/>
    <xf numFmtId="0" fontId="2" fillId="8" borderId="0" xfId="0" quotePrefix="1" applyFont="1" applyFill="1"/>
    <xf numFmtId="0" fontId="117" fillId="8" borderId="0" xfId="0" applyFont="1" applyFill="1" applyAlignment="1">
      <alignment horizontal="right"/>
    </xf>
    <xf numFmtId="165" fontId="8" fillId="8" borderId="0" xfId="0" applyNumberFormat="1" applyFont="1" applyFill="1"/>
    <xf numFmtId="0" fontId="12" fillId="6" borderId="0" xfId="0" applyFont="1" applyFill="1"/>
    <xf numFmtId="0" fontId="118" fillId="8" borderId="0" xfId="0" applyFont="1" applyFill="1"/>
    <xf numFmtId="0" fontId="119" fillId="6" borderId="0" xfId="0" applyFont="1" applyFill="1"/>
    <xf numFmtId="0" fontId="120" fillId="0" borderId="3" xfId="0" applyFont="1" applyBorder="1"/>
    <xf numFmtId="0" fontId="121" fillId="8" borderId="0" xfId="0" applyFont="1" applyFill="1" applyAlignment="1">
      <alignment horizontal="left"/>
    </xf>
    <xf numFmtId="0" fontId="8" fillId="8" borderId="0" xfId="0" applyFont="1" applyFill="1" applyAlignment="1">
      <alignment horizontal="center"/>
    </xf>
    <xf numFmtId="0" fontId="8" fillId="8" borderId="0" xfId="0" quotePrefix="1" applyFont="1" applyFill="1"/>
    <xf numFmtId="0" fontId="11" fillId="8" borderId="0" xfId="0" applyFont="1" applyFill="1" applyAlignment="1">
      <alignment horizontal="right"/>
    </xf>
    <xf numFmtId="0" fontId="119" fillId="11" borderId="0" xfId="0" applyFont="1" applyFill="1"/>
    <xf numFmtId="0" fontId="122" fillId="8" borderId="0" xfId="0" applyFont="1" applyFill="1"/>
    <xf numFmtId="0" fontId="8" fillId="0" borderId="0" xfId="0" applyFont="1" applyAlignment="1">
      <alignment vertical="top" wrapText="1"/>
    </xf>
    <xf numFmtId="0" fontId="123" fillId="0" borderId="0" xfId="0" applyFont="1"/>
    <xf numFmtId="0" fontId="124" fillId="8" borderId="0" xfId="0" applyFont="1" applyFill="1"/>
    <xf numFmtId="0" fontId="125" fillId="8" borderId="0" xfId="0" applyFont="1" applyFill="1"/>
    <xf numFmtId="0" fontId="8" fillId="8" borderId="0" xfId="0" applyFont="1" applyFill="1" applyAlignment="1">
      <alignment vertical="top" wrapText="1"/>
    </xf>
    <xf numFmtId="0" fontId="126" fillId="8" borderId="0" xfId="0" applyFont="1" applyFill="1"/>
    <xf numFmtId="0" fontId="127" fillId="8" borderId="0" xfId="0" applyFont="1" applyFill="1"/>
    <xf numFmtId="0" fontId="12" fillId="0" borderId="0" xfId="0" applyFont="1" applyAlignment="1">
      <alignment wrapText="1"/>
    </xf>
    <xf numFmtId="0" fontId="16" fillId="11" borderId="0" xfId="0" applyFont="1" applyFill="1"/>
    <xf numFmtId="165" fontId="16" fillId="11" borderId="0" xfId="0" applyNumberFormat="1" applyFont="1" applyFill="1"/>
    <xf numFmtId="165" fontId="8" fillId="0" borderId="0" xfId="0" applyNumberFormat="1" applyFont="1" applyAlignment="1">
      <alignment horizontal="right"/>
    </xf>
    <xf numFmtId="0" fontId="128" fillId="0" borderId="0" xfId="0" applyFont="1"/>
    <xf numFmtId="0" fontId="94" fillId="22" borderId="0" xfId="0" applyFont="1" applyFill="1"/>
    <xf numFmtId="0" fontId="16" fillId="22" borderId="0" xfId="0" applyFont="1" applyFill="1"/>
    <xf numFmtId="165" fontId="16" fillId="22" borderId="0" xfId="0" applyNumberFormat="1" applyFont="1" applyFill="1"/>
    <xf numFmtId="0" fontId="8" fillId="22" borderId="0" xfId="0" applyFont="1" applyFill="1"/>
    <xf numFmtId="165" fontId="8" fillId="22" borderId="0" xfId="0" applyNumberFormat="1" applyFont="1" applyFill="1"/>
    <xf numFmtId="0" fontId="8" fillId="22" borderId="0" xfId="0" applyFont="1" applyFill="1" applyAlignment="1">
      <alignment wrapText="1"/>
    </xf>
    <xf numFmtId="0" fontId="15" fillId="22" borderId="0" xfId="0" applyFont="1" applyFill="1" applyAlignment="1">
      <alignment horizontal="left"/>
    </xf>
    <xf numFmtId="0" fontId="14" fillId="22" borderId="0" xfId="0" applyFont="1" applyFill="1"/>
    <xf numFmtId="0" fontId="6" fillId="8" borderId="0" xfId="0" applyFont="1" applyFill="1" applyAlignment="1">
      <alignment horizontal="left"/>
    </xf>
    <xf numFmtId="0" fontId="94" fillId="12" borderId="0" xfId="0" applyFont="1" applyFill="1"/>
    <xf numFmtId="0" fontId="8" fillId="12" borderId="0" xfId="0" applyFont="1" applyFill="1"/>
    <xf numFmtId="0" fontId="8" fillId="12" borderId="0" xfId="0" applyFont="1" applyFill="1" applyAlignment="1">
      <alignment wrapText="1"/>
    </xf>
    <xf numFmtId="0" fontId="129" fillId="0" borderId="0" xfId="0" applyFont="1" applyAlignment="1">
      <alignment wrapText="1"/>
    </xf>
    <xf numFmtId="0" fontId="130" fillId="0" borderId="0" xfId="0" applyFont="1" applyAlignment="1">
      <alignment wrapText="1"/>
    </xf>
    <xf numFmtId="0" fontId="131" fillId="2" borderId="0" xfId="0" applyFont="1" applyFill="1"/>
    <xf numFmtId="0" fontId="132" fillId="0" borderId="0" xfId="0" applyFont="1" applyAlignment="1">
      <alignment wrapText="1"/>
    </xf>
    <xf numFmtId="0" fontId="94" fillId="15" borderId="0" xfId="0" applyFont="1" applyFill="1"/>
    <xf numFmtId="0" fontId="12" fillId="15" borderId="0" xfId="0" applyFont="1" applyFill="1"/>
    <xf numFmtId="165" fontId="8" fillId="15" borderId="0" xfId="0" applyNumberFormat="1" applyFont="1" applyFill="1"/>
    <xf numFmtId="0" fontId="8" fillId="15" borderId="0" xfId="0" applyFont="1" applyFill="1" applyAlignment="1">
      <alignment wrapText="1"/>
    </xf>
    <xf numFmtId="0" fontId="96" fillId="0" borderId="0" xfId="0" applyFont="1" applyAlignment="1">
      <alignment horizontal="center"/>
    </xf>
    <xf numFmtId="0" fontId="118" fillId="0" borderId="0" xfId="0" applyFont="1" applyAlignment="1">
      <alignment wrapText="1"/>
    </xf>
    <xf numFmtId="0" fontId="133" fillId="8" borderId="0" xfId="0" applyFont="1" applyFill="1" applyAlignment="1">
      <alignment horizontal="center"/>
    </xf>
    <xf numFmtId="0" fontId="133" fillId="12" borderId="3" xfId="0" applyFont="1" applyFill="1" applyBorder="1" applyAlignment="1">
      <alignment horizontal="center"/>
    </xf>
    <xf numFmtId="0" fontId="3" fillId="12" borderId="3" xfId="0" applyFont="1" applyFill="1" applyBorder="1" applyAlignment="1">
      <alignment horizontal="center"/>
    </xf>
    <xf numFmtId="0" fontId="3" fillId="8" borderId="0" xfId="0" applyFont="1" applyFill="1" applyAlignment="1">
      <alignment horizontal="center"/>
    </xf>
    <xf numFmtId="0" fontId="3" fillId="8" borderId="15" xfId="0" applyFont="1" applyFill="1" applyBorder="1" applyAlignment="1">
      <alignment horizontal="center"/>
    </xf>
    <xf numFmtId="0" fontId="134" fillId="8" borderId="16" xfId="0" applyFont="1" applyFill="1" applyBorder="1" applyAlignment="1">
      <alignment horizontal="center"/>
    </xf>
    <xf numFmtId="0" fontId="3" fillId="8" borderId="16" xfId="0" applyFont="1" applyFill="1" applyBorder="1" applyAlignment="1">
      <alignment horizontal="center"/>
    </xf>
    <xf numFmtId="0" fontId="3" fillId="0" borderId="16" xfId="0" applyFont="1" applyBorder="1" applyAlignment="1">
      <alignment horizontal="center"/>
    </xf>
    <xf numFmtId="0" fontId="135" fillId="0" borderId="17" xfId="0" applyFont="1" applyBorder="1" applyAlignment="1">
      <alignment horizontal="center"/>
    </xf>
    <xf numFmtId="0" fontId="135" fillId="0" borderId="0" xfId="0" applyFont="1"/>
    <xf numFmtId="0" fontId="134" fillId="8" borderId="0" xfId="0" applyFont="1" applyFill="1" applyAlignment="1">
      <alignment horizontal="center"/>
    </xf>
    <xf numFmtId="0" fontId="54" fillId="8" borderId="0" xfId="0" applyFont="1" applyFill="1" applyAlignment="1">
      <alignment horizontal="center"/>
    </xf>
    <xf numFmtId="0" fontId="7" fillId="8" borderId="18" xfId="0" applyFont="1" applyFill="1" applyBorder="1" applyAlignment="1">
      <alignment horizontal="center"/>
    </xf>
    <xf numFmtId="0" fontId="2" fillId="0" borderId="9" xfId="0" applyFont="1" applyBorder="1" applyAlignment="1">
      <alignment horizontal="center"/>
    </xf>
    <xf numFmtId="0" fontId="2" fillId="0" borderId="3" xfId="0" applyFont="1" applyBorder="1" applyAlignment="1">
      <alignment horizontal="center"/>
    </xf>
    <xf numFmtId="0" fontId="136" fillId="0" borderId="3" xfId="0" applyFont="1" applyBorder="1" applyAlignment="1">
      <alignment horizontal="center"/>
    </xf>
    <xf numFmtId="0" fontId="7" fillId="0" borderId="3" xfId="0" applyFont="1" applyBorder="1" applyAlignment="1">
      <alignment horizontal="center"/>
    </xf>
    <xf numFmtId="0" fontId="2" fillId="8" borderId="3" xfId="0" applyFont="1" applyFill="1" applyBorder="1" applyAlignment="1">
      <alignment horizontal="center"/>
    </xf>
    <xf numFmtId="0" fontId="7" fillId="8" borderId="3" xfId="0" applyFont="1" applyFill="1" applyBorder="1" applyAlignment="1">
      <alignment horizontal="center"/>
    </xf>
    <xf numFmtId="0" fontId="2" fillId="0" borderId="3" xfId="0" applyFont="1" applyBorder="1" applyAlignment="1">
      <alignment horizontal="center" wrapText="1"/>
    </xf>
    <xf numFmtId="0" fontId="2" fillId="8" borderId="13" xfId="0" applyFont="1" applyFill="1" applyBorder="1" applyAlignment="1">
      <alignment horizontal="center"/>
    </xf>
    <xf numFmtId="0" fontId="7" fillId="8" borderId="13" xfId="0" applyFont="1" applyFill="1" applyBorder="1" applyAlignment="1">
      <alignment horizontal="center"/>
    </xf>
    <xf numFmtId="0" fontId="2" fillId="0" borderId="13" xfId="0" applyFont="1" applyBorder="1" applyAlignment="1">
      <alignment horizontal="center"/>
    </xf>
    <xf numFmtId="0" fontId="54" fillId="8" borderId="3" xfId="0" applyFont="1" applyFill="1" applyBorder="1" applyAlignment="1">
      <alignment horizontal="center"/>
    </xf>
    <xf numFmtId="0" fontId="11" fillId="8" borderId="3" xfId="0" applyFont="1" applyFill="1" applyBorder="1" applyAlignment="1">
      <alignment horizontal="center"/>
    </xf>
    <xf numFmtId="0" fontId="7" fillId="0" borderId="0" xfId="0" applyFont="1" applyAlignment="1">
      <alignment horizontal="center"/>
    </xf>
    <xf numFmtId="0" fontId="7" fillId="8" borderId="0" xfId="0" applyFont="1" applyFill="1" applyAlignment="1">
      <alignment horizontal="center"/>
    </xf>
    <xf numFmtId="0" fontId="7" fillId="0" borderId="13" xfId="0" applyFont="1" applyBorder="1" applyAlignment="1">
      <alignment horizontal="center"/>
    </xf>
    <xf numFmtId="0" fontId="137" fillId="8" borderId="13" xfId="0" applyFont="1" applyFill="1" applyBorder="1" applyAlignment="1">
      <alignment horizontal="center"/>
    </xf>
    <xf numFmtId="0" fontId="134" fillId="0" borderId="16" xfId="0" applyFont="1" applyBorder="1" applyAlignment="1">
      <alignment horizontal="center"/>
    </xf>
    <xf numFmtId="0" fontId="138" fillId="8" borderId="3" xfId="0" applyFont="1" applyFill="1" applyBorder="1" applyAlignment="1">
      <alignment horizontal="center"/>
    </xf>
    <xf numFmtId="0" fontId="7" fillId="0" borderId="9" xfId="0" applyFont="1" applyBorder="1" applyAlignment="1">
      <alignment horizontal="center"/>
    </xf>
    <xf numFmtId="0" fontId="134" fillId="0" borderId="19" xfId="0" applyFont="1" applyBorder="1" applyAlignment="1">
      <alignment horizontal="center"/>
    </xf>
    <xf numFmtId="0" fontId="139" fillId="8" borderId="16" xfId="0" applyFont="1" applyFill="1" applyBorder="1" applyAlignment="1">
      <alignment horizontal="center" wrapText="1"/>
    </xf>
    <xf numFmtId="0" fontId="135" fillId="0" borderId="3" xfId="0" applyFont="1" applyBorder="1" applyAlignment="1">
      <alignment horizontal="center"/>
    </xf>
    <xf numFmtId="0" fontId="2" fillId="23" borderId="13" xfId="0" applyFont="1" applyFill="1" applyBorder="1" applyAlignment="1">
      <alignment horizontal="center"/>
    </xf>
    <xf numFmtId="0" fontId="11" fillId="8" borderId="13" xfId="0" applyFont="1" applyFill="1" applyBorder="1" applyAlignment="1">
      <alignment horizontal="center"/>
    </xf>
    <xf numFmtId="0" fontId="135" fillId="0" borderId="16" xfId="0" applyFont="1" applyBorder="1" applyAlignment="1">
      <alignment horizontal="center"/>
    </xf>
    <xf numFmtId="0" fontId="8" fillId="8" borderId="3" xfId="0" applyFont="1" applyFill="1" applyBorder="1" applyAlignment="1">
      <alignment horizontal="center"/>
    </xf>
    <xf numFmtId="0" fontId="140" fillId="0" borderId="3" xfId="0" applyFont="1" applyBorder="1" applyAlignment="1">
      <alignment horizontal="center"/>
    </xf>
    <xf numFmtId="0" fontId="8" fillId="0" borderId="3" xfId="0" applyFont="1" applyBorder="1" applyAlignment="1">
      <alignment horizontal="center"/>
    </xf>
    <xf numFmtId="0" fontId="3" fillId="0" borderId="3" xfId="0" applyFont="1" applyBorder="1" applyAlignment="1">
      <alignment horizontal="center"/>
    </xf>
    <xf numFmtId="0" fontId="14" fillId="0" borderId="3" xfId="0" applyFont="1" applyBorder="1" applyAlignment="1">
      <alignment horizontal="center"/>
    </xf>
    <xf numFmtId="0" fontId="140" fillId="0" borderId="0" xfId="0" applyFont="1" applyAlignment="1">
      <alignment horizontal="center"/>
    </xf>
    <xf numFmtId="0" fontId="141" fillId="0" borderId="0" xfId="0" applyFont="1" applyAlignment="1">
      <alignment horizontal="center"/>
    </xf>
    <xf numFmtId="0" fontId="139" fillId="8" borderId="0" xfId="0" applyFont="1" applyFill="1" applyAlignment="1">
      <alignment horizontal="center" vertical="center"/>
    </xf>
    <xf numFmtId="0" fontId="91" fillId="0" borderId="0" xfId="0" applyFont="1" applyAlignment="1">
      <alignment horizontal="center" vertical="center"/>
    </xf>
    <xf numFmtId="0" fontId="91" fillId="8" borderId="0" xfId="0" applyFont="1" applyFill="1" applyAlignment="1">
      <alignment horizontal="center" vertical="center"/>
    </xf>
    <xf numFmtId="0" fontId="133" fillId="8" borderId="0" xfId="0" applyFont="1" applyFill="1" applyAlignment="1">
      <alignment horizontal="center" vertical="center"/>
    </xf>
    <xf numFmtId="169" fontId="8" fillId="0" borderId="0" xfId="0" applyNumberFormat="1" applyFont="1"/>
    <xf numFmtId="0" fontId="12" fillId="8" borderId="0" xfId="0" applyFont="1" applyFill="1" applyAlignment="1">
      <alignment horizontal="center"/>
    </xf>
    <xf numFmtId="169" fontId="8" fillId="8" borderId="0" xfId="0" applyNumberFormat="1" applyFont="1" applyFill="1"/>
    <xf numFmtId="0" fontId="11" fillId="0" borderId="0" xfId="0" applyFont="1" applyAlignment="1">
      <alignment wrapText="1"/>
    </xf>
    <xf numFmtId="0" fontId="11" fillId="8" borderId="0" xfId="0" applyFont="1" applyFill="1" applyAlignment="1">
      <alignment vertical="top" wrapText="1"/>
    </xf>
    <xf numFmtId="10" fontId="13" fillId="8" borderId="0" xfId="0" applyNumberFormat="1" applyFont="1" applyFill="1"/>
    <xf numFmtId="3" fontId="8" fillId="8" borderId="0" xfId="0" applyNumberFormat="1" applyFont="1" applyFill="1"/>
    <xf numFmtId="0" fontId="8" fillId="8" borderId="0" xfId="0" applyFont="1" applyFill="1" applyAlignment="1">
      <alignment horizontal="center" vertical="center"/>
    </xf>
    <xf numFmtId="10" fontId="142" fillId="8" borderId="0" xfId="0" applyNumberFormat="1" applyFont="1" applyFill="1" applyAlignment="1">
      <alignment horizontal="center"/>
    </xf>
    <xf numFmtId="3" fontId="8" fillId="8" borderId="0" xfId="0" applyNumberFormat="1" applyFont="1" applyFill="1" applyAlignment="1">
      <alignment horizontal="center"/>
    </xf>
    <xf numFmtId="10" fontId="12" fillId="8" borderId="0" xfId="0" applyNumberFormat="1" applyFont="1" applyFill="1" applyAlignment="1">
      <alignment horizontal="center"/>
    </xf>
    <xf numFmtId="10" fontId="143" fillId="8" borderId="0" xfId="0" applyNumberFormat="1" applyFont="1" applyFill="1" applyAlignment="1">
      <alignment horizontal="right"/>
    </xf>
    <xf numFmtId="3" fontId="8" fillId="8" borderId="0" xfId="0" applyNumberFormat="1" applyFont="1" applyFill="1" applyAlignment="1">
      <alignment horizontal="right"/>
    </xf>
    <xf numFmtId="0" fontId="144" fillId="8" borderId="0" xfId="0" applyFont="1" applyFill="1"/>
    <xf numFmtId="0" fontId="11" fillId="8" borderId="20" xfId="0" applyFont="1" applyFill="1" applyBorder="1"/>
    <xf numFmtId="0" fontId="16" fillId="8" borderId="20" xfId="0" applyFont="1" applyFill="1" applyBorder="1" applyAlignment="1">
      <alignment wrapText="1"/>
    </xf>
    <xf numFmtId="0" fontId="16" fillId="0" borderId="20" xfId="0" applyFont="1" applyBorder="1" applyAlignment="1">
      <alignment wrapText="1"/>
    </xf>
    <xf numFmtId="0" fontId="79" fillId="8" borderId="20" xfId="0" applyFont="1" applyFill="1" applyBorder="1" applyAlignment="1">
      <alignment wrapText="1"/>
    </xf>
    <xf numFmtId="0" fontId="8" fillId="0" borderId="20" xfId="0" applyFont="1" applyBorder="1"/>
    <xf numFmtId="169" fontId="8" fillId="0" borderId="20" xfId="0" applyNumberFormat="1" applyFont="1" applyBorder="1"/>
    <xf numFmtId="0" fontId="16" fillId="8" borderId="0" xfId="0" applyFont="1" applyFill="1" applyAlignment="1">
      <alignment wrapText="1"/>
    </xf>
    <xf numFmtId="0" fontId="17" fillId="8" borderId="0" xfId="0" applyFont="1" applyFill="1" applyAlignment="1">
      <alignment wrapText="1"/>
    </xf>
    <xf numFmtId="0" fontId="145" fillId="0" borderId="0" xfId="0" applyFont="1"/>
    <xf numFmtId="0" fontId="146" fillId="8" borderId="0" xfId="0" applyFont="1" applyFill="1" applyAlignment="1">
      <alignment wrapText="1"/>
    </xf>
    <xf numFmtId="0" fontId="147" fillId="0" borderId="0" xfId="0" applyFont="1"/>
    <xf numFmtId="0" fontId="148" fillId="8" borderId="0" xfId="0" applyFont="1" applyFill="1" applyAlignment="1">
      <alignment wrapText="1"/>
    </xf>
    <xf numFmtId="169" fontId="14" fillId="0" borderId="0" xfId="0" applyNumberFormat="1" applyFont="1"/>
    <xf numFmtId="0" fontId="14" fillId="8" borderId="0" xfId="0" applyFont="1" applyFill="1" applyAlignment="1">
      <alignment horizontal="center" vertical="center"/>
    </xf>
    <xf numFmtId="0" fontId="14" fillId="8" borderId="7" xfId="0" applyFont="1" applyFill="1" applyBorder="1" applyAlignment="1">
      <alignment horizontal="center" vertical="center"/>
    </xf>
    <xf numFmtId="10" fontId="149" fillId="0" borderId="0" xfId="0" applyNumberFormat="1" applyFont="1"/>
    <xf numFmtId="3" fontId="14" fillId="0" borderId="0" xfId="0" applyNumberFormat="1" applyFont="1"/>
    <xf numFmtId="0" fontId="14" fillId="0" borderId="21" xfId="0" applyFont="1" applyBorder="1"/>
    <xf numFmtId="0" fontId="16" fillId="8" borderId="9" xfId="0" applyFont="1" applyFill="1" applyBorder="1"/>
    <xf numFmtId="0" fontId="16" fillId="0" borderId="9" xfId="0" applyFont="1" applyBorder="1"/>
    <xf numFmtId="0" fontId="8" fillId="8" borderId="7" xfId="0" applyFont="1" applyFill="1" applyBorder="1" applyAlignment="1">
      <alignment horizontal="center" vertical="center"/>
    </xf>
    <xf numFmtId="3" fontId="8" fillId="0" borderId="0" xfId="0" applyNumberFormat="1" applyFont="1" applyAlignment="1">
      <alignment horizontal="center" vertical="center"/>
    </xf>
    <xf numFmtId="0" fontId="8" fillId="0" borderId="3" xfId="0" applyFont="1" applyBorder="1"/>
    <xf numFmtId="0" fontId="16" fillId="0" borderId="18" xfId="0" applyFont="1" applyBorder="1"/>
    <xf numFmtId="0" fontId="150" fillId="0" borderId="0" xfId="0" applyFont="1"/>
    <xf numFmtId="0" fontId="151" fillId="8" borderId="3" xfId="0" applyFont="1" applyFill="1" applyBorder="1"/>
    <xf numFmtId="0" fontId="16" fillId="0" borderId="3" xfId="0" applyFont="1" applyBorder="1"/>
    <xf numFmtId="0" fontId="152" fillId="8" borderId="0" xfId="0" applyFont="1" applyFill="1"/>
    <xf numFmtId="0" fontId="78" fillId="19" borderId="0" xfId="0" applyFont="1" applyFill="1" applyAlignment="1">
      <alignment horizontal="left"/>
    </xf>
    <xf numFmtId="0" fontId="8" fillId="8" borderId="10" xfId="0" applyFont="1" applyFill="1" applyBorder="1"/>
    <xf numFmtId="0" fontId="8" fillId="0" borderId="12" xfId="0" applyFont="1" applyBorder="1"/>
    <xf numFmtId="0" fontId="2" fillId="8" borderId="12" xfId="0" applyFont="1" applyFill="1" applyBorder="1"/>
    <xf numFmtId="0" fontId="2" fillId="9" borderId="12" xfId="0" applyFont="1" applyFill="1" applyBorder="1"/>
    <xf numFmtId="0" fontId="8" fillId="0" borderId="22" xfId="0" applyFont="1" applyBorder="1"/>
    <xf numFmtId="169" fontId="8" fillId="0" borderId="12" xfId="0" applyNumberFormat="1" applyFont="1" applyBorder="1"/>
    <xf numFmtId="169" fontId="2" fillId="0" borderId="0" xfId="0" applyNumberFormat="1" applyFont="1"/>
    <xf numFmtId="0" fontId="2" fillId="16" borderId="0" xfId="0" applyFont="1" applyFill="1" applyAlignment="1">
      <alignment horizontal="center" vertical="center"/>
    </xf>
    <xf numFmtId="0" fontId="2" fillId="16" borderId="0" xfId="0" applyFont="1" applyFill="1" applyAlignment="1">
      <alignment horizontal="center"/>
    </xf>
    <xf numFmtId="3" fontId="2" fillId="0" borderId="0" xfId="0" applyNumberFormat="1" applyFont="1" applyAlignment="1">
      <alignment horizontal="center" vertical="center"/>
    </xf>
    <xf numFmtId="0" fontId="2" fillId="8" borderId="10" xfId="0" applyFont="1" applyFill="1" applyBorder="1"/>
    <xf numFmtId="0" fontId="153" fillId="0" borderId="3" xfId="0" applyFont="1" applyBorder="1" applyAlignment="1">
      <alignment horizontal="center" wrapText="1"/>
    </xf>
    <xf numFmtId="0" fontId="153" fillId="0" borderId="9" xfId="0" applyFont="1" applyBorder="1" applyAlignment="1">
      <alignment horizontal="center" wrapText="1"/>
    </xf>
    <xf numFmtId="10" fontId="9" fillId="8" borderId="0" xfId="0" applyNumberFormat="1" applyFont="1" applyFill="1" applyAlignment="1">
      <alignment horizontal="center"/>
    </xf>
    <xf numFmtId="164" fontId="10" fillId="8" borderId="0" xfId="0" applyNumberFormat="1" applyFont="1" applyFill="1" applyAlignment="1">
      <alignment horizontal="center" vertical="center"/>
    </xf>
    <xf numFmtId="0" fontId="13" fillId="8" borderId="0" xfId="0" applyFont="1" applyFill="1" applyAlignment="1">
      <alignment horizontal="left"/>
    </xf>
    <xf numFmtId="0" fontId="154" fillId="8" borderId="0" xfId="0" applyFont="1" applyFill="1" applyAlignment="1">
      <alignment horizontal="left"/>
    </xf>
    <xf numFmtId="0" fontId="155" fillId="8" borderId="0" xfId="0" applyFont="1" applyFill="1" applyAlignment="1">
      <alignment horizontal="left"/>
    </xf>
    <xf numFmtId="0" fontId="60" fillId="8" borderId="0" xfId="0" applyFont="1" applyFill="1" applyAlignment="1">
      <alignment horizontal="left" wrapText="1"/>
    </xf>
    <xf numFmtId="0" fontId="156" fillId="8" borderId="0" xfId="0" applyFont="1" applyFill="1" applyAlignment="1">
      <alignment horizontal="left" wrapText="1"/>
    </xf>
    <xf numFmtId="0" fontId="60" fillId="19" borderId="0" xfId="0" applyFont="1" applyFill="1" applyAlignment="1">
      <alignment horizontal="left" wrapText="1"/>
    </xf>
    <xf numFmtId="0" fontId="14" fillId="11" borderId="0" xfId="0" applyFont="1" applyFill="1"/>
    <xf numFmtId="0" fontId="157" fillId="8" borderId="0" xfId="0" applyFont="1" applyFill="1"/>
    <xf numFmtId="170" fontId="14" fillId="0" borderId="0" xfId="0" applyNumberFormat="1" applyFont="1"/>
    <xf numFmtId="14" fontId="14" fillId="0" borderId="0" xfId="0" applyNumberFormat="1" applyFont="1"/>
    <xf numFmtId="19" fontId="14" fillId="0" borderId="0" xfId="0" applyNumberFormat="1" applyFont="1"/>
    <xf numFmtId="171" fontId="14" fillId="0" borderId="0" xfId="0" applyNumberFormat="1" applyFont="1" applyAlignment="1">
      <alignment horizontal="left"/>
    </xf>
    <xf numFmtId="21" fontId="14" fillId="0" borderId="0" xfId="0" applyNumberFormat="1" applyFont="1"/>
    <xf numFmtId="0" fontId="14" fillId="0" borderId="0" xfId="0" quotePrefix="1" applyFont="1"/>
    <xf numFmtId="169" fontId="14" fillId="0" borderId="0" xfId="0" applyNumberFormat="1" applyFont="1" applyAlignment="1">
      <alignment horizontal="left"/>
    </xf>
    <xf numFmtId="0" fontId="14" fillId="0" borderId="0" xfId="0" applyFont="1" applyAlignment="1">
      <alignment vertical="center"/>
    </xf>
    <xf numFmtId="0" fontId="133" fillId="12" borderId="26" xfId="0" applyFont="1" applyFill="1" applyBorder="1" applyAlignment="1">
      <alignment horizontal="center"/>
    </xf>
    <xf numFmtId="0" fontId="133" fillId="12" borderId="27" xfId="0" applyFont="1" applyFill="1" applyBorder="1" applyAlignment="1">
      <alignment horizontal="center"/>
    </xf>
    <xf numFmtId="0" fontId="133" fillId="12" borderId="25" xfId="0" applyFont="1" applyFill="1" applyBorder="1" applyAlignment="1">
      <alignment horizontal="center"/>
    </xf>
    <xf numFmtId="0" fontId="2" fillId="8" borderId="31" xfId="0" applyFont="1" applyFill="1" applyBorder="1" applyAlignment="1">
      <alignment horizontal="center"/>
    </xf>
    <xf numFmtId="0" fontId="7" fillId="0" borderId="18" xfId="0" applyFont="1" applyBorder="1" applyAlignment="1">
      <alignment horizontal="center"/>
    </xf>
    <xf numFmtId="0" fontId="3" fillId="8" borderId="18" xfId="0" applyFont="1" applyFill="1" applyBorder="1" applyAlignment="1">
      <alignment horizontal="center"/>
    </xf>
    <xf numFmtId="0" fontId="157" fillId="0" borderId="32" xfId="0" applyFont="1" applyBorder="1" applyAlignment="1">
      <alignment horizontal="center"/>
    </xf>
    <xf numFmtId="0" fontId="2" fillId="0" borderId="31" xfId="0" applyFont="1" applyBorder="1" applyAlignment="1">
      <alignment horizontal="center"/>
    </xf>
    <xf numFmtId="0" fontId="2" fillId="8" borderId="18" xfId="0" applyFont="1" applyFill="1" applyBorder="1" applyAlignment="1">
      <alignment horizontal="center" wrapText="1"/>
    </xf>
    <xf numFmtId="0" fontId="2" fillId="0" borderId="32" xfId="0" applyFont="1" applyBorder="1" applyAlignment="1">
      <alignment horizontal="center"/>
    </xf>
    <xf numFmtId="0" fontId="2" fillId="8" borderId="33" xfId="0" applyFont="1" applyFill="1" applyBorder="1" applyAlignment="1">
      <alignment horizontal="center"/>
    </xf>
    <xf numFmtId="0" fontId="7" fillId="0" borderId="34" xfId="0" applyFont="1" applyBorder="1" applyAlignment="1">
      <alignment horizontal="center"/>
    </xf>
    <xf numFmtId="0" fontId="7" fillId="8" borderId="34" xfId="0" applyFont="1" applyFill="1" applyBorder="1" applyAlignment="1">
      <alignment horizontal="center"/>
    </xf>
    <xf numFmtId="0" fontId="2" fillId="8" borderId="34" xfId="0" applyFont="1" applyFill="1" applyBorder="1" applyAlignment="1">
      <alignment horizontal="center" wrapText="1"/>
    </xf>
    <xf numFmtId="0" fontId="2" fillId="0" borderId="6" xfId="0" applyFont="1" applyBorder="1" applyAlignment="1">
      <alignment horizontal="center"/>
    </xf>
    <xf numFmtId="0" fontId="3" fillId="8" borderId="31" xfId="0" applyFont="1" applyFill="1" applyBorder="1" applyAlignment="1">
      <alignment horizontal="center"/>
    </xf>
    <xf numFmtId="0" fontId="2" fillId="0" borderId="18" xfId="0" applyFont="1" applyBorder="1" applyAlignment="1">
      <alignment horizontal="center"/>
    </xf>
    <xf numFmtId="0" fontId="7" fillId="0" borderId="18" xfId="0" applyFont="1" applyBorder="1" applyAlignment="1">
      <alignment horizontal="center" wrapText="1"/>
    </xf>
    <xf numFmtId="0" fontId="10" fillId="8" borderId="35" xfId="0" applyFont="1" applyFill="1" applyBorder="1" applyAlignment="1">
      <alignment horizontal="center"/>
    </xf>
    <xf numFmtId="0" fontId="140" fillId="8" borderId="3" xfId="0" applyFont="1" applyFill="1" applyBorder="1" applyAlignment="1">
      <alignment horizontal="center"/>
    </xf>
    <xf numFmtId="0" fontId="158" fillId="8" borderId="2" xfId="0" applyFont="1" applyFill="1" applyBorder="1" applyAlignment="1">
      <alignment horizontal="center" wrapText="1"/>
    </xf>
    <xf numFmtId="0" fontId="3" fillId="8" borderId="36" xfId="0" applyFont="1" applyFill="1" applyBorder="1" applyAlignment="1">
      <alignment horizontal="center"/>
    </xf>
    <xf numFmtId="0" fontId="7" fillId="8" borderId="37" xfId="0" applyFont="1" applyFill="1" applyBorder="1" applyAlignment="1">
      <alignment horizontal="center"/>
    </xf>
    <xf numFmtId="0" fontId="3" fillId="8" borderId="37" xfId="0" applyFont="1" applyFill="1" applyBorder="1" applyAlignment="1">
      <alignment horizontal="center"/>
    </xf>
    <xf numFmtId="0" fontId="2" fillId="0" borderId="38" xfId="0" applyFont="1" applyBorder="1" applyAlignment="1">
      <alignment horizontal="center"/>
    </xf>
    <xf numFmtId="0" fontId="54" fillId="8" borderId="31" xfId="0" applyFont="1" applyFill="1" applyBorder="1" applyAlignment="1">
      <alignment horizontal="center"/>
    </xf>
    <xf numFmtId="0" fontId="2" fillId="0" borderId="33" xfId="0" applyFont="1" applyBorder="1" applyAlignment="1">
      <alignment horizontal="center"/>
    </xf>
    <xf numFmtId="0" fontId="159" fillId="8" borderId="34" xfId="0" applyFont="1" applyFill="1" applyBorder="1" applyAlignment="1">
      <alignment horizontal="center"/>
    </xf>
    <xf numFmtId="0" fontId="2" fillId="0" borderId="31" xfId="0" applyFont="1" applyBorder="1" applyAlignment="1">
      <alignment horizontal="center" wrapText="1"/>
    </xf>
    <xf numFmtId="0" fontId="3" fillId="0" borderId="36" xfId="0" applyFont="1" applyBorder="1" applyAlignment="1">
      <alignment horizontal="center"/>
    </xf>
    <xf numFmtId="0" fontId="160" fillId="8" borderId="37" xfId="0" applyFont="1" applyFill="1" applyBorder="1" applyAlignment="1">
      <alignment horizontal="center"/>
    </xf>
    <xf numFmtId="0" fontId="7" fillId="0" borderId="37" xfId="0" applyFont="1" applyBorder="1" applyAlignment="1">
      <alignment horizontal="center"/>
    </xf>
    <xf numFmtId="0" fontId="2" fillId="0" borderId="34" xfId="0" applyFont="1" applyBorder="1" applyAlignment="1">
      <alignment horizontal="center"/>
    </xf>
    <xf numFmtId="0" fontId="2" fillId="0" borderId="39" xfId="0" applyFont="1" applyBorder="1" applyAlignment="1">
      <alignment horizontal="center"/>
    </xf>
    <xf numFmtId="0" fontId="2" fillId="0" borderId="4" xfId="0" applyFont="1" applyBorder="1" applyAlignment="1">
      <alignment horizontal="center"/>
    </xf>
    <xf numFmtId="0" fontId="3" fillId="0" borderId="33" xfId="0" applyFont="1" applyBorder="1" applyAlignment="1">
      <alignment horizontal="center"/>
    </xf>
    <xf numFmtId="0" fontId="161" fillId="0" borderId="34" xfId="0" applyFont="1" applyBorder="1" applyAlignment="1">
      <alignment horizontal="center"/>
    </xf>
    <xf numFmtId="0" fontId="3" fillId="8" borderId="34" xfId="0" applyFont="1" applyFill="1" applyBorder="1" applyAlignment="1">
      <alignment horizontal="center"/>
    </xf>
    <xf numFmtId="0" fontId="2" fillId="0" borderId="33" xfId="0" applyFont="1" applyBorder="1" applyAlignment="1">
      <alignment horizontal="center" wrapText="1"/>
    </xf>
    <xf numFmtId="0" fontId="2" fillId="0" borderId="39" xfId="0" applyFont="1" applyBorder="1" applyAlignment="1">
      <alignment horizontal="center" wrapText="1"/>
    </xf>
    <xf numFmtId="0" fontId="2" fillId="0" borderId="13" xfId="0" applyFont="1" applyBorder="1" applyAlignment="1">
      <alignment horizontal="center" wrapText="1"/>
    </xf>
    <xf numFmtId="0" fontId="7" fillId="0" borderId="40" xfId="0" applyFont="1" applyBorder="1" applyAlignment="1">
      <alignment horizontal="center"/>
    </xf>
    <xf numFmtId="0" fontId="2" fillId="0" borderId="40" xfId="0" applyFont="1" applyBorder="1" applyAlignment="1">
      <alignment horizontal="center" wrapText="1"/>
    </xf>
    <xf numFmtId="0" fontId="2" fillId="0" borderId="41" xfId="0" applyFont="1" applyBorder="1" applyAlignment="1">
      <alignment horizontal="center"/>
    </xf>
    <xf numFmtId="0" fontId="2" fillId="0" borderId="42" xfId="0" applyFont="1" applyBorder="1" applyAlignment="1">
      <alignment horizontal="center"/>
    </xf>
    <xf numFmtId="0" fontId="2" fillId="0" borderId="43" xfId="0" applyFont="1" applyBorder="1" applyAlignment="1">
      <alignment horizontal="center"/>
    </xf>
    <xf numFmtId="0" fontId="162" fillId="0" borderId="3" xfId="0" applyFont="1" applyBorder="1" applyAlignment="1">
      <alignment horizontal="center"/>
    </xf>
    <xf numFmtId="0" fontId="2" fillId="0" borderId="44" xfId="0" applyFont="1" applyBorder="1" applyAlignment="1">
      <alignment horizontal="center"/>
    </xf>
    <xf numFmtId="0" fontId="7" fillId="0" borderId="45" xfId="0" applyFont="1" applyBorder="1" applyAlignment="1">
      <alignment horizontal="center"/>
    </xf>
    <xf numFmtId="0" fontId="7" fillId="8" borderId="45" xfId="0" applyFont="1" applyFill="1" applyBorder="1" applyAlignment="1">
      <alignment horizontal="center"/>
    </xf>
    <xf numFmtId="0" fontId="2" fillId="0" borderId="45" xfId="0" applyFont="1" applyBorder="1" applyAlignment="1">
      <alignment horizontal="center"/>
    </xf>
    <xf numFmtId="0" fontId="2" fillId="0" borderId="30" xfId="0" applyFont="1" applyBorder="1" applyAlignment="1">
      <alignment horizontal="center"/>
    </xf>
    <xf numFmtId="0" fontId="2" fillId="8" borderId="18" xfId="0" applyFont="1" applyFill="1" applyBorder="1" applyAlignment="1">
      <alignment horizontal="center"/>
    </xf>
    <xf numFmtId="0" fontId="163" fillId="0" borderId="34" xfId="0" applyFont="1" applyBorder="1" applyAlignment="1">
      <alignment horizontal="center"/>
    </xf>
    <xf numFmtId="0" fontId="2" fillId="8" borderId="34" xfId="0" applyFont="1" applyFill="1" applyBorder="1" applyAlignment="1">
      <alignment horizontal="center"/>
    </xf>
    <xf numFmtId="0" fontId="8" fillId="0" borderId="35" xfId="0" applyFont="1" applyBorder="1" applyAlignment="1">
      <alignment horizontal="center"/>
    </xf>
    <xf numFmtId="0" fontId="2" fillId="8" borderId="1" xfId="0" applyFont="1" applyFill="1" applyBorder="1" applyAlignment="1">
      <alignment horizontal="center"/>
    </xf>
    <xf numFmtId="0" fontId="8" fillId="0" borderId="46" xfId="0" applyFont="1" applyBorder="1" applyAlignment="1">
      <alignment horizontal="center"/>
    </xf>
    <xf numFmtId="0" fontId="2" fillId="8" borderId="10" xfId="0" applyFont="1" applyFill="1" applyBorder="1" applyAlignment="1">
      <alignment horizontal="center"/>
    </xf>
    <xf numFmtId="0" fontId="8" fillId="0" borderId="39" xfId="0" applyFont="1" applyBorder="1" applyAlignment="1">
      <alignment horizontal="center"/>
    </xf>
    <xf numFmtId="0" fontId="140" fillId="0" borderId="2" xfId="0" applyFont="1" applyBorder="1" applyAlignment="1">
      <alignment horizontal="center"/>
    </xf>
    <xf numFmtId="0" fontId="8" fillId="0" borderId="2" xfId="0" applyFont="1" applyBorder="1" applyAlignment="1">
      <alignment horizontal="center"/>
    </xf>
    <xf numFmtId="0" fontId="8" fillId="0" borderId="8" xfId="0" applyFont="1" applyBorder="1" applyAlignment="1">
      <alignment horizontal="center"/>
    </xf>
    <xf numFmtId="0" fontId="2" fillId="0" borderId="18" xfId="0" applyFont="1" applyBorder="1" applyAlignment="1">
      <alignment horizontal="center" wrapText="1"/>
    </xf>
    <xf numFmtId="0" fontId="157" fillId="0" borderId="18" xfId="0" applyFont="1" applyBorder="1"/>
    <xf numFmtId="0" fontId="157" fillId="0" borderId="44" xfId="0" applyFont="1" applyBorder="1"/>
    <xf numFmtId="0" fontId="157" fillId="0" borderId="47" xfId="0" applyFont="1" applyBorder="1"/>
    <xf numFmtId="0" fontId="157" fillId="0" borderId="48" xfId="0" applyFont="1" applyBorder="1"/>
    <xf numFmtId="0" fontId="24" fillId="0" borderId="0" xfId="0" applyFont="1" applyAlignment="1">
      <alignment horizontal="center" vertical="center" wrapText="1"/>
    </xf>
    <xf numFmtId="167" fontId="14" fillId="0" borderId="0" xfId="0" applyNumberFormat="1" applyFont="1"/>
    <xf numFmtId="0" fontId="164" fillId="8" borderId="18" xfId="0" applyFont="1" applyFill="1" applyBorder="1" applyAlignment="1">
      <alignment horizontal="left"/>
    </xf>
    <xf numFmtId="0" fontId="165" fillId="8" borderId="18" xfId="0" applyFont="1" applyFill="1" applyBorder="1" applyAlignment="1">
      <alignment horizontal="center" wrapText="1"/>
    </xf>
    <xf numFmtId="0" fontId="165" fillId="8" borderId="32" xfId="0" applyFont="1" applyFill="1" applyBorder="1" applyAlignment="1">
      <alignment horizontal="center" wrapText="1"/>
    </xf>
    <xf numFmtId="0" fontId="166" fillId="0" borderId="0" xfId="0" applyFont="1"/>
    <xf numFmtId="0" fontId="167" fillId="8" borderId="0" xfId="0" applyFont="1" applyFill="1" applyAlignment="1">
      <alignment horizontal="center"/>
    </xf>
    <xf numFmtId="0" fontId="73" fillId="8" borderId="18" xfId="0" applyFont="1" applyFill="1" applyBorder="1"/>
    <xf numFmtId="0" fontId="168" fillId="8" borderId="18" xfId="0" applyFont="1" applyFill="1" applyBorder="1" applyAlignment="1">
      <alignment horizontal="center" wrapText="1"/>
    </xf>
    <xf numFmtId="0" fontId="15" fillId="8" borderId="18" xfId="0" applyFont="1" applyFill="1" applyBorder="1" applyAlignment="1">
      <alignment horizontal="right"/>
    </xf>
    <xf numFmtId="0" fontId="165" fillId="8" borderId="45" xfId="0" applyFont="1" applyFill="1" applyBorder="1" applyAlignment="1">
      <alignment horizontal="center" wrapText="1"/>
    </xf>
    <xf numFmtId="0" fontId="165" fillId="8" borderId="30" xfId="0" applyFont="1" applyFill="1" applyBorder="1" applyAlignment="1">
      <alignment horizontal="center" wrapText="1"/>
    </xf>
    <xf numFmtId="0" fontId="73" fillId="25" borderId="0" xfId="0" applyFont="1" applyFill="1"/>
    <xf numFmtId="0" fontId="169" fillId="8" borderId="0" xfId="0" applyFont="1" applyFill="1" applyAlignment="1">
      <alignment horizontal="center" wrapText="1"/>
    </xf>
    <xf numFmtId="0" fontId="170" fillId="26" borderId="0" xfId="0" applyFont="1" applyFill="1" applyAlignment="1">
      <alignment horizontal="center" vertical="center"/>
    </xf>
    <xf numFmtId="0" fontId="73" fillId="16" borderId="0" xfId="0" applyFont="1" applyFill="1" applyAlignment="1">
      <alignment horizontal="left"/>
    </xf>
    <xf numFmtId="0" fontId="17" fillId="8" borderId="0" xfId="0" applyFont="1" applyFill="1"/>
    <xf numFmtId="2" fontId="14" fillId="0" borderId="0" xfId="0" applyNumberFormat="1" applyFont="1"/>
    <xf numFmtId="0" fontId="16" fillId="0" borderId="0" xfId="0" applyFont="1" applyAlignment="1">
      <alignment wrapText="1"/>
    </xf>
    <xf numFmtId="0" fontId="171" fillId="8" borderId="0" xfId="0" applyFont="1" applyFill="1"/>
    <xf numFmtId="0" fontId="172" fillId="0" borderId="3" xfId="0" applyFont="1" applyBorder="1"/>
    <xf numFmtId="0" fontId="16" fillId="8" borderId="3" xfId="0" applyFont="1" applyFill="1" applyBorder="1"/>
    <xf numFmtId="0" fontId="173" fillId="0" borderId="0" xfId="0" applyFont="1"/>
    <xf numFmtId="0" fontId="174" fillId="0" borderId="34" xfId="0" applyFont="1" applyBorder="1"/>
    <xf numFmtId="0" fontId="16" fillId="0" borderId="2" xfId="0" applyFont="1" applyBorder="1"/>
    <xf numFmtId="0" fontId="175" fillId="9" borderId="2" xfId="0" applyFont="1" applyFill="1" applyBorder="1"/>
    <xf numFmtId="0" fontId="175" fillId="9" borderId="18" xfId="0" applyFont="1" applyFill="1" applyBorder="1"/>
    <xf numFmtId="0" fontId="176" fillId="0" borderId="34" xfId="0" applyFont="1" applyBorder="1"/>
    <xf numFmtId="0" fontId="16" fillId="0" borderId="49" xfId="0" applyFont="1" applyBorder="1"/>
    <xf numFmtId="0" fontId="177" fillId="0" borderId="18" xfId="0" applyFont="1" applyBorder="1"/>
    <xf numFmtId="0" fontId="170" fillId="26" borderId="3" xfId="0" applyFont="1" applyFill="1" applyBorder="1" applyAlignment="1">
      <alignment horizontal="center"/>
    </xf>
    <xf numFmtId="0" fontId="170" fillId="26" borderId="2" xfId="0" applyFont="1" applyFill="1" applyBorder="1" applyAlignment="1">
      <alignment horizontal="center"/>
    </xf>
    <xf numFmtId="0" fontId="16" fillId="26" borderId="0" xfId="0" applyFont="1" applyFill="1"/>
    <xf numFmtId="0" fontId="16" fillId="8" borderId="18" xfId="0" applyFont="1" applyFill="1" applyBorder="1"/>
    <xf numFmtId="0" fontId="151" fillId="8" borderId="18" xfId="0" applyFont="1" applyFill="1" applyBorder="1" applyAlignment="1">
      <alignment wrapText="1"/>
    </xf>
    <xf numFmtId="0" fontId="178" fillId="0" borderId="18" xfId="0" applyFont="1" applyBorder="1"/>
    <xf numFmtId="0" fontId="151" fillId="8" borderId="18" xfId="0" applyFont="1" applyFill="1" applyBorder="1"/>
    <xf numFmtId="0" fontId="151" fillId="8" borderId="9" xfId="0" applyFont="1" applyFill="1" applyBorder="1"/>
    <xf numFmtId="0" fontId="16" fillId="8" borderId="18" xfId="0" applyFont="1" applyFill="1" applyBorder="1" applyAlignment="1">
      <alignment wrapText="1"/>
    </xf>
    <xf numFmtId="2" fontId="16" fillId="0" borderId="0" xfId="0" applyNumberFormat="1" applyFont="1"/>
    <xf numFmtId="0" fontId="17" fillId="8" borderId="18" xfId="0" applyFont="1" applyFill="1" applyBorder="1"/>
    <xf numFmtId="0" fontId="16" fillId="0" borderId="18" xfId="0" applyFont="1" applyBorder="1" applyAlignment="1">
      <alignment wrapText="1"/>
    </xf>
    <xf numFmtId="0" fontId="179" fillId="8" borderId="3" xfId="0" applyFont="1" applyFill="1" applyBorder="1" applyAlignment="1">
      <alignment horizontal="left"/>
    </xf>
    <xf numFmtId="0" fontId="14" fillId="0" borderId="3" xfId="0" applyFont="1" applyBorder="1"/>
    <xf numFmtId="0" fontId="180" fillId="0" borderId="18" xfId="0" applyFont="1" applyBorder="1"/>
    <xf numFmtId="0" fontId="181" fillId="0" borderId="18" xfId="0" applyFont="1" applyBorder="1"/>
    <xf numFmtId="0" fontId="60" fillId="8" borderId="9" xfId="0" applyFont="1" applyFill="1" applyBorder="1" applyAlignment="1">
      <alignment horizontal="left"/>
    </xf>
    <xf numFmtId="0" fontId="15" fillId="8" borderId="18" xfId="0" applyFont="1" applyFill="1" applyBorder="1" applyAlignment="1">
      <alignment horizontal="left"/>
    </xf>
    <xf numFmtId="0" fontId="16" fillId="0" borderId="3" xfId="0" applyFont="1" applyBorder="1" applyAlignment="1">
      <alignment horizontal="right"/>
    </xf>
    <xf numFmtId="0" fontId="60" fillId="8" borderId="3" xfId="0" applyFont="1" applyFill="1" applyBorder="1" applyAlignment="1">
      <alignment horizontal="left"/>
    </xf>
    <xf numFmtId="0" fontId="182" fillId="0" borderId="3" xfId="0" applyFont="1" applyBorder="1"/>
    <xf numFmtId="0" fontId="16" fillId="27" borderId="3" xfId="0" applyFont="1" applyFill="1" applyBorder="1"/>
    <xf numFmtId="0" fontId="15" fillId="27" borderId="3" xfId="0" applyFont="1" applyFill="1" applyBorder="1" applyAlignment="1">
      <alignment horizontal="left"/>
    </xf>
    <xf numFmtId="0" fontId="14" fillId="27" borderId="0" xfId="0" applyFont="1" applyFill="1"/>
    <xf numFmtId="0" fontId="183" fillId="27" borderId="3" xfId="0" applyFont="1" applyFill="1" applyBorder="1"/>
    <xf numFmtId="0" fontId="151" fillId="0" borderId="9" xfId="0" applyFont="1" applyBorder="1"/>
    <xf numFmtId="0" fontId="14" fillId="8" borderId="3" xfId="0" applyFont="1" applyFill="1" applyBorder="1"/>
    <xf numFmtId="0" fontId="14" fillId="8" borderId="2" xfId="0" applyFont="1" applyFill="1" applyBorder="1"/>
    <xf numFmtId="0" fontId="14" fillId="15" borderId="3" xfId="0" applyFont="1" applyFill="1" applyBorder="1"/>
    <xf numFmtId="0" fontId="184" fillId="15" borderId="2" xfId="0" applyFont="1" applyFill="1" applyBorder="1"/>
    <xf numFmtId="0" fontId="184" fillId="15" borderId="3" xfId="0" applyFont="1" applyFill="1" applyBorder="1"/>
    <xf numFmtId="0" fontId="16" fillId="8" borderId="2" xfId="0" applyFont="1" applyFill="1" applyBorder="1"/>
    <xf numFmtId="0" fontId="151" fillId="0" borderId="2" xfId="0" applyFont="1" applyBorder="1"/>
    <xf numFmtId="0" fontId="151" fillId="0" borderId="0" xfId="0" applyFont="1" applyAlignment="1">
      <alignment horizontal="center"/>
    </xf>
    <xf numFmtId="0" fontId="151" fillId="0" borderId="18" xfId="0" applyFont="1" applyBorder="1" applyAlignment="1">
      <alignment horizontal="center"/>
    </xf>
    <xf numFmtId="0" fontId="16" fillId="8" borderId="49" xfId="0" applyFont="1" applyFill="1" applyBorder="1"/>
    <xf numFmtId="0" fontId="151" fillId="0" borderId="18" xfId="0" applyFont="1" applyBorder="1"/>
    <xf numFmtId="0" fontId="151" fillId="0" borderId="0" xfId="0" applyFont="1"/>
    <xf numFmtId="0" fontId="185" fillId="0" borderId="0" xfId="0" applyFont="1" applyAlignment="1">
      <alignment horizontal="left"/>
    </xf>
    <xf numFmtId="0" fontId="14" fillId="0" borderId="0" xfId="0" applyFont="1" applyAlignment="1">
      <alignment horizontal="center" vertical="center" wrapText="1"/>
    </xf>
    <xf numFmtId="165" fontId="14" fillId="0" borderId="0" xfId="0" applyNumberFormat="1" applyFont="1"/>
    <xf numFmtId="20" fontId="14" fillId="0" borderId="0" xfId="0" applyNumberFormat="1" applyFont="1"/>
    <xf numFmtId="0" fontId="0" fillId="8" borderId="0" xfId="0" applyFill="1"/>
    <xf numFmtId="0" fontId="148" fillId="8" borderId="0" xfId="0" applyFont="1" applyFill="1"/>
    <xf numFmtId="165" fontId="14" fillId="0" borderId="0" xfId="0" applyNumberFormat="1" applyFont="1" applyAlignment="1">
      <alignment horizontal="right"/>
    </xf>
    <xf numFmtId="0" fontId="73" fillId="8" borderId="0" xfId="0" applyFont="1" applyFill="1" applyAlignment="1">
      <alignment horizontal="left"/>
    </xf>
    <xf numFmtId="0" fontId="186" fillId="28" borderId="0" xfId="0" applyFont="1" applyFill="1"/>
    <xf numFmtId="0" fontId="186" fillId="28" borderId="0" xfId="0" applyFont="1" applyFill="1" applyAlignment="1">
      <alignment horizontal="center"/>
    </xf>
    <xf numFmtId="0" fontId="26" fillId="6" borderId="0" xfId="0" applyFont="1" applyFill="1"/>
    <xf numFmtId="0" fontId="26" fillId="0" borderId="0" xfId="0" applyFont="1" applyAlignment="1">
      <alignment horizontal="right"/>
    </xf>
    <xf numFmtId="0" fontId="26" fillId="9" borderId="0" xfId="0" applyFont="1" applyFill="1"/>
    <xf numFmtId="0" fontId="170" fillId="0" borderId="0" xfId="0" applyFont="1"/>
    <xf numFmtId="0" fontId="170" fillId="0" borderId="0" xfId="0" applyFont="1" applyAlignment="1">
      <alignment horizontal="right"/>
    </xf>
    <xf numFmtId="0" fontId="14" fillId="29" borderId="0" xfId="0" applyFont="1" applyFill="1"/>
    <xf numFmtId="0" fontId="14" fillId="30" borderId="0" xfId="0" applyFont="1" applyFill="1"/>
    <xf numFmtId="0" fontId="14" fillId="31" borderId="0" xfId="0" applyFont="1" applyFill="1"/>
    <xf numFmtId="0" fontId="14" fillId="12" borderId="0" xfId="0" applyFont="1" applyFill="1"/>
    <xf numFmtId="0" fontId="14" fillId="14" borderId="0" xfId="0" applyFont="1" applyFill="1"/>
    <xf numFmtId="0" fontId="16" fillId="8" borderId="0" xfId="0" applyFont="1" applyFill="1" applyAlignment="1">
      <alignment horizontal="right"/>
    </xf>
    <xf numFmtId="0" fontId="68" fillId="0" borderId="0" xfId="0" applyFont="1"/>
    <xf numFmtId="10" fontId="14" fillId="0" borderId="0" xfId="0" applyNumberFormat="1" applyFont="1" applyAlignment="1">
      <alignment wrapText="1"/>
    </xf>
    <xf numFmtId="0" fontId="14" fillId="0" borderId="0" xfId="0" applyFont="1" applyAlignment="1">
      <alignment wrapText="1"/>
    </xf>
    <xf numFmtId="0" fontId="16" fillId="0" borderId="6" xfId="0" applyFont="1" applyBorder="1" applyAlignment="1">
      <alignment horizontal="right"/>
    </xf>
    <xf numFmtId="3" fontId="16" fillId="0" borderId="6" xfId="0" applyNumberFormat="1" applyFont="1" applyBorder="1"/>
    <xf numFmtId="10" fontId="16" fillId="0" borderId="0" xfId="0" applyNumberFormat="1" applyFont="1" applyAlignment="1">
      <alignment horizontal="right"/>
    </xf>
    <xf numFmtId="3" fontId="16" fillId="0" borderId="6" xfId="0" applyNumberFormat="1" applyFont="1" applyBorder="1" applyAlignment="1">
      <alignment horizontal="right"/>
    </xf>
    <xf numFmtId="0" fontId="16" fillId="0" borderId="0" xfId="0" applyFont="1" applyAlignment="1">
      <alignment horizontal="right"/>
    </xf>
    <xf numFmtId="10" fontId="16" fillId="8" borderId="0" xfId="0" applyNumberFormat="1" applyFont="1" applyFill="1"/>
    <xf numFmtId="172" fontId="14" fillId="0" borderId="0" xfId="0" applyNumberFormat="1" applyFont="1"/>
    <xf numFmtId="14" fontId="166" fillId="0" borderId="0" xfId="0" applyNumberFormat="1" applyFont="1"/>
    <xf numFmtId="0" fontId="187" fillId="32" borderId="0" xfId="0" applyFont="1" applyFill="1" applyAlignment="1">
      <alignment horizontal="center" vertical="center" wrapText="1"/>
    </xf>
    <xf numFmtId="0" fontId="188" fillId="32" borderId="3" xfId="0" applyFont="1" applyFill="1" applyBorder="1" applyAlignment="1">
      <alignment horizontal="center" vertical="center" wrapText="1"/>
    </xf>
    <xf numFmtId="0" fontId="14" fillId="32" borderId="3" xfId="0" applyFont="1" applyFill="1" applyBorder="1"/>
    <xf numFmtId="0" fontId="166" fillId="8" borderId="0" xfId="0" applyFont="1" applyFill="1"/>
    <xf numFmtId="164" fontId="14" fillId="0" borderId="0" xfId="0" applyNumberFormat="1" applyFont="1"/>
    <xf numFmtId="0" fontId="170" fillId="15" borderId="0" xfId="0" applyFont="1" applyFill="1"/>
    <xf numFmtId="0" fontId="170" fillId="15" borderId="3" xfId="0" applyFont="1" applyFill="1" applyBorder="1"/>
    <xf numFmtId="0" fontId="170" fillId="15" borderId="3" xfId="0" applyFont="1" applyFill="1" applyBorder="1" applyAlignment="1">
      <alignment wrapText="1"/>
    </xf>
    <xf numFmtId="0" fontId="16" fillId="0" borderId="3" xfId="0" applyFont="1" applyBorder="1" applyAlignment="1">
      <alignment wrapText="1"/>
    </xf>
    <xf numFmtId="0" fontId="189" fillId="0" borderId="3" xfId="0" applyFont="1" applyBorder="1" applyAlignment="1">
      <alignment wrapText="1"/>
    </xf>
    <xf numFmtId="0" fontId="16" fillId="8" borderId="3" xfId="0" applyFont="1" applyFill="1" applyBorder="1" applyAlignment="1">
      <alignment wrapText="1"/>
    </xf>
    <xf numFmtId="0" fontId="190" fillId="8" borderId="3" xfId="0" applyFont="1" applyFill="1" applyBorder="1" applyAlignment="1">
      <alignment wrapText="1"/>
    </xf>
    <xf numFmtId="0" fontId="191" fillId="8" borderId="3" xfId="0" applyFont="1" applyFill="1" applyBorder="1" applyAlignment="1">
      <alignment wrapText="1"/>
    </xf>
    <xf numFmtId="0" fontId="192" fillId="8" borderId="3" xfId="0" applyFont="1" applyFill="1" applyBorder="1" applyAlignment="1">
      <alignment wrapText="1"/>
    </xf>
    <xf numFmtId="0" fontId="193" fillId="8" borderId="3" xfId="0" applyFont="1" applyFill="1" applyBorder="1" applyAlignment="1">
      <alignment wrapText="1"/>
    </xf>
    <xf numFmtId="0" fontId="151" fillId="8" borderId="3" xfId="0" applyFont="1" applyFill="1" applyBorder="1" applyAlignment="1">
      <alignment wrapText="1"/>
    </xf>
    <xf numFmtId="0" fontId="194" fillId="8" borderId="3" xfId="0" applyFont="1" applyFill="1" applyBorder="1" applyAlignment="1">
      <alignment wrapText="1"/>
    </xf>
    <xf numFmtId="0" fontId="16" fillId="9" borderId="3" xfId="0" applyFont="1" applyFill="1" applyBorder="1" applyAlignment="1">
      <alignment wrapText="1"/>
    </xf>
    <xf numFmtId="0" fontId="195" fillId="8" borderId="3" xfId="0" applyFont="1" applyFill="1" applyBorder="1" applyAlignment="1">
      <alignment wrapText="1"/>
    </xf>
    <xf numFmtId="0" fontId="196" fillId="8" borderId="3" xfId="0" applyFont="1" applyFill="1" applyBorder="1" applyAlignment="1">
      <alignment wrapText="1"/>
    </xf>
    <xf numFmtId="0" fontId="197" fillId="8" borderId="3" xfId="0" applyFont="1" applyFill="1" applyBorder="1" applyAlignment="1">
      <alignment wrapText="1"/>
    </xf>
    <xf numFmtId="0" fontId="198" fillId="0" borderId="3" xfId="0" applyFont="1" applyBorder="1" applyAlignment="1">
      <alignment wrapText="1"/>
    </xf>
    <xf numFmtId="0" fontId="199" fillId="8" borderId="3" xfId="0" applyFont="1" applyFill="1" applyBorder="1" applyAlignment="1">
      <alignment wrapText="1"/>
    </xf>
    <xf numFmtId="0" fontId="200" fillId="8" borderId="3" xfId="0" applyFont="1" applyFill="1" applyBorder="1" applyAlignment="1">
      <alignment wrapText="1"/>
    </xf>
    <xf numFmtId="0" fontId="201" fillId="8" borderId="3" xfId="0" applyFont="1" applyFill="1" applyBorder="1" applyAlignment="1">
      <alignment wrapText="1"/>
    </xf>
    <xf numFmtId="0" fontId="16" fillId="14" borderId="3" xfId="0" applyFont="1" applyFill="1" applyBorder="1"/>
    <xf numFmtId="0" fontId="202" fillId="0" borderId="3" xfId="0" applyFont="1" applyBorder="1" applyAlignment="1">
      <alignment wrapText="1"/>
    </xf>
    <xf numFmtId="0" fontId="201" fillId="0" borderId="3" xfId="0" applyFont="1" applyBorder="1" applyAlignment="1">
      <alignment wrapText="1"/>
    </xf>
    <xf numFmtId="0" fontId="203" fillId="8" borderId="3" xfId="0" applyFont="1" applyFill="1" applyBorder="1" applyAlignment="1">
      <alignment wrapText="1"/>
    </xf>
    <xf numFmtId="0" fontId="16" fillId="8" borderId="3" xfId="0" applyFont="1" applyFill="1" applyBorder="1" applyAlignment="1">
      <alignment horizontal="right"/>
    </xf>
    <xf numFmtId="0" fontId="204" fillId="0" borderId="3" xfId="0" applyFont="1" applyBorder="1" applyAlignment="1">
      <alignment wrapText="1"/>
    </xf>
    <xf numFmtId="0" fontId="16" fillId="8" borderId="3" xfId="0" applyFont="1" applyFill="1" applyBorder="1" applyAlignment="1">
      <alignment horizontal="right" wrapText="1"/>
    </xf>
    <xf numFmtId="0" fontId="205" fillId="0" borderId="3" xfId="0" applyFont="1" applyBorder="1" applyAlignment="1">
      <alignment wrapText="1"/>
    </xf>
    <xf numFmtId="0" fontId="206" fillId="8" borderId="3" xfId="0" applyFont="1" applyFill="1" applyBorder="1" applyAlignment="1">
      <alignment wrapText="1"/>
    </xf>
    <xf numFmtId="0" fontId="151" fillId="20" borderId="3" xfId="0" applyFont="1" applyFill="1" applyBorder="1"/>
    <xf numFmtId="0" fontId="16" fillId="20" borderId="3" xfId="0" applyFont="1" applyFill="1" applyBorder="1"/>
    <xf numFmtId="0" fontId="202" fillId="0" borderId="3" xfId="0" applyFont="1" applyBorder="1"/>
    <xf numFmtId="0" fontId="207" fillId="8" borderId="3" xfId="0" applyFont="1" applyFill="1" applyBorder="1" applyAlignment="1">
      <alignment wrapText="1"/>
    </xf>
    <xf numFmtId="0" fontId="198" fillId="8" borderId="3" xfId="0" applyFont="1" applyFill="1" applyBorder="1"/>
    <xf numFmtId="0" fontId="198" fillId="8" borderId="3" xfId="0" applyFont="1" applyFill="1" applyBorder="1" applyAlignment="1">
      <alignment wrapText="1"/>
    </xf>
    <xf numFmtId="0" fontId="208" fillId="8" borderId="3" xfId="0" applyFont="1" applyFill="1" applyBorder="1" applyAlignment="1">
      <alignment wrapText="1"/>
    </xf>
    <xf numFmtId="0" fontId="209" fillId="8" borderId="3" xfId="0" applyFont="1" applyFill="1" applyBorder="1" applyAlignment="1">
      <alignment wrapText="1"/>
    </xf>
    <xf numFmtId="0" fontId="210" fillId="0" borderId="3" xfId="0" applyFont="1" applyBorder="1"/>
    <xf numFmtId="0" fontId="16" fillId="8" borderId="3" xfId="0" applyFont="1" applyFill="1" applyBorder="1" applyAlignment="1">
      <alignment vertical="top" wrapText="1"/>
    </xf>
    <xf numFmtId="0" fontId="205" fillId="0" borderId="3" xfId="0" applyFont="1" applyBorder="1"/>
    <xf numFmtId="0" fontId="202" fillId="0" borderId="0" xfId="0" applyFont="1"/>
    <xf numFmtId="0" fontId="0" fillId="0" borderId="0" xfId="0"/>
    <xf numFmtId="0" fontId="3" fillId="4" borderId="1" xfId="0" applyFont="1" applyFill="1" applyBorder="1" applyAlignment="1">
      <alignment horizontal="center"/>
    </xf>
    <xf numFmtId="0" fontId="4" fillId="0" borderId="1" xfId="0" applyFont="1" applyBorder="1"/>
    <xf numFmtId="0" fontId="4" fillId="0" borderId="2" xfId="0" applyFont="1" applyBorder="1"/>
    <xf numFmtId="0" fontId="133" fillId="12" borderId="0" xfId="0" applyFont="1" applyFill="1" applyAlignment="1">
      <alignment horizontal="center"/>
    </xf>
    <xf numFmtId="0" fontId="133" fillId="8" borderId="0" xfId="0" applyFont="1" applyFill="1" applyAlignment="1">
      <alignment horizontal="center"/>
    </xf>
    <xf numFmtId="0" fontId="133" fillId="24" borderId="23" xfId="0" applyFont="1" applyFill="1" applyBorder="1" applyAlignment="1">
      <alignment horizontal="center"/>
    </xf>
    <xf numFmtId="0" fontId="4" fillId="0" borderId="24" xfId="0" applyFont="1" applyBorder="1"/>
    <xf numFmtId="0" fontId="4" fillId="0" borderId="25" xfId="0" applyFont="1" applyBorder="1"/>
    <xf numFmtId="0" fontId="133" fillId="17" borderId="23" xfId="0" applyFont="1" applyFill="1" applyBorder="1" applyAlignment="1">
      <alignment horizontal="center"/>
    </xf>
    <xf numFmtId="0" fontId="133" fillId="24" borderId="28" xfId="0" applyFont="1" applyFill="1" applyBorder="1" applyAlignment="1">
      <alignment horizontal="center"/>
    </xf>
    <xf numFmtId="0" fontId="4" fillId="0" borderId="29" xfId="0" applyFont="1" applyBorder="1"/>
    <xf numFmtId="0" fontId="4" fillId="0" borderId="30" xfId="0" applyFont="1" applyBorder="1"/>
    <xf numFmtId="0" fontId="151" fillId="0" borderId="49" xfId="0" applyFont="1" applyBorder="1" applyAlignment="1">
      <alignment horizontal="center"/>
    </xf>
    <xf numFmtId="0" fontId="4" fillId="0" borderId="18" xfId="0" applyFont="1" applyBorder="1"/>
  </cellXfs>
  <cellStyles count="1">
    <cellStyle name="Normal" xfId="0" builtinId="0"/>
  </cellStyles>
  <dxfs count="19">
    <dxf>
      <fill>
        <patternFill patternType="solid">
          <fgColor rgb="FFB7E1CD"/>
          <bgColor rgb="FFB7E1CD"/>
        </patternFill>
      </fill>
    </dxf>
    <dxf>
      <fill>
        <patternFill patternType="solid">
          <fgColor rgb="FFEA9999"/>
          <bgColor rgb="FFEA9999"/>
        </patternFill>
      </fill>
    </dxf>
    <dxf>
      <fill>
        <patternFill patternType="solid">
          <fgColor rgb="FFB7E1CD"/>
          <bgColor rgb="FFB7E1CD"/>
        </patternFill>
      </fill>
    </dxf>
    <dxf>
      <fill>
        <patternFill patternType="solid">
          <fgColor rgb="FFFFE599"/>
          <bgColor rgb="FFFFE599"/>
        </patternFill>
      </fill>
    </dxf>
    <dxf>
      <fill>
        <patternFill patternType="solid">
          <fgColor rgb="FFD9EAD3"/>
          <bgColor rgb="FFD9EAD3"/>
        </patternFill>
      </fill>
    </dxf>
    <dxf>
      <font>
        <color theme="1"/>
      </font>
      <fill>
        <patternFill patternType="solid">
          <fgColor rgb="FFEA9999"/>
          <bgColor rgb="FFEA9999"/>
        </patternFill>
      </fill>
    </dxf>
    <dxf>
      <fill>
        <patternFill patternType="solid">
          <fgColor rgb="FFFF0000"/>
          <bgColor rgb="FFFF0000"/>
        </patternFill>
      </fill>
    </dxf>
    <dxf>
      <fill>
        <patternFill patternType="solid">
          <fgColor rgb="FFFFE599"/>
          <bgColor rgb="FFFFE599"/>
        </patternFill>
      </fill>
    </dxf>
    <dxf>
      <fill>
        <patternFill patternType="solid">
          <fgColor rgb="FFF6B26B"/>
          <bgColor rgb="FFF6B26B"/>
        </patternFill>
      </fill>
    </dxf>
    <dxf>
      <fill>
        <patternFill patternType="solid">
          <fgColor rgb="FF93C47D"/>
          <bgColor rgb="FF93C47D"/>
        </patternFill>
      </fill>
    </dxf>
    <dxf>
      <fill>
        <patternFill patternType="solid">
          <fgColor rgb="FFB7E1CD"/>
          <bgColor rgb="FFB7E1CD"/>
        </patternFill>
      </fill>
    </dxf>
    <dxf>
      <fill>
        <patternFill patternType="solid">
          <fgColor rgb="FF38761D"/>
          <bgColor rgb="FF38761D"/>
        </patternFill>
      </fill>
    </dxf>
    <dxf>
      <fill>
        <patternFill patternType="solid">
          <fgColor rgb="FFEA9999"/>
          <bgColor rgb="FFEA9999"/>
        </patternFill>
      </fill>
    </dxf>
    <dxf>
      <fill>
        <patternFill patternType="solid">
          <fgColor rgb="FF9FC5E8"/>
          <bgColor rgb="FF9FC5E8"/>
        </patternFill>
      </fill>
    </dxf>
    <dxf>
      <fill>
        <patternFill patternType="solid">
          <fgColor rgb="FFFCE8B2"/>
          <bgColor rgb="FFFCE8B2"/>
        </patternFill>
      </fill>
    </dxf>
    <dxf>
      <fill>
        <patternFill patternType="solid">
          <fgColor rgb="FFB7E1CD"/>
          <bgColor rgb="FFB7E1CD"/>
        </patternFill>
      </fill>
    </dxf>
    <dxf>
      <fill>
        <patternFill patternType="solid">
          <fgColor rgb="FF9FC5E8"/>
          <bgColor rgb="FF9FC5E8"/>
        </patternFill>
      </fill>
    </dxf>
    <dxf>
      <fill>
        <patternFill patternType="solid">
          <fgColor rgb="FFFCE8B2"/>
          <bgColor rgb="FFFCE8B2"/>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Рейтинг викладачів лютий 2024</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8761D"/>
              </a:solidFill>
            </c:spPr>
            <c:extLst>
              <c:ext xmlns:c16="http://schemas.microsoft.com/office/drawing/2014/chart" uri="{C3380CC4-5D6E-409C-BE32-E72D297353CC}">
                <c16:uniqueId val="{00000001-7569-4526-A960-E71CF4B89303}"/>
              </c:ext>
            </c:extLst>
          </c:dPt>
          <c:dPt>
            <c:idx val="1"/>
            <c:bubble3D val="0"/>
            <c:spPr>
              <a:solidFill>
                <a:srgbClr val="6AA84F"/>
              </a:solidFill>
            </c:spPr>
            <c:extLst>
              <c:ext xmlns:c16="http://schemas.microsoft.com/office/drawing/2014/chart" uri="{C3380CC4-5D6E-409C-BE32-E72D297353CC}">
                <c16:uniqueId val="{00000003-7569-4526-A960-E71CF4B89303}"/>
              </c:ext>
            </c:extLst>
          </c:dPt>
          <c:dPt>
            <c:idx val="2"/>
            <c:bubble3D val="0"/>
            <c:spPr>
              <a:solidFill>
                <a:srgbClr val="F6B26B"/>
              </a:solidFill>
            </c:spPr>
            <c:extLst>
              <c:ext xmlns:c16="http://schemas.microsoft.com/office/drawing/2014/chart" uri="{C3380CC4-5D6E-409C-BE32-E72D297353CC}">
                <c16:uniqueId val="{00000005-7569-4526-A960-E71CF4B89303}"/>
              </c:ext>
            </c:extLst>
          </c:dPt>
          <c:dPt>
            <c:idx val="3"/>
            <c:bubble3D val="0"/>
            <c:spPr>
              <a:solidFill>
                <a:srgbClr val="FFE599"/>
              </a:solidFill>
            </c:spPr>
            <c:extLst>
              <c:ext xmlns:c16="http://schemas.microsoft.com/office/drawing/2014/chart" uri="{C3380CC4-5D6E-409C-BE32-E72D297353CC}">
                <c16:uniqueId val="{00000007-7569-4526-A960-E71CF4B89303}"/>
              </c:ext>
            </c:extLst>
          </c:dPt>
          <c:dPt>
            <c:idx val="4"/>
            <c:bubble3D val="0"/>
            <c:spPr>
              <a:solidFill>
                <a:srgbClr val="D9EAD3"/>
              </a:solidFill>
            </c:spPr>
            <c:extLst>
              <c:ext xmlns:c16="http://schemas.microsoft.com/office/drawing/2014/chart" uri="{C3380CC4-5D6E-409C-BE32-E72D297353CC}">
                <c16:uniqueId val="{00000009-7569-4526-A960-E71CF4B89303}"/>
              </c:ext>
            </c:extLst>
          </c:dPt>
          <c:dLbls>
            <c:spPr>
              <a:noFill/>
              <a:ln>
                <a:noFill/>
              </a:ln>
              <a:effectLst/>
            </c:spPr>
            <c:showLegendKey val="0"/>
            <c:showVal val="0"/>
            <c:showCatName val="1"/>
            <c:showSerName val="0"/>
            <c:showPercent val="0"/>
            <c:showBubbleSize val="0"/>
            <c:showLeaderLines val="1"/>
            <c:extLst>
              <c:ext xmlns:c15="http://schemas.microsoft.com/office/drawing/2012/chart" uri="{CE6537A1-D6FC-4f65-9D91-7224C49458BB}"/>
            </c:extLst>
          </c:dLbls>
          <c:cat>
            <c:strRef>
              <c:f>'Рейтинг викладачів'!$A$2:$A$6</c:f>
              <c:strCache>
                <c:ptCount val="5"/>
                <c:pt idx="0">
                  <c:v>ААА</c:v>
                </c:pt>
                <c:pt idx="1">
                  <c:v>A</c:v>
                </c:pt>
                <c:pt idx="2">
                  <c:v>B</c:v>
                </c:pt>
                <c:pt idx="3">
                  <c:v>C</c:v>
                </c:pt>
                <c:pt idx="4">
                  <c:v>New</c:v>
                </c:pt>
              </c:strCache>
            </c:strRef>
          </c:cat>
          <c:val>
            <c:numRef>
              <c:f>'Рейтинг викладачів'!$B$2:$B$6</c:f>
              <c:numCache>
                <c:formatCode>General</c:formatCode>
                <c:ptCount val="5"/>
                <c:pt idx="0">
                  <c:v>5</c:v>
                </c:pt>
                <c:pt idx="1">
                  <c:v>28</c:v>
                </c:pt>
                <c:pt idx="2">
                  <c:v>26</c:v>
                </c:pt>
                <c:pt idx="3">
                  <c:v>15</c:v>
                </c:pt>
                <c:pt idx="4">
                  <c:v>106</c:v>
                </c:pt>
              </c:numCache>
            </c:numRef>
          </c:val>
          <c:extLst>
            <c:ext xmlns:c16="http://schemas.microsoft.com/office/drawing/2014/chart" uri="{C3380CC4-5D6E-409C-BE32-E72D297353CC}">
              <c16:uniqueId val="{0000000A-7569-4526-A960-E71CF4B89303}"/>
            </c:ext>
          </c:extLst>
        </c:ser>
        <c:dLbls>
          <c:showLegendKey val="0"/>
          <c:showVal val="0"/>
          <c:showCatName val="0"/>
          <c:showSerName val="0"/>
          <c:showPercent val="0"/>
          <c:showBubbleSize val="0"/>
          <c:showLeaderLines val="1"/>
        </c:dLbls>
      </c:pie3DChart>
    </c:plotArea>
    <c:legend>
      <c:legendPos val="r"/>
      <c:overlay val="0"/>
      <c:txPr>
        <a:bodyPr/>
        <a:lstStyle/>
        <a:p>
          <a:pPr lvl="0">
            <a:defRPr sz="1800" b="0">
              <a:solidFill>
                <a:srgbClr val="1A1A1A"/>
              </a:solidFill>
              <a:latin typeface="+mn-lt"/>
            </a:defRPr>
          </a:pPr>
          <a:endParaRPr lang="uk-UA"/>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3</xdr:col>
      <xdr:colOff>66675</xdr:colOff>
      <xdr:row>0</xdr:row>
      <xdr:rowOff>0</xdr:rowOff>
    </xdr:from>
    <xdr:ext cx="6657975" cy="4114800"/>
    <xdr:graphicFrame macro="">
      <xdr:nvGraphicFramePr>
        <xdr:cNvPr id="2" name="Chart 1" title="Диаграмма">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ocs.google.com/presentation/d/17ddAqVZAR2LRC2z1dF2b6BcAyMOlMbKLtDzS9Drvm8s/edit?usp=share_link" TargetMode="External"/><Relationship Id="rId671" Type="http://schemas.openxmlformats.org/officeDocument/2006/relationships/hyperlink" Target="https://docs.google.com/presentation/d/1NyVjonIrK1XdFJpfgIIf-f5wIJTSizfy-yE25XC6e2M/edit?usp=sharing" TargetMode="External"/><Relationship Id="rId769" Type="http://schemas.openxmlformats.org/officeDocument/2006/relationships/hyperlink" Target="https://docs.google.com/presentation/d/1mX49Z-Wgd2TXqHvHjc31kBaqeR8-S_rbaPoZcJGT268/edit?usp=sharing" TargetMode="External"/><Relationship Id="rId21" Type="http://schemas.openxmlformats.org/officeDocument/2006/relationships/hyperlink" Target="https://docs.google.com/presentation/d/1hzvMamUgT1R3ZM-W9iCS-F4CLh8DJaRsrTyzhPZZ9as/edit?usp=sharing" TargetMode="External"/><Relationship Id="rId324" Type="http://schemas.openxmlformats.org/officeDocument/2006/relationships/hyperlink" Target="https://docs.google.com/presentation/d/11aAPaN5ZYUA-_HmNIMnCHfflGuAHipoaXjQTN3c_t8Q/edit?usp=sharing" TargetMode="External"/><Relationship Id="rId531" Type="http://schemas.openxmlformats.org/officeDocument/2006/relationships/hyperlink" Target="https://t.me/Sofia_Ptashkovska" TargetMode="External"/><Relationship Id="rId629" Type="http://schemas.openxmlformats.org/officeDocument/2006/relationships/hyperlink" Target="https://docs.google.com/presentation/d/1xq5dPMYCQHM0a25cOfF5GXWygYxmfk5o57xsfuYePag/edit?usp=sharing" TargetMode="External"/><Relationship Id="rId170" Type="http://schemas.openxmlformats.org/officeDocument/2006/relationships/hyperlink" Target="https://docs.google.com/presentation/d/10785hQP4kk_oA2d2LL2GaHG7Ys5JX2edU9sstfm3X2k/edit?usp=sharing" TargetMode="External"/><Relationship Id="rId836" Type="http://schemas.openxmlformats.org/officeDocument/2006/relationships/hyperlink" Target="https://docs.google.com/presentation/d/1C7SXZi_fFBJBk1QtVKRIWe6rCOYCVvqGbfoagbS96i8/edit?usp=sharing" TargetMode="External"/><Relationship Id="rId268" Type="http://schemas.openxmlformats.org/officeDocument/2006/relationships/hyperlink" Target="https://docs.google.com/presentation/d/1HkROlCWEJfPqn2B_SDSVBWpheFcKJPSZderYQR0ABC8/edit?usp=share_link" TargetMode="External"/><Relationship Id="rId475" Type="http://schemas.openxmlformats.org/officeDocument/2006/relationships/hyperlink" Target="https://docs.google.com/presentation/d/1Wmlez7tn0lRmXIcRISoJ_fzL79nKu9OxfBVNQxClZ0w/edit?usp=sharing" TargetMode="External"/><Relationship Id="rId682" Type="http://schemas.openxmlformats.org/officeDocument/2006/relationships/hyperlink" Target="https://docs.google.com/presentation/d/1fhUtGv72_vqkDGYr1MWbZFHRQ2_IISJYDaWLZNwmn7c/edit?usp=sharing" TargetMode="External"/><Relationship Id="rId32" Type="http://schemas.openxmlformats.org/officeDocument/2006/relationships/hyperlink" Target="https://docs.google.com/presentation/d/18SpJO0kCQzvH3ig8cHq8uInGBz9dZ1DkdqV6DrBLc5o/edit?usp=sharing" TargetMode="External"/><Relationship Id="rId128" Type="http://schemas.openxmlformats.org/officeDocument/2006/relationships/hyperlink" Target="https://docs.google.com/presentation/d/1QmwH1QoYNBsuTBVxNZWM0EC7KymAI8QxIHd_APZUtNM/edit?usp=sharing" TargetMode="External"/><Relationship Id="rId335" Type="http://schemas.openxmlformats.org/officeDocument/2006/relationships/hyperlink" Target="https://docs.google.com/presentation/d/1T-blUwJgEvQkmNBHV9s-eWBmNxMv6Z7ay5XSTjw-yC8/edit?usp=share_link" TargetMode="External"/><Relationship Id="rId542" Type="http://schemas.openxmlformats.org/officeDocument/2006/relationships/hyperlink" Target="https://docs.google.com/presentation/d/1YmGubFf6DWh0ctEiDGmeUEX74-mbD97M5MGReQ3r5js/edit?usp=sharing" TargetMode="External"/><Relationship Id="rId181" Type="http://schemas.openxmlformats.org/officeDocument/2006/relationships/hyperlink" Target="https://docs.google.com/presentation/d/10CSccYTHh7YBWLWD1WehHCI-5mw7HmeFCIkWwC2PUC8/edit?usp=sharing" TargetMode="External"/><Relationship Id="rId402" Type="http://schemas.openxmlformats.org/officeDocument/2006/relationships/hyperlink" Target="https://docs.google.com/presentation/d/1rCF98QjovnzBknCAJJvjFECaJ0ncr9Cp4vIU5V6o5pk/edit?usp=sharing" TargetMode="External"/><Relationship Id="rId847" Type="http://schemas.openxmlformats.org/officeDocument/2006/relationships/hyperlink" Target="https://t.me/moroz_eva" TargetMode="External"/><Relationship Id="rId279" Type="http://schemas.openxmlformats.org/officeDocument/2006/relationships/hyperlink" Target="https://docs.google.com/presentation/d/1oLwYW8d6W3A7SPMi54-qpQdfNj_AgPYa/edit?usp=sharing&amp;ouid=107295466553034241104&amp;rtpof=true&amp;sd=true" TargetMode="External"/><Relationship Id="rId486" Type="http://schemas.openxmlformats.org/officeDocument/2006/relationships/hyperlink" Target="https://docs.google.com/presentation/d/1OGjl00NlmsEIYoiRLFt5eb1HZj-PpltoOKFxJLOSuK8/edit?usp=sharing" TargetMode="External"/><Relationship Id="rId693" Type="http://schemas.openxmlformats.org/officeDocument/2006/relationships/hyperlink" Target="https://docs.google.com/presentation/d/13zdiq8d_FyvLLiFEFVvMv6ygziVkzXKEHSGB271gEjE/edit?usp=sharing" TargetMode="External"/><Relationship Id="rId707" Type="http://schemas.openxmlformats.org/officeDocument/2006/relationships/hyperlink" Target="mailto:tomoesanya@gmail.com" TargetMode="External"/><Relationship Id="rId43" Type="http://schemas.openxmlformats.org/officeDocument/2006/relationships/hyperlink" Target="https://docs.google.com/presentation/d/1Rj0tyxdE6XyD4tEhVRWcqWhr6UKitoYV/edit?usp=sharing&amp;ouid=107295466553034241104&amp;rtpof=true&amp;sd=true" TargetMode="External"/><Relationship Id="rId139" Type="http://schemas.openxmlformats.org/officeDocument/2006/relationships/hyperlink" Target="https://docs.google.com/presentation/d/1zEeCOtDTVRc6iyvpIg9VL87H0oBIlVJBzZ9Fqduh37g/edit?usp=sharing" TargetMode="External"/><Relationship Id="rId346" Type="http://schemas.openxmlformats.org/officeDocument/2006/relationships/hyperlink" Target="https://docs.google.com/presentation/d/1UHYn9JXnBjNjWjKg1KoZYQKbgOCyHQTx/edit?usp=share_link&amp;ouid=107295466553034241104&amp;rtpof=true&amp;sd=true" TargetMode="External"/><Relationship Id="rId553" Type="http://schemas.openxmlformats.org/officeDocument/2006/relationships/hyperlink" Target="https://docs.google.com/presentation/d/18mjuIJOs7ajILOylHfmFzQxVKbArhoFftElIYCbhD_s/edit?usp=sharing" TargetMode="External"/><Relationship Id="rId760" Type="http://schemas.openxmlformats.org/officeDocument/2006/relationships/hyperlink" Target="https://docs.google.com/presentation/d/18DURCznnYpwJg9LEgdWbTzk1PTAXWpEHWBoSp5ImKMs/edit?usp=sharing" TargetMode="External"/><Relationship Id="rId192" Type="http://schemas.openxmlformats.org/officeDocument/2006/relationships/hyperlink" Target="https://docs.google.com/presentation/d/1fe4dledBJsuF1oWiXFkLIUq3AmbiiOWWAkPYSbLoyj8/edit?usp=sharing" TargetMode="External"/><Relationship Id="rId206" Type="http://schemas.openxmlformats.org/officeDocument/2006/relationships/hyperlink" Target="https://docs.google.com/presentation/d/1S1sjJyv47u6S7Wpd4_z4uWzknzVbfZDX/edit?usp=sharing&amp;ouid=107295466553034241104&amp;rtpof=true&amp;sd=true" TargetMode="External"/><Relationship Id="rId413" Type="http://schemas.openxmlformats.org/officeDocument/2006/relationships/hyperlink" Target="https://docs.google.com/presentation/d/1y-LSbT95HvF5Dt0JnkbgH4GYiWJ7pgV4GkoJZcCuzGs/edit?usp=sharing" TargetMode="External"/><Relationship Id="rId497" Type="http://schemas.openxmlformats.org/officeDocument/2006/relationships/hyperlink" Target="https://docs.google.com/presentation/d/1Mg4H8fRlrgCMHIyLEOun4UaX-ey3rGEIsaf1bPhCUTk/edit?usp=sharing" TargetMode="External"/><Relationship Id="rId620" Type="http://schemas.openxmlformats.org/officeDocument/2006/relationships/hyperlink" Target="https://docs.google.com/presentation/d/13o0bLlevjWGpln6tqhqFgG9azyL52NqTgVsBv4Rbwzo/edit?usp=sharing" TargetMode="External"/><Relationship Id="rId718" Type="http://schemas.openxmlformats.org/officeDocument/2006/relationships/hyperlink" Target="https://docs.google.com/presentation/d/1l0wBDRS9UEXXiDfyEudOnC4zDrqzj2jryqpKJ-IICtg/edit?usp=sharing" TargetMode="External"/><Relationship Id="rId357" Type="http://schemas.openxmlformats.org/officeDocument/2006/relationships/hyperlink" Target="https://docs.google.com/presentation/d/19Ia1wP1RaXP9PLFwrGnkINHD6L3xHkwR/edit?usp=share_link&amp;ouid=107295466553034241104&amp;rtpof=true&amp;sd=true" TargetMode="External"/><Relationship Id="rId54" Type="http://schemas.openxmlformats.org/officeDocument/2006/relationships/hyperlink" Target="https://docs.google.com/presentation/d/16HDnfyap4Kh69--tSL1uuF2GeNtUU-u8ebPxBRwb_to/edit" TargetMode="External"/><Relationship Id="rId217" Type="http://schemas.openxmlformats.org/officeDocument/2006/relationships/hyperlink" Target="https://docs.google.com/presentation/d/12T25qosPR6Mwno8BojwKUK9JKQRdqYia0lc9FxcPaag/edit?usp=sharing" TargetMode="External"/><Relationship Id="rId564" Type="http://schemas.openxmlformats.org/officeDocument/2006/relationships/hyperlink" Target="https://docs.google.com/presentation/d/1A9d3PYzhZloi26OLFv7JBwcz_UqPDZv9JWELOxITtF8/edit?usp=sharing" TargetMode="External"/><Relationship Id="rId771" Type="http://schemas.openxmlformats.org/officeDocument/2006/relationships/hyperlink" Target="https://docs.google.com/presentation/d/1k0V9Y8nW308OOIj5PCsaqSKoi1Dik0kMQj5rWnVPaX4/edit?usp=sharing" TargetMode="External"/><Relationship Id="rId424" Type="http://schemas.openxmlformats.org/officeDocument/2006/relationships/hyperlink" Target="https://docs.google.com/presentation/d/13F1CT0cXmivmefryoIjbC6GVFikacz-Q/edit?usp=sharing&amp;ouid=107295466553034241104&amp;rtpof=true&amp;sd=true" TargetMode="External"/><Relationship Id="rId631" Type="http://schemas.openxmlformats.org/officeDocument/2006/relationships/hyperlink" Target="https://docs.google.com/presentation/d/1qFp9o0ZSsfPTiGnX-KdntUEamyA18kLpd8u0LUo_j3c/edit?usp=sharing" TargetMode="External"/><Relationship Id="rId729" Type="http://schemas.openxmlformats.org/officeDocument/2006/relationships/hyperlink" Target="https://docs.google.com/presentation/d/1ZuRKg3Quo77UQ2SU4cNAXs-LHkhjEPvcjaXmR6rQ1NQ/edit?usp=sharing" TargetMode="External"/><Relationship Id="rId270" Type="http://schemas.openxmlformats.org/officeDocument/2006/relationships/hyperlink" Target="https://docs.google.com/presentation/d/1kuTEf5WxDjKezr5BJWCcMKzypQLNzcCgzG9msbc0x9U/edit?usp=sharing" TargetMode="External"/><Relationship Id="rId65" Type="http://schemas.openxmlformats.org/officeDocument/2006/relationships/hyperlink" Target="https://docs.google.com/presentation/d/1X9nnZipN3GxAj6oS3OY1g0RBy7kgnRmHevtDUsIdlIU/edit?usp=sharing" TargetMode="External"/><Relationship Id="rId130" Type="http://schemas.openxmlformats.org/officeDocument/2006/relationships/hyperlink" Target="https://docs.google.com/presentation/d/1LL894z62SHtTQd5IlgQwAl3ayLEM8o1iEv2AJBY--go/edit?usp=share_link" TargetMode="External"/><Relationship Id="rId368" Type="http://schemas.openxmlformats.org/officeDocument/2006/relationships/hyperlink" Target="https://docs.google.com/presentation/d/19dhRQZIWBbg-qWJRZmypet1yjUmyWJB0/edit?usp=sharing&amp;ouid=107295466553034241104&amp;rtpof=true&amp;sd=true" TargetMode="External"/><Relationship Id="rId575" Type="http://schemas.openxmlformats.org/officeDocument/2006/relationships/hyperlink" Target="https://docs.google.com/presentation/d/1sYnDdF0eaHA0p0KpMnNXwxLae_afUDJ3hnmDnZMMM7w/edit" TargetMode="External"/><Relationship Id="rId782" Type="http://schemas.openxmlformats.org/officeDocument/2006/relationships/hyperlink" Target="https://docs.google.com/presentation/d/1e5UHIsT39wOw401U62b19AW_PPDlXWjFrRRsLSkIoJA/edit?usp=sharing" TargetMode="External"/><Relationship Id="rId172" Type="http://schemas.openxmlformats.org/officeDocument/2006/relationships/hyperlink" Target="https://docs.google.com/presentation/d/1J80jHamkx7RopSTr0BxQYqS8BB4d8t9u69dqWn8yqCY/edit?usp=sharing" TargetMode="External"/><Relationship Id="rId228" Type="http://schemas.openxmlformats.org/officeDocument/2006/relationships/hyperlink" Target="https://docs.google.com/presentation/d/1i8xz9MD1ZNACRY2UgjX6R2pXTH05k7GThlO5p_TM2yA/edit?usp=sharing" TargetMode="External"/><Relationship Id="rId435" Type="http://schemas.openxmlformats.org/officeDocument/2006/relationships/hyperlink" Target="https://docs.google.com/presentation/d/1RpYCxozWcExu753I1iWNhk9U6F5TSiJcMvhyCs0Ol8Y/edit?usp=sharing" TargetMode="External"/><Relationship Id="rId477" Type="http://schemas.openxmlformats.org/officeDocument/2006/relationships/hyperlink" Target="https://docs.google.com/presentation/d/1h40u7rlZqurKtpmFxjWzYwGLUZN6xP9dg1Wq5SsSxSQ/edit?usp=sharing" TargetMode="External"/><Relationship Id="rId600" Type="http://schemas.openxmlformats.org/officeDocument/2006/relationships/hyperlink" Target="https://docs.google.com/presentation/d/1PG8-zqDvdI8lwIQ8RHLwYKgPh-GvyGrZK1TQ5tyvIEI/edit?usp=sharing" TargetMode="External"/><Relationship Id="rId642" Type="http://schemas.openxmlformats.org/officeDocument/2006/relationships/hyperlink" Target="https://docs.google.com/presentation/d/1ejcP0xkpboSlTjh75ozUbeVzlo9haSHYpOKHJi8ZZpQ/edit?usp=sharing" TargetMode="External"/><Relationship Id="rId684" Type="http://schemas.openxmlformats.org/officeDocument/2006/relationships/hyperlink" Target="https://docs.google.com/presentation/d/1Fva4DAYg8YS8hIK5-8YRzQK4q0wFpkXrF0bESMRGJ8k/edit?usp=sharing" TargetMode="External"/><Relationship Id="rId281" Type="http://schemas.openxmlformats.org/officeDocument/2006/relationships/hyperlink" Target="https://docs.google.com/presentation/d/1z4sn6jmie_HVMgCgw793MxDlflWDn5um/edit?usp=sharing&amp;ouid=107295466553034241104&amp;rtpof=true&amp;sd=true" TargetMode="External"/><Relationship Id="rId337" Type="http://schemas.openxmlformats.org/officeDocument/2006/relationships/hyperlink" Target="https://docs.google.com/presentation/d/1ghl7qLFggkOvKwMW6oBgETMOzDijTTX3ZMFJaRrCE2c/edit?usp=share_link" TargetMode="External"/><Relationship Id="rId502" Type="http://schemas.openxmlformats.org/officeDocument/2006/relationships/hyperlink" Target="https://docs.google.com/presentation/d/1oj0mpUTWJiNeNmD7jdDKsN3xfn2YJ1gY/edit?usp=sharing&amp;ouid=107295466553034241104&amp;rtpof=true&amp;sd=true" TargetMode="External"/><Relationship Id="rId34" Type="http://schemas.openxmlformats.org/officeDocument/2006/relationships/hyperlink" Target="https://docs.google.com/presentation/d/1c6Urgv0YUMT91wKASTKXDoiSc2g6FWUzICs9GIv0224/edit?usp=sharing" TargetMode="External"/><Relationship Id="rId76" Type="http://schemas.openxmlformats.org/officeDocument/2006/relationships/hyperlink" Target="https://docs.google.com/presentation/d/19a5EhZMbEaB17VKZ0XrefPCzBjSvudsO/edit?usp=sharing&amp;ouid=107295466553034241104&amp;rtpof=true&amp;sd=true" TargetMode="External"/><Relationship Id="rId141" Type="http://schemas.openxmlformats.org/officeDocument/2006/relationships/hyperlink" Target="https://docs.google.com/presentation/d/1OrVGR8YpiG8gzqk-nn3A3OHTVQGpvsF3/edit?usp=sharing&amp;ouid=107295466553034241104&amp;rtpof=true&amp;sd=true" TargetMode="External"/><Relationship Id="rId379" Type="http://schemas.openxmlformats.org/officeDocument/2006/relationships/hyperlink" Target="https://docs.google.com/presentation/d/16j6IJOErFqDABDQbNutnUL6JxEAsKFSAA0fpqjDALx4/edit?usp=sharing" TargetMode="External"/><Relationship Id="rId544" Type="http://schemas.openxmlformats.org/officeDocument/2006/relationships/hyperlink" Target="https://t.me/olegivnaaaa" TargetMode="External"/><Relationship Id="rId586" Type="http://schemas.openxmlformats.org/officeDocument/2006/relationships/hyperlink" Target="https://docs.google.com/presentation/d/1JvsB5csBn_Q1J6EQpzJfDYgQSH_lbZ2cil12Snnpmfg/edit?usp=sharing" TargetMode="External"/><Relationship Id="rId751" Type="http://schemas.openxmlformats.org/officeDocument/2006/relationships/hyperlink" Target="https://docs.google.com/presentation/d/1V6gZ51vwqvawoQYT_-Uyx8AGclm7cx9NYFGf9KWPIRQ/edit?usp=sharing" TargetMode="External"/><Relationship Id="rId793" Type="http://schemas.openxmlformats.org/officeDocument/2006/relationships/hyperlink" Target="https://docs.google.com/presentation/d/1S9cPvY4_HlG7svQzeTXtcm8uXfvW8DviKx7tmBz6Vaw/edit?usp=sharing" TargetMode="External"/><Relationship Id="rId807" Type="http://schemas.openxmlformats.org/officeDocument/2006/relationships/hyperlink" Target="https://docs.google.com/presentation/d/1WvR6jM6mExTYymGBrftRPNzlb5oG5KnIhQdwWIWbg_I/edit?usp=sharing" TargetMode="External"/><Relationship Id="rId849" Type="http://schemas.openxmlformats.org/officeDocument/2006/relationships/hyperlink" Target="https://docs.google.com/presentation/d/1fhH4XbE-zjkikBf6i9Fq9KkLSOWA0JGC6YPvkYZ48BA/edit?usp=sharing" TargetMode="External"/><Relationship Id="rId7" Type="http://schemas.openxmlformats.org/officeDocument/2006/relationships/hyperlink" Target="https://drive.google.com/file/d/14XYRrTA9Hotkv1C_scPlBeC9kmYc4lDx/view?usp=sharing" TargetMode="External"/><Relationship Id="rId183" Type="http://schemas.openxmlformats.org/officeDocument/2006/relationships/hyperlink" Target="https://docs.google.com/presentation/d/1QnkaIA4Ps5-Ss6XYdX1eosWxkLBCpueJ6gmN6NpxBC4/edit?usp=sharing" TargetMode="External"/><Relationship Id="rId239" Type="http://schemas.openxmlformats.org/officeDocument/2006/relationships/hyperlink" Target="https://docs.google.com/presentation/d/1e9V1wHq7v9wFOLR_HXi-vOZJmp68hZKb-n4WDdHnfow/edit?usp=sharing" TargetMode="External"/><Relationship Id="rId390" Type="http://schemas.openxmlformats.org/officeDocument/2006/relationships/hyperlink" Target="https://docs.google.com/presentation/d/1ZA8kitdnFKIan4yw0kItGTSX497pcPS3cZrQfZXdJHk/edit?usp=sharing" TargetMode="External"/><Relationship Id="rId404" Type="http://schemas.openxmlformats.org/officeDocument/2006/relationships/hyperlink" Target="https://docs.google.com/presentation/d/1_8AGEoq_rgVglwPxAHyn-MKbY8Nj9daAdth1ptBPiCI/edit?usp=sharing" TargetMode="External"/><Relationship Id="rId446" Type="http://schemas.openxmlformats.org/officeDocument/2006/relationships/hyperlink" Target="https://docs.google.com/presentation/d/1YDWVO1vyMHG58MPdRBiS6zMTgJ6uvZCImlSzG91a8-4/edit?usp=sharing" TargetMode="External"/><Relationship Id="rId611" Type="http://schemas.openxmlformats.org/officeDocument/2006/relationships/hyperlink" Target="https://docs.google.com/presentation/d/1XrluQdbc6qTBSJcMO3rbqc3n2I6dBjs3Uls-vx7O8hE/edit?usp=sharing" TargetMode="External"/><Relationship Id="rId653" Type="http://schemas.openxmlformats.org/officeDocument/2006/relationships/hyperlink" Target="https://docs.google.com/presentation/d/1N_jMv2ljIL241c6kI9R3YkIyfkTTqoIki7Wqj3vVhAE/edit?usp=sharing" TargetMode="External"/><Relationship Id="rId250" Type="http://schemas.openxmlformats.org/officeDocument/2006/relationships/hyperlink" Target="https://docs.google.com/presentation/d/1TkOnrxjnZjC_SS-0B_27IypQXjm_Ejf15VQrabqLhDQ/edit?usp=sharing" TargetMode="External"/><Relationship Id="rId292" Type="http://schemas.openxmlformats.org/officeDocument/2006/relationships/hyperlink" Target="https://docs.google.com/presentation/d/1Rnb5sX8u60zm2kdsEW2oaRYQksGz5BdEZ23PokkQfJI/edit?usp=sharing" TargetMode="External"/><Relationship Id="rId306" Type="http://schemas.openxmlformats.org/officeDocument/2006/relationships/hyperlink" Target="https://docs.google.com/presentation/d/1Jb0ibiBjEfA5GIDjxtL_YrHd9-Ly0-FZG2xOKWfDrh8/edit?usp=sharing" TargetMode="External"/><Relationship Id="rId488" Type="http://schemas.openxmlformats.org/officeDocument/2006/relationships/hyperlink" Target="https://docs.google.com/presentation/d/1zGZu3BsH7dfojeUSqs1YfpJsEJ3CtjvKE5iABh4NYn0/edit?usp=sharing" TargetMode="External"/><Relationship Id="rId695" Type="http://schemas.openxmlformats.org/officeDocument/2006/relationships/hyperlink" Target="https://docs.google.com/presentation/d/1nwRT5HWuNbj2lGaYDc5ZTFTyQt34DUeznec6Ac47V8I/edit" TargetMode="External"/><Relationship Id="rId709" Type="http://schemas.openxmlformats.org/officeDocument/2006/relationships/hyperlink" Target="https://docs.google.com/presentation/d/1Vq0rzPJ8YSlhdspaW5f4nyI2494GKrjzzkPeSksbVwY/edit?usp=sharing" TargetMode="External"/><Relationship Id="rId45" Type="http://schemas.openxmlformats.org/officeDocument/2006/relationships/hyperlink" Target="https://drive.google.com/file/d/1sU_OJX9ZpQnG19NbYPxKMaI-RN0hbjBk/view?usp=sharing" TargetMode="External"/><Relationship Id="rId87" Type="http://schemas.openxmlformats.org/officeDocument/2006/relationships/hyperlink" Target="https://docs.google.com/presentation/d/1Ip13nlxHfyzMxhxs8BbLYiXJzBVFPErVVahVeEe9iXQ/edit?usp=sharing" TargetMode="External"/><Relationship Id="rId110" Type="http://schemas.openxmlformats.org/officeDocument/2006/relationships/hyperlink" Target="https://docs.google.com/presentation/d/1-UfI1JUyIZ54GpdXYjDsHNSBdZY6I0wIlCzaVyioFgE/edit?usp=sharing" TargetMode="External"/><Relationship Id="rId348" Type="http://schemas.openxmlformats.org/officeDocument/2006/relationships/hyperlink" Target="https://docs.google.com/presentation/d/12mS7oT0zZQk8c9WZ-9e_6IT14aaonGDeOBDkLp1bIWE/edit?usp=sharing" TargetMode="External"/><Relationship Id="rId513" Type="http://schemas.openxmlformats.org/officeDocument/2006/relationships/hyperlink" Target="https://docs.google.com/presentation/d/1YTEm8_mz0VzJ7k5c4CB-Yy8ebAY9gzA1n9424dsH8oM/edit?usp=sharing" TargetMode="External"/><Relationship Id="rId555" Type="http://schemas.openxmlformats.org/officeDocument/2006/relationships/hyperlink" Target="https://docs.google.com/presentation/d/1bgA-GHFg8Vt2HCr1EYay1YXH7aLYuwOPI9nkj6i9YpQ/edit?usp=sharing" TargetMode="External"/><Relationship Id="rId597" Type="http://schemas.openxmlformats.org/officeDocument/2006/relationships/hyperlink" Target="https://docs.google.com/presentation/d/18tR3h6M9HP5CSsgEErrRIF0PDB-o3y_KCVD3ipL53WU/edit?usp=sharing" TargetMode="External"/><Relationship Id="rId720" Type="http://schemas.openxmlformats.org/officeDocument/2006/relationships/hyperlink" Target="https://docs.google.com/presentation/d/1Eo93IMNIehtFy31NUWdHJzBIPE9TE86ZQO8XtAei4ss/edit?usp=sharing" TargetMode="External"/><Relationship Id="rId762" Type="http://schemas.openxmlformats.org/officeDocument/2006/relationships/hyperlink" Target="https://docs.google.com/presentation/d/1Df5gf-YYUFdhHbfbZM2LtiKsO6Js-fCxQ6AH1WU21t8/edit?usp=sharing" TargetMode="External"/><Relationship Id="rId818" Type="http://schemas.openxmlformats.org/officeDocument/2006/relationships/hyperlink" Target="https://docs.google.com/presentation/d/1QWpOWx1b-XFKEKdX_OHT1pwPlD7ND4ICTtNSXqopDkc/edit?usp=sharing" TargetMode="External"/><Relationship Id="rId152" Type="http://schemas.openxmlformats.org/officeDocument/2006/relationships/hyperlink" Target="https://docs.google.com/presentation/d/1YHiK9OCoNUDneJuBEZ8M3r-coDF4nMDyp-1iOTitkaU/edit?usp=sharing" TargetMode="External"/><Relationship Id="rId194" Type="http://schemas.openxmlformats.org/officeDocument/2006/relationships/hyperlink" Target="https://docs.google.com/presentation/d/1gZfVIN9saWpgKMNrQEJNBYAa7Kw7cvlJNbKoFhIryHk/edit?usp=sharing" TargetMode="External"/><Relationship Id="rId208" Type="http://schemas.openxmlformats.org/officeDocument/2006/relationships/hyperlink" Target="https://docs.google.com/presentation/d/1-ldewLJ6xOZBY-nfcKa4cRrembhrpgW-TbmVvQyjG1A/edit?usp=sharing" TargetMode="External"/><Relationship Id="rId415" Type="http://schemas.openxmlformats.org/officeDocument/2006/relationships/hyperlink" Target="https://docs.google.com/presentation/d/1BXt5xnQgaXH15jwAk12fgHqUkWGtg9X6S48gTZot0l8/edit?usp=sharing" TargetMode="External"/><Relationship Id="rId457" Type="http://schemas.openxmlformats.org/officeDocument/2006/relationships/hyperlink" Target="https://docs.google.com/presentation/d/15X0MhWQA-et2Jxf4ZPFtBj19RayhC23efd7ehzY1mrw/edit?usp=sharing" TargetMode="External"/><Relationship Id="rId622" Type="http://schemas.openxmlformats.org/officeDocument/2006/relationships/hyperlink" Target="https://docs.google.com/presentation/d/1dU9eRCHurTtVrPuJGpvkPxqoojYyjXCfhUgkcZcGfhQ/edit?usp=sharing" TargetMode="External"/><Relationship Id="rId261" Type="http://schemas.openxmlformats.org/officeDocument/2006/relationships/hyperlink" Target="https://docs.google.com/presentation/d/1UIVuPs1HBlZ8D8Q_7vBWNau2uDUHiSWqOVHOKKWq9gc/edit?usp=sharing" TargetMode="External"/><Relationship Id="rId499" Type="http://schemas.openxmlformats.org/officeDocument/2006/relationships/hyperlink" Target="https://docs.google.com/presentation/d/13e1Nrjkbi_DIJk_ZnqLQ4_NPKApVxTQUiLR8UgK52hg/edit" TargetMode="External"/><Relationship Id="rId664" Type="http://schemas.openxmlformats.org/officeDocument/2006/relationships/hyperlink" Target="https://docs.google.com/presentation/d/1ziueXSrFk429WBrcxeeAE8M2CVN2jK1j_OgLgbsUtpw/edit?usp=sharing" TargetMode="External"/><Relationship Id="rId14" Type="http://schemas.openxmlformats.org/officeDocument/2006/relationships/hyperlink" Target="https://docs.google.com/presentation/d/1PM4SsPsftS34efmtpXZfKesCIaYyt2io/edit?usp=sharing&amp;ouid=107295466553034241104&amp;rtpof=true&amp;sd=true" TargetMode="External"/><Relationship Id="rId56" Type="http://schemas.openxmlformats.org/officeDocument/2006/relationships/hyperlink" Target="https://docs.google.com/presentation/d/1J7k6roindMVlQEZ6o_pv9BF029KW_FGppFaDGAbp-UI/edit?usp=share_link" TargetMode="External"/><Relationship Id="rId317" Type="http://schemas.openxmlformats.org/officeDocument/2006/relationships/hyperlink" Target="https://drive.google.com/file/d/1Ftdqs4g3tTRR_4Qwe3fbxtRMxH7AtJzl/view?usp=share_link" TargetMode="External"/><Relationship Id="rId359" Type="http://schemas.openxmlformats.org/officeDocument/2006/relationships/hyperlink" Target="https://docs.google.com/presentation/d/1kiJM20fbUauIleZGea38wh6VEmlZOVrxxH7KtPCbBAo/edit?usp=share_link" TargetMode="External"/><Relationship Id="rId524" Type="http://schemas.openxmlformats.org/officeDocument/2006/relationships/hyperlink" Target="https://docs.google.com/presentation/d/1uusfHL06QjbCQIaX3jHLAV7Tmqragbv1vk4cM74sSrk/edit?usp=sharing" TargetMode="External"/><Relationship Id="rId566" Type="http://schemas.openxmlformats.org/officeDocument/2006/relationships/hyperlink" Target="https://docs.google.com/presentation/d/1C6hCfVV3SD0yq1YvfoBWNd742lHCllNHRm3IUXCDxwk/edit?usp=sharing" TargetMode="External"/><Relationship Id="rId731" Type="http://schemas.openxmlformats.org/officeDocument/2006/relationships/hyperlink" Target="https://docs.google.com/presentation/d/1LY_DWJzfBC-Wr6ssn1O1jVMC-v4s2IMR/edit?usp=sharing&amp;ouid=115933524328626273134&amp;rtpof=true&amp;sd=true" TargetMode="External"/><Relationship Id="rId773" Type="http://schemas.openxmlformats.org/officeDocument/2006/relationships/hyperlink" Target="https://docs.google.com/presentation/d/1aeXCSucmbNgtg7wxXKXcOTe8e0LLhV-y643jyHTo45s/edit?usp=sharing" TargetMode="External"/><Relationship Id="rId98" Type="http://schemas.openxmlformats.org/officeDocument/2006/relationships/hyperlink" Target="https://docs.google.com/presentation/d/1hoh7MEaSUWss589LXtTnTOLKboKXIMRybHZwNlpHgwo/edit?usp=sharing" TargetMode="External"/><Relationship Id="rId121" Type="http://schemas.openxmlformats.org/officeDocument/2006/relationships/hyperlink" Target="https://docs.google.com/presentation/d/15mibDh6m-u_JI3GHZr-ImYFFY2WiVzK5y4kiT0nysU4/edit?usp=sharing" TargetMode="External"/><Relationship Id="rId163" Type="http://schemas.openxmlformats.org/officeDocument/2006/relationships/hyperlink" Target="https://docs.google.com/presentation/d/1kgiBGoWBwGg0eHNz8G7L30H90F88nGnBSfiMFDNnLwE/edit?usp=sharing" TargetMode="External"/><Relationship Id="rId219" Type="http://schemas.openxmlformats.org/officeDocument/2006/relationships/hyperlink" Target="https://docs.google.com/presentation/d/1ep_9znyd4KtdCucJ63cSbBiqXbG3F96hmSct6wYheLY/edit?usp=sharing" TargetMode="External"/><Relationship Id="rId370" Type="http://schemas.openxmlformats.org/officeDocument/2006/relationships/hyperlink" Target="https://docs.google.com/presentation/d/1Oyih0mPL7qmG-i9q2HKwfDhSG4Gc_SNpUb3Y2sb54AM/edit?usp=share_link" TargetMode="External"/><Relationship Id="rId426" Type="http://schemas.openxmlformats.org/officeDocument/2006/relationships/hyperlink" Target="https://docs.google.com/presentation/d/13E4Z4qyTgIuSf3wu9Hjbm0it3f6x5mx3boN_QBH13tQ/edit?usp=sharing" TargetMode="External"/><Relationship Id="rId633" Type="http://schemas.openxmlformats.org/officeDocument/2006/relationships/hyperlink" Target="https://docs.google.com/presentation/d/1e_5daBL8G2v3StTvEfHae6R8kLNbIIWX6Zi1A4tpXq8/edit?usp=sharing" TargetMode="External"/><Relationship Id="rId829" Type="http://schemas.openxmlformats.org/officeDocument/2006/relationships/hyperlink" Target="https://docs.google.com/presentation/d/1kCODiUHcJ0wNQ39YkmoJUPpySxZkYUzjL5S15j_umFk/edit?usp=sharing" TargetMode="External"/><Relationship Id="rId230" Type="http://schemas.openxmlformats.org/officeDocument/2006/relationships/hyperlink" Target="https://docs.google.com/presentation/d/1gFph0js7jfhKrjexDbDZbyFGUhz6EeQwrVkrlmVxopg/edit?usp=sharing" TargetMode="External"/><Relationship Id="rId468" Type="http://schemas.openxmlformats.org/officeDocument/2006/relationships/hyperlink" Target="https://t.me/ANNAOKRUHINA" TargetMode="External"/><Relationship Id="rId675" Type="http://schemas.openxmlformats.org/officeDocument/2006/relationships/hyperlink" Target="https://docs.google.com/presentation/d/1t6YiFpeLgbIZBjmyG1VFejC2gCv775Mu5M7bc4PJVYY/edit?usp=sharing" TargetMode="External"/><Relationship Id="rId840" Type="http://schemas.openxmlformats.org/officeDocument/2006/relationships/hyperlink" Target="https://docs.google.com/presentation/d/1jiPxVgS4GfDuKnwEegDOb50z9okGk5cZx5HRodHUkVY/edit?usp=sharing" TargetMode="External"/><Relationship Id="rId25" Type="http://schemas.openxmlformats.org/officeDocument/2006/relationships/hyperlink" Target="https://docs.google.com/presentation/d/1DBdmlHe6NyHH2UiL9-VeS2RrqCkhRkCZYVPLAZ-VC-E/edit?usp=sharing" TargetMode="External"/><Relationship Id="rId67" Type="http://schemas.openxmlformats.org/officeDocument/2006/relationships/hyperlink" Target="https://docs.google.com/presentation/d/1X7hq7ys4GVtVbpPlHGa26Q4zkicNk9sv_p4weoof584/edit?usp=sharing" TargetMode="External"/><Relationship Id="rId272" Type="http://schemas.openxmlformats.org/officeDocument/2006/relationships/hyperlink" Target="https://docs.google.com/presentation/d/1x3x3W67UFUTXUDF-3IpVVT3Id4A1omWKGoEwj8a49no/edit?usp=sharing" TargetMode="External"/><Relationship Id="rId328" Type="http://schemas.openxmlformats.org/officeDocument/2006/relationships/hyperlink" Target="https://docs.google.com/presentation/d/16RvurACwotlnybInB9B-xZz7sVeI8XYWctGXt_iP07Q/edit?usp=sharing" TargetMode="External"/><Relationship Id="rId535" Type="http://schemas.openxmlformats.org/officeDocument/2006/relationships/hyperlink" Target="https://docs.google.com/presentation/d/1fiwPKKYtouNs7SJpCFX6w2sO9WjzzC6vc0a8LZoiBck/edit?usp=sharing" TargetMode="External"/><Relationship Id="rId577" Type="http://schemas.openxmlformats.org/officeDocument/2006/relationships/hyperlink" Target="https://docs.google.com/presentation/d/1yVi1gjLIvurf9RKlkQ2BXc_-GPdXFU8ZHIXCXfuGRe8/edit?usp=sharing" TargetMode="External"/><Relationship Id="rId700" Type="http://schemas.openxmlformats.org/officeDocument/2006/relationships/hyperlink" Target="https://docs.google.com/presentation/d/1MZX6vpO4UrgbpwgpdIF3NBmL3K_eD23CNp6lHePg_34/edit?usp=sharing" TargetMode="External"/><Relationship Id="rId742" Type="http://schemas.openxmlformats.org/officeDocument/2006/relationships/hyperlink" Target="https://docs.google.com/presentation/d/1gQENk4w1G3LvD5pKqwStOGhwT5ItmX-zXpbziD5IvUg/edit?usp=sharing" TargetMode="External"/><Relationship Id="rId132" Type="http://schemas.openxmlformats.org/officeDocument/2006/relationships/hyperlink" Target="https://docs.google.com/presentation/d/19QiUlOus4BHOLqdHKXwszJWewxmkLH34UIalKPkJVTY/edit?usp=sharing" TargetMode="External"/><Relationship Id="rId174" Type="http://schemas.openxmlformats.org/officeDocument/2006/relationships/hyperlink" Target="https://docs.google.com/presentation/d/1wSCr8eOWGYdGIyRbcdJym4BaSwS4Thy92iiL56_o-CU/edit?usp=sharing" TargetMode="External"/><Relationship Id="rId381" Type="http://schemas.openxmlformats.org/officeDocument/2006/relationships/hyperlink" Target="https://docs.google.com/presentation/d/1e6VnOYl4K4v6tDHUf46OgmayThRhNcHtXQizYWOngkc/edit?usp=sharing" TargetMode="External"/><Relationship Id="rId602" Type="http://schemas.openxmlformats.org/officeDocument/2006/relationships/hyperlink" Target="https://docs.google.com/presentation/d/1h5B886MEPsmr_dIizny3vgQb4HOP-e5lffCvod-4tP4/edit?usp=sharing" TargetMode="External"/><Relationship Id="rId784" Type="http://schemas.openxmlformats.org/officeDocument/2006/relationships/hyperlink" Target="https://docs.google.com/presentation/d/1ukDOEZc9ExCg-VxipulfpVXOLaXfE1pH74BmF9bvNWE/edit?usp=sharing" TargetMode="External"/><Relationship Id="rId241" Type="http://schemas.openxmlformats.org/officeDocument/2006/relationships/hyperlink" Target="https://docs.google.com/presentation/d/1R04kvoKyZirvIr7gn74e7Z6znTHVRV68V6hfHKDbWok/edit?usp=sharing" TargetMode="External"/><Relationship Id="rId437" Type="http://schemas.openxmlformats.org/officeDocument/2006/relationships/hyperlink" Target="https://docs.google.com/presentation/d/19bCvW3Uf26p263g6-NwrNhdMTLpS_Z70gbBsYq6_37s/edit?usp=share_link" TargetMode="External"/><Relationship Id="rId479" Type="http://schemas.openxmlformats.org/officeDocument/2006/relationships/hyperlink" Target="https://docs.google.com/presentation/d/1uhe7a1wzgruAdw_xifiHsyrl4T1TfrZVujCKKysjzS0/edit?usp=sharing" TargetMode="External"/><Relationship Id="rId644" Type="http://schemas.openxmlformats.org/officeDocument/2006/relationships/hyperlink" Target="https://docs.google.com/presentation/d/1HGka_xKnV6xVoHPcWsY41oOdOjtRStZK1KTmREjZWSQ/edit?usp=sharing" TargetMode="External"/><Relationship Id="rId686" Type="http://schemas.openxmlformats.org/officeDocument/2006/relationships/hyperlink" Target="https://docs.google.com/presentation/d/1_vlJ9yHR4Kr_XFyXTfq-tJhEMPu1z3qajU6JDeaUKzk/edit?usp=sharing" TargetMode="External"/><Relationship Id="rId851" Type="http://schemas.openxmlformats.org/officeDocument/2006/relationships/hyperlink" Target="https://docs.google.com/presentation/d/1kP7jsjrrrJaMqEq-zTdASinUAac81_6A9K5LK8M4e1w/edit?usp=sharing" TargetMode="External"/><Relationship Id="rId36" Type="http://schemas.openxmlformats.org/officeDocument/2006/relationships/hyperlink" Target="https://docs.google.com/presentation/d/1_-LBOkAhIEHt_-kmDz8KU_tOZrsLxsBB/edit?usp=sharing&amp;ouid=107295466553034241104&amp;rtpof=true&amp;sd=true" TargetMode="External"/><Relationship Id="rId283" Type="http://schemas.openxmlformats.org/officeDocument/2006/relationships/hyperlink" Target="https://docs.google.com/presentation/d/1MDYEbw3nyQ5n5UYX6V63UpwNrW52rw4kUxZLQkbwiOU/edit?usp=share_link" TargetMode="External"/><Relationship Id="rId339" Type="http://schemas.openxmlformats.org/officeDocument/2006/relationships/hyperlink" Target="https://docs.google.com/presentation/d/1G0bAGN1xrMHF39N3uP6UjknxeLv0zNJ5fgLim2MYsHQ/edit?usp=sharing" TargetMode="External"/><Relationship Id="rId490" Type="http://schemas.openxmlformats.org/officeDocument/2006/relationships/hyperlink" Target="https://docs.google.com/presentation/d/1P_e4J5_m7iMzsZkPG-OHV-SYE7IhrID85GBy8N193gE/edit?usp=sharing" TargetMode="External"/><Relationship Id="rId504" Type="http://schemas.openxmlformats.org/officeDocument/2006/relationships/hyperlink" Target="https://docs.google.com/presentation/d/1H2hqwfVwLybo6Wd8yp6Ve3Ie8EFGDv5FPjJXBLxV9_Q/edit?usp=sharing" TargetMode="External"/><Relationship Id="rId546" Type="http://schemas.openxmlformats.org/officeDocument/2006/relationships/hyperlink" Target="https://docs.google.com/presentation/d/162sRZPb3lZXBRYIxn4tqq3_5omld-qo92omp_zt5YJg/edit?usp=sharing" TargetMode="External"/><Relationship Id="rId711" Type="http://schemas.openxmlformats.org/officeDocument/2006/relationships/hyperlink" Target="https://docs.google.com/presentation/d/1C7v6kUfAPi7qul6xBlKVCWj3iuNwQsYCuswOc6kYIO0/edit?usp=sharing" TargetMode="External"/><Relationship Id="rId753" Type="http://schemas.openxmlformats.org/officeDocument/2006/relationships/hyperlink" Target="https://docs.google.com/presentation/d/17CixuafVinbCm7DcMvrWB461YoSr25heuh1cnBLnGy8/edit?usp=sharing" TargetMode="External"/><Relationship Id="rId78" Type="http://schemas.openxmlformats.org/officeDocument/2006/relationships/hyperlink" Target="https://docs.google.com/presentation/d/1ha-H5EfDGVFlP847DdIZVfWip5NPEWHKWZd1bdrov5U/edit?usp=share_link" TargetMode="External"/><Relationship Id="rId101" Type="http://schemas.openxmlformats.org/officeDocument/2006/relationships/hyperlink" Target="https://docs.google.com/presentation/d/1qMIdRWiWbONybuH62lvtCocujho57d0nlLtten7JbFI/edit?usp=sharing" TargetMode="External"/><Relationship Id="rId143" Type="http://schemas.openxmlformats.org/officeDocument/2006/relationships/hyperlink" Target="https://docs.google.com/presentation/d/10eQLElgh4-SeGDUueX_STYHI54G4yM7GwqvLkQxRCXw/edit?usp=sharing" TargetMode="External"/><Relationship Id="rId185" Type="http://schemas.openxmlformats.org/officeDocument/2006/relationships/hyperlink" Target="https://docs.google.com/presentation/d/1es6ZNO12a3Vzf1lc5XY7Hj2LHeggxHaUrujw69ZKnFs/edit?usp=share_link" TargetMode="External"/><Relationship Id="rId350" Type="http://schemas.openxmlformats.org/officeDocument/2006/relationships/hyperlink" Target="https://docs.google.com/presentation/d/1f3vnWCqLF3ZPEEiXCSFAkLvqCUSbsEG-WI_s3k31Seo/edit?usp=sharing" TargetMode="External"/><Relationship Id="rId406" Type="http://schemas.openxmlformats.org/officeDocument/2006/relationships/hyperlink" Target="https://docs.google.com/presentation/d/1e2fWcLmbnHleyNj5L2ASITWaiUHQMYS6W5HwOX_VSWI/edit" TargetMode="External"/><Relationship Id="rId588" Type="http://schemas.openxmlformats.org/officeDocument/2006/relationships/hyperlink" Target="https://docs.google.com/presentation/d/1YAInarSKhT-klxH0i_k6JZbk6GyY8BVO_35E6PrmlHw/edit?usp=sharing" TargetMode="External"/><Relationship Id="rId795" Type="http://schemas.openxmlformats.org/officeDocument/2006/relationships/hyperlink" Target="https://docs.google.com/presentation/d/1xyNHd8NfEgk2S_lUwsjgPaBs9qqqAsS1TaLF5skniLM/edit?usp=sharing" TargetMode="External"/><Relationship Id="rId809" Type="http://schemas.openxmlformats.org/officeDocument/2006/relationships/hyperlink" Target="https://docs.google.com/presentation/d/1JmGZBh9cl1g_tlKFS04PzIXoeo-1UFyjVdFCZ2zAQKU/edit?usp=sharing" TargetMode="External"/><Relationship Id="rId9" Type="http://schemas.openxmlformats.org/officeDocument/2006/relationships/hyperlink" Target="https://docs.google.com/presentation/d/1mNXDQJcb1pXTBnl8sPmWHnUjxrLVBgTdOxB8NoFdTls/edit?usp=sharing" TargetMode="External"/><Relationship Id="rId210" Type="http://schemas.openxmlformats.org/officeDocument/2006/relationships/hyperlink" Target="https://docs.google.com/presentation/d/e/2PACX-1vRxcNPnoYG3v9__Wg9kF6CVTdExtTJXa-ytA56J9VRDq0CtShQEza4aoQ-_Fdg7buSv6qEfbI6KlSg5/pub?start=false&amp;loop=false&amp;delayms=3000" TargetMode="External"/><Relationship Id="rId392" Type="http://schemas.openxmlformats.org/officeDocument/2006/relationships/hyperlink" Target="https://docs.google.com/presentation/d/1BAWz5wSnmhjibM9DytuVWqoUY-c8rfhlmyihTfw8zrM/edit?usp=share_link" TargetMode="External"/><Relationship Id="rId448" Type="http://schemas.openxmlformats.org/officeDocument/2006/relationships/hyperlink" Target="https://docs.google.com/presentation/d/1gZ0t1GYDmcYA7vhMEgwWTCJQyGGtv9DKY4mPYUAlyog/edit?usp=sharing" TargetMode="External"/><Relationship Id="rId613" Type="http://schemas.openxmlformats.org/officeDocument/2006/relationships/hyperlink" Target="https://docs.google.com/presentation/d/1rZ0OC08u5FqvP9K73dotsoztsbSZmfYbmarR84KsCo0/edit?usp=sharing" TargetMode="External"/><Relationship Id="rId655" Type="http://schemas.openxmlformats.org/officeDocument/2006/relationships/hyperlink" Target="https://docs.google.com/presentation/d/1mU3FHZiSBiuC_8kPVCFLHCgRgaMgiVtFLVpnONJjNMk/edit?usp=sharing" TargetMode="External"/><Relationship Id="rId697" Type="http://schemas.openxmlformats.org/officeDocument/2006/relationships/hyperlink" Target="https://docs.google.com/presentation/d/1fZ4T7_nLwQU21xhSWY08atrY6ISLWodxSjbkf3JqShY/edit?usp=sharing" TargetMode="External"/><Relationship Id="rId820" Type="http://schemas.openxmlformats.org/officeDocument/2006/relationships/hyperlink" Target="https://docs.google.com/presentation/d/1JE8JCXHVVcNq0DwBRU7XhHgBwgbSJ5JQJBtL0-iSrD0/edit?usp=sharing" TargetMode="External"/><Relationship Id="rId252" Type="http://schemas.openxmlformats.org/officeDocument/2006/relationships/hyperlink" Target="https://docs.google.com/presentation/d/1Z59U80XfrPzFevQUJjcSgPxobLfLrJjVZ8jpVg0ZsXw/edit?usp=sharing" TargetMode="External"/><Relationship Id="rId294" Type="http://schemas.openxmlformats.org/officeDocument/2006/relationships/hyperlink" Target="https://docs.google.com/presentation/d/1b7IQe2Ha-eii4b_X_iUdzKiNfYh6391jDwtPKliydTk/edit?usp=sharing" TargetMode="External"/><Relationship Id="rId308" Type="http://schemas.openxmlformats.org/officeDocument/2006/relationships/hyperlink" Target="https://docs.google.com/presentation/d/1H6TK2o_1ZMqU-eeNaN5C7ssanIUFqu0yTG3DuR8Ft_s/edit?usp=sharing" TargetMode="External"/><Relationship Id="rId515" Type="http://schemas.openxmlformats.org/officeDocument/2006/relationships/hyperlink" Target="https://docs.google.com/presentation/d/1G85mOJObc6bPq2IkywOdXS3WEsdtmzEzu0s_5oag2Xs/edit?usp=sharing" TargetMode="External"/><Relationship Id="rId722" Type="http://schemas.openxmlformats.org/officeDocument/2006/relationships/hyperlink" Target="https://docs.google.com/presentation/d/1weqo6oHEjNQdBPzTIukoH4SQzD68I28HBWw5ApGEMgM/edit?usp=sharing" TargetMode="External"/><Relationship Id="rId47" Type="http://schemas.openxmlformats.org/officeDocument/2006/relationships/hyperlink" Target="https://docs.google.com/presentation/d/1kELWHsfkV0un7BaaWNXhVSJbtr_dy4wj/edit?usp=sharing&amp;ouid=107295466553034241104&amp;rtpof=true&amp;sd=true" TargetMode="External"/><Relationship Id="rId89" Type="http://schemas.openxmlformats.org/officeDocument/2006/relationships/hyperlink" Target="https://docs.google.com/presentation/d/1lZLwBPoF-FYHM0DOoVgLrZ82q0xwBfJH/edit?usp=sharing&amp;ouid=107295466553034241104&amp;rtpof=true&amp;sd=true" TargetMode="External"/><Relationship Id="rId112" Type="http://schemas.openxmlformats.org/officeDocument/2006/relationships/hyperlink" Target="mailto:kill7your7idols7@gmail.com" TargetMode="External"/><Relationship Id="rId154" Type="http://schemas.openxmlformats.org/officeDocument/2006/relationships/hyperlink" Target="https://docs.google.com/presentation/d/1gJ4scYdY-zpkxOlRVFtdwpvo57zlTE0aKJpRBqV291I/edit?usp=sharing" TargetMode="External"/><Relationship Id="rId361" Type="http://schemas.openxmlformats.org/officeDocument/2006/relationships/hyperlink" Target="https://docs.google.com/presentation/d/1DhirVyOQOGCdyoJ5XyHOSwqRtNIbUDsoxcGROMA3F0I/edit?usp=sharing" TargetMode="External"/><Relationship Id="rId557" Type="http://schemas.openxmlformats.org/officeDocument/2006/relationships/hyperlink" Target="https://docs.google.com/presentation/d/1D137IwDlk0svjfjbdrP7pI-NtMqiyU2Nhm4Hq03jP48/edit?usp=sharing" TargetMode="External"/><Relationship Id="rId599" Type="http://schemas.openxmlformats.org/officeDocument/2006/relationships/hyperlink" Target="https://docs.google.com/presentation/d/13-0Uigl8Fm54UXEMxNNJ7PL9xmds5hZNbfnIBwisj8c/edit?usp=sharing" TargetMode="External"/><Relationship Id="rId764" Type="http://schemas.openxmlformats.org/officeDocument/2006/relationships/hyperlink" Target="https://docs.google.com/presentation/d/1Tyc-XoMS25lSIqQjz6PeR6TDe47x4ARjpplLn44JmEQ/edit?usp=sharing" TargetMode="External"/><Relationship Id="rId196" Type="http://schemas.openxmlformats.org/officeDocument/2006/relationships/hyperlink" Target="https://docs.google.com/presentation/d/1GCXk5HYK5_IoTQNTs8mmIAOPfqeQtFEflrsHAgV70nI/edit?usp=sharing" TargetMode="External"/><Relationship Id="rId417" Type="http://schemas.openxmlformats.org/officeDocument/2006/relationships/hyperlink" Target="https://docs.google.com/presentation/d/1W10uYGBff7RoDXy6jN1JLiAkbvmQUiSbW8zlgeOhq9A/edit?usp=share_link" TargetMode="External"/><Relationship Id="rId459" Type="http://schemas.openxmlformats.org/officeDocument/2006/relationships/hyperlink" Target="https://docs.google.com/presentation/d/1KnNX2VofSZFI9i__604js0SDD3GrYSXE0G1wnZBybbo/edit?usp=sharing" TargetMode="External"/><Relationship Id="rId624" Type="http://schemas.openxmlformats.org/officeDocument/2006/relationships/hyperlink" Target="https://docs.google.com/presentation/d/1C1VtoD0IwoaXQTH6N3XNgmzuwM1XYsSflTl4jQeTfUY/edit?usp=sharing" TargetMode="External"/><Relationship Id="rId666" Type="http://schemas.openxmlformats.org/officeDocument/2006/relationships/hyperlink" Target="https://docs.google.com/presentation/d/1ZFFDj1EOxoQfHfrG1gS9KfTO6fSkFhJRJ2Yrcksn1e0/edit?usp=sharing" TargetMode="External"/><Relationship Id="rId831" Type="http://schemas.openxmlformats.org/officeDocument/2006/relationships/hyperlink" Target="https://docs.google.com/presentation/d/1KpiHKliy_hnChK1VI2YKZlMeBuSeTRbIqX_flQl3Pbg/edit?usp=sharing" TargetMode="External"/><Relationship Id="rId16" Type="http://schemas.openxmlformats.org/officeDocument/2006/relationships/hyperlink" Target="https://docs.google.com/presentation/d/1gN9TBK1axeI0Wcz5XZXE1trm7GLQSFRx/edit?usp=sharing&amp;ouid=107295466553034241104&amp;rtpof=true&amp;sd=true" TargetMode="External"/><Relationship Id="rId221" Type="http://schemas.openxmlformats.org/officeDocument/2006/relationships/hyperlink" Target="https://docs.google.com/presentation/d/1HTt5tVjYS9YMnLZIJPSakisGoxnuJE0W/edit?usp=sharing&amp;ouid=107295466553034241104&amp;rtpof=true&amp;sd=true" TargetMode="External"/><Relationship Id="rId263" Type="http://schemas.openxmlformats.org/officeDocument/2006/relationships/hyperlink" Target="https://docs.google.com/presentation/d/10oC5Dt4x-u_99qLpmTow5w5mSXY3BI-Lz5DMkInOrrQ/edit?usp=sharing" TargetMode="External"/><Relationship Id="rId319" Type="http://schemas.openxmlformats.org/officeDocument/2006/relationships/hyperlink" Target="https://docs.google.com/presentation/d/1wAdeJ1aCjm5pQ1z-wi6QAyN3Iyr4zHQf/edit?usp=share_link&amp;ouid=107295466553034241104&amp;rtpof=true&amp;sd=true" TargetMode="External"/><Relationship Id="rId470" Type="http://schemas.openxmlformats.org/officeDocument/2006/relationships/hyperlink" Target="https://docs.google.com/presentation/d/1zO0hZTtPnAkVP_BNGK0HB2pGaYoRrWInkPP2OeABSkU/edit?usp=share_link" TargetMode="External"/><Relationship Id="rId526" Type="http://schemas.openxmlformats.org/officeDocument/2006/relationships/hyperlink" Target="https://docs.google.com/presentation/d/1-U3qTCOpVKq5FP8fnplOJ-2XfbLuJ11q2i7QNJpo_Zw/edit?usp=sharing" TargetMode="External"/><Relationship Id="rId58" Type="http://schemas.openxmlformats.org/officeDocument/2006/relationships/hyperlink" Target="https://docs.google.com/presentation/d/1rvTKo31YSXtlejJx9mHy-mvnPwW7QAOE/edit?usp=sharing&amp;ouid=107295466553034241104&amp;rtpof=true&amp;sd=true" TargetMode="External"/><Relationship Id="rId123" Type="http://schemas.openxmlformats.org/officeDocument/2006/relationships/hyperlink" Target="https://docs.google.com/presentation/d/1ODolv89rt57zDX8FVHSgSEW7-PfLQC-fn9dtVJLZPdI/edit?usp=sharing" TargetMode="External"/><Relationship Id="rId330" Type="http://schemas.openxmlformats.org/officeDocument/2006/relationships/hyperlink" Target="https://docs.google.com/presentation/d/1tu_i0NYvmlisCAnVZhbmBRZLgiBDXrd6RnFxsdfSYFo/edit?usp=sharing" TargetMode="External"/><Relationship Id="rId568" Type="http://schemas.openxmlformats.org/officeDocument/2006/relationships/hyperlink" Target="https://docs.google.com/presentation/d/1q01pyBpmlutptew6gEje3GqVigc-UCdlrommCYZKFiE/edit?usp=sharing" TargetMode="External"/><Relationship Id="rId733" Type="http://schemas.openxmlformats.org/officeDocument/2006/relationships/hyperlink" Target="https://docs.google.com/presentation/d/1CKJ176j4baLaejbNEIZk6B3kgLlc3gz5vPx8UvoK_bg/edit?usp=sharing" TargetMode="External"/><Relationship Id="rId775" Type="http://schemas.openxmlformats.org/officeDocument/2006/relationships/hyperlink" Target="https://docs.google.com/presentation/d/1UBgThlKa-xrO_KFp1xwUx7rWjDz0VvI687lIrPsSI5E/edit?usp=sharing" TargetMode="External"/><Relationship Id="rId165" Type="http://schemas.openxmlformats.org/officeDocument/2006/relationships/hyperlink" Target="https://docs.google.com/presentation/d/11rYeVmFvPvnHO3qyjGY6R7peQEXfZzQHxjy33Vie0gA/edit?usp=sharing" TargetMode="External"/><Relationship Id="rId372" Type="http://schemas.openxmlformats.org/officeDocument/2006/relationships/hyperlink" Target="https://docs.google.com/presentation/d/1tDUlIMBWI0re5PzVWOCCbF9OmjERdTBM7c8_f5bHM80/edit?usp=sharing" TargetMode="External"/><Relationship Id="rId428" Type="http://schemas.openxmlformats.org/officeDocument/2006/relationships/hyperlink" Target="https://docs.google.com/presentation/d/1hEETsAnOrf9MHQlD_tHlbmjZmiOBmm26EpRNbfe0sZk/edit?usp=sharing" TargetMode="External"/><Relationship Id="rId635" Type="http://schemas.openxmlformats.org/officeDocument/2006/relationships/hyperlink" Target="https://docs.google.com/presentation/d/1RL_1LHInAuzjb0_X9pQgkQxPBtuLp2vtyxmGiwoR_O0/edit?usp=sharing" TargetMode="External"/><Relationship Id="rId677" Type="http://schemas.openxmlformats.org/officeDocument/2006/relationships/hyperlink" Target="https://docs.google.com/presentation/d/1eGhN1PKpMRpOQ7ZyE4gd7I4xZbZB2ynd2fnTv7jKFh8/edit?usp=sharing" TargetMode="External"/><Relationship Id="rId800" Type="http://schemas.openxmlformats.org/officeDocument/2006/relationships/hyperlink" Target="https://docs.google.com/presentation/d/1Fw1kzy6HRNoaYc7g6hNyW11oRlwTHKleHUPhRQsuJec/edit?usp=sharing" TargetMode="External"/><Relationship Id="rId842" Type="http://schemas.openxmlformats.org/officeDocument/2006/relationships/hyperlink" Target="https://docs.google.com/presentation/d/1ceF-KkCwRQBrnfTFuqJ-GcdvT9A0VxXpCaYw9YLDELY/edit?usp=sharing" TargetMode="External"/><Relationship Id="rId232" Type="http://schemas.openxmlformats.org/officeDocument/2006/relationships/hyperlink" Target="https://docs.google.com/presentation/d/1U2BYXE6O_pSWyFDoFALWrb_rOYUOiehBUpzXOvkk6rE/edit?usp=sharing" TargetMode="External"/><Relationship Id="rId274" Type="http://schemas.openxmlformats.org/officeDocument/2006/relationships/hyperlink" Target="https://docs.google.com/presentation/d/1cYRJx1dgQvJEX43q0gChFuIBhJuAufI5pjW7WSbommw/edit?usp=share_link" TargetMode="External"/><Relationship Id="rId481" Type="http://schemas.openxmlformats.org/officeDocument/2006/relationships/hyperlink" Target="https://docs.google.com/presentation/d/1Y_ymaVTkT6kgPvXhBF2bz1M5qls2nqYDtLUQFyHqiW8/edit?usp=sharing" TargetMode="External"/><Relationship Id="rId702" Type="http://schemas.openxmlformats.org/officeDocument/2006/relationships/hyperlink" Target="https://docs.google.com/presentation/d/17CGWJb8eHDlXaGYQ01Nt_7QjNHVeHLp8i715bEpsAZs/edit?usp=sharing" TargetMode="External"/><Relationship Id="rId27" Type="http://schemas.openxmlformats.org/officeDocument/2006/relationships/hyperlink" Target="https://docs.google.com/presentation/d/1NP0AVVKC_Nv8ImLEiPwF3nIt8o3GMsgpWG9v3lCE5mU/edit?usp=sharing" TargetMode="External"/><Relationship Id="rId69" Type="http://schemas.openxmlformats.org/officeDocument/2006/relationships/hyperlink" Target="https://docs.google.com/presentation/d/1aGT0R4ZZrxMW9HCi7HqWL0OSBIzmlLLzEs3L8NoCoe8/edit?usp=sharing" TargetMode="External"/><Relationship Id="rId134" Type="http://schemas.openxmlformats.org/officeDocument/2006/relationships/hyperlink" Target="https://docs.google.com/presentation/d/1PKVpJiFiTf5sh8cDxlsKrqPcU3OJ0uISA-sdTz2s4TE/edit?usp=sharing" TargetMode="External"/><Relationship Id="rId537" Type="http://schemas.openxmlformats.org/officeDocument/2006/relationships/hyperlink" Target="https://docs.google.com/presentation/d/1HtqFy_jkeeg4PMTljleb8zNpJeS1_iV0lxCAWo8Uvc0/edit?usp=sharing" TargetMode="External"/><Relationship Id="rId579" Type="http://schemas.openxmlformats.org/officeDocument/2006/relationships/hyperlink" Target="https://docs.google.com/presentation/d/1z9yz96UuqdP-C7QnjJJ9av9FvCyg5SlVE9CIZVHAjbg/edit?usp=sharing" TargetMode="External"/><Relationship Id="rId744" Type="http://schemas.openxmlformats.org/officeDocument/2006/relationships/hyperlink" Target="https://docs.google.com/presentation/d/1uFO57bpN3iQciEkWKKB3p7Dp3UcN2kiaxhQhf78djOA/edit?usp=sharing" TargetMode="External"/><Relationship Id="rId786" Type="http://schemas.openxmlformats.org/officeDocument/2006/relationships/hyperlink" Target="https://docs.google.com/presentation/d/1jwDUHHPDqfKJ6DXSHIY3h0ODk1go2QEvw3CMoqsM7tQ/edit?usp=sharing" TargetMode="External"/><Relationship Id="rId80" Type="http://schemas.openxmlformats.org/officeDocument/2006/relationships/hyperlink" Target="https://docs.google.com/presentation/d/198fmVWyj8P7Dk8I38iJArRmLjx35FcWm/edit?usp=sharing&amp;ouid=107295466553034241104&amp;rtpof=true&amp;sd=true" TargetMode="External"/><Relationship Id="rId176" Type="http://schemas.openxmlformats.org/officeDocument/2006/relationships/hyperlink" Target="https://docs.google.com/presentation/d/1U2B2-YaVSV61pGkS3vmgQisunwBJ7KTumPiJ5PyNVOs/edit?usp=share_link" TargetMode="External"/><Relationship Id="rId341" Type="http://schemas.openxmlformats.org/officeDocument/2006/relationships/hyperlink" Target="https://docs.google.com/presentation/d/1SuVo7F_WpIWZ5JpbC5HEC8YTq5aEkRdOGwLDtePiVKU/edit?usp=sharing" TargetMode="External"/><Relationship Id="rId383" Type="http://schemas.openxmlformats.org/officeDocument/2006/relationships/hyperlink" Target="https://docs.google.com/presentation/d/1jEoUXk6C5lhZbjkZ8JU7zwJCRGpFaCydpNdh6VCFk48/edit?usp=sharing" TargetMode="External"/><Relationship Id="rId439" Type="http://schemas.openxmlformats.org/officeDocument/2006/relationships/hyperlink" Target="https://docs.google.com/presentation/d/1U7FB5iihYh7TdWSFAC99fHo6lnpG8eDsLiqguJ7DIZk/edit?usp=sharing" TargetMode="External"/><Relationship Id="rId590" Type="http://schemas.openxmlformats.org/officeDocument/2006/relationships/hyperlink" Target="https://docs.google.com/presentation/d/1BZeGburTzMvNsEHpGHQYFx7VKxOq69aHR06_1jFTyUw/edit?usp=sharing" TargetMode="External"/><Relationship Id="rId604" Type="http://schemas.openxmlformats.org/officeDocument/2006/relationships/hyperlink" Target="https://docs.google.com/presentation/d/1K7-2dImq-P9h-4vTy1qwAGDHjIqZ2Lt3-uWWsOMheG4/edit?usp=sharing" TargetMode="External"/><Relationship Id="rId646" Type="http://schemas.openxmlformats.org/officeDocument/2006/relationships/hyperlink" Target="https://docs.google.com/presentation/d/1kT3KLjKt0-y0u20tuAAb3QcyUU8Ks3EaPzpFj09exxc/edit?usp=sharing" TargetMode="External"/><Relationship Id="rId811" Type="http://schemas.openxmlformats.org/officeDocument/2006/relationships/hyperlink" Target="https://docs.google.com/presentation/d/1uSYEk9XutGtOsZkpHrqa4wgtsIKMgcboccQGJmKAISI/edit?usp=sharing" TargetMode="External"/><Relationship Id="rId201" Type="http://schemas.openxmlformats.org/officeDocument/2006/relationships/hyperlink" Target="https://docs.google.com/presentation/d/1m0w6cda_fD0FX6p_vcC-FftDcDsLV0TWhH584KpBenI/edit?usp=sharing" TargetMode="External"/><Relationship Id="rId243" Type="http://schemas.openxmlformats.org/officeDocument/2006/relationships/hyperlink" Target="https://docs.google.com/presentation/d/12MnVENIkzWoFsFdMdFmyPZuLoKSI1_gPDMOIB2feNTI/edit?usp=sharing" TargetMode="External"/><Relationship Id="rId285" Type="http://schemas.openxmlformats.org/officeDocument/2006/relationships/hyperlink" Target="https://docs.google.com/presentation/d/1WJfuJgDai7AOIwgB-Bwpe8YEti8Rv2yswIIest-olcA/edit?usp=sharing" TargetMode="External"/><Relationship Id="rId450" Type="http://schemas.openxmlformats.org/officeDocument/2006/relationships/hyperlink" Target="https://docs.google.com/presentation/d/1xYUZKPbXz0sXWXf6D4RNLvKUwhsNZAQICBnfzig0HTU/edit?usp=sharing" TargetMode="External"/><Relationship Id="rId506" Type="http://schemas.openxmlformats.org/officeDocument/2006/relationships/hyperlink" Target="https://docs.google.com/presentation/d/12kHHDw84YABj36YJKvFqG2o_jyaMZpFpqxvzG8-gyYw/edit?usp=sharing" TargetMode="External"/><Relationship Id="rId688" Type="http://schemas.openxmlformats.org/officeDocument/2006/relationships/hyperlink" Target="https://docs.google.com/presentation/d/1piWd0el8a41Lb9YRaS5JNGDBzHZVXxzhyd3CKxDOWvU/edit?usp=sharing" TargetMode="External"/><Relationship Id="rId853" Type="http://schemas.openxmlformats.org/officeDocument/2006/relationships/hyperlink" Target="https://docs.google.com/presentation/d/1fq-8JJQVnga-RYaTseADaONbYlZR6s1KWAH-gPzLpug/edit?usp=sharing" TargetMode="External"/><Relationship Id="rId38" Type="http://schemas.openxmlformats.org/officeDocument/2006/relationships/hyperlink" Target="https://docs.google.com/presentation/d/19flWu2sEUqt3THzsFBcELxlVI0VMrPepwAWBFSbpiU0/edit?usp=share_link" TargetMode="External"/><Relationship Id="rId103" Type="http://schemas.openxmlformats.org/officeDocument/2006/relationships/hyperlink" Target="https://docs.google.com/presentation/d/1oh03dDQWKon2pVpDpqT5Fyt55TFpfV0qpafmawVcXV4/edit?usp=share_link" TargetMode="External"/><Relationship Id="rId310" Type="http://schemas.openxmlformats.org/officeDocument/2006/relationships/hyperlink" Target="https://docs.google.com/presentation/d/19lHk1q4xWfkh9TxN9MwKrV6Nsj5gjZXR7yzs0XfUpOI/edit?usp=sharing" TargetMode="External"/><Relationship Id="rId492" Type="http://schemas.openxmlformats.org/officeDocument/2006/relationships/hyperlink" Target="https://docs.google.com/presentation/d/1lLToVWYxLaUDu8o4Rtuo9fmPv3yZxn0SxYLC745WJS4/edit?usp=share_link" TargetMode="External"/><Relationship Id="rId548" Type="http://schemas.openxmlformats.org/officeDocument/2006/relationships/hyperlink" Target="https://docs.google.com/presentation/d/1-FNWyjjedYDbZkqfUFp1kLCcCSVPGkLBWeKbvQ5CVnQ/edit?usp=sharing" TargetMode="External"/><Relationship Id="rId713" Type="http://schemas.openxmlformats.org/officeDocument/2006/relationships/hyperlink" Target="https://docs.google.com/presentation/d/1rRH_BkIJR2RZMBY-8N009fPQ9xEzK1impkCs2GJ1ggs/edit?usp=sharing" TargetMode="External"/><Relationship Id="rId755" Type="http://schemas.openxmlformats.org/officeDocument/2006/relationships/hyperlink" Target="https://docs.google.com/presentation/d/1nSlqaxiZQZbVX7TTEPrTun4rcqi4T8WPtpd8hsN93Xo/edit?usp=sharing" TargetMode="External"/><Relationship Id="rId797" Type="http://schemas.openxmlformats.org/officeDocument/2006/relationships/hyperlink" Target="https://docs.google.com/presentation/d/1e_QaAhIZbl5MVYmNu-xcM7P0FtyMLUxA2NRXmL64LwM/edit?usp=sharing" TargetMode="External"/><Relationship Id="rId91" Type="http://schemas.openxmlformats.org/officeDocument/2006/relationships/hyperlink" Target="https://docs.google.com/presentation/d/1clDRjScP3gscSq1PU3s7bYeDdAIcI4ir/edit?usp=sharing&amp;ouid=107295466553034241104&amp;rtpof=true&amp;sd=true" TargetMode="External"/><Relationship Id="rId145" Type="http://schemas.openxmlformats.org/officeDocument/2006/relationships/hyperlink" Target="https://docs.google.com/presentation/d/1YJ6RgYVDN9OtdZfuG9pFaQte-qfpiwHbkmzpddcvnTo/edit?usp=sharing" TargetMode="External"/><Relationship Id="rId187" Type="http://schemas.openxmlformats.org/officeDocument/2006/relationships/hyperlink" Target="https://docs.google.com/presentation/d/1DmLmNGbkiHCl-is0huls2A5zwtzJap9dEANC4Kp593Q/edit?usp=sharing" TargetMode="External"/><Relationship Id="rId352" Type="http://schemas.openxmlformats.org/officeDocument/2006/relationships/hyperlink" Target="https://docs.google.com/presentation/d/1QzCGIgwJJ8roYgHoM-RwgjgG_6mNOqSJ/edit?usp=sharing&amp;ouid=107295466553034241104&amp;rtpof=true&amp;sd=true" TargetMode="External"/><Relationship Id="rId394" Type="http://schemas.openxmlformats.org/officeDocument/2006/relationships/hyperlink" Target="https://docs.google.com/presentation/d/1SiQ8j7yZK-arDDcihiNjFfP-hXi6L1FGaqqDurd_U7k/edit?usp=sharing" TargetMode="External"/><Relationship Id="rId408" Type="http://schemas.openxmlformats.org/officeDocument/2006/relationships/hyperlink" Target="https://docs.google.com/presentation/d/1HJiUT8BuYQjdmu7aMllIUGUI2rtJDUaWv7aw8wNDAmg/edit?usp=sharing" TargetMode="External"/><Relationship Id="rId615" Type="http://schemas.openxmlformats.org/officeDocument/2006/relationships/hyperlink" Target="https://docs.google.com/presentation/d/1ihXlJpsTW46K2f8PJYocKxU3Lw6S5sjOXmNk6jh_7Bo/edit?usp=sharing" TargetMode="External"/><Relationship Id="rId822" Type="http://schemas.openxmlformats.org/officeDocument/2006/relationships/hyperlink" Target="https://docs.google.com/presentation/d/1HSfTiPSxVrCpyIQZERP1Fu6ngJUpKdhtIlStcBrEJjM/edit?usp=sharing" TargetMode="External"/><Relationship Id="rId212" Type="http://schemas.openxmlformats.org/officeDocument/2006/relationships/hyperlink" Target="https://docs.google.com/presentation/d/17Y94FR_Rjo1Yu8CPfKpSfS4bBBXcGdyfLT2xVORnVjo/edit?usp=sharing" TargetMode="External"/><Relationship Id="rId254" Type="http://schemas.openxmlformats.org/officeDocument/2006/relationships/hyperlink" Target="https://docs.google.com/presentation/d/1EsOVOxqIwh2Ihf2m5UjDBGednuxkhIzOF5KCnrs1U9k/edit?usp=sharing" TargetMode="External"/><Relationship Id="rId657" Type="http://schemas.openxmlformats.org/officeDocument/2006/relationships/hyperlink" Target="https://docs.google.com/presentation/d/1fLMbWxN3kxz77wq3Z5_zvEaO8YMKz1m1nDqT_iKsjiQ/edit?usp=sharing" TargetMode="External"/><Relationship Id="rId699" Type="http://schemas.openxmlformats.org/officeDocument/2006/relationships/hyperlink" Target="https://docs.google.com/presentation/d/1NWTfOgVSETc94AfapveEZ_531sxAGazYNmJMohzGiVU/edit?usp=sharing" TargetMode="External"/><Relationship Id="rId49" Type="http://schemas.openxmlformats.org/officeDocument/2006/relationships/hyperlink" Target="https://docs.google.com/presentation/d/1laZkN2ABRgrdHnTsRG-88OwRLsicXdekAVJms_MJzbc/edit?usp=sharing" TargetMode="External"/><Relationship Id="rId114" Type="http://schemas.openxmlformats.org/officeDocument/2006/relationships/hyperlink" Target="https://docs.google.com/presentation/d/1z2cwKW4nuskWGvZgeh85WAJqtbZ7jQn8-kdEuUMNSDo/edit?usp=sharing" TargetMode="External"/><Relationship Id="rId296" Type="http://schemas.openxmlformats.org/officeDocument/2006/relationships/hyperlink" Target="https://docs.google.com/presentation/d/10_Nsqn6t8IlGBu3nD_Q27bE7vUhi9XhSDWzjj5rjqQU/edit?usp=sharing" TargetMode="External"/><Relationship Id="rId461" Type="http://schemas.openxmlformats.org/officeDocument/2006/relationships/hyperlink" Target="https://docs.google.com/presentation/d/1RauyZ3CloJ_DKOEIBdeHFBgB53hNW34sNjlGuJ75sPE/edit?usp=sharing" TargetMode="External"/><Relationship Id="rId517" Type="http://schemas.openxmlformats.org/officeDocument/2006/relationships/hyperlink" Target="https://docs.google.com/presentation/d/1fPbOcS7q5UWq2hQ0qoB1EmHDmdj7WYRLk-u1LXzAMMk/edit?usp=share_link" TargetMode="External"/><Relationship Id="rId559" Type="http://schemas.openxmlformats.org/officeDocument/2006/relationships/hyperlink" Target="https://docs.google.com/presentation/d/1TlMBHHX_7adYJyLKg7PIbr9GL8_86Vjo_wg-FgEJgtg/edit?usp=sharing" TargetMode="External"/><Relationship Id="rId724" Type="http://schemas.openxmlformats.org/officeDocument/2006/relationships/hyperlink" Target="https://docs.google.com/presentation/d/1SqX0Izmj3_HWqBkXmfeeMWBXGOmUvemkNiOP8PW9RIE/edit?usp=sharing" TargetMode="External"/><Relationship Id="rId766" Type="http://schemas.openxmlformats.org/officeDocument/2006/relationships/hyperlink" Target="https://docs.google.com/presentation/d/1U-8Tm8k_uiVEnW3TJLoWDoCoRnsFhLXq_Xh9-0XMOm0/edit?usp=sharing" TargetMode="External"/><Relationship Id="rId60" Type="http://schemas.openxmlformats.org/officeDocument/2006/relationships/hyperlink" Target="https://docs.google.com/presentation/d/1leT1t436Qe8ilylhjAOfQzSpTPejMidP/edit?usp=sharing&amp;ouid=107295466553034241104&amp;rtpof=true&amp;sd=true" TargetMode="External"/><Relationship Id="rId156" Type="http://schemas.openxmlformats.org/officeDocument/2006/relationships/hyperlink" Target="https://docs.google.com/presentation/d/1aug6ImocvLFgrFSHn-nJ4Nxc7lBRSuvjE1Ku0TwMBiU/edit?usp=sharing" TargetMode="External"/><Relationship Id="rId198" Type="http://schemas.openxmlformats.org/officeDocument/2006/relationships/hyperlink" Target="https://docs.google.com/presentation/d/1lx8YerPxggeS25x3s4rsaDqUQbn2iIV_dnbLQDYJDvk/edit?usp=sharing" TargetMode="External"/><Relationship Id="rId321" Type="http://schemas.openxmlformats.org/officeDocument/2006/relationships/hyperlink" Target="https://docs.google.com/presentation/d/1RC0bS_pHunSqp9iw1W5_y8wGRHRsOAqBLoZ2otVgt8Q/edit?usp=drivesdk" TargetMode="External"/><Relationship Id="rId363" Type="http://schemas.openxmlformats.org/officeDocument/2006/relationships/hyperlink" Target="https://docs.google.com/presentation/d/1FeCJbY2ApNuKCaq5ohwAOa15cY9xdILS3yzcDc3e5LA/edit?usp=share_link" TargetMode="External"/><Relationship Id="rId419" Type="http://schemas.openxmlformats.org/officeDocument/2006/relationships/hyperlink" Target="https://docs.google.com/presentation/d/1plOWZdDXDgKiuwHgb73vdzB5p5XcHmfmc39pFSdP9Pk/edit?usp=sharing" TargetMode="External"/><Relationship Id="rId570" Type="http://schemas.openxmlformats.org/officeDocument/2006/relationships/hyperlink" Target="https://docs.google.com/presentation/d/1dxlMKQTKnvaarWF6H0H5TwQ7h8yXxlBYx4kqVLAlgXQ/edit?usp=sharing" TargetMode="External"/><Relationship Id="rId626" Type="http://schemas.openxmlformats.org/officeDocument/2006/relationships/hyperlink" Target="https://docs.google.com/presentation/d/1F3Tv91lMuekbmH1R2XaKusbmgJTBYnv2ClY7vUfXcmI/edit?usp=sharing" TargetMode="External"/><Relationship Id="rId223" Type="http://schemas.openxmlformats.org/officeDocument/2006/relationships/hyperlink" Target="https://docs.google.com/presentation/d/15YwJYQoiXhMGTeiGA5Xoun6kMkqXS0ThJMU990Rzuco/edit?usp=sharing" TargetMode="External"/><Relationship Id="rId430" Type="http://schemas.openxmlformats.org/officeDocument/2006/relationships/hyperlink" Target="https://docs.google.com/presentation/d/1PeaOb2Ruq_gTkPfFejZzcVP8_L9qai41/edit?usp=sharing&amp;ouid=107295466553034241104&amp;rtpof=true&amp;sd=true" TargetMode="External"/><Relationship Id="rId668" Type="http://schemas.openxmlformats.org/officeDocument/2006/relationships/hyperlink" Target="https://docs.google.com/presentation/d/1MAgIcpfdF17us-Wyc9W5UBqpdP0YzZgVo8mFL8_V6Jg/edit?usp=sharing" TargetMode="External"/><Relationship Id="rId833" Type="http://schemas.openxmlformats.org/officeDocument/2006/relationships/hyperlink" Target="https://docs.google.com/presentation/d/1DTi-F7PieHb_5PN1fxp8eVs_jA8v0hNje9Hb2EOUML4/edit?usp=sharing" TargetMode="External"/><Relationship Id="rId18" Type="http://schemas.openxmlformats.org/officeDocument/2006/relationships/hyperlink" Target="https://docs.google.com/presentation/d/1kxorkIvRaTE2g4bWqHJSYnejBnKngNRKLv28iNpBQv8/edit?usp=sharing" TargetMode="External"/><Relationship Id="rId265" Type="http://schemas.openxmlformats.org/officeDocument/2006/relationships/hyperlink" Target="https://docs.google.com/presentation/d/1WtHouygP-qpagEdwP7IUVgFOS4J-m1P2WbaY7qH_ePw/edit?usp=sharing" TargetMode="External"/><Relationship Id="rId472" Type="http://schemas.openxmlformats.org/officeDocument/2006/relationships/hyperlink" Target="https://docs.google.com/presentation/d/1KONrY5Mf3oivEZEy1EwwjIdnw5Cjihzzrj_NyXbfojs/edit?usp=sharing" TargetMode="External"/><Relationship Id="rId528" Type="http://schemas.openxmlformats.org/officeDocument/2006/relationships/hyperlink" Target="https://docs.google.com/presentation/d/1nH_Xsoi_1YxukSCtDrnLxQ1iSpPGPJZlhOXY2NSeDM8/edit?usp=sharing" TargetMode="External"/><Relationship Id="rId735" Type="http://schemas.openxmlformats.org/officeDocument/2006/relationships/hyperlink" Target="https://docs.google.com/presentation/d/1H5xSya8cKOJP3yO2X_19j6tj7nJlErRsRTTB1RumbvA/edit?usp=sharing" TargetMode="External"/><Relationship Id="rId125" Type="http://schemas.openxmlformats.org/officeDocument/2006/relationships/hyperlink" Target="https://docs.google.com/presentation/d/1fMXBQBsBhit6QKcVJu7Wsq4sEX-SwR3X8sBz2px1Qag/edit?usp=sharing" TargetMode="External"/><Relationship Id="rId167" Type="http://schemas.openxmlformats.org/officeDocument/2006/relationships/hyperlink" Target="https://docs.google.com/presentation/d/1Bm27kZfBMQ3mnoj1uAIxHijSK09JuYQpApVeibb5xAM/edit?usp=sharing" TargetMode="External"/><Relationship Id="rId332" Type="http://schemas.openxmlformats.org/officeDocument/2006/relationships/hyperlink" Target="https://docs.google.com/presentation/d/1exk_UWKtltVy5jGxqbxPrFtI55sNVckYno3JJ2HUBQk/edit?usp=sharing" TargetMode="External"/><Relationship Id="rId374" Type="http://schemas.openxmlformats.org/officeDocument/2006/relationships/hyperlink" Target="https://docs.google.com/presentation/d/1BnF7G69K1PAsMNa2fNLshxaxFXqdZkWeZ_sR5ZVHIPk/edit?usp=sharing" TargetMode="External"/><Relationship Id="rId581" Type="http://schemas.openxmlformats.org/officeDocument/2006/relationships/hyperlink" Target="https://docs.google.com/presentation/d/1FnvC1QOS80P21eHWBOkgIR9DQ-I2Sb5u969aCRK6baw/edit?usp=sharing" TargetMode="External"/><Relationship Id="rId777" Type="http://schemas.openxmlformats.org/officeDocument/2006/relationships/hyperlink" Target="https://docs.google.com/presentation/d/1RIIQ4cGapjmIfQuuq8MGEpxHMPgXHQOk5zTDdBwkFGE/edit?usp=sharing" TargetMode="External"/><Relationship Id="rId71" Type="http://schemas.openxmlformats.org/officeDocument/2006/relationships/hyperlink" Target="https://docs.google.com/presentation/d/1dgU8BZ9aR-k08MU4DaUwSgwid2jRAWy7/edit?usp=share_link&amp;ouid=107295466553034241104&amp;rtpof=true&amp;sd=true" TargetMode="External"/><Relationship Id="rId234" Type="http://schemas.openxmlformats.org/officeDocument/2006/relationships/hyperlink" Target="https://docs.google.com/presentation/d/1BMyChNNSrkFLBUCnTkbMJQxFetAfj1ud/edit?usp=share_link&amp;ouid=107295466553034241104&amp;rtpof=true&amp;sd=true" TargetMode="External"/><Relationship Id="rId637" Type="http://schemas.openxmlformats.org/officeDocument/2006/relationships/hyperlink" Target="https://docs.google.com/presentation/d/1Z4MdDn-Q0g286qCa90In3XgqjZ08IlZifMIcsyIfT64/edit?usp=sharing" TargetMode="External"/><Relationship Id="rId679" Type="http://schemas.openxmlformats.org/officeDocument/2006/relationships/hyperlink" Target="https://docs.google.com/presentation/d/1v8d8tbrgufQOe_H5fXMECap75mmGvxtk/edit?usp=sharing&amp;ouid=115933524328626273134&amp;rtpof=true&amp;sd=true" TargetMode="External"/><Relationship Id="rId802" Type="http://schemas.openxmlformats.org/officeDocument/2006/relationships/hyperlink" Target="https://docs.google.com/presentation/d/1a2aivzPtmZUoaOF6hzgO9xTrmLzCvy9z1fvgv6xPTGA/edit?usp=sharing" TargetMode="External"/><Relationship Id="rId844" Type="http://schemas.openxmlformats.org/officeDocument/2006/relationships/hyperlink" Target="https://docs.google.com/presentation/d/1KuVGRlE4eoQvc2UYvWAlBaxKwfwJb_g-MjE5e-LtrV4/edit?usp=sharing" TargetMode="External"/><Relationship Id="rId2" Type="http://schemas.openxmlformats.org/officeDocument/2006/relationships/hyperlink" Target="https://docs.google.com/presentation/d/1VGyt0xgRA3x9mnyaVck3CL04AO-fbwBF/edit?usp=sharing&amp;ouid=107295466553034241104&amp;rtpof=true&amp;sd=true" TargetMode="External"/><Relationship Id="rId29" Type="http://schemas.openxmlformats.org/officeDocument/2006/relationships/hyperlink" Target="https://docs.google.com/presentation/d/1zwUhreHWSA87Ka4aUYPp8lVi-IO2FEkPRI6YYf87abQ/edit?usp=share_link" TargetMode="External"/><Relationship Id="rId276" Type="http://schemas.openxmlformats.org/officeDocument/2006/relationships/hyperlink" Target="https://docs.google.com/presentation/d/1BhX25FuDo7UY1pTDp58DWmiXS2E3Te5qD_KU-io6gqs/edit?usp=sharing" TargetMode="External"/><Relationship Id="rId441" Type="http://schemas.openxmlformats.org/officeDocument/2006/relationships/hyperlink" Target="https://docs.google.com/presentation/d/1C7xAxYembgKuxBxuXRZHm5f6Vw7toTWPdGZJBL3HtM0/edit?usp=sharing" TargetMode="External"/><Relationship Id="rId483" Type="http://schemas.openxmlformats.org/officeDocument/2006/relationships/hyperlink" Target="https://docs.google.com/presentation/d/1g1ifPpjeGNBYh6-gyt5qb3e0dEAPVjb-GCwCrarFZHA/edit?usp=sharing" TargetMode="External"/><Relationship Id="rId539" Type="http://schemas.openxmlformats.org/officeDocument/2006/relationships/hyperlink" Target="https://docs.google.com/presentation/d/1GlIBQp-Sa3LRB1FJAnESLFIzeyY0DMUDESrP72bBlOQ/edit?usp=sharing" TargetMode="External"/><Relationship Id="rId690" Type="http://schemas.openxmlformats.org/officeDocument/2006/relationships/hyperlink" Target="https://docs.google.com/presentation/d/1P9zqBxiThtNKc8DXCecEwzCWeKqSPDzmXV6pmu8F0JI/edit?usp=sharing" TargetMode="External"/><Relationship Id="rId704" Type="http://schemas.openxmlformats.org/officeDocument/2006/relationships/hyperlink" Target="https://docs.google.com/presentation/d/18-Na1byiZNY2nT0v1VxnUEo2IY5FEq_izTMIgwhlnJo/edit?usp=sharing" TargetMode="External"/><Relationship Id="rId746" Type="http://schemas.openxmlformats.org/officeDocument/2006/relationships/hyperlink" Target="https://docs.google.com/presentation/d/1L1NaM8pa_q3-1TmCpJZq3XcN2nLCMrkBLSBurxnoqIg/edit?usp=sharing" TargetMode="External"/><Relationship Id="rId40" Type="http://schemas.openxmlformats.org/officeDocument/2006/relationships/hyperlink" Target="https://docs.google.com/presentation/d/1SZ1N0lOF3bCAndCpGaxhl-ibfy4w4i54w4QR3_GlinA/edit?usp=sharing" TargetMode="External"/><Relationship Id="rId136" Type="http://schemas.openxmlformats.org/officeDocument/2006/relationships/hyperlink" Target="https://docs.google.com/presentation/d/1hXCikwIKqCVDDkStfGJKKAFO3ozvaGQlt5I8rTertPI/edit?usp=sharing" TargetMode="External"/><Relationship Id="rId178" Type="http://schemas.openxmlformats.org/officeDocument/2006/relationships/hyperlink" Target="https://docs.google.com/presentation/d/1coWu0ipCWhlL8Iu8r-d1-DTlihbM4aqgDTnvy1WHKdk/edit?usp=sharing" TargetMode="External"/><Relationship Id="rId301" Type="http://schemas.openxmlformats.org/officeDocument/2006/relationships/hyperlink" Target="https://docs.google.com/presentation/d/1726nV6BMcM7x3cKwWN72v6fH_uiUht_Q-3iQpw4BdZM/edit?usp=sharing" TargetMode="External"/><Relationship Id="rId343" Type="http://schemas.openxmlformats.org/officeDocument/2006/relationships/hyperlink" Target="https://docs.google.com/presentation/d/1CV56omiKMOgWjqV4G5bojHi2QzWiCvWj/edit?usp=sharing&amp;ouid=107295466553034241104&amp;rtpof=true&amp;sd=true" TargetMode="External"/><Relationship Id="rId550" Type="http://schemas.openxmlformats.org/officeDocument/2006/relationships/hyperlink" Target="https://docs.google.com/presentation/d/1KieN4JWoZ6F_uliLwdYIaC4VjLwD02ENYTILvbXFwBA/edit?usp=sharing" TargetMode="External"/><Relationship Id="rId788" Type="http://schemas.openxmlformats.org/officeDocument/2006/relationships/hyperlink" Target="https://docs.google.com/presentation/d/1KCRnQMX1edXVpM0L05Qju6GZAjpjEc1iWFfn6nfQ5ro/edit?usp=sharing" TargetMode="External"/><Relationship Id="rId82" Type="http://schemas.openxmlformats.org/officeDocument/2006/relationships/hyperlink" Target="https://docs.google.com/presentation/d/1txHsL17O5yeo2mdDhDbhWz0pGGHMC-94X2ltCHHjqn0/edit?usp=sharing" TargetMode="External"/><Relationship Id="rId203" Type="http://schemas.openxmlformats.org/officeDocument/2006/relationships/hyperlink" Target="https://docs.google.com/presentation/d/1AGUOn_U1bbiSUuOPYgTmb-1gl7G-5rhtMmrGSHyzcNc/edit?usp=share_link" TargetMode="External"/><Relationship Id="rId385" Type="http://schemas.openxmlformats.org/officeDocument/2006/relationships/hyperlink" Target="https://docs.google.com/presentation/d/1Gw2Lm0dVfx_h5cEEv7nuUtzIknCeGuYhF6EJlvmUj20/edit?usp=sharing" TargetMode="External"/><Relationship Id="rId592" Type="http://schemas.openxmlformats.org/officeDocument/2006/relationships/hyperlink" Target="https://docs.google.com/presentation/d/1CTfmK8oHL82yfMC9KjQBBbze60lxM91oDJqoPlJ875Q/edit?usp=sharing" TargetMode="External"/><Relationship Id="rId606" Type="http://schemas.openxmlformats.org/officeDocument/2006/relationships/hyperlink" Target="https://docs.google.com/presentation/d/16Q3P6x5K159c3ljq24O5Fq0nxj0HeIVY4cpcpJ5pnpk/edit?usp=sharing" TargetMode="External"/><Relationship Id="rId648" Type="http://schemas.openxmlformats.org/officeDocument/2006/relationships/hyperlink" Target="https://docs.google.com/presentation/d/1-kHSK2Pe3KUlAKmvuEK5j5s2mKhkf5ZgFiywJE2bDIc/edit?usp=sharing" TargetMode="External"/><Relationship Id="rId813" Type="http://schemas.openxmlformats.org/officeDocument/2006/relationships/hyperlink" Target="https://docs.google.com/presentation/d/1YLVM5gOZCBTQg-VhGrNa4e4ryPhkl1dZFeuQBKl4QEs/edit?usp=sharing" TargetMode="External"/><Relationship Id="rId855" Type="http://schemas.openxmlformats.org/officeDocument/2006/relationships/hyperlink" Target="mailto:pasha.oziminskyi@ukr.net" TargetMode="External"/><Relationship Id="rId245" Type="http://schemas.openxmlformats.org/officeDocument/2006/relationships/hyperlink" Target="https://docs.google.com/presentation/d/1711XvAVzVBa4_rHRIah2LU0k9i_gJ6ed/edit?usp=sharing&amp;ouid=107295466553034241104&amp;rtpof=true&amp;sd=true" TargetMode="External"/><Relationship Id="rId287" Type="http://schemas.openxmlformats.org/officeDocument/2006/relationships/hyperlink" Target="https://docs.google.com/presentation/d/1CYIazMn9SwMmQLnz-1BGHMf2zQIg-gnrEayftDr_aRc/edit?usp=sharing" TargetMode="External"/><Relationship Id="rId410" Type="http://schemas.openxmlformats.org/officeDocument/2006/relationships/hyperlink" Target="https://docs.google.com/presentation/d/11k3KwiY4EEhjzQQ0QtBeHbjvzAkOVY12PiEVTFMEmaQ/edit?usp=sharing" TargetMode="External"/><Relationship Id="rId452" Type="http://schemas.openxmlformats.org/officeDocument/2006/relationships/hyperlink" Target="https://docs.google.com/presentation/d/1M1IwdaMjdujZwBJKZ9s02QGWy9CqksK0VNuRFzBuh2c/edit?usp=sharing" TargetMode="External"/><Relationship Id="rId494" Type="http://schemas.openxmlformats.org/officeDocument/2006/relationships/hyperlink" Target="https://docs.google.com/presentation/d/1zjyDAVM1mgEC4smc9SkVvQTIHIHtACNKXqWL83WmrSE/edit?usp=sharing" TargetMode="External"/><Relationship Id="rId508" Type="http://schemas.openxmlformats.org/officeDocument/2006/relationships/hyperlink" Target="https://docs.google.com/presentation/d/1MoYFyOb38JFEWcu5mhMA3JdQ-dkyemvtJIOAx2dcBgQ/edit?usp=sharing" TargetMode="External"/><Relationship Id="rId715" Type="http://schemas.openxmlformats.org/officeDocument/2006/relationships/hyperlink" Target="https://docs.google.com/presentation/d/1bQtoC-qCH-ot6NCzwd6gLpstYoZ5RslaPAOS5uali2g/edit?usp=sharing" TargetMode="External"/><Relationship Id="rId105" Type="http://schemas.openxmlformats.org/officeDocument/2006/relationships/hyperlink" Target="https://docs.google.com/presentation/d/1C_16l6prOl7vuzIQKxMC_isMBliw8-Gy/edit?usp=share_link&amp;ouid=107295466553034241104&amp;rtpof=true&amp;sd=true" TargetMode="External"/><Relationship Id="rId147" Type="http://schemas.openxmlformats.org/officeDocument/2006/relationships/hyperlink" Target="https://docs.google.com/presentation/u/0/d/1nIy7gumk9N3mTOetCfEeRV45VxH54CcK/edit" TargetMode="External"/><Relationship Id="rId312" Type="http://schemas.openxmlformats.org/officeDocument/2006/relationships/hyperlink" Target="https://docs.google.com/presentation/d/1bVD1InyCqRtXA4q8EQ9QiN1wh20yRL_J-7T1YWKLMIM/edit?usp=share_link" TargetMode="External"/><Relationship Id="rId354" Type="http://schemas.openxmlformats.org/officeDocument/2006/relationships/hyperlink" Target="https://docs.google.com/presentation/d/17cHkmJWYM--Yf_-DdJHGNweTMiz8QcCl/edit?usp=share_link&amp;ouid=107295466553034241104&amp;rtpof=true&amp;sd=true" TargetMode="External"/><Relationship Id="rId757" Type="http://schemas.openxmlformats.org/officeDocument/2006/relationships/hyperlink" Target="https://docs.google.com/presentation/d/1jrClZsAGG9csONghZrtXcUKu1jfj0c82UThYKo245Yo/edit?usp=sharing" TargetMode="External"/><Relationship Id="rId799" Type="http://schemas.openxmlformats.org/officeDocument/2006/relationships/hyperlink" Target="https://docs.google.com/presentation/d/1_mlLgxEzw7Xn9W-EQPPivAwQBqK2aSeZHolpU5MkYjo/edit?usp=sharing" TargetMode="External"/><Relationship Id="rId51" Type="http://schemas.openxmlformats.org/officeDocument/2006/relationships/hyperlink" Target="https://docs.google.com/presentation/d/1dUu6QsT2WBpNFa0qJP_OIWNUM7CdXfSyHnDhf2lP0a0/edit?usp=sharing" TargetMode="External"/><Relationship Id="rId93" Type="http://schemas.openxmlformats.org/officeDocument/2006/relationships/hyperlink" Target="https://docs.google.com/presentation/d/1Btq_nS9j9hZDrolrP4kAet0r5wzGqFjBGbMtCTw7u0Q/edit?usp=share_link" TargetMode="External"/><Relationship Id="rId189" Type="http://schemas.openxmlformats.org/officeDocument/2006/relationships/hyperlink" Target="https://docs.google.com/presentation/d/1Yy6SdOwu1dii5lYbodRlnxnFmZoRVc4Xs15IAN9kUQA/edit?usp=sharing" TargetMode="External"/><Relationship Id="rId396" Type="http://schemas.openxmlformats.org/officeDocument/2006/relationships/hyperlink" Target="https://docs.google.com/presentation/d/1qnh5IedyTk9ZPVwacKlN0_fS57ab-hmVD7clCJVzxa0/edit?usp=sharing" TargetMode="External"/><Relationship Id="rId561" Type="http://schemas.openxmlformats.org/officeDocument/2006/relationships/hyperlink" Target="https://docs.google.com/presentation/d/1H4Xk5huRcWBxNKyytL49W7AN6pJPgrPwryUT6PQK4ZI/edit?usp=sharing" TargetMode="External"/><Relationship Id="rId617" Type="http://schemas.openxmlformats.org/officeDocument/2006/relationships/hyperlink" Target="https://docs.google.com/presentation/d/1OkopaPd7Hf2AQb-MNWxZ8xg74TuMGlpvvg1dhr1CD1Y/edit?usp=sharing" TargetMode="External"/><Relationship Id="rId659" Type="http://schemas.openxmlformats.org/officeDocument/2006/relationships/hyperlink" Target="https://docs.google.com/presentation/d/1rDjxHDF-TuqoEod2qktZW7oP5gTdpMTxN6gSXwgEg8Y/edit?usp=sharing" TargetMode="External"/><Relationship Id="rId824" Type="http://schemas.openxmlformats.org/officeDocument/2006/relationships/hyperlink" Target="https://docs.google.com/presentation/d/1SQ1MkAhGC0N3Wn5fnSG-s3SKl9dF45lbo5qSweI_FiA/edit?usp=sharing" TargetMode="External"/><Relationship Id="rId214" Type="http://schemas.openxmlformats.org/officeDocument/2006/relationships/hyperlink" Target="https://docs.google.com/presentation/d/1OXvGmd6_YKIXnixXxUsuZxR0vYiPkl_S4J54q5SeM80/edit?usp=sharing" TargetMode="External"/><Relationship Id="rId256" Type="http://schemas.openxmlformats.org/officeDocument/2006/relationships/hyperlink" Target="https://docs.google.com/presentation/d/1Rzi0YuwERXMf3VsHlDTnMxj5ixE_tMywFTm7vNmSi6k/edit?usp=sharing" TargetMode="External"/><Relationship Id="rId298" Type="http://schemas.openxmlformats.org/officeDocument/2006/relationships/hyperlink" Target="https://docs.google.com/presentation/d/11x3TuKExeaMk6sCBLR7cfG18fiR4oWh0sjgRpSeesHc/edit?usp=sharing" TargetMode="External"/><Relationship Id="rId421" Type="http://schemas.openxmlformats.org/officeDocument/2006/relationships/hyperlink" Target="https://docs.google.com/presentation/d/1py75Afd7foq-pREQkdonklnlcCPG0hbK/edit?usp=sharing&amp;ouid=107295466553034241104&amp;rtpof=true&amp;sd=true" TargetMode="External"/><Relationship Id="rId463" Type="http://schemas.openxmlformats.org/officeDocument/2006/relationships/hyperlink" Target="https://docs.google.com/presentation/d/1Us5nRZ3mDk4x_XpCiAFtfv_tT3O-DnCQy9i-TRIL1l8/edit?usp=sharing" TargetMode="External"/><Relationship Id="rId519" Type="http://schemas.openxmlformats.org/officeDocument/2006/relationships/hyperlink" Target="https://docs.google.com/presentation/d/1QRxVlmatIOqZzW-vBc90XCyMIVxrwlP0/edit?usp=sharing&amp;ouid=107295466553034241104&amp;rtpof=true&amp;sd=true" TargetMode="External"/><Relationship Id="rId670" Type="http://schemas.openxmlformats.org/officeDocument/2006/relationships/hyperlink" Target="https://docs.google.com/presentation/d/1rcbONH1i4HdZZUUR73yA0TgQJ6CE3Cp1aVVSuM1r2t0/edit?usp=sharing" TargetMode="External"/><Relationship Id="rId116" Type="http://schemas.openxmlformats.org/officeDocument/2006/relationships/hyperlink" Target="https://docs.google.com/presentation/d/1cQ1bJ19xfPN5gLFmydvqwwPk1aEi0ZWJbhvWoJhVxLM/edit?usp=sharing" TargetMode="External"/><Relationship Id="rId158" Type="http://schemas.openxmlformats.org/officeDocument/2006/relationships/hyperlink" Target="https://docs.google.com/presentation/d/17KSe9WEh7ixYkfZ7gUzqn-XSB_4xITM7M0E_mdDYuRM/edit?usp=sharing" TargetMode="External"/><Relationship Id="rId323" Type="http://schemas.openxmlformats.org/officeDocument/2006/relationships/hyperlink" Target="https://docs.google.com/presentation/d/11SHB7QylxXwhGh-sSLp5pEbnZMc1TVPRltXHqrm50kM/edit?usp=sharing" TargetMode="External"/><Relationship Id="rId530" Type="http://schemas.openxmlformats.org/officeDocument/2006/relationships/hyperlink" Target="https://docs.google.com/presentation/d/10785hQP4kk_oA2d2LL2GaHG7Ys5JX2edU9sstfm3X2k/edit?usp=sharing" TargetMode="External"/><Relationship Id="rId726" Type="http://schemas.openxmlformats.org/officeDocument/2006/relationships/hyperlink" Target="https://docs.google.com/presentation/d/12cAW2xxecQ_aaK10J160z-8LxPXyC1HmTOlAbZreKDA/edit?usp=sharing" TargetMode="External"/><Relationship Id="rId768" Type="http://schemas.openxmlformats.org/officeDocument/2006/relationships/hyperlink" Target="https://docs.google.com/presentation/d/1jQdO6sAHgHWz4s_J_LosRKf9pRDI9tlpaTvt5gzC0No/edit?usp=sharing" TargetMode="External"/><Relationship Id="rId20" Type="http://schemas.openxmlformats.org/officeDocument/2006/relationships/hyperlink" Target="https://docs.google.com/presentation/d/1VMv3NGK96nFghGCxFet_qkX7P8BGzvYjrbh5HX5gkdk/edit?usp=sharing" TargetMode="External"/><Relationship Id="rId62" Type="http://schemas.openxmlformats.org/officeDocument/2006/relationships/hyperlink" Target="https://docs.google.com/presentation/d/1tcepCPiYGrEZiswB3gySOcBeoL-lk5hR/edit?usp=share_link&amp;ouid=107295466553034241104&amp;rtpof=true&amp;sd=true" TargetMode="External"/><Relationship Id="rId365" Type="http://schemas.openxmlformats.org/officeDocument/2006/relationships/hyperlink" Target="https://docs.google.com/presentation/d/1vKuFbvbWmQTM8pBkqDtEQaaiIPUvcIqPBQ2-T0NOuhU/edit?usp=sharing" TargetMode="External"/><Relationship Id="rId572" Type="http://schemas.openxmlformats.org/officeDocument/2006/relationships/hyperlink" Target="https://docs.google.com/presentation/d/1q_xd5GYFb20FgWCAS1sXNSngcy1MU9K-4wNxZvE9eHc/edit?usp=sharing" TargetMode="External"/><Relationship Id="rId628" Type="http://schemas.openxmlformats.org/officeDocument/2006/relationships/hyperlink" Target="https://docs.google.com/presentation/d/1WZ2mtGmHRUgs7KYhb8-wH4o_jQxBV9xWcjTcVhGfb-Q/edit?usp=sharing" TargetMode="External"/><Relationship Id="rId835" Type="http://schemas.openxmlformats.org/officeDocument/2006/relationships/hyperlink" Target="https://docs.google.com/presentation/d/16ZNbhdxhqZp3AjL76PpBjLTybF6EnzNJkiwvylBgrms/edit?usp=sharing" TargetMode="External"/><Relationship Id="rId225" Type="http://schemas.openxmlformats.org/officeDocument/2006/relationships/hyperlink" Target="https://docs.google.com/presentation/d/1iW-ZqZTJPjgxT5UHkMU0ibXaTXntgzkpUoB5c73DKb4/edit?usp=sharing" TargetMode="External"/><Relationship Id="rId267" Type="http://schemas.openxmlformats.org/officeDocument/2006/relationships/hyperlink" Target="https://docs.google.com/presentation/d/1MBp1rPvqYTT5GULUd1PFAhrRP-4VW6H_FS7QeBpXCAc/edit?usp=sharing" TargetMode="External"/><Relationship Id="rId432" Type="http://schemas.openxmlformats.org/officeDocument/2006/relationships/hyperlink" Target="https://docs.google.com/presentation/d/1UIpS9h-iPCn8RwyPh5UKTiWVd7OlHy6kQyb9N01KPFI/edit?usp=sharing" TargetMode="External"/><Relationship Id="rId474" Type="http://schemas.openxmlformats.org/officeDocument/2006/relationships/hyperlink" Target="https://docs.google.com/presentation/d/1KZTChLhIvGmtZ2LR9wb50fjangSjBgVXRpFOQQGQL0I/edit?usp=sharing" TargetMode="External"/><Relationship Id="rId127" Type="http://schemas.openxmlformats.org/officeDocument/2006/relationships/hyperlink" Target="https://docs.google.com/presentation/d/1vNXHElv7H6--xbrOvbe398rJPRcq_qZMTx2Xs_SLpMk/edit?usp=sharing" TargetMode="External"/><Relationship Id="rId681" Type="http://schemas.openxmlformats.org/officeDocument/2006/relationships/hyperlink" Target="https://docs.google.com/presentation/d/1MAu9c6legAHxIVGUpux9nltmTSsIvMHI/edit?usp=sharing&amp;ouid=115933524328626273134&amp;rtpof=true&amp;sd=true" TargetMode="External"/><Relationship Id="rId737" Type="http://schemas.openxmlformats.org/officeDocument/2006/relationships/hyperlink" Target="https://docs.google.com/presentation/d/1uT5qyXL8KCf-r9ow34PxIZ7-meN6b6ki-O-nPlcQEjQ/edit?usp=sharing" TargetMode="External"/><Relationship Id="rId779" Type="http://schemas.openxmlformats.org/officeDocument/2006/relationships/hyperlink" Target="https://docs.google.com/presentation/d/1EXeVldMujg3s5f2kW4QHALIXUWbSOqQSVw75szUoJYQ/edit?usp=sharing" TargetMode="External"/><Relationship Id="rId31" Type="http://schemas.openxmlformats.org/officeDocument/2006/relationships/hyperlink" Target="https://t.me/m_langilde" TargetMode="External"/><Relationship Id="rId73" Type="http://schemas.openxmlformats.org/officeDocument/2006/relationships/hyperlink" Target="https://drive.google.com/file/d/12wUa5Fihj2uT1Ytyninvu9CetzIsEXqD/view?usp=sharing" TargetMode="External"/><Relationship Id="rId169" Type="http://schemas.openxmlformats.org/officeDocument/2006/relationships/hyperlink" Target="https://docs.google.com/presentation/d/1oJWIf3bSJURKhLU3owi8VyzGDwvRTrpSl4nparEiZzQ/edit" TargetMode="External"/><Relationship Id="rId334" Type="http://schemas.openxmlformats.org/officeDocument/2006/relationships/hyperlink" Target="https://docs.google.com/presentation/d/1TRDmLRWVd5l7PpBkg36NSjmaj7Dy6RHB/edit?usp=share_link&amp;ouid=107295466553034241104&amp;rtpof=true&amp;sd=true" TargetMode="External"/><Relationship Id="rId376" Type="http://schemas.openxmlformats.org/officeDocument/2006/relationships/hyperlink" Target="https://docs.google.com/presentation/d/156sIO3NMzzVzKCnTNGQjwW3TbiYHpChtWYShTS8daIE/edit?usp=sharing" TargetMode="External"/><Relationship Id="rId541" Type="http://schemas.openxmlformats.org/officeDocument/2006/relationships/hyperlink" Target="https://docs.google.com/presentation/d/1weneOinJLWWhwytW9RS2BC6VkL5860KXhgDt7H2kKFc/edit?usp=sharing" TargetMode="External"/><Relationship Id="rId583" Type="http://schemas.openxmlformats.org/officeDocument/2006/relationships/hyperlink" Target="https://docs.google.com/presentation/d/1TZycNBIF9ggGFpCoQFRG2Y52XI0Dh5nVzwxIGIgf_-w/edit?usp=sharing" TargetMode="External"/><Relationship Id="rId639" Type="http://schemas.openxmlformats.org/officeDocument/2006/relationships/hyperlink" Target="https://docs.google.com/presentation/d/1kXoeh8m4IbVbUJuNNRvY7PgZCAl2IdrkB-Scl0Sh9Yc/edit?usp=sharing" TargetMode="External"/><Relationship Id="rId790" Type="http://schemas.openxmlformats.org/officeDocument/2006/relationships/hyperlink" Target="https://docs.google.com/presentation/d/1q75zS8oQdeQiHc1IuXHRzgZy142T7OL69KunxIJzEl8/edit?usp=sharing" TargetMode="External"/><Relationship Id="rId804" Type="http://schemas.openxmlformats.org/officeDocument/2006/relationships/hyperlink" Target="https://docs.google.com/presentation/d/1xouw51phfHX-QmQK0RTFHSIFewE9MV0L13Q1tNCEEhc/edit?usp=sharing" TargetMode="External"/><Relationship Id="rId4" Type="http://schemas.openxmlformats.org/officeDocument/2006/relationships/hyperlink" Target="https://docs.google.com/presentation/d/1hK2Su4xNujDkgZp-sR0x8LIOK9-2Zq6NcJGQpGOzMXE/edit?usp=sharing" TargetMode="External"/><Relationship Id="rId180" Type="http://schemas.openxmlformats.org/officeDocument/2006/relationships/hyperlink" Target="https://docs.google.com/presentation/d/15rIA6tHa5eyxCJ9epX8crzQ6EqWl1oZ9VQKReGrOXQE/edit?usp=sharing" TargetMode="External"/><Relationship Id="rId236" Type="http://schemas.openxmlformats.org/officeDocument/2006/relationships/hyperlink" Target="https://docs.google.com/presentation/d/1QI_jjgHPw85VeGYEkahAsHdZ9n39ckmgVTzRgjR6aaI/edit?usp=sharing" TargetMode="External"/><Relationship Id="rId278" Type="http://schemas.openxmlformats.org/officeDocument/2006/relationships/hyperlink" Target="https://docs.google.com/presentation/d/1C761S7DZ5gwBri0Fb49Ff5MAXxFJpr5DtB55EDJdOSw/edit?usp=sharing" TargetMode="External"/><Relationship Id="rId401" Type="http://schemas.openxmlformats.org/officeDocument/2006/relationships/hyperlink" Target="https://docs.google.com/presentation/d/1K9y7iSo06ojaH2p_QyL1Cd66-j7Ii44KihwiErJSrrU/edit?usp=sharing" TargetMode="External"/><Relationship Id="rId443" Type="http://schemas.openxmlformats.org/officeDocument/2006/relationships/hyperlink" Target="https://docs.google.com/presentation/d/1-KsaQ62hA20U9Fum1-SRQx9piTXNYA2mbf1cSSXix8c/edit?usp=sharing" TargetMode="External"/><Relationship Id="rId650" Type="http://schemas.openxmlformats.org/officeDocument/2006/relationships/hyperlink" Target="https://docs.google.com/presentation/d/1EHYoG4StERIBsUeszIyZoSHSFA1eHDSNS3Udcq9RFC8/edit?usp=sharing" TargetMode="External"/><Relationship Id="rId846" Type="http://schemas.openxmlformats.org/officeDocument/2006/relationships/hyperlink" Target="https://docs.google.com/presentation/d/1mXSMDFeAdGVYlcM0Z0EMYZKxGJVQHObXw9iE4EMZsj4/edit?usp=sharing" TargetMode="External"/><Relationship Id="rId303" Type="http://schemas.openxmlformats.org/officeDocument/2006/relationships/hyperlink" Target="https://docs.google.com/presentation/d/14PWl3WV5P5FdfRWG-D91m_3mSip89f8jvkFIgKSKq4I/edit?usp=share_link" TargetMode="External"/><Relationship Id="rId485" Type="http://schemas.openxmlformats.org/officeDocument/2006/relationships/hyperlink" Target="https://docs.google.com/presentation/d/1mu3IBH_wnFr67MfEEXIUVaqRZGTNJdp6EV7om7SJXLY/edit?usp=sharing" TargetMode="External"/><Relationship Id="rId692" Type="http://schemas.openxmlformats.org/officeDocument/2006/relationships/hyperlink" Target="https://docs.google.com/presentation/d/1rhvijoWIUysVIAuSjTya5KTGPO1k-Y_RxhTPSi8am7A/edit?usp=sharing" TargetMode="External"/><Relationship Id="rId706" Type="http://schemas.openxmlformats.org/officeDocument/2006/relationships/hyperlink" Target="https://docs.google.com/presentation/d/1HeOoL9rZWVnJNums6AONGumYidEqaRrd2M2EBonCe10/edit?usp=sharing" TargetMode="External"/><Relationship Id="rId748" Type="http://schemas.openxmlformats.org/officeDocument/2006/relationships/hyperlink" Target="https://docs.google.com/presentation/d/1dD0MrrbQAEGYfyBQF0_GofbCYZRxn02a2xVR1e3uV1g/edit?usp=sharing" TargetMode="External"/><Relationship Id="rId42" Type="http://schemas.openxmlformats.org/officeDocument/2006/relationships/hyperlink" Target="https://docs.google.com/presentation/d/1Xw-xdzhWrPf1GN3I3cqEdElIfjvjxfzauUSXnxkr6ds/edit?usp=share_link" TargetMode="External"/><Relationship Id="rId84" Type="http://schemas.openxmlformats.org/officeDocument/2006/relationships/hyperlink" Target="https://docs.google.com/presentation/d/1FFdZ4HqpLB3fnJViLwmIegEVsC_yhjxC9pKuqDOlwwU/edit?usp=sharing" TargetMode="External"/><Relationship Id="rId138" Type="http://schemas.openxmlformats.org/officeDocument/2006/relationships/hyperlink" Target="https://docs.google.com/presentation/d/1L8oWbihRW85qbRnSwe6hJC7Pn6HI2tF9eCtfw4Sv7zo/edit?usp=sharing" TargetMode="External"/><Relationship Id="rId345" Type="http://schemas.openxmlformats.org/officeDocument/2006/relationships/hyperlink" Target="https://docs.google.com/presentation/d/19Vkf28bc2fsxZpYQcFjW1ZV5chCHIq4QTLJ9hQh142A/edit?usp=sharing" TargetMode="External"/><Relationship Id="rId387" Type="http://schemas.openxmlformats.org/officeDocument/2006/relationships/hyperlink" Target="https://docs.google.com/presentation/d/1uV5hb6ng-EBzmjT82lRvBW2ltC2lILcHrFa57NTiLg8/edit?usp=sharing" TargetMode="External"/><Relationship Id="rId510" Type="http://schemas.openxmlformats.org/officeDocument/2006/relationships/hyperlink" Target="https://docs.google.com/presentation/d/1G8utDjDYdnzkrwTTZm9BY7mqwOIPHbJoYnCd-uK-meo/edit?usp=sharing" TargetMode="External"/><Relationship Id="rId552" Type="http://schemas.openxmlformats.org/officeDocument/2006/relationships/hyperlink" Target="https://docs.google.com/presentation/d/1-HxaiV6QzrhEtPTMtMKbp4CA5Iyzvk11SYcNk5EtFlM/edit?usp=sharing" TargetMode="External"/><Relationship Id="rId594" Type="http://schemas.openxmlformats.org/officeDocument/2006/relationships/hyperlink" Target="https://docs.google.com/presentation/d/1Cc5nNPXVch9up0AvdgupvN5rUVcBVb1Yi8xyqxi-hLg/edit?usp=sharing" TargetMode="External"/><Relationship Id="rId608" Type="http://schemas.openxmlformats.org/officeDocument/2006/relationships/hyperlink" Target="https://docs.google.com/presentation/d/1fgeGSuxp3Fz79naZ_knNRDxipt-68Z0cpKsZbzn6R18/edit?usp=sharing" TargetMode="External"/><Relationship Id="rId815" Type="http://schemas.openxmlformats.org/officeDocument/2006/relationships/hyperlink" Target="https://docs.google.com/presentation/d/1R2g-u56fN8YSKSr3cy_rxd2zR_H80N6knMHiD-ZeIJk/edit?usp=sharing" TargetMode="External"/><Relationship Id="rId191" Type="http://schemas.openxmlformats.org/officeDocument/2006/relationships/hyperlink" Target="https://docs.google.com/presentation/d/1eMeoH6cv8noocP1dWzj1qtsadZSC1DCrAevqu5ra4ms/edit?usp=sharing" TargetMode="External"/><Relationship Id="rId205" Type="http://schemas.openxmlformats.org/officeDocument/2006/relationships/hyperlink" Target="https://docs.google.com/presentation/d/1VltguPDptAx4S77E-mstEDAm6NOLEmoaX-RgipmKdc0/edit?usp=share_link" TargetMode="External"/><Relationship Id="rId247" Type="http://schemas.openxmlformats.org/officeDocument/2006/relationships/hyperlink" Target="https://docs.google.com/presentation/d/17HP8R4GHxqdUPc9setJXbn3fLuELJQiQ0MaYr3W13zI/edit?usp=share_link" TargetMode="External"/><Relationship Id="rId412" Type="http://schemas.openxmlformats.org/officeDocument/2006/relationships/hyperlink" Target="https://docs.google.com/presentation/d/16MHDvgSthMwcZG_sBwnAbBypuLxk_7iwB-NiYBJWY3g/edit?usp=sharing" TargetMode="External"/><Relationship Id="rId857" Type="http://schemas.openxmlformats.org/officeDocument/2006/relationships/comments" Target="../comments1.xml"/><Relationship Id="rId107" Type="http://schemas.openxmlformats.org/officeDocument/2006/relationships/hyperlink" Target="https://docs.google.com/presentation/d/1Jo-dIReJ46DKpQG1GnPxlfxeExAUooT_s-AllRIaY68/edit?usp=sharing" TargetMode="External"/><Relationship Id="rId289" Type="http://schemas.openxmlformats.org/officeDocument/2006/relationships/hyperlink" Target="https://docs.google.com/presentation/d/1v8M5eubuzp5-rMXP0PF1uVkrrnZrEHj5EJjc6oKKRrQ/edit?usp=sharing" TargetMode="External"/><Relationship Id="rId454" Type="http://schemas.openxmlformats.org/officeDocument/2006/relationships/hyperlink" Target="https://docs.google.com/presentation/d/1cQjooar2votFum2RVmtqHnj_Ls8GBHPJXocnVnOcWVs/edit?usp=sharing" TargetMode="External"/><Relationship Id="rId496" Type="http://schemas.openxmlformats.org/officeDocument/2006/relationships/hyperlink" Target="https://docs.google.com/presentation/d/1Z-REiFyz8vkPnbBT4VaExs82_59DNNdtGCRFaWIJWkg/edit?usp=sharing" TargetMode="External"/><Relationship Id="rId661" Type="http://schemas.openxmlformats.org/officeDocument/2006/relationships/hyperlink" Target="https://docs.google.com/presentation/d/1z56of-XLF0gSeFyaYiGmk74TGRfBPhhF7TH8qv-W27o/edit?usp=sharing" TargetMode="External"/><Relationship Id="rId717" Type="http://schemas.openxmlformats.org/officeDocument/2006/relationships/hyperlink" Target="https://docs.google.com/presentation/d/1ARMF9AtvQENRlOJHtZZlo64h8U8B-weH7vC7WVzAOG0/edit?usp=sharing" TargetMode="External"/><Relationship Id="rId759" Type="http://schemas.openxmlformats.org/officeDocument/2006/relationships/hyperlink" Target="https://docs.google.com/presentation/d/1siAVTe5o2ht86O7hTkzEoIA4o0lK_-kCC--m2xN93g0/edit?usp=sharing" TargetMode="External"/><Relationship Id="rId11" Type="http://schemas.openxmlformats.org/officeDocument/2006/relationships/hyperlink" Target="https://docs.google.com/presentation/d/1nJUHDVHagJOJ53K3Mf0Bj671sumwfolF/edit?usp=sharing&amp;ouid=107295466553034241104&amp;rtpof=true&amp;sd=true" TargetMode="External"/><Relationship Id="rId53" Type="http://schemas.openxmlformats.org/officeDocument/2006/relationships/hyperlink" Target="https://docs.google.com/presentation/d/1ZA9EaQBz5yM3CFpSkEc3VJWWmOTvSty2/edit?usp=sharing&amp;ouid=107295466553034241104&amp;rtpof=true&amp;sd=true" TargetMode="External"/><Relationship Id="rId149" Type="http://schemas.openxmlformats.org/officeDocument/2006/relationships/hyperlink" Target="https://docs.google.com/presentation/d/13Dt_nVTA5c-cc28y8wESwbn4IyskFxiwSp6YRBdE6xU/edit?usp=sharing" TargetMode="External"/><Relationship Id="rId314" Type="http://schemas.openxmlformats.org/officeDocument/2006/relationships/hyperlink" Target="https://docs.google.com/presentation/d/1Qdw9XYCFFqDUvTIbPYyxvxaGwsM-5ng6hA_Ztb3nIQY/edit?usp=sharing" TargetMode="External"/><Relationship Id="rId356" Type="http://schemas.openxmlformats.org/officeDocument/2006/relationships/hyperlink" Target="https://docs.google.com/presentation/d/1y0zPw_2gsqLiulFp9CKtlcSoHi0OR7pXD3nccVwzYys/edit?usp=sharing" TargetMode="External"/><Relationship Id="rId398" Type="http://schemas.openxmlformats.org/officeDocument/2006/relationships/hyperlink" Target="https://docs.google.com/presentation/d/1IFhJI6CwuVR7Hyz6SEZVXy06HDstqkbAIQwmvp0-M80/edit?usp=sharing" TargetMode="External"/><Relationship Id="rId521" Type="http://schemas.openxmlformats.org/officeDocument/2006/relationships/hyperlink" Target="https://docs.google.com/presentation/d/1qbJ8qgtodx_ADBPbHmHnFIEndTu0gTlesCsdrLO9RyY/edit?usp=sharing" TargetMode="External"/><Relationship Id="rId563" Type="http://schemas.openxmlformats.org/officeDocument/2006/relationships/hyperlink" Target="https://docs.google.com/presentation/d/1Ii41aIQGPiGFu1G4XJHCziMJBymrwbbOIsLXTW_e7-0/edit?usp=sharing" TargetMode="External"/><Relationship Id="rId619" Type="http://schemas.openxmlformats.org/officeDocument/2006/relationships/hyperlink" Target="https://docs.google.com/presentation/d/1xm98VdvviVIqqPZcMKF1bOm55TnUCSKFSJ4DEyqb-bo/edit?usp=sharing" TargetMode="External"/><Relationship Id="rId770" Type="http://schemas.openxmlformats.org/officeDocument/2006/relationships/hyperlink" Target="https://docs.google.com/presentation/d/1RYsJP1DzbnJziXqcV6csfVEEZyB-WpmWXFxq8dGrw-I/edit?usp=sharing" TargetMode="External"/><Relationship Id="rId95" Type="http://schemas.openxmlformats.org/officeDocument/2006/relationships/hyperlink" Target="https://docs.google.com/presentation/d/1HWQwiB4-01XnWEs3fXPiIpro2g3BkcwwKkMgUvlX55o/edit?usp=share_link" TargetMode="External"/><Relationship Id="rId160" Type="http://schemas.openxmlformats.org/officeDocument/2006/relationships/hyperlink" Target="https://docs.google.com/presentation/d/1vW80hFxvk0dq4cnxPo6J_hrLCFkmQslDVYvCZo1RPRw/edit?usp=sharing" TargetMode="External"/><Relationship Id="rId216" Type="http://schemas.openxmlformats.org/officeDocument/2006/relationships/hyperlink" Target="https://docs.google.com/presentation/d/1WldJuCqIakjnRRrcRon55OLy5C9vOBTZ5WHcXzVgIQM/edit?usp=sharing" TargetMode="External"/><Relationship Id="rId423" Type="http://schemas.openxmlformats.org/officeDocument/2006/relationships/hyperlink" Target="https://docs.google.com/presentation/d/1BcHcfqiyJ_hmwWmZ09aVds5t_xmgzGMudUt9SqW8p4Q/edit?usp=sharing" TargetMode="External"/><Relationship Id="rId826" Type="http://schemas.openxmlformats.org/officeDocument/2006/relationships/hyperlink" Target="https://docs.google.com/presentation/d/188ubpHzmq2zS_QQaMG1NZ-Ip639KTwnIPj84QHrCC8s/edit?usp=sharing" TargetMode="External"/><Relationship Id="rId258" Type="http://schemas.openxmlformats.org/officeDocument/2006/relationships/hyperlink" Target="https://docs.google.com/presentation/d/1-h82WE32A53dLZWZj2IVS7Os29QuE3ktc50DDfv1B28/edit?usp=sharing" TargetMode="External"/><Relationship Id="rId465" Type="http://schemas.openxmlformats.org/officeDocument/2006/relationships/hyperlink" Target="https://t.me/vadim_tech_skill" TargetMode="External"/><Relationship Id="rId630" Type="http://schemas.openxmlformats.org/officeDocument/2006/relationships/hyperlink" Target="https://docs.google.com/presentation/d/19ze876Io6C7__jCliLWzOpVbp0qpxpYjq0zE7zR5Isc/edit?usp=sharing" TargetMode="External"/><Relationship Id="rId672" Type="http://schemas.openxmlformats.org/officeDocument/2006/relationships/hyperlink" Target="https://docs.google.com/presentation/d/1CHMDrIh3OwJetLHKKWRpPe8sHOcSsmXYs87oVTn3ZxE/edit?usp=sharing" TargetMode="External"/><Relationship Id="rId728" Type="http://schemas.openxmlformats.org/officeDocument/2006/relationships/hyperlink" Target="https://docs.google.com/presentation/d/1ddb9pYLvaVd5wit1MzLiAtG5yoGZlqZlCAwCVJfs45A/edit?usp=sharing" TargetMode="External"/><Relationship Id="rId22" Type="http://schemas.openxmlformats.org/officeDocument/2006/relationships/hyperlink" Target="https://docs.google.com/presentation/d/1RpkdXBh8dXbSaMg_YhMnOPoaGvPzuAsiLmqhORn2VwE/edit?usp=sharing" TargetMode="External"/><Relationship Id="rId64" Type="http://schemas.openxmlformats.org/officeDocument/2006/relationships/hyperlink" Target="https://docs.google.com/presentation/d/16eYVIZm-D0wfOy8Yu0AWsF9-VRqm42EjBsiE3q2pu8w/edit?usp=sharing" TargetMode="External"/><Relationship Id="rId118" Type="http://schemas.openxmlformats.org/officeDocument/2006/relationships/hyperlink" Target="https://docs.google.com/presentation/d/1N3u_BzF0HO9_sC-ggsx7MVqf1phnk7PUm5UOP1c0C34/edit?usp=sharing" TargetMode="External"/><Relationship Id="rId325" Type="http://schemas.openxmlformats.org/officeDocument/2006/relationships/hyperlink" Target="https://docs.google.com/presentation/d/1KNqde0D43USurPZt2L0X8DG0Pw3aOwSbp37RZl8Cq1w/edit?usp=sharing" TargetMode="External"/><Relationship Id="rId367" Type="http://schemas.openxmlformats.org/officeDocument/2006/relationships/hyperlink" Target="https://docs.google.com/presentation/d/1sBF-zv8iOsZGHSvDjZWeIJNGOzpIacaoqBq-Vo-mBlk/edit?usp=share_link" TargetMode="External"/><Relationship Id="rId532" Type="http://schemas.openxmlformats.org/officeDocument/2006/relationships/hyperlink" Target="https://docs.google.com/presentation/d/1t2wnVRulTQqI_zfQiV6thZ9nlf8gpryLcpl6lH53944/edit?usp=share_link" TargetMode="External"/><Relationship Id="rId574" Type="http://schemas.openxmlformats.org/officeDocument/2006/relationships/hyperlink" Target="https://docs.google.com/presentation/d/1JziOl5ko0RFoGxmrrh1MqF94AGfJsUotLEtVUmZO0IU/edit?usp=sharing" TargetMode="External"/><Relationship Id="rId171" Type="http://schemas.openxmlformats.org/officeDocument/2006/relationships/hyperlink" Target="https://docs.google.com/presentation/d/1E0hrDjZHHHHw8qDnSj8RMiJ2PGSivr1boWlQJwtQwxw/edit?usp=share_link" TargetMode="External"/><Relationship Id="rId227" Type="http://schemas.openxmlformats.org/officeDocument/2006/relationships/hyperlink" Target="https://docs.google.com/presentation/d/1A3gCITGwS9dhgnrNWvf7-BDNcjUUbjNW_vHjq3bDXY0/edit?usp=sharing" TargetMode="External"/><Relationship Id="rId781" Type="http://schemas.openxmlformats.org/officeDocument/2006/relationships/hyperlink" Target="https://docs.google.com/presentation/d/15d9xTkn9YDQGKJMsFOoI2L1K2BFi7UjmVW460GDCA0w/edit?usp=sharing" TargetMode="External"/><Relationship Id="rId837" Type="http://schemas.openxmlformats.org/officeDocument/2006/relationships/hyperlink" Target="https://docs.google.com/presentation/d/1DklOpLZ27JCNEB0vVN1Ai0eP6vnb3tHtaLqFUS_68z8/edit?usp=sharing" TargetMode="External"/><Relationship Id="rId269" Type="http://schemas.openxmlformats.org/officeDocument/2006/relationships/hyperlink" Target="https://docs.google.com/presentation/d/1HbU7UajT88HZEqT-sCLvu63GPq62GKNH/edit?usp=sharing&amp;ouid=107295466553034241104&amp;rtpof=true&amp;sd=true" TargetMode="External"/><Relationship Id="rId434" Type="http://schemas.openxmlformats.org/officeDocument/2006/relationships/hyperlink" Target="https://docs.google.com/presentation/d/1p2BMSRcEpOsllCJItLRNsMvMioykmt2tRQWFJ9whJgQ/edit?usp=sharing" TargetMode="External"/><Relationship Id="rId476" Type="http://schemas.openxmlformats.org/officeDocument/2006/relationships/hyperlink" Target="https://docs.google.com/presentation/d/1E54L9sxGvT77fNflO866hhgiP4v-b_B-j4TKGHOD7Fg/edit?usp=sharing" TargetMode="External"/><Relationship Id="rId641" Type="http://schemas.openxmlformats.org/officeDocument/2006/relationships/hyperlink" Target="https://docs.google.com/presentation/d/11PMUMIshiQKGVxvqKeJMQYxzyWS-l-RHUxuTGaogukc/edit?usp=sharing" TargetMode="External"/><Relationship Id="rId683" Type="http://schemas.openxmlformats.org/officeDocument/2006/relationships/hyperlink" Target="https://docs.google.com/presentation/d/1CbXsHChcdJy0KEMO6Qoxxon5MU9uMwLWM0xBnthVS0U/edit?usp=sharing" TargetMode="External"/><Relationship Id="rId739" Type="http://schemas.openxmlformats.org/officeDocument/2006/relationships/hyperlink" Target="https://docs.google.com/presentation/d/1q8nlvwc3T74oo9gMlww_q_bdqTEw_ZKly9mgik70vQs/edit?usp=sharing" TargetMode="External"/><Relationship Id="rId33" Type="http://schemas.openxmlformats.org/officeDocument/2006/relationships/hyperlink" Target="https://docs.google.com/presentation/d/14VNlVGGfDamWKcj_noSFPgQnItFV0n4F_AlWFN8ZoVs/edit?usp=sharing" TargetMode="External"/><Relationship Id="rId129" Type="http://schemas.openxmlformats.org/officeDocument/2006/relationships/hyperlink" Target="https://docs.google.com/presentation/d/1dwpvmdwjbK65fgupEUpg5-Ru1315UFbYr7hibQLpfp4/edit?usp=share_link" TargetMode="External"/><Relationship Id="rId280" Type="http://schemas.openxmlformats.org/officeDocument/2006/relationships/hyperlink" Target="https://docs.google.com/presentation/d/1btRWwFFLmm0aKOnAiktGFdjuzhyQxjKHUBJJgdaflIk/edit?usp=sharing" TargetMode="External"/><Relationship Id="rId336" Type="http://schemas.openxmlformats.org/officeDocument/2006/relationships/hyperlink" Target="https://drive.google.com/file/d/1kpbK3GUsliepZVo5Ow-qp5K650Cp14N3/view?usp=sharing" TargetMode="External"/><Relationship Id="rId501" Type="http://schemas.openxmlformats.org/officeDocument/2006/relationships/hyperlink" Target="https://docs.google.com/presentation/d/11JyIkaJG90oSaTKo6Vz4pSHz-jJlxwused1ctf7WscA/edit?usp=sharing" TargetMode="External"/><Relationship Id="rId543" Type="http://schemas.openxmlformats.org/officeDocument/2006/relationships/hyperlink" Target="https://docs.google.com/presentation/d/1Bm-faULLwLCrpQApI2E17Hb2ZRsc_QpCYnMOG7I5Pdw/edit?usp=sharing" TargetMode="External"/><Relationship Id="rId75" Type="http://schemas.openxmlformats.org/officeDocument/2006/relationships/hyperlink" Target="https://docs.google.com/presentation/d/1mf83EnJAGdWPXA6-_p3qh4574DcKAt2rceAVNdcNN7Y/edit?usp=sharing" TargetMode="External"/><Relationship Id="rId140" Type="http://schemas.openxmlformats.org/officeDocument/2006/relationships/hyperlink" Target="https://docs.google.com/presentation/d/1xGIdv_IETOJ5q34bXZ7de6uflWjwb-EdsJkQGK0Ou8k/edit?usp=sharing" TargetMode="External"/><Relationship Id="rId182" Type="http://schemas.openxmlformats.org/officeDocument/2006/relationships/hyperlink" Target="https://docs.google.com/presentation/d/1Lw_Cmrl1R2A84TDz8Mw9hSb4IT66RalNNXAfR7HVaIo/edit?usp=sharing" TargetMode="External"/><Relationship Id="rId378" Type="http://schemas.openxmlformats.org/officeDocument/2006/relationships/hyperlink" Target="https://docs.google.com/presentation/d/17INjZyjxJLtTk8GXRXK4-NNyDa3tKYDwDQkeu9O9j2A/edit?usp=share_link" TargetMode="External"/><Relationship Id="rId403" Type="http://schemas.openxmlformats.org/officeDocument/2006/relationships/hyperlink" Target="https://docs.google.com/presentation/d/1prwEBi45qklEWOq9sr_xfL_JzUvphW0ixfZsHM6QipI/edit?usp=sharing" TargetMode="External"/><Relationship Id="rId585" Type="http://schemas.openxmlformats.org/officeDocument/2006/relationships/hyperlink" Target="https://docs.google.com/presentation/d/1DkRzGZAHcZyuMx8qtSmLr_K16K5HMOQp566R6pHTx_8/edit?usp=sharing" TargetMode="External"/><Relationship Id="rId750" Type="http://schemas.openxmlformats.org/officeDocument/2006/relationships/hyperlink" Target="https://docs.google.com/presentation/d/1ZCzPXm657u3fDWMxYgAtZ2YOMmCNgLKviQ17-s7xEG8/edit?usp=sharing" TargetMode="External"/><Relationship Id="rId792" Type="http://schemas.openxmlformats.org/officeDocument/2006/relationships/hyperlink" Target="https://docs.google.com/presentation/d/1sSeDuUb6E-4e3nr-fllTIsfiU6kcQJBki3airfjN0gQ/edit?usp=sharing" TargetMode="External"/><Relationship Id="rId806" Type="http://schemas.openxmlformats.org/officeDocument/2006/relationships/hyperlink" Target="https://docs.google.com/presentation/d/1pIOrVwbvEQYNQfkzXFOvZNqHUXM7cZJT_-LGcVCzce4/edit?usp=sharing" TargetMode="External"/><Relationship Id="rId848" Type="http://schemas.openxmlformats.org/officeDocument/2006/relationships/hyperlink" Target="https://docs.google.com/presentation/d/1BZ1Z3TLzueumiaP1E-7KwuGV1QqmLgB7ivA3hgAeu-8/edit?usp=sharing" TargetMode="External"/><Relationship Id="rId6" Type="http://schemas.openxmlformats.org/officeDocument/2006/relationships/hyperlink" Target="https://docs.google.com/presentation/d/1CHalZVr8-kmVRKfBfCV_xK8Nhw3t9OGVvtGjY-DWBog/edit?usp=sharing" TargetMode="External"/><Relationship Id="rId238" Type="http://schemas.openxmlformats.org/officeDocument/2006/relationships/hyperlink" Target="https://docs.google.com/presentation/d/1DQFgvRSZ5PToXp9ND5bdq96XW3L6eCOep13zPejMgac/edit?usp=sharing" TargetMode="External"/><Relationship Id="rId445" Type="http://schemas.openxmlformats.org/officeDocument/2006/relationships/hyperlink" Target="https://docs.google.com/presentation/d/1vcOY3H5dx2n16Wxy8sDoBr80ZUk0k1wVZ6NUjkYdLYc/edit?usp=sharing" TargetMode="External"/><Relationship Id="rId487" Type="http://schemas.openxmlformats.org/officeDocument/2006/relationships/hyperlink" Target="https://docs.google.com/presentation/d/1A8ZhsFAoWgWok9QV00-U7_CwpR8F4u3vvfdy2BJbhKM/edit?usp=sharing" TargetMode="External"/><Relationship Id="rId610" Type="http://schemas.openxmlformats.org/officeDocument/2006/relationships/hyperlink" Target="https://docs.google.com/presentation/d/1QqFAyD3G03k2XNLJXix25xPc7Gt23t7DUwUBJPplnvo/edit?usp=sharing" TargetMode="External"/><Relationship Id="rId652" Type="http://schemas.openxmlformats.org/officeDocument/2006/relationships/hyperlink" Target="https://docs.google.com/presentation/d/1VAx2JVyyAb6hivxV-l2kYmGPlP7QcHG96IxFvac2qnM/edit?usp=sharing" TargetMode="External"/><Relationship Id="rId694" Type="http://schemas.openxmlformats.org/officeDocument/2006/relationships/hyperlink" Target="https://docs.google.com/presentation/d/1g80EzPBAIPWUSMi8wqK_1O69FiY2rLNp95R0_kxF6kQ/edit?usp=sharing" TargetMode="External"/><Relationship Id="rId708" Type="http://schemas.openxmlformats.org/officeDocument/2006/relationships/hyperlink" Target="https://docs.google.com/presentation/d/1X35lWNdWUhX6I9RKQf8joBv4ynlLjmok-U03gy_wgXA/edit?usp=sharing" TargetMode="External"/><Relationship Id="rId291" Type="http://schemas.openxmlformats.org/officeDocument/2006/relationships/hyperlink" Target="https://docs.google.com/presentation/d/18Y41CHw8Ba5542m1jImhMevZQDNjpTZB/edit?usp=sharing&amp;ouid=105974598152280544464&amp;rtpof=true&amp;sd=true" TargetMode="External"/><Relationship Id="rId305" Type="http://schemas.openxmlformats.org/officeDocument/2006/relationships/hyperlink" Target="https://docs.google.com/presentation/d/1d0vJ79Hyut490AeEc9uxnmUnnHgamVEaiTpvVdgyYJ8/edit?usp=sharing" TargetMode="External"/><Relationship Id="rId347" Type="http://schemas.openxmlformats.org/officeDocument/2006/relationships/hyperlink" Target="https://t.me/oleksandr_babinskyi" TargetMode="External"/><Relationship Id="rId512" Type="http://schemas.openxmlformats.org/officeDocument/2006/relationships/hyperlink" Target="https://docs.google.com/presentation/d/1qMklQKS-XP_bSYMCUp-go2_ZMNyU5L5uH0sy8iRLKeM/edit?usp=sharing" TargetMode="External"/><Relationship Id="rId44" Type="http://schemas.openxmlformats.org/officeDocument/2006/relationships/hyperlink" Target="https://docs.google.com/presentation/d/1oD_txWKVL2qiw9SpYMifPv68arKQ9rY9onkSFE4TEWI/edit?usp=sharing" TargetMode="External"/><Relationship Id="rId86" Type="http://schemas.openxmlformats.org/officeDocument/2006/relationships/hyperlink" Target="https://docs.google.com/presentation/d/1mBszhvfdzQCMd1FNMXF7LZEfcTA4zzUdS8EeR1SYs0Q/edit?usp=sharing" TargetMode="External"/><Relationship Id="rId151" Type="http://schemas.openxmlformats.org/officeDocument/2006/relationships/hyperlink" Target="https://docs.google.com/presentation/d/1CWeN3RfzMq7MEKM1ZV6eTw_vUsh-AW8qXdpa8FbThvw/edit?usp=sharing" TargetMode="External"/><Relationship Id="rId389" Type="http://schemas.openxmlformats.org/officeDocument/2006/relationships/hyperlink" Target="https://docs.google.com/presentation/d/1VPDaAlAK1R6ufnOiPqH26qiJC1wlpg34AH8F6qumqyo/edit?usp=sharing" TargetMode="External"/><Relationship Id="rId554" Type="http://schemas.openxmlformats.org/officeDocument/2006/relationships/hyperlink" Target="https://docs.google.com/presentation/d/1Hwj1lMIecH9-wDC83H8LIOuqp4jY_jFlDax7tDfMITU/edit?usp=sharing" TargetMode="External"/><Relationship Id="rId596" Type="http://schemas.openxmlformats.org/officeDocument/2006/relationships/hyperlink" Target="https://docs.google.com/presentation/d/1xZEKt4ogRNo6UlgEO7FBhpwmk0gWKyqK3qgXLM-AKpE/edit?usp=sharing" TargetMode="External"/><Relationship Id="rId761" Type="http://schemas.openxmlformats.org/officeDocument/2006/relationships/hyperlink" Target="https://docs.google.com/presentation/d/1C7XVunQaswf14_5Pw_byce43RC66cDPMZSa2Kqsb1dE/edit?usp=sharing" TargetMode="External"/><Relationship Id="rId817" Type="http://schemas.openxmlformats.org/officeDocument/2006/relationships/hyperlink" Target="https://docs.google.com/presentation/d/13BvD7RnulYbxosnMktxZ428cgWz1fNX-lREpY-Psf7M/edit?usp=sharing" TargetMode="External"/><Relationship Id="rId193" Type="http://schemas.openxmlformats.org/officeDocument/2006/relationships/hyperlink" Target="https://docs.google.com/presentation/d/1uvuyNsyZp1sKmuixLvne89eZfiVshKNl/edit?usp=share_link&amp;ouid=107295466553034241104&amp;rtpof=true&amp;sd=true" TargetMode="External"/><Relationship Id="rId207" Type="http://schemas.openxmlformats.org/officeDocument/2006/relationships/hyperlink" Target="https://docs.google.com/presentation/d/1BGtdbNIiHrDneYPm8_HqYxaUyGj9H9dV/edit?usp=share_link&amp;ouid=107295466553034241104&amp;rtpof=true&amp;sd=true" TargetMode="External"/><Relationship Id="rId249" Type="http://schemas.openxmlformats.org/officeDocument/2006/relationships/hyperlink" Target="https://docs.google.com/presentation/d/18-xyxkad3-xPjh1ZVSyw6df9CrUcUrNX2zAV9dSW_Pg/edit?usp=sharing" TargetMode="External"/><Relationship Id="rId414" Type="http://schemas.openxmlformats.org/officeDocument/2006/relationships/hyperlink" Target="https://docs.google.com/presentation/d/15dWg8mEsLAq8CaPaHRx0xi96dd072dkz3B2llebzPQU/edit?usp=sharing" TargetMode="External"/><Relationship Id="rId456" Type="http://schemas.openxmlformats.org/officeDocument/2006/relationships/hyperlink" Target="https://docs.google.com/presentation/d/1x_TTN7ZH1Mivqy66c-dZpRRD5cRaz4okFb3yMVmHT80/edit?usp=sharing" TargetMode="External"/><Relationship Id="rId498" Type="http://schemas.openxmlformats.org/officeDocument/2006/relationships/hyperlink" Target="https://docs.google.com/presentation/d/1mkz9I_3iQMmsEfQOTo6vdMP-ojxP3SUspTBG-R8BxtA/edit?usp=sharing" TargetMode="External"/><Relationship Id="rId621" Type="http://schemas.openxmlformats.org/officeDocument/2006/relationships/hyperlink" Target="https://docs.google.com/presentation/d/1jxiyyd_FqHQdUhXxW3aYB9-KZfDWpunr1kynp1WgMH8/edit?usp=sharing" TargetMode="External"/><Relationship Id="rId663" Type="http://schemas.openxmlformats.org/officeDocument/2006/relationships/hyperlink" Target="https://docs.google.com/presentation/d/1YjVMUoBqAjqH0Ciau50p59enjshyu4ImstWcIfKpSFo/edit?usp=sharing" TargetMode="External"/><Relationship Id="rId13" Type="http://schemas.openxmlformats.org/officeDocument/2006/relationships/hyperlink" Target="https://t.me/egorLs" TargetMode="External"/><Relationship Id="rId109" Type="http://schemas.openxmlformats.org/officeDocument/2006/relationships/hyperlink" Target="https://docs.google.com/presentation/d/1ihjsGVHaNQMk80Xy-34CnllM0vr98RkXg0MH1yEEUHU/edit?usp=sharing" TargetMode="External"/><Relationship Id="rId260" Type="http://schemas.openxmlformats.org/officeDocument/2006/relationships/hyperlink" Target="https://docs.google.com/presentation/d/1e_b0-gvwNDcPJ2nBpP5SPYuTnaRHI4XJ26XxFRAWdRY/edit?usp=sharing" TargetMode="External"/><Relationship Id="rId316" Type="http://schemas.openxmlformats.org/officeDocument/2006/relationships/hyperlink" Target="https://docs.google.com/presentation/d/1R8bqu9KbZUv2jOmlmYbWP1qaGvyRzi3SQ0AfX1yXZ6Y/edit?usp=sharing" TargetMode="External"/><Relationship Id="rId523" Type="http://schemas.openxmlformats.org/officeDocument/2006/relationships/hyperlink" Target="https://docs.google.com/presentation/d/1UFa8v_E12PwAsj9dhAcnSWvUTT9RPS2UFqEFrSg_QP0/edit?usp=sharing" TargetMode="External"/><Relationship Id="rId719" Type="http://schemas.openxmlformats.org/officeDocument/2006/relationships/hyperlink" Target="https://docs.google.com/presentation/d/1nEJ9RcUdQ-dC0IGXxIKweKp1sFmhuagH9YCpUvB1Mj8/edit?usp=sharing" TargetMode="External"/><Relationship Id="rId55" Type="http://schemas.openxmlformats.org/officeDocument/2006/relationships/hyperlink" Target="https://docs.google.com/presentation/d/178ofJlrM9FhuIPBBXu-C3bd2Oi8ROdtj4EfU-wnjl-8/edit?usp=sharing" TargetMode="External"/><Relationship Id="rId97" Type="http://schemas.openxmlformats.org/officeDocument/2006/relationships/hyperlink" Target="https://docs.google.com/presentation/d/1hHRk_OHQfi51tzBgDmkBw0HhkRvPAkpziiRnx5kIVlU/edit?usp=sharing" TargetMode="External"/><Relationship Id="rId120" Type="http://schemas.openxmlformats.org/officeDocument/2006/relationships/hyperlink" Target="https://drive.google.com/file/d/172GB-UsrcuSg9wVhICnHLUsqVKxy8nCj/view?usp=share_link" TargetMode="External"/><Relationship Id="rId358" Type="http://schemas.openxmlformats.org/officeDocument/2006/relationships/hyperlink" Target="https://docs.google.com/presentation/d/1bBL69SuCMFhcDg3U-DwCB8Xlowj6ggjWNi0WWkJtQb4/edit?usp=sharing" TargetMode="External"/><Relationship Id="rId565" Type="http://schemas.openxmlformats.org/officeDocument/2006/relationships/hyperlink" Target="https://docs.google.com/presentation/d/1FKW_wLn5kjxB0EShUwFxVZBsy3qxyI7vYOZCmRBpCvg/edit?usp=sharing" TargetMode="External"/><Relationship Id="rId730" Type="http://schemas.openxmlformats.org/officeDocument/2006/relationships/hyperlink" Target="https://docs.google.com/presentation/d/1fZXK1YnjRW62JsRUziBaM3Z2jezKPl2lAXC1xK-_DAk/edit?usp=sharing" TargetMode="External"/><Relationship Id="rId772" Type="http://schemas.openxmlformats.org/officeDocument/2006/relationships/hyperlink" Target="https://docs.google.com/presentation/d/1e20dBPfNUWikAcOhxHE21or-vVQ65U_q7cPnsKuagfs/edit?usp=sharing" TargetMode="External"/><Relationship Id="rId828" Type="http://schemas.openxmlformats.org/officeDocument/2006/relationships/hyperlink" Target="https://docs.google.com/presentation/d/1TzUcelN6slTMnBs1ksD-qQnZlItP5uw9vv91CjtmWgE/edit?usp=sharing" TargetMode="External"/><Relationship Id="rId162" Type="http://schemas.openxmlformats.org/officeDocument/2006/relationships/hyperlink" Target="https://docs.google.com/presentation/d/1VIUxTPHMtQ9d4j5Xg9tUMLKLhu-iZoLJJHV_EyvmHcU/edit?usp=sharing" TargetMode="External"/><Relationship Id="rId218" Type="http://schemas.openxmlformats.org/officeDocument/2006/relationships/hyperlink" Target="https://docs.google.com/presentation/d/1q_ZJs77Lbup6D7O4_9Ik3cYT4EAxNn6AdUAn0LyfjX0/edit?usp=sharing" TargetMode="External"/><Relationship Id="rId425" Type="http://schemas.openxmlformats.org/officeDocument/2006/relationships/hyperlink" Target="https://t.me/patsyukMakarova" TargetMode="External"/><Relationship Id="rId467" Type="http://schemas.openxmlformats.org/officeDocument/2006/relationships/hyperlink" Target="https://docs.google.com/presentation/d/12gH5RwDrgkvl73We5LPDoYfVxkjfM8I4/edit?usp=share_link&amp;ouid=107295466553034241104&amp;rtpof=true&amp;sd=true" TargetMode="External"/><Relationship Id="rId632" Type="http://schemas.openxmlformats.org/officeDocument/2006/relationships/hyperlink" Target="https://docs.google.com/presentation/d/1uWoYakqv1UKuFRW-pBYcTm7wgREVEcmIdY6rcd6Au_c/edit?usp=sharing" TargetMode="External"/><Relationship Id="rId271" Type="http://schemas.openxmlformats.org/officeDocument/2006/relationships/hyperlink" Target="https://docs.google.com/presentation/d/1ZH7uqt6tOBxBKITpp-3kVKKXsMsVNAq3aSsrJrQS4Og/edit?usp=sharing" TargetMode="External"/><Relationship Id="rId674" Type="http://schemas.openxmlformats.org/officeDocument/2006/relationships/hyperlink" Target="https://docs.google.com/presentation/d/1dFdZho8jZfDyfIBgsu4CztXipMDXJazsjJoKwZRVUcA/edit?usp=sharing" TargetMode="External"/><Relationship Id="rId24" Type="http://schemas.openxmlformats.org/officeDocument/2006/relationships/hyperlink" Target="https://docs.google.com/presentation/d/1X7h3v_uSp9jBvr9z8Bd2crc9nNnxXimAVdUwcmieWd0/edit?usp=share_link" TargetMode="External"/><Relationship Id="rId66" Type="http://schemas.openxmlformats.org/officeDocument/2006/relationships/hyperlink" Target="https://docs.google.com/presentation/d/1RHVJZzTbKyz6P6NSlSodVxI1UABA5JKUIF3WP6jzaaA/edit?usp=sharing" TargetMode="External"/><Relationship Id="rId131" Type="http://schemas.openxmlformats.org/officeDocument/2006/relationships/hyperlink" Target="https://docs.google.com/presentation/d/1poTPKM8_2DaSMoTSsc6PZiT7l3Y4ywLz2eW4gvcATOU/edit?usp=sharing" TargetMode="External"/><Relationship Id="rId327" Type="http://schemas.openxmlformats.org/officeDocument/2006/relationships/hyperlink" Target="https://docs.google.com/presentation/d/1MNJAHKEHFHQ0_5sF2maqFRRR3Ud652KJ9AtbNIlk0kA/edit?usp=sharing" TargetMode="External"/><Relationship Id="rId369" Type="http://schemas.openxmlformats.org/officeDocument/2006/relationships/hyperlink" Target="https://docs.google.com/presentation/d/1TN6cDw_BpaG5tTGkZlWBJC6zqJ5cev2ajz3mA7X7BHU/edit?usp=sharing" TargetMode="External"/><Relationship Id="rId534" Type="http://schemas.openxmlformats.org/officeDocument/2006/relationships/hyperlink" Target="https://docs.google.com/presentation/d/1-_pcxviYWzR1CX3h7pObsqIJ1HOUyLFIMYuqy_MdOuU/edit?usp=sharing" TargetMode="External"/><Relationship Id="rId576" Type="http://schemas.openxmlformats.org/officeDocument/2006/relationships/hyperlink" Target="https://docs.google.com/presentation/d/1xh6KtnMqKBQiDTGW2CsenX1P8mVkJ0BvkM0Sa-yRD40/edit?usp=sharing" TargetMode="External"/><Relationship Id="rId741" Type="http://schemas.openxmlformats.org/officeDocument/2006/relationships/hyperlink" Target="https://docs.google.com/presentation/d/1st7DKJO0-VWFVfWrFmsPzwwOU9VsH1wbNpYShkAbYeY/edit?usp=sharing" TargetMode="External"/><Relationship Id="rId783" Type="http://schemas.openxmlformats.org/officeDocument/2006/relationships/hyperlink" Target="https://docs.google.com/presentation/d/1hhmUv8OVZGWKK2Goso7cLLxw4UO7pD0PdvVVjZNuepg/edit?usp=sharing" TargetMode="External"/><Relationship Id="rId839" Type="http://schemas.openxmlformats.org/officeDocument/2006/relationships/hyperlink" Target="https://docs.google.com/presentation/d/1PqFxHjCmtVkdb1j0nn_Y96Ab1XMl9zBR1TcPsEtKA_s/edit?usp=sharing" TargetMode="External"/><Relationship Id="rId173" Type="http://schemas.openxmlformats.org/officeDocument/2006/relationships/hyperlink" Target="https://docs.google.com/presentation/d/1IJM9vUHl7tyXhnY25J7sDorRIg0Ro7sbHVv-2qnuKbw/edit?usp=sharing" TargetMode="External"/><Relationship Id="rId229" Type="http://schemas.openxmlformats.org/officeDocument/2006/relationships/hyperlink" Target="https://docs.google.com/presentation/d/19IFEsIymqxmMR_CZX-qGWYqgO3uHs1daH1ubsuDjcK8/edit?usp=sharing" TargetMode="External"/><Relationship Id="rId380" Type="http://schemas.openxmlformats.org/officeDocument/2006/relationships/hyperlink" Target="https://docs.google.com/presentation/d/1OX1MgTb3lHkikbLimmMz0X9RIOQcxe96As1rdRTa3vw/edit?usp=sharing" TargetMode="External"/><Relationship Id="rId436" Type="http://schemas.openxmlformats.org/officeDocument/2006/relationships/hyperlink" Target="https://docs.google.com/presentation/d/1wdwYP637-5-zFs6hnGP4ganKeH281hiqJ7TFNpgCMJk/edit?usp=share_link" TargetMode="External"/><Relationship Id="rId601" Type="http://schemas.openxmlformats.org/officeDocument/2006/relationships/hyperlink" Target="https://docs.google.com/presentation/d/1dK760TNZvOzJ9E92z490PywGSjHdjTKz20IxB4rE188/edit?usp=sharing" TargetMode="External"/><Relationship Id="rId643" Type="http://schemas.openxmlformats.org/officeDocument/2006/relationships/hyperlink" Target="https://docs.google.com/presentation/d/1HtS3QcOhwJh6-AnakwdMs_77R2t3Rn-suA9oie4aMI4/edit?usp=sharing" TargetMode="External"/><Relationship Id="rId240" Type="http://schemas.openxmlformats.org/officeDocument/2006/relationships/hyperlink" Target="https://docs.google.com/presentation/d/1mjgkjXWQetCC5WDZNsKhRzyKe0phRZo1OWzYCmZFmSA/edit?usp=sharing" TargetMode="External"/><Relationship Id="rId478" Type="http://schemas.openxmlformats.org/officeDocument/2006/relationships/hyperlink" Target="https://docs.google.com/presentation/d/1vh7L9GWokiwCFDOa7LfAT1RfFwKLaV6x_RMjfHZ9zxA/edit?usp=sharing" TargetMode="External"/><Relationship Id="rId685" Type="http://schemas.openxmlformats.org/officeDocument/2006/relationships/hyperlink" Target="https://docs.google.com/presentation/d/1AQaWSqwXj4k-FzEONRRIOCM-HgIUqMgYkoyie1rvuqo/edit?usp=sharing" TargetMode="External"/><Relationship Id="rId850" Type="http://schemas.openxmlformats.org/officeDocument/2006/relationships/hyperlink" Target="https://docs.google.com/presentation/d/1zv4IcmhM2rNsfgzOOXhXlbszysh7H96FPkMt21IajYU/edit?usp=sharing" TargetMode="External"/><Relationship Id="rId35" Type="http://schemas.openxmlformats.org/officeDocument/2006/relationships/hyperlink" Target="https://docs.google.com/presentation/d/1fMrDRNTy3As0YJZYJ_5LWUfz70Np6M1r46X33_Lr1fE/edit?usp=sharing" TargetMode="External"/><Relationship Id="rId77" Type="http://schemas.openxmlformats.org/officeDocument/2006/relationships/hyperlink" Target="https://docs.google.com/presentation/d/132WXFQ2jRdQnnW9O71F67d8kBYQ81pAE_nhT5d1ks3Y/edit?usp=share_link" TargetMode="External"/><Relationship Id="rId100" Type="http://schemas.openxmlformats.org/officeDocument/2006/relationships/hyperlink" Target="https://docs.google.com/presentation/d/1u46hXpDZN7N5EQwDYxhgTG4p27DvyAD8/edit?usp=sharing&amp;ouid=107295466553034241104&amp;rtpof=true&amp;sd=true" TargetMode="External"/><Relationship Id="rId282" Type="http://schemas.openxmlformats.org/officeDocument/2006/relationships/hyperlink" Target="https://docs.google.com/presentation/d/1KeJAUl5tDgvKXpepdCPFqwv0akalD3jmm1hMhsLvGAs/edit?usp=sharing" TargetMode="External"/><Relationship Id="rId338" Type="http://schemas.openxmlformats.org/officeDocument/2006/relationships/hyperlink" Target="https://drive.google.com/file/d/1qy5CIs2DLBor6rfV7FyQdcU_rAC9BNs9/view?usp=sharing" TargetMode="External"/><Relationship Id="rId503" Type="http://schemas.openxmlformats.org/officeDocument/2006/relationships/hyperlink" Target="https://docs.google.com/presentation/d/1h_5H4tuIV220khnnRXqC4PBbEaaTYNM-2EOqE5B0PeU/edit?usp=sharing" TargetMode="External"/><Relationship Id="rId545" Type="http://schemas.openxmlformats.org/officeDocument/2006/relationships/hyperlink" Target="https://docs.google.com/presentation/d/1vAhwT1AkuOioPQb7SrnNFi9TBBgPwus4TXQ2lmSPVmM/edit?usp=sharing" TargetMode="External"/><Relationship Id="rId587" Type="http://schemas.openxmlformats.org/officeDocument/2006/relationships/hyperlink" Target="https://docs.google.com/presentation/d/15RuqregrhPCqhpctaGxvbtZAptnm49TLgh5DoOJqiHc/edit?usp=sharing" TargetMode="External"/><Relationship Id="rId710" Type="http://schemas.openxmlformats.org/officeDocument/2006/relationships/hyperlink" Target="https://docs.google.com/presentation/d/104W1TB_q6x4ZIZM5chXr_7XhvymljodjpGAofexf1UE/edit?usp=sharing" TargetMode="External"/><Relationship Id="rId752" Type="http://schemas.openxmlformats.org/officeDocument/2006/relationships/hyperlink" Target="https://docs.google.com/presentation/d/1clxTkQ0-lNNw1Poj9PRLw783PJz6sYcO_lSCiVfO5Ws/edit?usp=sharing" TargetMode="External"/><Relationship Id="rId808" Type="http://schemas.openxmlformats.org/officeDocument/2006/relationships/hyperlink" Target="https://docs.google.com/presentation/d/16r3R3lZNH32Uq6UPt1HXtRz-oJ_WWaAaMLO7v0UgGjE/edit?usp=sharing" TargetMode="External"/><Relationship Id="rId8" Type="http://schemas.openxmlformats.org/officeDocument/2006/relationships/hyperlink" Target="https://docs.google.com/presentation/d/1bzcaTgmgbTV6BtCJaVQDPPo1Zo4vZebSIp5dnOImdA8/edit?usp=sharing" TargetMode="External"/><Relationship Id="rId142" Type="http://schemas.openxmlformats.org/officeDocument/2006/relationships/hyperlink" Target="https://docs.google.com/presentation/d/1Sqpo_IhjWYgTESpik1jhWTaEQq1M0Og18UAR5BRn1mY/edit?usp=sharing" TargetMode="External"/><Relationship Id="rId184" Type="http://schemas.openxmlformats.org/officeDocument/2006/relationships/hyperlink" Target="https://docs.google.com/presentation/d/14KLuRtjIkyrD_l21Tdm580VIxLdUnjlTOuUbLwQshKo/edit?usp=sharing" TargetMode="External"/><Relationship Id="rId391" Type="http://schemas.openxmlformats.org/officeDocument/2006/relationships/hyperlink" Target="https://docs.google.com/presentation/d/1ulI9NlikPBlBW_HLYwAITeV0w8sznGHpYmtD0WimFv8/edit?usp=sharing" TargetMode="External"/><Relationship Id="rId405" Type="http://schemas.openxmlformats.org/officeDocument/2006/relationships/hyperlink" Target="https://docs.google.com/presentation/d/1mxs6e_LqQAmiLxACvLowHy7qf7e9Nw0dHgYYc4XRugA/edit?usp=sharing" TargetMode="External"/><Relationship Id="rId447" Type="http://schemas.openxmlformats.org/officeDocument/2006/relationships/hyperlink" Target="https://docs.google.com/presentation/d/1bdFr8fopz0Puv0DSTGrZVARG2pxlvAATUpwc_H46T9w/edit?usp=sharing" TargetMode="External"/><Relationship Id="rId612" Type="http://schemas.openxmlformats.org/officeDocument/2006/relationships/hyperlink" Target="https://docs.google.com/presentation/d/18Ij5PE5uujmkxI1kj5o8J2EORP7El5hVPh7Xw0O2PS8/edit?usp=sharing" TargetMode="External"/><Relationship Id="rId794" Type="http://schemas.openxmlformats.org/officeDocument/2006/relationships/hyperlink" Target="https://docs.google.com/presentation/d/1rUewFhZdRrXOrV0MYqpbtxtuH5RKaR_3VURkbiiNF0o/edit?usp=sharing" TargetMode="External"/><Relationship Id="rId251" Type="http://schemas.openxmlformats.org/officeDocument/2006/relationships/hyperlink" Target="https://docs.google.com/presentation/d/1CoNKBZ-z_LTwgbSmZaAB1Dhb92yAVRz4AoZQ1WBGZlU/edit?usp=sharing" TargetMode="External"/><Relationship Id="rId489" Type="http://schemas.openxmlformats.org/officeDocument/2006/relationships/hyperlink" Target="https://docs.google.com/presentation/d/1JZxHqrCkr2I202ixGFzLLIwlaaY1q5UdAiITNapE7LU/edit?usp=sharing" TargetMode="External"/><Relationship Id="rId654" Type="http://schemas.openxmlformats.org/officeDocument/2006/relationships/hyperlink" Target="https://docs.google.com/presentation/d/1XhLqGM6GzQ9eig7HBcykCyAXsnhfKMm8Vk41hz-0FCY/edit?usp=sharing" TargetMode="External"/><Relationship Id="rId696" Type="http://schemas.openxmlformats.org/officeDocument/2006/relationships/hyperlink" Target="https://docs.google.com/presentation/d/1ixjmt6MHMvL68z62B9FnilcMWdyZM3qwNQ99ZXSp1FE/edit?usp=sharing" TargetMode="External"/><Relationship Id="rId46" Type="http://schemas.openxmlformats.org/officeDocument/2006/relationships/hyperlink" Target="https://docs.google.com/presentation/d/1TU8AY4OBckXaScIXyWq2gbphwWCkpIptek8k-93DDsA/edit?usp=share_link" TargetMode="External"/><Relationship Id="rId293" Type="http://schemas.openxmlformats.org/officeDocument/2006/relationships/hyperlink" Target="https://docs.google.com/presentation/d/1kAyhxPoQuf--h0t2njx6Dn76iPDZDsMQuQPng5O0VJ4/edit?usp=sharing" TargetMode="External"/><Relationship Id="rId307" Type="http://schemas.openxmlformats.org/officeDocument/2006/relationships/hyperlink" Target="https://docs.google.com/presentation/d/1AoS85-R9fj_6r-MWYU7JyYundTsnOnr-9GwvBhejQwI/edit?usp=sharing" TargetMode="External"/><Relationship Id="rId349" Type="http://schemas.openxmlformats.org/officeDocument/2006/relationships/hyperlink" Target="https://docs.google.com/presentation/d/1yGxubbKu4WrPTOQ2ka84TPWAlWpullEYcy7YlVfA1t4/edit?usp=sharing" TargetMode="External"/><Relationship Id="rId514" Type="http://schemas.openxmlformats.org/officeDocument/2006/relationships/hyperlink" Target="https://docs.google.com/presentation/d/1OrL5U-zasofiXH6ccY5ePiHg2Pc_EbnRg6DeLN4_tFs/edit?usp=sharing" TargetMode="External"/><Relationship Id="rId556" Type="http://schemas.openxmlformats.org/officeDocument/2006/relationships/hyperlink" Target="https://docs.google.com/presentation/d/1HIqRTOOQjuCoOBpyt0sVyH79QbSHKEshTKS8PgyqxBw/edit?usp=sharing" TargetMode="External"/><Relationship Id="rId721" Type="http://schemas.openxmlformats.org/officeDocument/2006/relationships/hyperlink" Target="https://docs.google.com/presentation/d/1JdlVNAgxm1GFbq9G1HvCkk9CejFK11Tt40sM1yJmIpM/edit?usp=sharing" TargetMode="External"/><Relationship Id="rId763" Type="http://schemas.openxmlformats.org/officeDocument/2006/relationships/hyperlink" Target="https://docs.google.com/presentation/d/15k1sCVZ6NBmkbCzL37QCYwC8M2SWO3SOpQyNMnQFI8E/edit?usp=sharing" TargetMode="External"/><Relationship Id="rId88" Type="http://schemas.openxmlformats.org/officeDocument/2006/relationships/hyperlink" Target="https://docs.google.com/presentation/d/1agCfUHcYNLiIKA_LCX0YETsiGNiXc5JjY-Yk67hPwyA/edit?usp=sharing" TargetMode="External"/><Relationship Id="rId111" Type="http://schemas.openxmlformats.org/officeDocument/2006/relationships/hyperlink" Target="https://docs.google.com/presentation/d/16d4O9aGp9mGejR02o22vQW8gLKvWjnjIERjPJxzIA0U/edit?usp=sharing" TargetMode="External"/><Relationship Id="rId153" Type="http://schemas.openxmlformats.org/officeDocument/2006/relationships/hyperlink" Target="https://docs.google.com/presentation/d/1ERXwVjbOu8KDWYfMx8JV78m7Vkhqv96e/edit?usp=share_link&amp;ouid=107295466553034241104&amp;rtpof=true&amp;sd=true" TargetMode="External"/><Relationship Id="rId195" Type="http://schemas.openxmlformats.org/officeDocument/2006/relationships/hyperlink" Target="https://docs.google.com/presentation/d/1CaLAuVfPJWm-AJmbbrEjiC9jI8aKGpFN7_LMaT8XcWs/edit?usp=sharing" TargetMode="External"/><Relationship Id="rId209" Type="http://schemas.openxmlformats.org/officeDocument/2006/relationships/hyperlink" Target="https://docs.google.com/presentation/d/1gBHjBhbwfXQ5WolgLr3Yf51mumruw2-3tpGBtPeBcoE/edit?usp=sharing" TargetMode="External"/><Relationship Id="rId360" Type="http://schemas.openxmlformats.org/officeDocument/2006/relationships/hyperlink" Target="https://docs.google.com/presentation/d/1Ezi3C2187w7SqB2E-eSXlUbYutTWSfcGDv-y3Bmuloc/edit?usp=share_link" TargetMode="External"/><Relationship Id="rId416" Type="http://schemas.openxmlformats.org/officeDocument/2006/relationships/hyperlink" Target="https://docs.google.com/presentation/d/15Wft2lXJQWFqnJHS7bqfH3zAz8fZmkPnUabq103k7sc/edit?usp=sharing" TargetMode="External"/><Relationship Id="rId598" Type="http://schemas.openxmlformats.org/officeDocument/2006/relationships/hyperlink" Target="https://docs.google.com/presentation/d/1NT3OATNcvZSLkWz43dkkIG_3fY4Ur0jLA0t5usnTeA0/edit?usp=sharing" TargetMode="External"/><Relationship Id="rId819" Type="http://schemas.openxmlformats.org/officeDocument/2006/relationships/hyperlink" Target="https://docs.google.com/presentation/d/1gyxNpL44bHBFxzIUfD4ilIffY0qlVFKz04P5ngt_Wf0/edit?usp=sharing" TargetMode="External"/><Relationship Id="rId220" Type="http://schemas.openxmlformats.org/officeDocument/2006/relationships/hyperlink" Target="https://docs.google.com/presentation/d/1DhPczgBi5DiYr9WK2wq-GQ96IlJFmqzKU7veiSgwC00/edit?usp=sharing" TargetMode="External"/><Relationship Id="rId458" Type="http://schemas.openxmlformats.org/officeDocument/2006/relationships/hyperlink" Target="https://docs.google.com/presentation/d/1VYH279cZnIRMGqYhppSkp0kXlZpWN1QieNhBiBZaJpQ/edit?usp=sharing" TargetMode="External"/><Relationship Id="rId623" Type="http://schemas.openxmlformats.org/officeDocument/2006/relationships/hyperlink" Target="https://docs.google.com/presentation/d/1yJeRl1Xfl0A5khuGmI4w_KDdb8haBjh2EVfKs6L-yHY/edit?usp=sharing" TargetMode="External"/><Relationship Id="rId665" Type="http://schemas.openxmlformats.org/officeDocument/2006/relationships/hyperlink" Target="https://docs.google.com/presentation/d/1ubQIJ841aVO4I9UQRVvNkE8NVAk3r5w7t4wf8y1xHxM/edit?usp=sharing" TargetMode="External"/><Relationship Id="rId830" Type="http://schemas.openxmlformats.org/officeDocument/2006/relationships/hyperlink" Target="https://docs.google.com/presentation/d/1hbzda74F5xwcaYAASBvUSIuMTd3mAngpoeQGXpDnVYI/edit?usp=sharing" TargetMode="External"/><Relationship Id="rId15" Type="http://schemas.openxmlformats.org/officeDocument/2006/relationships/hyperlink" Target="https://docs.google.com/presentation/d/1jYbpxx6VgFcFKEslQ82DPJo9MouuiycXPCKFnyDnCAk/edit?usp=sharing" TargetMode="External"/><Relationship Id="rId57" Type="http://schemas.openxmlformats.org/officeDocument/2006/relationships/hyperlink" Target="https://docs.google.com/presentation/d/1BC0VpFpiQl0qzrA1iVEQYhHeYDd1PAZOMp-x5B421a8/edit?usp=share_link" TargetMode="External"/><Relationship Id="rId262" Type="http://schemas.openxmlformats.org/officeDocument/2006/relationships/hyperlink" Target="https://docs.google.com/presentation/d/1w7G5YHpu_CvHz3Ya7nnHOMuKJMdILE6AnmZlKjXAsDg/edit?usp=sharing" TargetMode="External"/><Relationship Id="rId318" Type="http://schemas.openxmlformats.org/officeDocument/2006/relationships/hyperlink" Target="https://docs.google.com/presentation/d/10wp08WAmNU2FxVvhtXJBl7Ly8iAxLOF3FHIRPojXknc/edit?usp=sharing" TargetMode="External"/><Relationship Id="rId525" Type="http://schemas.openxmlformats.org/officeDocument/2006/relationships/hyperlink" Target="https://docs.google.com/presentation/d/1gSC0q0Ty8M5YKScU2NCiWwIrZrq14fAjFYT_RigDB8w/edit?usp=sharing" TargetMode="External"/><Relationship Id="rId567" Type="http://schemas.openxmlformats.org/officeDocument/2006/relationships/hyperlink" Target="https://docs.google.com/presentation/d/1mLTgFNAvCRfNn7rigX3Y05tlAsKsQG2NamCKQIG8GIs/edit?usp=sharing" TargetMode="External"/><Relationship Id="rId732" Type="http://schemas.openxmlformats.org/officeDocument/2006/relationships/hyperlink" Target="https://docs.google.com/presentation/d/1WW3Tt6AvLU_31ExKcvP-e0TFU2lFjFH4TzrvwovjJDo/edit?usp=sharing" TargetMode="External"/><Relationship Id="rId99" Type="http://schemas.openxmlformats.org/officeDocument/2006/relationships/hyperlink" Target="https://docs.google.com/presentation/d/1JSPdJcQxllkFA7L0rRUgD1KFm5_eRAWvhfNeIuFcu-Q/edit?usp=share_link" TargetMode="External"/><Relationship Id="rId122" Type="http://schemas.openxmlformats.org/officeDocument/2006/relationships/hyperlink" Target="https://docs.google.com/presentation/d/15UZ43ioMeLLIPf7jDuVLUptEvck_ZWDMHBM7UiiDreY/edit?usp=sharing" TargetMode="External"/><Relationship Id="rId164" Type="http://schemas.openxmlformats.org/officeDocument/2006/relationships/hyperlink" Target="https://docs.google.com/presentation/d/18G6l5fcmaZr779uRy2usqS8kKr9GIglLUDdran4ODJA/edit?usp=share_link" TargetMode="External"/><Relationship Id="rId371" Type="http://schemas.openxmlformats.org/officeDocument/2006/relationships/hyperlink" Target="https://docs.google.com/presentation/d/1cl3MuOpFZV4zaGrqj4MdKIwUX8COAvJo/edit?usp=share_link&amp;ouid=107295466553034241104&amp;rtpof=true&amp;sd=true" TargetMode="External"/><Relationship Id="rId774" Type="http://schemas.openxmlformats.org/officeDocument/2006/relationships/hyperlink" Target="https://docs.google.com/presentation/d/107n0D-2q5u6-R0iWbo2a0atyQwR5UKulJ4xtLoBSzJQ/edit?usp=sharing" TargetMode="External"/><Relationship Id="rId427" Type="http://schemas.openxmlformats.org/officeDocument/2006/relationships/hyperlink" Target="https://docs.google.com/presentation/d/1DRAGIkHwE8djWq_BKrmUEpTe8N1iZyhCxgDiXdX8UFc/edit?usp=sharing" TargetMode="External"/><Relationship Id="rId469" Type="http://schemas.openxmlformats.org/officeDocument/2006/relationships/hyperlink" Target="https://docs.google.com/presentation/d/1PjBfVK2EPJcc48RkVEjpCL5b9pVZ12JfZAsbFKTVU-M/edit?usp=sharing" TargetMode="External"/><Relationship Id="rId634" Type="http://schemas.openxmlformats.org/officeDocument/2006/relationships/hyperlink" Target="https://docs.google.com/presentation/d/1StzP4mfq3JPuCpWRVlpikhqmzWcTwOnPmmO1AcrDxz4/edit?usp=sharing" TargetMode="External"/><Relationship Id="rId676" Type="http://schemas.openxmlformats.org/officeDocument/2006/relationships/hyperlink" Target="https://docs.google.com/presentation/d/10LI6bjbDxhIPOYpxMnz0i4S48QJHAu-5/edit?usp=sharing&amp;ouid=115933524328626273134&amp;rtpof=true&amp;sd=true" TargetMode="External"/><Relationship Id="rId841" Type="http://schemas.openxmlformats.org/officeDocument/2006/relationships/hyperlink" Target="https://docs.google.com/presentation/d/1UnfgtHz3RGp-E8_DGRGWYq7w3VGAREHf2PWTXJBFe84/edit?usp=sharing" TargetMode="External"/><Relationship Id="rId26" Type="http://schemas.openxmlformats.org/officeDocument/2006/relationships/hyperlink" Target="https://docs.google.com/presentation/d/1ycwiazGNkAYUjHH5dLiF18WdbcR7IO4iEL4z7xwMqAs/edit?usp=sharing" TargetMode="External"/><Relationship Id="rId231" Type="http://schemas.openxmlformats.org/officeDocument/2006/relationships/hyperlink" Target="https://docs.google.com/presentation/d/1ABjffQ_R0GTzvjqg-XX7vKcdKqLalO-a23gZKx7O8uQ/edit?usp=sharing" TargetMode="External"/><Relationship Id="rId273" Type="http://schemas.openxmlformats.org/officeDocument/2006/relationships/hyperlink" Target="https://docs.google.com/presentation/d/1BS-DPcDUD91HAptfKiH4r49ez3a6w_os/edit?usp=sharing&amp;ouid=107295466553034241104&amp;rtpof=true&amp;sd=true" TargetMode="External"/><Relationship Id="rId329" Type="http://schemas.openxmlformats.org/officeDocument/2006/relationships/hyperlink" Target="https://docs.google.com/presentation/d/1h1T1MNYGgjfDMsTZYRhj0IX820Vt0PcW3fI_ONrPoc8/edit?usp=sharing" TargetMode="External"/><Relationship Id="rId480" Type="http://schemas.openxmlformats.org/officeDocument/2006/relationships/hyperlink" Target="https://docs.google.com/presentation/d/14KygONQASvR-A8nQaTsx-L9fXysS5XijqYb4n_wzMFM/edit?usp=sharing" TargetMode="External"/><Relationship Id="rId536" Type="http://schemas.openxmlformats.org/officeDocument/2006/relationships/hyperlink" Target="https://docs.google.com/presentation/d/1-HonPG1WKm2HVgOIcs4gzSawAKHtBjTwUAP5ql4kp9c/edit?usp=sharing" TargetMode="External"/><Relationship Id="rId701" Type="http://schemas.openxmlformats.org/officeDocument/2006/relationships/hyperlink" Target="https://docs.google.com/presentation/d/1zxjXmIoa5ABJ0RsF2CtcTP5Ip1iW1JxDR64bpaiSNYE/edit?usp=sharing" TargetMode="External"/><Relationship Id="rId68" Type="http://schemas.openxmlformats.org/officeDocument/2006/relationships/hyperlink" Target="https://docs.google.com/presentation/d/18vII77wlS9C6Y2_gWzSDwEPuLKLeUfP4faDEQhHM5pc/edit?usp=share_link" TargetMode="External"/><Relationship Id="rId133" Type="http://schemas.openxmlformats.org/officeDocument/2006/relationships/hyperlink" Target="https://docs.google.com/presentation/d/1DjgelFAC9CTd4oAEBZR9H6rUV2IBTm3nSxCG2JokDDo/edit?usp=sharing" TargetMode="External"/><Relationship Id="rId175" Type="http://schemas.openxmlformats.org/officeDocument/2006/relationships/hyperlink" Target="https://docs.google.com/presentation/d/1ZLAG6G_el8WOS7bI5WJLEG-cfii7VcAK/edit?usp=sharing&amp;ouid=107295466553034241104&amp;rtpof=true&amp;sd=true" TargetMode="External"/><Relationship Id="rId340" Type="http://schemas.openxmlformats.org/officeDocument/2006/relationships/hyperlink" Target="https://docs.google.com/presentation/d/1ZmB40hOSdfSFjwgqm9L66Qo80Va_joyOO2nNPtBFbrU/edit?usp=share_link" TargetMode="External"/><Relationship Id="rId578" Type="http://schemas.openxmlformats.org/officeDocument/2006/relationships/hyperlink" Target="https://docs.google.com/presentation/d/1eyXTxuOSDB6u1e6KhPeeeNHXdWq1ZRG6moVLTWEJjFQ/edit?usp=sharing" TargetMode="External"/><Relationship Id="rId743" Type="http://schemas.openxmlformats.org/officeDocument/2006/relationships/hyperlink" Target="https://docs.google.com/presentation/d/1-mbcGikKdHPzVBGYeNVbogn791fu89XZcQSFaJQciyY/edit?usp=sharing" TargetMode="External"/><Relationship Id="rId785" Type="http://schemas.openxmlformats.org/officeDocument/2006/relationships/hyperlink" Target="https://docs.google.com/presentation/d/1YaqWesEevC5NvkoHbzkyse_yaxEU6eFhhNV6jyFxexI/edit?usp=sharing" TargetMode="External"/><Relationship Id="rId200" Type="http://schemas.openxmlformats.org/officeDocument/2006/relationships/hyperlink" Target="https://docs.google.com/presentation/d/1MMQrcWYAdaULfy1EsQUviL-IuCS3s-rDf-p2WOdezwI/edit?usp=sharing" TargetMode="External"/><Relationship Id="rId382" Type="http://schemas.openxmlformats.org/officeDocument/2006/relationships/hyperlink" Target="https://docs.google.com/presentation/d/1URO_nAJ-2R3rEeyo9PBb05o1opI_gqnjysH9V01rdXU/edit?usp=sharing" TargetMode="External"/><Relationship Id="rId438" Type="http://schemas.openxmlformats.org/officeDocument/2006/relationships/hyperlink" Target="https://docs.google.com/presentation/d/1JdpkrnW796cesq6XjcWWf87NzsiQ5zVarAQXtUwBdQ4/edit?usp=sharing" TargetMode="External"/><Relationship Id="rId603" Type="http://schemas.openxmlformats.org/officeDocument/2006/relationships/hyperlink" Target="https://docs.google.com/presentation/d/18k-EChZMXAuFxEwzMeu9x9V5v-Q2gKeMwY7yJDPD7PA/edit?usp=sharing" TargetMode="External"/><Relationship Id="rId645" Type="http://schemas.openxmlformats.org/officeDocument/2006/relationships/hyperlink" Target="https://docs.google.com/presentation/d/1b5XcMF-VtZfpviFnolb1dNk2MhKdCxZwpFmJIUyBsEI/edit?usp=sharing" TargetMode="External"/><Relationship Id="rId687" Type="http://schemas.openxmlformats.org/officeDocument/2006/relationships/hyperlink" Target="https://docs.google.com/presentation/d/1mORFoPME_4in-zyyda-j80V28-NbMCHpSR7J6cFF1AI/edit?usp=sharing" TargetMode="External"/><Relationship Id="rId810" Type="http://schemas.openxmlformats.org/officeDocument/2006/relationships/hyperlink" Target="https://docs.google.com/presentation/d/1NC7EpGH-v0wCw8HXAJ1n9DijgulXdekVw6KiMdnGroI/edit?usp=sharing" TargetMode="External"/><Relationship Id="rId852" Type="http://schemas.openxmlformats.org/officeDocument/2006/relationships/hyperlink" Target="https://docs.google.com/presentation/d/1zSGZFG93uDIp88w5ClSU_VofuLgrNQx4yF8qgIb5oy8/edit?usp=sharing" TargetMode="External"/><Relationship Id="rId242" Type="http://schemas.openxmlformats.org/officeDocument/2006/relationships/hyperlink" Target="https://docs.google.com/presentation/d/1ElLnHi3_COAo7WkGhkOKb3Q4vSK9gj_F0WhpZq2CE8E/edit?usp=sharing" TargetMode="External"/><Relationship Id="rId284" Type="http://schemas.openxmlformats.org/officeDocument/2006/relationships/hyperlink" Target="https://docs.google.com/presentation/d/1IcNSM8svkQd1NN6lSa8Cy1wsDD1SIE3Tc1pkZIbctzE/edit?usp=sharing" TargetMode="External"/><Relationship Id="rId491" Type="http://schemas.openxmlformats.org/officeDocument/2006/relationships/hyperlink" Target="https://docs.google.com/presentation/d/1R6ne6mboVbRXbAdciuVnFeF9PB606-dn/edit?usp=sharing&amp;ouid=107295466553034241104&amp;rtpof=true&amp;sd=true" TargetMode="External"/><Relationship Id="rId505" Type="http://schemas.openxmlformats.org/officeDocument/2006/relationships/hyperlink" Target="https://docs.google.com/presentation/d/14pdbDsnGAh6TB9-0pM1lDGpMtzhQqYeefmQyjqSUn4w/edit?usp=sharing" TargetMode="External"/><Relationship Id="rId712" Type="http://schemas.openxmlformats.org/officeDocument/2006/relationships/hyperlink" Target="https://docs.google.com/presentation/d/1EK_9HXAMWRdRaASKUzC84waY3i8Zj9aTbOMCMzfTBys/edit?usp=sharing" TargetMode="External"/><Relationship Id="rId37" Type="http://schemas.openxmlformats.org/officeDocument/2006/relationships/hyperlink" Target="https://docs.google.com/presentation/d/1smxyip8g6qrp_3KA-cJr-2s3_zVZ-KfKAgBZGRrZB34/edit?usp=sharing" TargetMode="External"/><Relationship Id="rId79" Type="http://schemas.openxmlformats.org/officeDocument/2006/relationships/hyperlink" Target="https://docs.google.com/presentation/d/1OoSOhPXD-KBR9RgdDfXjsPd0WyXbjpwvxUi9nTSaDDk/edit?usp=sharing" TargetMode="External"/><Relationship Id="rId102" Type="http://schemas.openxmlformats.org/officeDocument/2006/relationships/hyperlink" Target="https://docs.google.com/presentation/d/14pyhLaFAHjvEXG1Xf5DfkLlSnbzHyi066xMSPEwhsHM/edit?usp=sharing" TargetMode="External"/><Relationship Id="rId144" Type="http://schemas.openxmlformats.org/officeDocument/2006/relationships/hyperlink" Target="https://docs.google.com/presentation/d/1jbfShmnEfPpQxE4Kw0DeUPTzpKQjeiA6/edit?usp=sharing&amp;ouid=107295466553034241104&amp;rtpof=true&amp;sd=true" TargetMode="External"/><Relationship Id="rId547" Type="http://schemas.openxmlformats.org/officeDocument/2006/relationships/hyperlink" Target="https://docs.google.com/presentation/d/1jI9E6tXTrPXHxFv4rnbO8nUAqwNiwN0_D1OTyVA6-iE/edit?usp=sharing" TargetMode="External"/><Relationship Id="rId589" Type="http://schemas.openxmlformats.org/officeDocument/2006/relationships/hyperlink" Target="https://docs.google.com/presentation/d/1nyYZWuRoSEvbCmo5j6Tyae9KYvq60xd9NJ4jm8KQo8Y/edit?usp=sharing" TargetMode="External"/><Relationship Id="rId754" Type="http://schemas.openxmlformats.org/officeDocument/2006/relationships/hyperlink" Target="https://docs.google.com/presentation/d/100r6lly8BcXpsLIsEN_4YIOsAuJDl68SuHJuywTBUjw/edit?usp=sharing" TargetMode="External"/><Relationship Id="rId796" Type="http://schemas.openxmlformats.org/officeDocument/2006/relationships/hyperlink" Target="https://docs.google.com/presentation/d/1nSqNnqTnp3hzVFhr4E6EdRNaTeq20mxbID8kCVEr3IM/edit?usp=sharing" TargetMode="External"/><Relationship Id="rId90" Type="http://schemas.openxmlformats.org/officeDocument/2006/relationships/hyperlink" Target="https://docs.google.com/presentation/d/1PzfKfCHP3ymXeq78a-yaOBqFKUgM_ytHdi8HTzyK0ic/edit?usp=sharing" TargetMode="External"/><Relationship Id="rId186" Type="http://schemas.openxmlformats.org/officeDocument/2006/relationships/hyperlink" Target="https://docs.google.com/presentation/d/1l_gVcvnDwoYl3KSTjnIhkejbTis7JNKWfENGsXP7n78/edit?usp=sharing" TargetMode="External"/><Relationship Id="rId351" Type="http://schemas.openxmlformats.org/officeDocument/2006/relationships/hyperlink" Target="https://docs.google.com/presentation/d/1zVUsOpRsl7KcvoUwIlIMJl6sO9zMGVGLH3s6NoQbd6Q/edit?usp=sharing" TargetMode="External"/><Relationship Id="rId393" Type="http://schemas.openxmlformats.org/officeDocument/2006/relationships/hyperlink" Target="https://docs.google.com/presentation/d/12JisTdeRzNCXI9r5tniQxAcqpY5jkaMZkyxmh1Ql_xA/edit?usp=sharing" TargetMode="External"/><Relationship Id="rId407" Type="http://schemas.openxmlformats.org/officeDocument/2006/relationships/hyperlink" Target="https://docs.google.com/presentation/d/1PDwXt-7A8fRhXeFfVmYfgHNy15cGz_HTcWEqqHXp51A/edit?usp=sharing" TargetMode="External"/><Relationship Id="rId449" Type="http://schemas.openxmlformats.org/officeDocument/2006/relationships/hyperlink" Target="https://docs.google.com/presentation/d/1ff7AO7RkpIoNIYMdgXY_3gaUKdw-tpxGUEXxCh0NZZg/edit?usp=sharing" TargetMode="External"/><Relationship Id="rId614" Type="http://schemas.openxmlformats.org/officeDocument/2006/relationships/hyperlink" Target="https://docs.google.com/presentation/d/1gxXb0wPILLSiewtfm1d2gxON9H2zgule4n_qkZCmYqc/edit?usp=sharing" TargetMode="External"/><Relationship Id="rId656" Type="http://schemas.openxmlformats.org/officeDocument/2006/relationships/hyperlink" Target="https://docs.google.com/presentation/d/1K1qjGhhEmlgC2MpnIpkB0oJZnOBW-dXjXSzx9SmP3Hw/edit?usp=sharing" TargetMode="External"/><Relationship Id="rId821" Type="http://schemas.openxmlformats.org/officeDocument/2006/relationships/hyperlink" Target="https://docs.google.com/presentation/d/1xdehMdllJ4TKoqd4RsXH5xH4CkZwGj8zRJD6l-V24nk/edit?usp=sharing" TargetMode="External"/><Relationship Id="rId211" Type="http://schemas.openxmlformats.org/officeDocument/2006/relationships/hyperlink" Target="https://docs.google.com/presentation/d/1oQwPfqKIjzboLfpGjaCHi_5v51k-aTc4Kbaygy8NFJY/edit?usp=sharing" TargetMode="External"/><Relationship Id="rId253" Type="http://schemas.openxmlformats.org/officeDocument/2006/relationships/hyperlink" Target="https://docs.google.com/presentation/d/1jmv-04dSCs9V4fjUAipuajvvcwXqbZwS56xUBWwFBHs/edit?usp=sharing" TargetMode="External"/><Relationship Id="rId295" Type="http://schemas.openxmlformats.org/officeDocument/2006/relationships/hyperlink" Target="https://docs.google.com/presentation/d/1ZF5dOqT72zB11aAChQYny52MtXRFQC0M/edit?usp=sharing&amp;ouid=107295466553034241104&amp;rtpof=true&amp;sd=true" TargetMode="External"/><Relationship Id="rId309" Type="http://schemas.openxmlformats.org/officeDocument/2006/relationships/hyperlink" Target="https://docs.google.com/presentation/d/1uGC-EhbOuBM2Uq71PHvYsTDcnC5j_LtEqaE8VL226Pk/edit?usp=sharing" TargetMode="External"/><Relationship Id="rId460" Type="http://schemas.openxmlformats.org/officeDocument/2006/relationships/hyperlink" Target="https://docs.google.com/presentation/d/10_Pi7vkZu_uKt7lZmqxnevYo9s6Px03p/edit?usp=share_link&amp;ouid=107295466553034241104&amp;rtpof=true&amp;sd=true" TargetMode="External"/><Relationship Id="rId516" Type="http://schemas.openxmlformats.org/officeDocument/2006/relationships/hyperlink" Target="https://docs.google.com/presentation/d/1qAvIjzw3oQ3OAJUPv4azrUexm9fcHamTfx7yTTE8-Bg/edit?usp=sharing" TargetMode="External"/><Relationship Id="rId698" Type="http://schemas.openxmlformats.org/officeDocument/2006/relationships/hyperlink" Target="https://docs.google.com/presentation/d/1oYRpNDGHXFrQgBKRlYe-bkwd942BULGYIyJTwmOPPu4/edit?usp=sharing" TargetMode="External"/><Relationship Id="rId48" Type="http://schemas.openxmlformats.org/officeDocument/2006/relationships/hyperlink" Target="https://docs.google.com/presentation/d/1JTo_FFFyy1N42KLcNRkW-4yBMZ7I6HiEiuV-Fnz0F48/edit?usp=share_link" TargetMode="External"/><Relationship Id="rId113" Type="http://schemas.openxmlformats.org/officeDocument/2006/relationships/hyperlink" Target="https://docs.google.com/presentation/d/1gwCNEcyWp7Ngwm8MrngVDXVkHxvEpo5SFUlBAdbcNZA/edit?usp=sharing" TargetMode="External"/><Relationship Id="rId320" Type="http://schemas.openxmlformats.org/officeDocument/2006/relationships/hyperlink" Target="https://docs.google.com/presentation/d/1PFfJO3MiT-qVIEplqSObWeWAeaXgW2j03cd9ucykfz4/edit?usp=sharing" TargetMode="External"/><Relationship Id="rId558" Type="http://schemas.openxmlformats.org/officeDocument/2006/relationships/hyperlink" Target="https://docs.google.com/presentation/d/1Flzgs6CLy7K_mPnjG6jpZOlcCX2xuX9C5fHubfTzIvQ/edit?usp=sharing" TargetMode="External"/><Relationship Id="rId723" Type="http://schemas.openxmlformats.org/officeDocument/2006/relationships/hyperlink" Target="https://docs.google.com/presentation/d/1puuKMFfbQHytJb5ZBH7Khr13QV8RU1Xe3RVpKVROKgI/edit?usp=sharing" TargetMode="External"/><Relationship Id="rId765" Type="http://schemas.openxmlformats.org/officeDocument/2006/relationships/hyperlink" Target="https://docs.google.com/presentation/d/1szsfaEOCn9s3ebdX9lQKQ6s9WU5ckEGHReuVlhJFNUU/edit?usp=sharing" TargetMode="External"/><Relationship Id="rId155" Type="http://schemas.openxmlformats.org/officeDocument/2006/relationships/hyperlink" Target="https://docs.google.com/presentation/d/1qVKwY3vKaT5IrQ14emdlNg362klrna9eSzgsDzUfksg/edit?usp=sharing" TargetMode="External"/><Relationship Id="rId197" Type="http://schemas.openxmlformats.org/officeDocument/2006/relationships/hyperlink" Target="https://docs.google.com/presentation/d/1Eavzb8YLkP4hUQjhfz2172qz_479Gf7D/edit?usp=sharing&amp;ouid=107295466553034241104&amp;rtpof=true&amp;sd=true" TargetMode="External"/><Relationship Id="rId362" Type="http://schemas.openxmlformats.org/officeDocument/2006/relationships/hyperlink" Target="https://docs.google.com/presentation/d/1qLOHJYli95Hz-h8QIxR8Os8BG2VWWt0j/edit?usp=sharing&amp;ouid=107295466553034241104&amp;rtpof=true&amp;sd=true" TargetMode="External"/><Relationship Id="rId418" Type="http://schemas.openxmlformats.org/officeDocument/2006/relationships/hyperlink" Target="https://docs.google.com/presentation/d/1LCuXNkb4s_eVMhTGraq60Po4UvguijE3jtIHXR5gjUc/edit?usp=share_link" TargetMode="External"/><Relationship Id="rId625" Type="http://schemas.openxmlformats.org/officeDocument/2006/relationships/hyperlink" Target="https://docs.google.com/presentation/d/1pa-cmqepsgHg_uJVKtRv4iV9CJ8mQX93p37-e7u9cNU/edit?usp=sharing" TargetMode="External"/><Relationship Id="rId832" Type="http://schemas.openxmlformats.org/officeDocument/2006/relationships/hyperlink" Target="https://docs.google.com/presentation/d/1kfp6irRSS3RzfQYC4UAwI7FYzQT2tQCTDYrvrS19J2I/edit?usp=sharing" TargetMode="External"/><Relationship Id="rId222" Type="http://schemas.openxmlformats.org/officeDocument/2006/relationships/hyperlink" Target="https://docs.google.com/presentation/d/1dM0ZNpuxlH8tdfjaA2R1-IWIJASBQqGTNitpFyK61uo/edit?usp=sharing" TargetMode="External"/><Relationship Id="rId264" Type="http://schemas.openxmlformats.org/officeDocument/2006/relationships/hyperlink" Target="https://docs.google.com/presentation/d/1ccaGiupyLB59N6rPU_MSuKjW5fv5j4EFFGiGOG3nT8I/edit?usp=sharing" TargetMode="External"/><Relationship Id="rId471" Type="http://schemas.openxmlformats.org/officeDocument/2006/relationships/hyperlink" Target="https://docs.google.com/presentation/d/1o-pqAjS1JuYn59Mqoo797O0-rQSnmN-OKvV-DVFqUVw/edit?usp=sharing" TargetMode="External"/><Relationship Id="rId667" Type="http://schemas.openxmlformats.org/officeDocument/2006/relationships/hyperlink" Target="https://docs.google.com/presentation/d/1rP4sYKsMqIzYMP7LzId7jw8UlpTzSsIvhH8rImnx_l0/edit?usp=sharing" TargetMode="External"/><Relationship Id="rId17" Type="http://schemas.openxmlformats.org/officeDocument/2006/relationships/hyperlink" Target="https://docs.google.com/presentation/d/1Ih5A5Ckpd4K4tENulwkdwnLeuTR1ilpJ/edit?usp=sharing&amp;ouid=107295466553034241104&amp;rtpof=true&amp;sd=true" TargetMode="External"/><Relationship Id="rId59" Type="http://schemas.openxmlformats.org/officeDocument/2006/relationships/hyperlink" Target="https://docs.google.com/presentation/d/1APeSho4Y2G2RinvjNaQkepz4MYDyYQSBl-Cwo_NenMs/edit?usp=sharing" TargetMode="External"/><Relationship Id="rId124" Type="http://schemas.openxmlformats.org/officeDocument/2006/relationships/hyperlink" Target="https://docs.google.com/presentation/d/1V-cyRStrzhIPnn8QPkjrEiASmpDFdcX5RiqeQXtmSos/edit?usp=sharing" TargetMode="External"/><Relationship Id="rId527" Type="http://schemas.openxmlformats.org/officeDocument/2006/relationships/hyperlink" Target="https://docs.google.com/presentation/d/137OzTpg5HEWPfUOwtW4_igJZEituntas8OWLCIIU9iM/edit?usp=share_link" TargetMode="External"/><Relationship Id="rId569" Type="http://schemas.openxmlformats.org/officeDocument/2006/relationships/hyperlink" Target="https://docs.google.com/presentation/d/1PcDybqe92WeHvw0Rrh7bzoTm6AwpqGpjVMashj3Didg/edit?usp=sharing" TargetMode="External"/><Relationship Id="rId734" Type="http://schemas.openxmlformats.org/officeDocument/2006/relationships/hyperlink" Target="https://docs.google.com/presentation/d/1YkhfLVvqfHMeWX-qdr8-P7njy8b2tFykAkqaA9IzwAE/edit?usp=sharing" TargetMode="External"/><Relationship Id="rId776" Type="http://schemas.openxmlformats.org/officeDocument/2006/relationships/hyperlink" Target="https://docs.google.com/presentation/d/1NmifxnLWCZBFEEKA_RTB_XUouT3dZAOHsCalyWAXsbo/edit?usp=sharing" TargetMode="External"/><Relationship Id="rId70" Type="http://schemas.openxmlformats.org/officeDocument/2006/relationships/hyperlink" Target="https://docs.google.com/presentation/d/1szM6mI2MXO1ZM9Kvm2fTC0lWz2cZ3E6_b7keC8G4EVc/edit" TargetMode="External"/><Relationship Id="rId166" Type="http://schemas.openxmlformats.org/officeDocument/2006/relationships/hyperlink" Target="https://docs.google.com/presentation/d/1h9ez1jTx8jnBiZ7NBzGY80udBzoF60abzg6cvYkWjcE/edit?usp=sharing" TargetMode="External"/><Relationship Id="rId331" Type="http://schemas.openxmlformats.org/officeDocument/2006/relationships/hyperlink" Target="https://docs.google.com/presentation/d/1HKB9wxeCzzlFJ81anXXlIoTvGHdLOoD4oZF9UZYb2Xk/edit?usp=sharing" TargetMode="External"/><Relationship Id="rId373" Type="http://schemas.openxmlformats.org/officeDocument/2006/relationships/hyperlink" Target="https://docs.google.com/presentation/d/16dPix05um47iaWBEDfT54s4BiO7kz-zI/edit?usp=sharing&amp;ouid=107295466553034241104&amp;rtpof=true&amp;sd=true" TargetMode="External"/><Relationship Id="rId429" Type="http://schemas.openxmlformats.org/officeDocument/2006/relationships/hyperlink" Target="https://docs.google.com/presentation/d/1Moxj8sBUnYouVOVnipxm4Y6vyb7_wsxEjaM9B98fBiM/edit?usp=sharing" TargetMode="External"/><Relationship Id="rId580" Type="http://schemas.openxmlformats.org/officeDocument/2006/relationships/hyperlink" Target="https://docs.google.com/presentation/d/19ypyWc56r4SQ51bNSQIC7H9NNq2o_lZ2prXMYfjpbzM/edit?usp=sharing" TargetMode="External"/><Relationship Id="rId636" Type="http://schemas.openxmlformats.org/officeDocument/2006/relationships/hyperlink" Target="https://docs.google.com/presentation/d/1_UOi7nUmdUcrLJDd6S1O4r8HZSvEbuXGiz0jeAvq5Hk/edit?usp=sharing" TargetMode="External"/><Relationship Id="rId801" Type="http://schemas.openxmlformats.org/officeDocument/2006/relationships/hyperlink" Target="https://docs.google.com/presentation/d/1C9VK_VnR2-HFJ5rPnnpIVgnJByRicwI8t7QVgNEhMAE/edit?usp=sharing" TargetMode="External"/><Relationship Id="rId1" Type="http://schemas.openxmlformats.org/officeDocument/2006/relationships/hyperlink" Target="https://docs.google.com/presentation/d/16N6IacX2SzYhv4Rndya3WQzKD0YIl-Vt/edit?usp=sharing&amp;ouid=107295466553034241104&amp;rtpof=true&amp;sd=true" TargetMode="External"/><Relationship Id="rId233" Type="http://schemas.openxmlformats.org/officeDocument/2006/relationships/hyperlink" Target="https://docs.google.com/presentation/d/1OMitInAE7b6UB-aofQhhgxsvUjSzFWdyY0avhySrNsg/edit?usp=sharing" TargetMode="External"/><Relationship Id="rId440" Type="http://schemas.openxmlformats.org/officeDocument/2006/relationships/hyperlink" Target="https://docs.google.com/presentation/d/1V2Pohv7BzfA_cr3WSJPvJEc2pRNIxVmMwskwP4GLzkU/edit?usp=sharing" TargetMode="External"/><Relationship Id="rId678" Type="http://schemas.openxmlformats.org/officeDocument/2006/relationships/hyperlink" Target="https://docs.google.com/presentation/d/1ZKvv1QuMDDDyERhIC1CWvl4M6M5PRvXJmZExDEpdpPE/edit?usp=sharing" TargetMode="External"/><Relationship Id="rId843" Type="http://schemas.openxmlformats.org/officeDocument/2006/relationships/hyperlink" Target="https://docs.google.com/presentation/d/1upr_5OH1aM4u-uXzfceEj-qJ1HytDmETK6meRNJplqk/edit?usp=sharing" TargetMode="External"/><Relationship Id="rId28" Type="http://schemas.openxmlformats.org/officeDocument/2006/relationships/hyperlink" Target="https://docs.google.com/presentation/d/10wPebWTJx6D9WG0InuKMt3Y_s4F3iFp1/edit?usp=share_link&amp;ouid=107295466553034241104&amp;rtpof=true&amp;sd=true" TargetMode="External"/><Relationship Id="rId275" Type="http://schemas.openxmlformats.org/officeDocument/2006/relationships/hyperlink" Target="https://docs.google.com/presentation/d/1aQfn9El_JMd6X7qYEujq6ovhx_FRcfX_bmw4mOb87w4/edit?usp=share_link" TargetMode="External"/><Relationship Id="rId300" Type="http://schemas.openxmlformats.org/officeDocument/2006/relationships/hyperlink" Target="https://docs.google.com/presentation/d/1-5k7uTvuVA02X3T51lml-bqQNZWkQ1n_pt9Nmnb7StU/edit?usp=sharing" TargetMode="External"/><Relationship Id="rId482" Type="http://schemas.openxmlformats.org/officeDocument/2006/relationships/hyperlink" Target="https://docs.google.com/presentation/d/1NMjdRfASb_2an70Ului0y-pgdYgJRqWFsa7BQ088Nww/edit?usp=sharing" TargetMode="External"/><Relationship Id="rId538" Type="http://schemas.openxmlformats.org/officeDocument/2006/relationships/hyperlink" Target="https://docs.google.com/presentation/d/1VUEZsA9IM1487QWr9daOypxOgFOLT57pwSTwhztGx4Y/edit?usp=sharing" TargetMode="External"/><Relationship Id="rId703" Type="http://schemas.openxmlformats.org/officeDocument/2006/relationships/hyperlink" Target="https://docs.google.com/presentation/d/1jkOm05JJn6XTzbT7H3J9nAHKLk9HTBSDLw3x_aU2UAc/edit?usp=sharing" TargetMode="External"/><Relationship Id="rId745" Type="http://schemas.openxmlformats.org/officeDocument/2006/relationships/hyperlink" Target="https://docs.google.com/presentation/d/1zIcN2NmA3dT7R0wYKFhL040ow2bjQTKB5wHvZ2bvGIw/edit?usp=sharing" TargetMode="External"/><Relationship Id="rId81" Type="http://schemas.openxmlformats.org/officeDocument/2006/relationships/hyperlink" Target="https://docs.google.com/presentation/d/1pN4MO0N0WoeIXUc7fjr8RgAv-v9KmXh0SPqinLJf-wk/edit?usp=share_link" TargetMode="External"/><Relationship Id="rId135" Type="http://schemas.openxmlformats.org/officeDocument/2006/relationships/hyperlink" Target="https://docs.google.com/presentation/d/12zPxVEYk4e0oqelZKaoWfPFKmbw8Stpi747e8q9g8o4/edit?usp=sharing" TargetMode="External"/><Relationship Id="rId177" Type="http://schemas.openxmlformats.org/officeDocument/2006/relationships/hyperlink" Target="https://docs.google.com/presentation/d/1C1ruFWbuLthB8GhAkXoUN5mnxU6lanyTkINZtRRXWD8/edit?usp=sharing" TargetMode="External"/><Relationship Id="rId342" Type="http://schemas.openxmlformats.org/officeDocument/2006/relationships/hyperlink" Target="https://docs.google.com/presentation/d/1UiqCpMAE2hztst3fTXi5nPLuSLGAfi1PfOHXkZWtsjQ/edit?usp=sharing" TargetMode="External"/><Relationship Id="rId384" Type="http://schemas.openxmlformats.org/officeDocument/2006/relationships/hyperlink" Target="https://docs.google.com/presentation/d/1KPn_tgFAILy62cChML8Ei1QVGZKFuOpBaRWvPOwo-nI/edit?usp=sharing" TargetMode="External"/><Relationship Id="rId591" Type="http://schemas.openxmlformats.org/officeDocument/2006/relationships/hyperlink" Target="https://docs.google.com/presentation/d/1EpSz7fhl03Chu5yinfBvXfJlUCIoyn5sdbZJqLCnfss/edit?usp=sharing" TargetMode="External"/><Relationship Id="rId605" Type="http://schemas.openxmlformats.org/officeDocument/2006/relationships/hyperlink" Target="https://docs.google.com/presentation/d/19JVeFAFBEheiMAikxFPYY1bYhUd3KhsV3S1net-k48s/edit?usp=sharing" TargetMode="External"/><Relationship Id="rId787" Type="http://schemas.openxmlformats.org/officeDocument/2006/relationships/hyperlink" Target="https://docs.google.com/presentation/d/1eQ1Dc7MYM-8LLFotwiVdQZx5Te2XEEHDG9VyXGLBdE0/edit?usp=sharing" TargetMode="External"/><Relationship Id="rId812" Type="http://schemas.openxmlformats.org/officeDocument/2006/relationships/hyperlink" Target="https://docs.google.com/presentation/d/192YX_GMWDkQGgyXka2GA5lGEIOLqsWhKtBgdVhBlXa4/edit?usp=sharing" TargetMode="External"/><Relationship Id="rId202" Type="http://schemas.openxmlformats.org/officeDocument/2006/relationships/hyperlink" Target="https://docs.google.com/presentation/d/1E4euThFfQbmwhTu_JdpVVMzO63SfuGYeKnzmYkbTJzo/edit?usp=sharing" TargetMode="External"/><Relationship Id="rId244" Type="http://schemas.openxmlformats.org/officeDocument/2006/relationships/hyperlink" Target="https://drive.google.com/file/d/1J8At5gtAcrdM2J6br-wwF5b8YsOYRpW5/view?usp=sharing" TargetMode="External"/><Relationship Id="rId647" Type="http://schemas.openxmlformats.org/officeDocument/2006/relationships/hyperlink" Target="https://docs.google.com/presentation/d/1aQZJn8WIY7qx_Z5xeEvKlBZzOshmUCzTbFVMS4P2zoo/edit?usp=sharing" TargetMode="External"/><Relationship Id="rId689" Type="http://schemas.openxmlformats.org/officeDocument/2006/relationships/hyperlink" Target="https://docs.google.com/presentation/d/1bByFmQxcYwbsl9IXYBcO_mKGXTm6rsKp60P_BAoNDRo/edit?usp=sharing" TargetMode="External"/><Relationship Id="rId854" Type="http://schemas.openxmlformats.org/officeDocument/2006/relationships/hyperlink" Target="https://docs.google.com/presentation/d/1Nr6L0OqJlJlZNA1EIA-xcyBDMW9k3Khk2Muaex5gPPU/edit?usp=sharing" TargetMode="External"/><Relationship Id="rId39" Type="http://schemas.openxmlformats.org/officeDocument/2006/relationships/hyperlink" Target="https://docs.google.com/presentation/d/1CzZA4JxLLGg30W8-rw9Cv1BDI_nO0dAKPHlC5IgSRPA/edit?usp=share_link" TargetMode="External"/><Relationship Id="rId286" Type="http://schemas.openxmlformats.org/officeDocument/2006/relationships/hyperlink" Target="https://docs.google.com/presentation/d/1Enzh5ltKiR6hSZdao4tccQ4UYrLRKaHr/edit?usp=sharing&amp;ouid=107295466553034241104&amp;rtpof=true&amp;sd=true" TargetMode="External"/><Relationship Id="rId451" Type="http://schemas.openxmlformats.org/officeDocument/2006/relationships/hyperlink" Target="https://docs.google.com/presentation/d/1OuLhHo0EuQQJiFVvaOEr7BhZ682yCxPE/edit?usp=sharing&amp;ouid=107295466553034241104&amp;rtpof=true&amp;sd=true" TargetMode="External"/><Relationship Id="rId493" Type="http://schemas.openxmlformats.org/officeDocument/2006/relationships/hyperlink" Target="https://docs.google.com/presentation/d/1T-_l_YB3-3_WbBXHOcYKtfPvdNCv_3QBZ6YK1p9z6eI/edit?usp=sharing" TargetMode="External"/><Relationship Id="rId507" Type="http://schemas.openxmlformats.org/officeDocument/2006/relationships/hyperlink" Target="https://docs.google.com/presentation/d/1fvoRcZJowBixo0qFTwZMGp8vWhh6Bns4VVhXwoOX8Gw/edit?usp=sharing" TargetMode="External"/><Relationship Id="rId549" Type="http://schemas.openxmlformats.org/officeDocument/2006/relationships/hyperlink" Target="https://docs.google.com/presentation/d/10kQAbKLqVhEOfV_wd0pxFrnUr6Od8WrnmvcWUVPvuxs/edit?usp=sharing" TargetMode="External"/><Relationship Id="rId714" Type="http://schemas.openxmlformats.org/officeDocument/2006/relationships/hyperlink" Target="https://docs.google.com/presentation/d/1lKyOxtTv4JwDs7pH-9Og3qn3Rt9mHY_rxeNfUauUnh4/edit?usp=sharing" TargetMode="External"/><Relationship Id="rId756" Type="http://schemas.openxmlformats.org/officeDocument/2006/relationships/hyperlink" Target="https://docs.google.com/presentation/d/1yhhB3rfgp4GjPBEGwJuN0JRuzoQAwhaYMwLLbIveHXA/edit?usp=sharing" TargetMode="External"/><Relationship Id="rId50" Type="http://schemas.openxmlformats.org/officeDocument/2006/relationships/hyperlink" Target="https://docs.google.com/presentation/d/15hz6cXPV77maO6HRhv60_wytdt1vK2M9xrJaPTwSb6s/edit?usp=share_link" TargetMode="External"/><Relationship Id="rId104" Type="http://schemas.openxmlformats.org/officeDocument/2006/relationships/hyperlink" Target="https://docs.google.com/presentation/d/1HY8t71lqj-jr_typiP5-nby20gciWGF2-6KKcpiJ4yo/edit" TargetMode="External"/><Relationship Id="rId146" Type="http://schemas.openxmlformats.org/officeDocument/2006/relationships/hyperlink" Target="https://docs.google.com/presentation/d/1lmw7JZlrJePZPvJmogMs05KEpef0W8KUFwcCrYsx0-E/edit?usp=sharing" TargetMode="External"/><Relationship Id="rId188" Type="http://schemas.openxmlformats.org/officeDocument/2006/relationships/hyperlink" Target="https://docs.google.com/presentation/d/1_vEOjMCeWymD8XZEgJBbaUEtYreMDVPXaO1e1RhD7Ng/edit?usp=sharing" TargetMode="External"/><Relationship Id="rId311" Type="http://schemas.openxmlformats.org/officeDocument/2006/relationships/hyperlink" Target="https://docs.google.com/presentation/d/1WK6BiwiG2ToiiVQ7b_uHR2SQ-EqLi6K_f4HqlF0zUKM/edit?usp=sharing" TargetMode="External"/><Relationship Id="rId353" Type="http://schemas.openxmlformats.org/officeDocument/2006/relationships/hyperlink" Target="https://docs.google.com/presentation/d/1eGxS8LhQml1FzNOUTl_G-5rPJz-qsfxGz2ZPBbZniLg/edit?usp=sharing" TargetMode="External"/><Relationship Id="rId395" Type="http://schemas.openxmlformats.org/officeDocument/2006/relationships/hyperlink" Target="https://docs.google.com/presentation/d/1xSzedL2Py1JBul6dwwLdfLjyJsKthEfN/edit?usp=sharing&amp;ouid=107295466553034241104&amp;rtpof=true&amp;sd=true" TargetMode="External"/><Relationship Id="rId409" Type="http://schemas.openxmlformats.org/officeDocument/2006/relationships/hyperlink" Target="https://docs.google.com/presentation/d/1kcvOB3PjYYaJAWaGuq6NhFyBy3B5x_c0tVIyXZ7NM78/edit?usp=sharing" TargetMode="External"/><Relationship Id="rId560" Type="http://schemas.openxmlformats.org/officeDocument/2006/relationships/hyperlink" Target="https://docs.google.com/presentation/d/1uqLne87GxLhF5QckMIKnwDeF3b-9Bv4OF4Ag4BlfVjc/edit?usp=sharing" TargetMode="External"/><Relationship Id="rId798" Type="http://schemas.openxmlformats.org/officeDocument/2006/relationships/hyperlink" Target="https://docs.google.com/presentation/d/128InLCkIvuP0lSza92zu3uXUkRJ-6RWlBq068Y32KFo/edit?usp=sharing" TargetMode="External"/><Relationship Id="rId92" Type="http://schemas.openxmlformats.org/officeDocument/2006/relationships/hyperlink" Target="https://docs.google.com/presentation/d/14J3qdCvmFNPNbSr6fVdn1x9xOe_rYuyw/edit?usp=sharing&amp;ouid=107295466553034241104&amp;rtpof=true&amp;sd=true" TargetMode="External"/><Relationship Id="rId213" Type="http://schemas.openxmlformats.org/officeDocument/2006/relationships/hyperlink" Target="https://docs.google.com/presentation/d/1_2Tix2G50J4RtQtlW-mG1aGIU4zJIotmnbWJQoyg_BE/edit?usp=sharing" TargetMode="External"/><Relationship Id="rId420" Type="http://schemas.openxmlformats.org/officeDocument/2006/relationships/hyperlink" Target="https://docs.google.com/presentation/d/1fuaYWNkkGPkMR1zrShM-fZFhXGMAEHuIUbpQUkdY1Hk/edit?usp=sharing" TargetMode="External"/><Relationship Id="rId616" Type="http://schemas.openxmlformats.org/officeDocument/2006/relationships/hyperlink" Target="https://docs.google.com/presentation/d/117ucnJ7wvTvzgkAPiLDl_DsYTDagu2RPUo4W3oB36Cg/edit?usp=sharing" TargetMode="External"/><Relationship Id="rId658" Type="http://schemas.openxmlformats.org/officeDocument/2006/relationships/hyperlink" Target="https://docs.google.com/presentation/d/1EVTXxLV8HJpPz9wKlGHFnTiEGglkAfIY6BCHHrTaWks/edit?usp=sharing" TargetMode="External"/><Relationship Id="rId823" Type="http://schemas.openxmlformats.org/officeDocument/2006/relationships/hyperlink" Target="https://docs.google.com/presentation/d/1Fz8J8nFayDKkAzJlKp-q3WIufBr2Kbm5UvKRivw4M0I/edit?usp=sharing" TargetMode="External"/><Relationship Id="rId255" Type="http://schemas.openxmlformats.org/officeDocument/2006/relationships/hyperlink" Target="https://docs.google.com/presentation/d/1UcIY7rGwm7rkPPccz113iwnVsALl6vEIUhNu6MSnp24/edit?usp=sharing" TargetMode="External"/><Relationship Id="rId297" Type="http://schemas.openxmlformats.org/officeDocument/2006/relationships/hyperlink" Target="https://docs.google.com/presentation/d/1A9BC_DOoAXGixEHdKqDIk3ZumXxtwCS_/edit?usp=sharing&amp;ouid=107295466553034241104&amp;rtpof=true&amp;sd=true" TargetMode="External"/><Relationship Id="rId462" Type="http://schemas.openxmlformats.org/officeDocument/2006/relationships/hyperlink" Target="https://docs.google.com/presentation/d/1Y8FAtTFjB5ao8zPNCAlENV43ycBHnApj2jM9gvRdr8s/edit?usp=sharing" TargetMode="External"/><Relationship Id="rId518" Type="http://schemas.openxmlformats.org/officeDocument/2006/relationships/hyperlink" Target="https://docs.google.com/presentation/d/1g3J2YoIao-yc1ONhuYuujkvvJrDW-hqCtx0jEFRo-cM/edit?usp=sharing" TargetMode="External"/><Relationship Id="rId725" Type="http://schemas.openxmlformats.org/officeDocument/2006/relationships/hyperlink" Target="https://docs.google.com/presentation/d/1BABFWlO8BN7wH0PctdvEST958ESDm1213zjuw6r9Lt0/edit?usp=sharing" TargetMode="External"/><Relationship Id="rId115" Type="http://schemas.openxmlformats.org/officeDocument/2006/relationships/hyperlink" Target="https://docs.google.com/presentation/d/1eOBbKlBysaEe4voIr0aFBix4UvFdLt4EyOShRe3ICQs/edit?usp=sharing" TargetMode="External"/><Relationship Id="rId157" Type="http://schemas.openxmlformats.org/officeDocument/2006/relationships/hyperlink" Target="https://docs.google.com/presentation/d/1-UYHpRaTY5VZB7TPzj9Hk_KGUKOIyQRAu8A6hV45WZ4/edit?usp=share_link" TargetMode="External"/><Relationship Id="rId322" Type="http://schemas.openxmlformats.org/officeDocument/2006/relationships/hyperlink" Target="https://docs.google.com/presentation/d/18KXXLBFDZxJG0ChIJVAOeMzHwjw1ZV7OEhPFf70U7_U/edit?usp=sharing" TargetMode="External"/><Relationship Id="rId364" Type="http://schemas.openxmlformats.org/officeDocument/2006/relationships/hyperlink" Target="https://docs.google.com/presentation/d/13qGT5_-lvWyeQYwUwNhMixJenSjngrFQhZfbBpKso1Q/edit?usp=sharing" TargetMode="External"/><Relationship Id="rId767" Type="http://schemas.openxmlformats.org/officeDocument/2006/relationships/hyperlink" Target="https://docs.google.com/presentation/d/1cgps5BGa5TAq7wOiauXLjBtVaCR9RF86GLASMraw_YI/edit?usp=sharing" TargetMode="External"/><Relationship Id="rId61" Type="http://schemas.openxmlformats.org/officeDocument/2006/relationships/hyperlink" Target="https://docs.google.com/presentation/d/1cHSVaoIjc1W9xIW8_WiX24BE30Q_45qzZcDF0K4AMaY/edit?usp=sharing" TargetMode="External"/><Relationship Id="rId199" Type="http://schemas.openxmlformats.org/officeDocument/2006/relationships/hyperlink" Target="https://docs.google.com/presentation/d/15Lb08CBQN0C1D7CcgW9BTR4jXUQ31DaqFpZsOj2XU7s/edit?usp=share_link" TargetMode="External"/><Relationship Id="rId571" Type="http://schemas.openxmlformats.org/officeDocument/2006/relationships/hyperlink" Target="https://docs.google.com/presentation/d/1OjpmYinijZFfifOuXAdnjVPQJQEDMpyX2Q04wJyfpIc/edit" TargetMode="External"/><Relationship Id="rId627" Type="http://schemas.openxmlformats.org/officeDocument/2006/relationships/hyperlink" Target="https://docs.google.com/presentation/d/17ra2m84JsFtQ6aZwn7IykgaFXXRp8oMllV3Xi300HPI/edit?usp=sharing" TargetMode="External"/><Relationship Id="rId669" Type="http://schemas.openxmlformats.org/officeDocument/2006/relationships/hyperlink" Target="https://docs.google.com/presentation/d/1if0svDFSe5xCMEZHUh1pjmM4Tr7OIBb_sk1UCbIqUbA/edit?usp=sharing" TargetMode="External"/><Relationship Id="rId834" Type="http://schemas.openxmlformats.org/officeDocument/2006/relationships/hyperlink" Target="https://docs.google.com/presentation/d/1tKzfIvW_M3z5n31Q6Lsyqy-boTT3rQAZQnHOpC56tcE/edit?usp=sharing" TargetMode="External"/><Relationship Id="rId19" Type="http://schemas.openxmlformats.org/officeDocument/2006/relationships/hyperlink" Target="https://docs.google.com/presentation/d/1Nqm7ascuqvEPojzAYxMjp4aVwq5TtdK0/edit?usp=sharing&amp;ouid=107295466553034241104&amp;rtpof=true&amp;sd=true" TargetMode="External"/><Relationship Id="rId224" Type="http://schemas.openxmlformats.org/officeDocument/2006/relationships/hyperlink" Target="https://docs.google.com/presentation/d/1b8EWsZEkgyv8WxTY8OrV-IJqVrLC9k0WKuTGSA8EBck/edit?usp=sharing" TargetMode="External"/><Relationship Id="rId266" Type="http://schemas.openxmlformats.org/officeDocument/2006/relationships/hyperlink" Target="https://docs.google.com/presentation/d/13OYjBGSAybRqNRAphDdQNW2zRv_YRnSw/edit?usp=share_link&amp;ouid=107295466553034241104&amp;rtpof=true&amp;sd=true" TargetMode="External"/><Relationship Id="rId431" Type="http://schemas.openxmlformats.org/officeDocument/2006/relationships/hyperlink" Target="https://docs.google.com/presentation/d/1NzlDOvLDc_nZps1Yv0z4AUdOMi0fIsj2IW0exLDgjgc/edit?usp=sharing" TargetMode="External"/><Relationship Id="rId473" Type="http://schemas.openxmlformats.org/officeDocument/2006/relationships/hyperlink" Target="https://docs.google.com/presentation/d/1PwLH_tpiZeAnDL0Sq5ENzW-zI2giZnoe6Bhi79MUxkM/edit?usp=sharing" TargetMode="External"/><Relationship Id="rId529" Type="http://schemas.openxmlformats.org/officeDocument/2006/relationships/hyperlink" Target="https://docs.google.com/presentation/d/1lGOfv8Pgl_70lEVMim-fAKwDwcr8WAhoMfiIc2Iozbo/edit?usp=sharing" TargetMode="External"/><Relationship Id="rId680" Type="http://schemas.openxmlformats.org/officeDocument/2006/relationships/hyperlink" Target="https://docs.google.com/presentation/d/1lopIjI7i8SFaoHEuOqkgyALXTzyGDjt0FuPiX-qoxFw/edit?usp=sharing" TargetMode="External"/><Relationship Id="rId736" Type="http://schemas.openxmlformats.org/officeDocument/2006/relationships/hyperlink" Target="https://docs.google.com/presentation/d/12SvtIGDOblNp1Q9_0gVb1zYf8Z3rsforeDKVpM2uL-Y/edit?usp=sharing" TargetMode="External"/><Relationship Id="rId30" Type="http://schemas.openxmlformats.org/officeDocument/2006/relationships/hyperlink" Target="https://docs.google.com/presentation/d/1Ym79EvoIESjiruyfM_s4PRaHqKG2LV0pdAJcAlBAK3E/edit?usp=sharing" TargetMode="External"/><Relationship Id="rId126" Type="http://schemas.openxmlformats.org/officeDocument/2006/relationships/hyperlink" Target="https://docs.google.com/presentation/d/1Jr2hhdMnVavqnztGp-heBuMBFU3txcx2EGxC0bX9St4/edit?usp=sharing" TargetMode="External"/><Relationship Id="rId168" Type="http://schemas.openxmlformats.org/officeDocument/2006/relationships/hyperlink" Target="https://docs.google.com/presentation/d/1K9xR2x73LZ--4tRNCYhFAqzr_TyFlPJ8NJBwC-2cTTg/edit?usp=sharing" TargetMode="External"/><Relationship Id="rId333" Type="http://schemas.openxmlformats.org/officeDocument/2006/relationships/hyperlink" Target="https://docs.google.com/presentation/d/1oVHVPJH_OzSKPvV88kVUGFv9TEaGHCy3IzzzGn_chDQ/edit?usp=sharing" TargetMode="External"/><Relationship Id="rId540" Type="http://schemas.openxmlformats.org/officeDocument/2006/relationships/hyperlink" Target="https://docs.google.com/presentation/d/1CwH2WF1Tm4iXnKwztS7P4jRX2quBUbEkjWVg4pMrqeA/edit?usp=sharing" TargetMode="External"/><Relationship Id="rId778" Type="http://schemas.openxmlformats.org/officeDocument/2006/relationships/hyperlink" Target="https://docs.google.com/presentation/d/1ZJKEFXDTpu87OSiNzX1a3mscmZ0EytSmIdCGWqi6PNA/edit?usp=sharing" TargetMode="External"/><Relationship Id="rId72" Type="http://schemas.openxmlformats.org/officeDocument/2006/relationships/hyperlink" Target="https://docs.google.com/presentation/d/1Wr4jpv_1fVDgy-UwVc_e7nfI0-19YG-6kWFVij5OAnE/edit?usp=sharing" TargetMode="External"/><Relationship Id="rId375" Type="http://schemas.openxmlformats.org/officeDocument/2006/relationships/hyperlink" Target="https://docs.google.com/presentation/d/1-ljBHV4MVfsFolQ3jXAMyXhssXraubUmTS4gIFU79Ww/edit?usp=sharing" TargetMode="External"/><Relationship Id="rId582" Type="http://schemas.openxmlformats.org/officeDocument/2006/relationships/hyperlink" Target="https://docs.google.com/presentation/d/1vaTE7jpoc7ISDKRf3WEiR--GpTKG01P7tx5nhEiXO60/edit?usp=sharing" TargetMode="External"/><Relationship Id="rId638" Type="http://schemas.openxmlformats.org/officeDocument/2006/relationships/hyperlink" Target="https://docs.google.com/presentation/d/1jkqAwb5hDzptsmnPV8dEtJ5u4jAIOLkoiWZCvJawlI8/edit?usp=sharing" TargetMode="External"/><Relationship Id="rId803" Type="http://schemas.openxmlformats.org/officeDocument/2006/relationships/hyperlink" Target="https://docs.google.com/presentation/d/12dhGGzMpBe9netSGDr_OhQX5molsZ2FwhIyEf5NM5yY/edit?usp=sharing" TargetMode="External"/><Relationship Id="rId845" Type="http://schemas.openxmlformats.org/officeDocument/2006/relationships/hyperlink" Target="https://docs.google.com/presentation/d/1FEtW5JDORoi9Pw4ZdzwaVELi9iTSrSag10f_uMrk2K0/edit?usp=sharing" TargetMode="External"/><Relationship Id="rId3" Type="http://schemas.openxmlformats.org/officeDocument/2006/relationships/hyperlink" Target="https://docs.google.com/presentation/d/1Ckcec_UllN7kjw0bRpFAnR_MrEQ2qUi_/edit?usp=share_link&amp;ouid=107295466553034241104&amp;rtpof=true&amp;sd=true" TargetMode="External"/><Relationship Id="rId235" Type="http://schemas.openxmlformats.org/officeDocument/2006/relationships/hyperlink" Target="https://docs.google.com/presentation/d/1yY4ZQSj8TES1AsjA8HaNOg_DVXRDJCO51IDnYKxmFgI/edit?usp=sharing" TargetMode="External"/><Relationship Id="rId277" Type="http://schemas.openxmlformats.org/officeDocument/2006/relationships/hyperlink" Target="https://docs.google.com/presentation/d/1X0czLsGQg1HPa7jKR1veyPWjRBYK650o8vLhPGpT4ZY/edit?usp=sharing" TargetMode="External"/><Relationship Id="rId400" Type="http://schemas.openxmlformats.org/officeDocument/2006/relationships/hyperlink" Target="https://docs.google.com/presentation/d/1O2uSXInByyoioLatXThuCr0uIzWpncWbAjpBKnTFr1I/edit?usp=sharing" TargetMode="External"/><Relationship Id="rId442" Type="http://schemas.openxmlformats.org/officeDocument/2006/relationships/hyperlink" Target="https://docs.google.com/presentation/d/1bwbOqrBZoSK6qNLFzUM6imFAmfb04LmQbBz0J6k0QiI/edit?usp=sharing" TargetMode="External"/><Relationship Id="rId484" Type="http://schemas.openxmlformats.org/officeDocument/2006/relationships/hyperlink" Target="https://docs.google.com/presentation/d/1kSp-qbtJdZClD-tcbMe6cTEzhNpqRB6oRqYW1wk9ANU/edit?usp=sharing" TargetMode="External"/><Relationship Id="rId705" Type="http://schemas.openxmlformats.org/officeDocument/2006/relationships/hyperlink" Target="https://docs.google.com/presentation/d/1Hrf2U7_SvGjOSVHWOjxggGCpq4LwVIMGU311iyMfcLI/edit?usp=sharing" TargetMode="External"/><Relationship Id="rId137" Type="http://schemas.openxmlformats.org/officeDocument/2006/relationships/hyperlink" Target="https://docs.google.com/presentation/d/1P97rh9sA9i5YlA5B_xZIoapyIWVb661kceNyJm_Gtyo/edit?usp=sharing" TargetMode="External"/><Relationship Id="rId302" Type="http://schemas.openxmlformats.org/officeDocument/2006/relationships/hyperlink" Target="https://docs.google.com/presentation/d/1x5UcLZZgvonIaj6Wlgk-80yWmxAQjoYNipbU-pq2mec/edit?usp=sharing" TargetMode="External"/><Relationship Id="rId344" Type="http://schemas.openxmlformats.org/officeDocument/2006/relationships/hyperlink" Target="https://docs.google.com/presentation/d/1lYrlCZdarfYHchw2SRrjNU8scgplZtjjIq0cxM_JCP4/edit?usp=sharing" TargetMode="External"/><Relationship Id="rId691" Type="http://schemas.openxmlformats.org/officeDocument/2006/relationships/hyperlink" Target="https://docs.google.com/presentation/d/1J409wY2_v4Px8C2U7Um2YLZvj9CTviSb-R95RTRfz2o/edit?usp=sharing" TargetMode="External"/><Relationship Id="rId747" Type="http://schemas.openxmlformats.org/officeDocument/2006/relationships/hyperlink" Target="https://docs.google.com/presentation/d/1DtKrs_z161d-KtGOrJXvXzJktoR05mtGj0pcAln99LI/edit?usp=sharing" TargetMode="External"/><Relationship Id="rId789" Type="http://schemas.openxmlformats.org/officeDocument/2006/relationships/hyperlink" Target="https://docs.google.com/presentation/d/1yTUHo05Wsk1WQQ5pTQRTmFp0dEVz8vuK87KZTHPmmZs/edit?usp=sharing" TargetMode="External"/><Relationship Id="rId41" Type="http://schemas.openxmlformats.org/officeDocument/2006/relationships/hyperlink" Target="https://docs.google.com/presentation/d/1i6N4Cui59ZTZNJtbBemutw2LUoww7mntzOJdvWaKT50/edit?usp=sharing" TargetMode="External"/><Relationship Id="rId83" Type="http://schemas.openxmlformats.org/officeDocument/2006/relationships/hyperlink" Target="https://docs.google.com/presentation/d/1KzAGtPsAbUsTY3kDBG4pp1LgRoOFPYJE/edit?usp=sharing&amp;ouid=107295466553034241104&amp;rtpof=true&amp;sd=true" TargetMode="External"/><Relationship Id="rId179" Type="http://schemas.openxmlformats.org/officeDocument/2006/relationships/hyperlink" Target="https://docs.google.com/presentation/d/1h5rVe3ErUT1IllZ6Esw_huC3GjASgzZkO-xhrw1_kps/edit?usp=sharing" TargetMode="External"/><Relationship Id="rId386" Type="http://schemas.openxmlformats.org/officeDocument/2006/relationships/hyperlink" Target="https://docs.google.com/presentation/d/1oJFEmrKJfJv4xIFwU2OQJKsXxqT1ChABZcOObdQ2148/edit?usp=sharing" TargetMode="External"/><Relationship Id="rId551" Type="http://schemas.openxmlformats.org/officeDocument/2006/relationships/hyperlink" Target="https://docs.google.com/presentation/d/1nv5HF_LB9Q9mxRsa10Ke1Egu0nhpMDGradHvSjIZvdo/edit?usp=sharing" TargetMode="External"/><Relationship Id="rId593" Type="http://schemas.openxmlformats.org/officeDocument/2006/relationships/hyperlink" Target="https://docs.google.com/presentation/d/1RaDxO_Yk_Fx91DOY8OLaDOsnD5akeeuMjbqXfW0UozI/edit?usp=sharing" TargetMode="External"/><Relationship Id="rId607" Type="http://schemas.openxmlformats.org/officeDocument/2006/relationships/hyperlink" Target="https://docs.google.com/presentation/d/1u2JPTNEq512h2XOJU5nK8XgyDk0AOVSSu-e2EtBXUgI/edit?usp=sharing" TargetMode="External"/><Relationship Id="rId649" Type="http://schemas.openxmlformats.org/officeDocument/2006/relationships/hyperlink" Target="https://docs.google.com/presentation/d/174CCIxuivaloBJESvAvNEmhPK7R-KX0dIl6n1pM5QFU/edit?usp=sharing" TargetMode="External"/><Relationship Id="rId814" Type="http://schemas.openxmlformats.org/officeDocument/2006/relationships/hyperlink" Target="https://docs.google.com/presentation/d/1RhIrlHyaEjiqJqZ92vQ2Iv1CWZJR8Mzskrq8QmMva34/edit?usp=sharing" TargetMode="External"/><Relationship Id="rId856" Type="http://schemas.openxmlformats.org/officeDocument/2006/relationships/vmlDrawing" Target="../drawings/vmlDrawing1.vml"/><Relationship Id="rId190" Type="http://schemas.openxmlformats.org/officeDocument/2006/relationships/hyperlink" Target="https://docs.google.com/presentation/d/11MwbGBek1lGlkgToiXDYBPNv_iwelTrWOFDGD9KuGQE/edit?usp=sharing" TargetMode="External"/><Relationship Id="rId204" Type="http://schemas.openxmlformats.org/officeDocument/2006/relationships/hyperlink" Target="https://docs.google.com/presentation/d/1x4PJeqt5jd9poQonyL_EHBn2HP4JLNIQ52nHgwzh_jE/edit?usp=sharing" TargetMode="External"/><Relationship Id="rId246" Type="http://schemas.openxmlformats.org/officeDocument/2006/relationships/hyperlink" Target="https://docs.google.com/presentation/d/1vjjdQJpca6noL58EfBbx1tru6kE2Hh_XZ7AzoG4zn8o/edit?usp=sharing" TargetMode="External"/><Relationship Id="rId288" Type="http://schemas.openxmlformats.org/officeDocument/2006/relationships/hyperlink" Target="https://docs.google.com/presentation/d/1Qo2uySNkNajABbqUEneZs7YSAJmv_J8Ei0KlNEQGoNg/edit?usp=sharing" TargetMode="External"/><Relationship Id="rId411" Type="http://schemas.openxmlformats.org/officeDocument/2006/relationships/hyperlink" Target="https://docs.google.com/presentation/d/1QdqeuuPl89SD91iUHieOFQRYdPUalXeFklhL1nIsPKQ/edit?usp=sharing" TargetMode="External"/><Relationship Id="rId453" Type="http://schemas.openxmlformats.org/officeDocument/2006/relationships/hyperlink" Target="https://docs.google.com/presentation/d/10oNxk_94tlJQTzLZeq4cCexY1f2X_tJV1wuTGXLyBQQ/edit?usp=sharing" TargetMode="External"/><Relationship Id="rId509" Type="http://schemas.openxmlformats.org/officeDocument/2006/relationships/hyperlink" Target="https://docs.google.com/presentation/d/1q4lYfDhABitMEfpigeqEmcl_ii7KTw0ZBjjH2Ao7gFI/edit?usp=sharing" TargetMode="External"/><Relationship Id="rId660" Type="http://schemas.openxmlformats.org/officeDocument/2006/relationships/hyperlink" Target="https://docs.google.com/presentation/d/1YAY6kq5qd2LhVGxy26A19QkNRyvr-Qdubfq7n2r-4bI/edit?usp=sharing" TargetMode="External"/><Relationship Id="rId106" Type="http://schemas.openxmlformats.org/officeDocument/2006/relationships/hyperlink" Target="https://docs.google.com/presentation/d/1mvCpnuZsMHARSNGTHIwySZdDKoWbqGM_0Msq3J-71Rg/edit?usp=sharing" TargetMode="External"/><Relationship Id="rId313" Type="http://schemas.openxmlformats.org/officeDocument/2006/relationships/hyperlink" Target="https://docs.google.com/presentation/d/1RAwIWL4mQhaSO99WAL_MO5If94Bxf6z6vfgvEXZQVCE/edit?usp=sharing" TargetMode="External"/><Relationship Id="rId495" Type="http://schemas.openxmlformats.org/officeDocument/2006/relationships/hyperlink" Target="https://docs.google.com/presentation/d/1muITUWSRAkzA6t5fngI6hZxEDwvXZL2R4IV879ulAas/edit?usp=sharing" TargetMode="External"/><Relationship Id="rId716" Type="http://schemas.openxmlformats.org/officeDocument/2006/relationships/hyperlink" Target="https://docs.google.com/presentation/d/12IUB-hutCf41Szq_o_5aIMuil-qX6wZ4rcgLGpyN9tg/edit?usp=sharing" TargetMode="External"/><Relationship Id="rId758" Type="http://schemas.openxmlformats.org/officeDocument/2006/relationships/hyperlink" Target="https://docs.google.com/presentation/d/1Fz4NBrSEGvRtQX4rW018TOwWiMrCA0Cz/edit?usp=sharing&amp;ouid=115933524328626273134&amp;rtpof=true&amp;sd=true" TargetMode="External"/><Relationship Id="rId10" Type="http://schemas.openxmlformats.org/officeDocument/2006/relationships/hyperlink" Target="https://docs.google.com/presentation/d/1dQMWE__0iV6Rrx_CKa6x7rBOk15YSXG9n_zbXGtH9xE/edit?usp=sharing" TargetMode="External"/><Relationship Id="rId52" Type="http://schemas.openxmlformats.org/officeDocument/2006/relationships/hyperlink" Target="https://docs.google.com/presentation/d/1I5Fw8VN7iOyQDT9yUM5S_WXLD23xVMdatMkkJO4UE9c/edit?usp=sharing" TargetMode="External"/><Relationship Id="rId94" Type="http://schemas.openxmlformats.org/officeDocument/2006/relationships/hyperlink" Target="https://docs.google.com/presentation/d/1u5u-9IRxzkgIacGKEP-PpqOtmYNSWmaMwrI1Z6orqzY/edit?usp=sharing" TargetMode="External"/><Relationship Id="rId148" Type="http://schemas.openxmlformats.org/officeDocument/2006/relationships/hyperlink" Target="https://docs.google.com/presentation/d/1OibTrRP0dzxR7P2hjGpv0BltsnMDclxa/edit?usp=sharing&amp;ouid=107295466553034241104&amp;rtpof=true&amp;sd=true" TargetMode="External"/><Relationship Id="rId355" Type="http://schemas.openxmlformats.org/officeDocument/2006/relationships/hyperlink" Target="https://docs.google.com/presentation/d/1WyH_sj9YPvObPbDrD-y39d21tYoEhhTOQls7Dy_1nKU/edit?usp=sharing" TargetMode="External"/><Relationship Id="rId397" Type="http://schemas.openxmlformats.org/officeDocument/2006/relationships/hyperlink" Target="https://docs.google.com/presentation/d/1xhTcnQxZ3nK3H3B0fVrQIX3Mpmh5l-gUkXXXp_N32Oc/edit?usp=sharing" TargetMode="External"/><Relationship Id="rId520" Type="http://schemas.openxmlformats.org/officeDocument/2006/relationships/hyperlink" Target="https://docs.google.com/presentation/d/1QsCHahJwXCrebyAEo6aOS1Kx8cA3CkilZGYPw-2Jy5o/edit?usp=sharing" TargetMode="External"/><Relationship Id="rId562" Type="http://schemas.openxmlformats.org/officeDocument/2006/relationships/hyperlink" Target="https://docs.google.com/presentation/d/1IiXlzmBjfMsCq0YnX99Tc9Of8TkaUZaaX8gS47lLBXw/edit?usp=sharing" TargetMode="External"/><Relationship Id="rId618" Type="http://schemas.openxmlformats.org/officeDocument/2006/relationships/hyperlink" Target="https://docs.google.com/presentation/d/1LXxZlEW0yKg6oGlF2tt5auh9581MxJ19twHlntWYfKM/edit?usp=sharing" TargetMode="External"/><Relationship Id="rId825" Type="http://schemas.openxmlformats.org/officeDocument/2006/relationships/hyperlink" Target="https://docs.google.com/presentation/d/1UHk87_RpLwCO3kXCpeRUl3pxizzAbOZ30Ou7JlYw2pU/edit?usp=sharing" TargetMode="External"/><Relationship Id="rId215" Type="http://schemas.openxmlformats.org/officeDocument/2006/relationships/hyperlink" Target="mailto:ilyakorckishko@gmail.com" TargetMode="External"/><Relationship Id="rId257" Type="http://schemas.openxmlformats.org/officeDocument/2006/relationships/hyperlink" Target="https://docs.google.com/presentation/d/1UnXZnUdjVIE61IQT4NXbSkgIBjqBh4U0dkdTQOKzYTE/edit?usp=sharing" TargetMode="External"/><Relationship Id="rId422" Type="http://schemas.openxmlformats.org/officeDocument/2006/relationships/hyperlink" Target="https://docs.google.com/presentation/d/1RdOQdcLqIiqwDU-yrJjXnwLuH2qs4-Ed0OyPvDEBWtk/edit?usp=sharing" TargetMode="External"/><Relationship Id="rId464" Type="http://schemas.openxmlformats.org/officeDocument/2006/relationships/hyperlink" Target="https://docs.google.com/presentation/d/1CM436YOFGTBb8AU6jDWq0kkY0kzKrkEPaNFKjcjWUaU/edit?usp=sharing" TargetMode="External"/><Relationship Id="rId299" Type="http://schemas.openxmlformats.org/officeDocument/2006/relationships/hyperlink" Target="https://docs.google.com/presentation/d/1UoyDHF1m_yQrY209YseKN0IY9jXG8iWxrWAuvKzMNK8/edit?usp=sharing" TargetMode="External"/><Relationship Id="rId727" Type="http://schemas.openxmlformats.org/officeDocument/2006/relationships/hyperlink" Target="https://docs.google.com/presentation/d/1uCSnymlHb5r9We03HwuqEgrjpur4tPG9qyZHOsswsC0/edit?usp=sharing" TargetMode="External"/><Relationship Id="rId63" Type="http://schemas.openxmlformats.org/officeDocument/2006/relationships/hyperlink" Target="https://docs.google.com/presentation/d/1K4feJ96HxawaLoNg_wdp_hoq8qX9O-rTnzMxe6zAihE/edit?usp=sharing" TargetMode="External"/><Relationship Id="rId159" Type="http://schemas.openxmlformats.org/officeDocument/2006/relationships/hyperlink" Target="https://docs.google.com/presentation/d/1A3kKXovCoOY4QOGo8XEdQuWLCSU6ycwDGt03w-JuJYo/edit?usp=sharing" TargetMode="External"/><Relationship Id="rId366" Type="http://schemas.openxmlformats.org/officeDocument/2006/relationships/hyperlink" Target="https://docs.google.com/presentation/d/1Xhpi_eriOIbYxkEkDo4grpSxL3keiNaQC-iZ1ZxMVPI/edit?usp=sharing" TargetMode="External"/><Relationship Id="rId573" Type="http://schemas.openxmlformats.org/officeDocument/2006/relationships/hyperlink" Target="https://docs.google.com/presentation/d/1nEWQUud1B7-QZUnhBkeECK8EqCQBIikTGDp1jW9qZPY/edit?usp=sharing" TargetMode="External"/><Relationship Id="rId780" Type="http://schemas.openxmlformats.org/officeDocument/2006/relationships/hyperlink" Target="https://docs.google.com/presentation/d/1ZQiDD3vIPB9W7YNmu7OR2Eb6wDNgDxs5nJSxuVmKP5c/edit?usp=sharing" TargetMode="External"/><Relationship Id="rId226" Type="http://schemas.openxmlformats.org/officeDocument/2006/relationships/hyperlink" Target="https://docs.google.com/presentation/d/10mBm1BlcjKUyFcKQ0ypV8ptGO5xGljn6/edit?usp=sharing&amp;ouid=107295466553034241104&amp;rtpof=true&amp;sd=true" TargetMode="External"/><Relationship Id="rId433" Type="http://schemas.openxmlformats.org/officeDocument/2006/relationships/hyperlink" Target="https://docs.google.com/presentation/d/1z9tghbjVHyK8z-tb7diVVb7tHKs6hIRxdVt5L3fwZQY/edit?usp=sharing" TargetMode="External"/><Relationship Id="rId640" Type="http://schemas.openxmlformats.org/officeDocument/2006/relationships/hyperlink" Target="https://docs.google.com/presentation/d/1ca7Qu2SN4RtvusQ8FhNj_5ApcSYIQHtd-pxBmgDejtw/edit?usp=sharing" TargetMode="External"/><Relationship Id="rId738" Type="http://schemas.openxmlformats.org/officeDocument/2006/relationships/hyperlink" Target="https://docs.google.com/presentation/d/14sCySHTfwcRZL13jUbxRp3712y3zp3ih_LgEKUAJdWw/edit?usp=sharing" TargetMode="External"/><Relationship Id="rId74" Type="http://schemas.openxmlformats.org/officeDocument/2006/relationships/hyperlink" Target="https://drive.google.com/file/d/12wUa5Fihj2uT1Ytyninvu9CetzIsEXqD/view?usp=sharing" TargetMode="External"/><Relationship Id="rId377" Type="http://schemas.openxmlformats.org/officeDocument/2006/relationships/hyperlink" Target="https://docs.google.com/presentation/d/1JClfwSdykt7WDHgKC8FG4VExdbN_nnyfDrNcdafZMA8/edit?usp=sharing" TargetMode="External"/><Relationship Id="rId500" Type="http://schemas.openxmlformats.org/officeDocument/2006/relationships/hyperlink" Target="https://docs.google.com/presentation/d/1fDL32SU74QTVSeRUK2vlAdoltAYcVVae5bqLA1qLxiM/edit?usp=sharing" TargetMode="External"/><Relationship Id="rId584" Type="http://schemas.openxmlformats.org/officeDocument/2006/relationships/hyperlink" Target="https://docs.google.com/presentation/d/1WlM8T6lkjjaRIxOBHcx0OgDS2P_FlnNx6Hfhuik1R7c/edit?usp=sharing" TargetMode="External"/><Relationship Id="rId805" Type="http://schemas.openxmlformats.org/officeDocument/2006/relationships/hyperlink" Target="https://docs.google.com/presentation/d/145qh3q-ht82nWL8U9CJQP18P7Pt3ZiMbZBlSYI5FBm8/edit?usp=sharing" TargetMode="External"/><Relationship Id="rId5" Type="http://schemas.openxmlformats.org/officeDocument/2006/relationships/hyperlink" Target="https://docs.google.com/presentation/d/1Vf9vTqqPmvPxYJo2ek_E36izNQbBdVkYoMGMfnA2G6A/edit?usp=share_link" TargetMode="External"/><Relationship Id="rId237" Type="http://schemas.openxmlformats.org/officeDocument/2006/relationships/hyperlink" Target="https://docs.google.com/presentation/d/1rS6T_Tc5_L6ea7MhBvScOH3pv6lrI1eL-X3dUXqJEpw/edit?usp=sharing" TargetMode="External"/><Relationship Id="rId791" Type="http://schemas.openxmlformats.org/officeDocument/2006/relationships/hyperlink" Target="https://docs.google.com/presentation/d/16YLCaW3XhxqpBDy0GAIuis6POogwSpfdPbQZ3zxlyDY/edit?usp=sharing" TargetMode="External"/><Relationship Id="rId444" Type="http://schemas.openxmlformats.org/officeDocument/2006/relationships/hyperlink" Target="https://t.me/oleksandra_klymenko" TargetMode="External"/><Relationship Id="rId651" Type="http://schemas.openxmlformats.org/officeDocument/2006/relationships/hyperlink" Target="https://docs.google.com/presentation/d/1xHBojr1JxxEaCRrjOqnWrzLRQOHzmnxewPOGjvSmRHQ/edit?usp=sharing" TargetMode="External"/><Relationship Id="rId749" Type="http://schemas.openxmlformats.org/officeDocument/2006/relationships/hyperlink" Target="https://docs.google.com/presentation/d/1SUnNzol-6rzWyJpHPNk4jXI9EMtxEpJVMowlbZFN6IA/edit?usp=sharing" TargetMode="External"/><Relationship Id="rId290" Type="http://schemas.openxmlformats.org/officeDocument/2006/relationships/hyperlink" Target="https://docs.google.com/presentation/d/1jUtdZ1mgLoa2QtCCgoFOxu59ztFY7T0SiLxK4Kq3KK8/edit?usp=sharing" TargetMode="External"/><Relationship Id="rId304" Type="http://schemas.openxmlformats.org/officeDocument/2006/relationships/hyperlink" Target="https://docs.google.com/presentation/d/11HWbnx1L0ZUWPuveD9MfiRJSItWM63wp1VgU5jEUh-I/edit?usp=sharing" TargetMode="External"/><Relationship Id="rId388" Type="http://schemas.openxmlformats.org/officeDocument/2006/relationships/hyperlink" Target="https://docs.google.com/presentation/d/1U0wV6OKFGp877nadJOarKk5IzzlqbM-R79bYr6B9wsE/edit?usp=sharing" TargetMode="External"/><Relationship Id="rId511" Type="http://schemas.openxmlformats.org/officeDocument/2006/relationships/hyperlink" Target="https://docs.google.com/presentation/d/1-UaPI_C_K7NH9jRCaDTOZfATfzSdOS-CGhBpFNd8aeg/edit?usp=sharing" TargetMode="External"/><Relationship Id="rId609" Type="http://schemas.openxmlformats.org/officeDocument/2006/relationships/hyperlink" Target="https://docs.google.com/presentation/d/1sjjxZ4PKSo1T8SiEDUUv7w303_WXhBjphU_VBPuTjCo/edit?usp=sharing" TargetMode="External"/><Relationship Id="rId85" Type="http://schemas.openxmlformats.org/officeDocument/2006/relationships/hyperlink" Target="https://docs.google.com/presentation/d/1zTeDKk5JOxQ2vwfEgjZqh8VFFjBiAG0qhQxRFRKZNV8/edit?usp=sharing" TargetMode="External"/><Relationship Id="rId150" Type="http://schemas.openxmlformats.org/officeDocument/2006/relationships/hyperlink" Target="https://docs.google.com/presentation/d/12YJfaGGxMg270gwMTSs8zCur7wRx52wMDuFg7R_niEw/edit?usp=sharing" TargetMode="External"/><Relationship Id="rId595" Type="http://schemas.openxmlformats.org/officeDocument/2006/relationships/hyperlink" Target="https://docs.google.com/presentation/d/1gg1qaedGJCe_U_cIJhERnEBgcaGxA_1jzSbPDXKh40M/edit?usp=sharing" TargetMode="External"/><Relationship Id="rId816" Type="http://schemas.openxmlformats.org/officeDocument/2006/relationships/hyperlink" Target="https://docs.google.com/presentation/d/1jg9VcTALUUEH_ugvkNK89YWrokYVgUPDQGmLU_GjJn8/edit?usp=sharing" TargetMode="External"/><Relationship Id="rId248" Type="http://schemas.openxmlformats.org/officeDocument/2006/relationships/hyperlink" Target="https://docs.google.com/presentation/d/1FTW4WlXPYWlg54BqQAhsa_1UuCVVPw95iPAWFHLzhd8/edit?usp=sharing" TargetMode="External"/><Relationship Id="rId455" Type="http://schemas.openxmlformats.org/officeDocument/2006/relationships/hyperlink" Target="https://docs.google.com/presentation/d/1KyZgxCYfI1rsrliZwapzWt0p7uxLn69MVRapHo2KezA/edit?usp=sharing" TargetMode="External"/><Relationship Id="rId662" Type="http://schemas.openxmlformats.org/officeDocument/2006/relationships/hyperlink" Target="https://docs.google.com/presentation/d/1X-f41Yk0I_H-qRyU8ercM1c-gPR4Zr6pmgaZM8ESgRk/edit?usp=sharing" TargetMode="External"/><Relationship Id="rId12" Type="http://schemas.openxmlformats.org/officeDocument/2006/relationships/hyperlink" Target="https://docs.google.com/presentation/d/1q69xDDBxbfLzTjiywIoRmuwt0_1xXMUl84dFyAGCHq4/edit?usp=sharing" TargetMode="External"/><Relationship Id="rId108" Type="http://schemas.openxmlformats.org/officeDocument/2006/relationships/hyperlink" Target="https://docs.google.com/presentation/d/1aiz4AGIy66VE1vJAxCXw18T4h2Xzo9FcqFNtq6LO9D0/edit?usp=share_link" TargetMode="External"/><Relationship Id="rId315" Type="http://schemas.openxmlformats.org/officeDocument/2006/relationships/hyperlink" Target="https://docs.google.com/presentation/d/14mZTWN4y1VxdH8XRIhCzVHxzoXzlf7L3oDOU-DRqG4E/edit?usp=sharing" TargetMode="External"/><Relationship Id="rId522" Type="http://schemas.openxmlformats.org/officeDocument/2006/relationships/hyperlink" Target="https://docs.google.com/presentation/d/13Njn70cP6OeFW72AZBhm5j-Wp5VNGDxWZkhY4nlgQNM/edit" TargetMode="External"/><Relationship Id="rId96" Type="http://schemas.openxmlformats.org/officeDocument/2006/relationships/hyperlink" Target="https://docs.google.com/presentation/d/1pMT3yy2nM5mPD9phXrM5ta_id-tgpfoYcTk-EuSy9U0/edit?usp=sharing" TargetMode="External"/><Relationship Id="rId161" Type="http://schemas.openxmlformats.org/officeDocument/2006/relationships/hyperlink" Target="https://docs.google.com/presentation/d/1EvDmfFThjRSuZgpYsb7QPoIjqBrNH7fP/edit?usp=share_link&amp;ouid=107295466553034241104&amp;rtpof=true&amp;sd=true" TargetMode="External"/><Relationship Id="rId399" Type="http://schemas.openxmlformats.org/officeDocument/2006/relationships/hyperlink" Target="https://docs.google.com/presentation/d/1yy_53nuFcqnBmI3ml9se2hz7UcR631vhvoBSON8zAmA/edit?usp=sharing" TargetMode="External"/><Relationship Id="rId827" Type="http://schemas.openxmlformats.org/officeDocument/2006/relationships/hyperlink" Target="https://docs.google.com/presentation/d/1M-azOTolQMCKiNqRQh7IlZiSyyPEkaR63moDeU6vaug/edit?usp=sharing" TargetMode="External"/><Relationship Id="rId259" Type="http://schemas.openxmlformats.org/officeDocument/2006/relationships/hyperlink" Target="https://docs.google.com/presentation/d/1JfS-jUwfoNOailHJ8DEajpeeZi_6ESYSjhjMpYIPk80/edit?usp=sharing" TargetMode="External"/><Relationship Id="rId466" Type="http://schemas.openxmlformats.org/officeDocument/2006/relationships/hyperlink" Target="https://docs.google.com/presentation/d/1usYptBjLejSRcKCh8Z7Qzsk7F3qfI5xx0PZO3Kyigk8/edit?usp=sharing" TargetMode="External"/><Relationship Id="rId673" Type="http://schemas.openxmlformats.org/officeDocument/2006/relationships/hyperlink" Target="https://docs.google.com/presentation/d/1aPHntmW5909bRKBXXiCB27WPjk14nccF1AdkW2-FqXo/edit?usp=sharing" TargetMode="External"/><Relationship Id="rId23" Type="http://schemas.openxmlformats.org/officeDocument/2006/relationships/hyperlink" Target="https://docs.google.com/presentation/d/1T8dGYi6k30W42QtDsVWuONsc64l6YMOHbMecBwXS-GE/edit?usp=sharing" TargetMode="External"/><Relationship Id="rId119" Type="http://schemas.openxmlformats.org/officeDocument/2006/relationships/hyperlink" Target="https://docs.google.com/presentation/d/1natwMQdBtYv0MEBoOcnNjz3UQpomdLo6kr_VtHldpbA/edit?usp=share_link" TargetMode="External"/><Relationship Id="rId326" Type="http://schemas.openxmlformats.org/officeDocument/2006/relationships/hyperlink" Target="https://docs.google.com/presentation/d/1mtUv9eGd3hlNikg-szGE8JzCkym1xNSHqI9tdmys92U/edit?usp=sharing" TargetMode="External"/><Relationship Id="rId533" Type="http://schemas.openxmlformats.org/officeDocument/2006/relationships/hyperlink" Target="https://docs.google.com/presentation/d/1oe_LB1epCKS-tbKAlRB1zqRHa3z579MCSZHpSmjBfmI/edit?usp=sharing" TargetMode="External"/><Relationship Id="rId740" Type="http://schemas.openxmlformats.org/officeDocument/2006/relationships/hyperlink" Target="https://docs.google.com/presentation/d/12Yq5Isu-DLrXzpvYvhp7RJe5X5sBCq9K5uSRKfODMRE/edit?usp=sharing" TargetMode="External"/><Relationship Id="rId838" Type="http://schemas.openxmlformats.org/officeDocument/2006/relationships/hyperlink" Target="https://docs.google.com/presentation/d/1etHf02LWpn9p2zOR-N0T52qwB4CY0IDRRXY1v5GZTuU/edit?usp=sharin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ldv.io/app/meetings/6540b1f358333a0013a8c57d" TargetMode="External"/><Relationship Id="rId299" Type="http://schemas.openxmlformats.org/officeDocument/2006/relationships/hyperlink" Target="https://tldv.io/app/meetings/65b8d5179cfe0a0012f61002" TargetMode="External"/><Relationship Id="rId21" Type="http://schemas.openxmlformats.org/officeDocument/2006/relationships/hyperlink" Target="https://t.me/Volodymyr_Wise" TargetMode="External"/><Relationship Id="rId63" Type="http://schemas.openxmlformats.org/officeDocument/2006/relationships/hyperlink" Target="https://tldv.io/app/meetings/65166598d453510013952a01" TargetMode="External"/><Relationship Id="rId159" Type="http://schemas.openxmlformats.org/officeDocument/2006/relationships/hyperlink" Target="https://tldv.io/app/meetings/65573a361e9c0f001355a0e3" TargetMode="External"/><Relationship Id="rId324" Type="http://schemas.openxmlformats.org/officeDocument/2006/relationships/hyperlink" Target="https://tldv.io/app/meetings/65ccb75f13eb52001487df63" TargetMode="External"/><Relationship Id="rId366" Type="http://schemas.openxmlformats.org/officeDocument/2006/relationships/hyperlink" Target="https://tldv.io/app/meetings/65f2f30c8934390012bbaef8" TargetMode="External"/><Relationship Id="rId170" Type="http://schemas.openxmlformats.org/officeDocument/2006/relationships/hyperlink" Target="https://tldv.io/app/meetings/655b4fbd1b36e90013482df0" TargetMode="External"/><Relationship Id="rId226" Type="http://schemas.openxmlformats.org/officeDocument/2006/relationships/hyperlink" Target="https://tldv.io/app/meetings/65858e25b38dac00133a8c57" TargetMode="External"/><Relationship Id="rId268" Type="http://schemas.openxmlformats.org/officeDocument/2006/relationships/hyperlink" Target="https://tldv.io/app/meetings/65abb3c7bad2be0013ce13a1" TargetMode="External"/><Relationship Id="rId11" Type="http://schemas.openxmlformats.org/officeDocument/2006/relationships/hyperlink" Target="https://www.linkedin.com/in/dmytro-kolesnik-503b4a155/" TargetMode="External"/><Relationship Id="rId32" Type="http://schemas.openxmlformats.org/officeDocument/2006/relationships/hyperlink" Target="https://www.linkedin.com/in/philip-stoika-7b7774154/" TargetMode="External"/><Relationship Id="rId53" Type="http://schemas.openxmlformats.org/officeDocument/2006/relationships/hyperlink" Target="https://tldv.io/app/meetings/65112e1bfca79c001385af73" TargetMode="External"/><Relationship Id="rId74" Type="http://schemas.openxmlformats.org/officeDocument/2006/relationships/hyperlink" Target="https://tldv.io/app/meetings/651fbed0ba6f1d0013979a6b" TargetMode="External"/><Relationship Id="rId128" Type="http://schemas.openxmlformats.org/officeDocument/2006/relationships/hyperlink" Target="https://tldv.io/app/meetings/6544e6fee3b99f0013df40b7" TargetMode="External"/><Relationship Id="rId149" Type="http://schemas.openxmlformats.org/officeDocument/2006/relationships/hyperlink" Target="https://tldv.io/app/meetings/6554befeab2de30013bddac3" TargetMode="External"/><Relationship Id="rId314" Type="http://schemas.openxmlformats.org/officeDocument/2006/relationships/hyperlink" Target="https://tldv.io/app/meetings/65c60a805be22d00130cb312" TargetMode="External"/><Relationship Id="rId335" Type="http://schemas.openxmlformats.org/officeDocument/2006/relationships/hyperlink" Target="https://tldv.io/app/meetings/65d720c4c6a5b90013c4d84f" TargetMode="External"/><Relationship Id="rId356" Type="http://schemas.openxmlformats.org/officeDocument/2006/relationships/hyperlink" Target="https://tldv.io/app/meetings/65eee36aa635df0013ba16e1" TargetMode="External"/><Relationship Id="rId377" Type="http://schemas.openxmlformats.org/officeDocument/2006/relationships/hyperlink" Target="https://tldv.io/app/meetings/65fd5d695538cb0013a75b27" TargetMode="External"/><Relationship Id="rId398" Type="http://schemas.openxmlformats.org/officeDocument/2006/relationships/hyperlink" Target="https://tldv.io/app/meetings/6617d00bcfd45a00121096ee" TargetMode="External"/><Relationship Id="rId5" Type="http://schemas.openxmlformats.org/officeDocument/2006/relationships/hyperlink" Target="https://www.linkedin.com/in/vitaliy-myts/" TargetMode="External"/><Relationship Id="rId95" Type="http://schemas.openxmlformats.org/officeDocument/2006/relationships/hyperlink" Target="https://tldv.io/app/meetings/65323857f9dcec0013d04661" TargetMode="External"/><Relationship Id="rId160" Type="http://schemas.openxmlformats.org/officeDocument/2006/relationships/hyperlink" Target="https://tldv.io/app/meetings/65574cbed68fcb0013033c1f" TargetMode="External"/><Relationship Id="rId181" Type="http://schemas.openxmlformats.org/officeDocument/2006/relationships/hyperlink" Target="https://tldv.io/app/meetings/655f43d3a8ae0c00134875dc" TargetMode="External"/><Relationship Id="rId216" Type="http://schemas.openxmlformats.org/officeDocument/2006/relationships/hyperlink" Target="https://tldv.io/app/meetings/6581838e0a29e5001363fd0b" TargetMode="External"/><Relationship Id="rId237" Type="http://schemas.openxmlformats.org/officeDocument/2006/relationships/hyperlink" Target="https://tldv.io/app/meetings/658e7bdae99985001303c7cf" TargetMode="External"/><Relationship Id="rId402" Type="http://schemas.openxmlformats.org/officeDocument/2006/relationships/hyperlink" Target="https://tldv.io/app/meetings/661e36c09c1b4a0013c92bc4" TargetMode="External"/><Relationship Id="rId258" Type="http://schemas.openxmlformats.org/officeDocument/2006/relationships/hyperlink" Target="https://tldv.io/app/meetings/65a6587ff53093001313a765" TargetMode="External"/><Relationship Id="rId279" Type="http://schemas.openxmlformats.org/officeDocument/2006/relationships/hyperlink" Target="https://tldv.io/app/meetings/65af6f62964b61001353d14e" TargetMode="External"/><Relationship Id="rId22" Type="http://schemas.openxmlformats.org/officeDocument/2006/relationships/hyperlink" Target="https://t.me/egorLs" TargetMode="External"/><Relationship Id="rId43" Type="http://schemas.openxmlformats.org/officeDocument/2006/relationships/hyperlink" Target="https://t.me/Jason_Brody_HM" TargetMode="External"/><Relationship Id="rId64" Type="http://schemas.openxmlformats.org/officeDocument/2006/relationships/hyperlink" Target="https://tldv.io/app/meetings/6516995e9a65da0013ff45b7" TargetMode="External"/><Relationship Id="rId118" Type="http://schemas.openxmlformats.org/officeDocument/2006/relationships/hyperlink" Target="https://tldv.io/app/meetings/6540b9ac793f640013be8168" TargetMode="External"/><Relationship Id="rId139" Type="http://schemas.openxmlformats.org/officeDocument/2006/relationships/hyperlink" Target="https://tldv.io/app/meetings/654b9507c1bac80013bd5b21" TargetMode="External"/><Relationship Id="rId290" Type="http://schemas.openxmlformats.org/officeDocument/2006/relationships/hyperlink" Target="https://tldv.io/app/meetings/65b387dbd34fcd0013740f86" TargetMode="External"/><Relationship Id="rId304" Type="http://schemas.openxmlformats.org/officeDocument/2006/relationships/hyperlink" Target="https://tldv.io/app/meetings/65bc9ef5d16b42001465a667" TargetMode="External"/><Relationship Id="rId325" Type="http://schemas.openxmlformats.org/officeDocument/2006/relationships/hyperlink" Target="https://tldv.io/app/meetings/65cce0b5b4cf2c00139437ae" TargetMode="External"/><Relationship Id="rId346" Type="http://schemas.openxmlformats.org/officeDocument/2006/relationships/hyperlink" Target="https://tldv.io/app/meetings/65e58c017a03b500132c24bc" TargetMode="External"/><Relationship Id="rId367" Type="http://schemas.openxmlformats.org/officeDocument/2006/relationships/hyperlink" Target="https://tldv.io/app/meetings/65f82b375b23eb00133fcaf0" TargetMode="External"/><Relationship Id="rId388" Type="http://schemas.openxmlformats.org/officeDocument/2006/relationships/hyperlink" Target="https://tldv.io/app/meetings/660bc712ebfad5001303597a" TargetMode="External"/><Relationship Id="rId85" Type="http://schemas.openxmlformats.org/officeDocument/2006/relationships/hyperlink" Target="https://tldv.io/app/meetings/65292127d8cbec001303deb0" TargetMode="External"/><Relationship Id="rId150" Type="http://schemas.openxmlformats.org/officeDocument/2006/relationships/hyperlink" Target="https://tldv.io/app/meetings/6554c640ab2de30013bde00e" TargetMode="External"/><Relationship Id="rId171" Type="http://schemas.openxmlformats.org/officeDocument/2006/relationships/hyperlink" Target="https://tldv.io/app/meetings/655c689e6f69c20014de7b92" TargetMode="External"/><Relationship Id="rId192" Type="http://schemas.openxmlformats.org/officeDocument/2006/relationships/hyperlink" Target="https://tldv.io/app/meetings/65671791ffc9990014d6c50c" TargetMode="External"/><Relationship Id="rId206" Type="http://schemas.openxmlformats.org/officeDocument/2006/relationships/hyperlink" Target="https://tldv.io/app/meetings/6578362b794f5d00134d1259" TargetMode="External"/><Relationship Id="rId227" Type="http://schemas.openxmlformats.org/officeDocument/2006/relationships/hyperlink" Target="https://tldv.io/app/meetings/658594c1b38dac00133a9154" TargetMode="External"/><Relationship Id="rId248" Type="http://schemas.openxmlformats.org/officeDocument/2006/relationships/hyperlink" Target="https://tldv.io/app/meetings/659bf01a3dc411001460be1c" TargetMode="External"/><Relationship Id="rId269" Type="http://schemas.openxmlformats.org/officeDocument/2006/relationships/hyperlink" Target="https://tldv.io/app/meetings/65ae1d8694e6410013a9b800" TargetMode="External"/><Relationship Id="rId12" Type="http://schemas.openxmlformats.org/officeDocument/2006/relationships/hyperlink" Target="mailto:Marinarosahataya@gmail.com" TargetMode="External"/><Relationship Id="rId33" Type="http://schemas.openxmlformats.org/officeDocument/2006/relationships/hyperlink" Target="https://rabota.ua/ua/my/vacancies/9291612/applies?id=73210853-prof&amp;resumeId=19912839&amp;keyword=%D0%B1%D0%BE%D0%B9%D1%87%D1%83%D0%BA" TargetMode="External"/><Relationship Id="rId108" Type="http://schemas.openxmlformats.org/officeDocument/2006/relationships/hyperlink" Target="https://tldv.io/app/meetings/6538f3c86e6c640013c87d7d" TargetMode="External"/><Relationship Id="rId129" Type="http://schemas.openxmlformats.org/officeDocument/2006/relationships/hyperlink" Target="https://tldv.io/app/meetings/65489c04685067001392c4a7" TargetMode="External"/><Relationship Id="rId280" Type="http://schemas.openxmlformats.org/officeDocument/2006/relationships/hyperlink" Target="https://tldv.io/app/meetings/65af8c6583c0ae0013752ef6" TargetMode="External"/><Relationship Id="rId315" Type="http://schemas.openxmlformats.org/officeDocument/2006/relationships/hyperlink" Target="https://tldv.io/app/meetings/65c61250f782120013965e77" TargetMode="External"/><Relationship Id="rId336" Type="http://schemas.openxmlformats.org/officeDocument/2006/relationships/hyperlink" Target="https://tldv.io/app/meetings/65d73501c6a5b90013c5013d" TargetMode="External"/><Relationship Id="rId357" Type="http://schemas.openxmlformats.org/officeDocument/2006/relationships/hyperlink" Target="https://tldv.io/app/meetings/65eef228901a4c001388ba86" TargetMode="External"/><Relationship Id="rId54" Type="http://schemas.openxmlformats.org/officeDocument/2006/relationships/hyperlink" Target="https://tldv.io/app/meetings/6511203d2e4740001379ee92" TargetMode="External"/><Relationship Id="rId75" Type="http://schemas.openxmlformats.org/officeDocument/2006/relationships/hyperlink" Target="https://tldv.io/app/meetings/651ffc832dbcb50012bc4763" TargetMode="External"/><Relationship Id="rId96" Type="http://schemas.openxmlformats.org/officeDocument/2006/relationships/hyperlink" Target="https://tldv.io/app/meetings/65324024f01f39001389e085" TargetMode="External"/><Relationship Id="rId140" Type="http://schemas.openxmlformats.org/officeDocument/2006/relationships/hyperlink" Target="https://tldv.io/app/meetings/654def1afcc03b0013bc6ef1" TargetMode="External"/><Relationship Id="rId161" Type="http://schemas.openxmlformats.org/officeDocument/2006/relationships/hyperlink" Target="https://tldv.io/app/meetings/6557545bc34f9a0013299198" TargetMode="External"/><Relationship Id="rId182" Type="http://schemas.openxmlformats.org/officeDocument/2006/relationships/hyperlink" Target="https://tldv.io/app/meetings/65644a0c5af80100139d4ae2" TargetMode="External"/><Relationship Id="rId217" Type="http://schemas.openxmlformats.org/officeDocument/2006/relationships/hyperlink" Target="https://tldv.io/app/meetings/6582c144354a6d001377b37b" TargetMode="External"/><Relationship Id="rId378" Type="http://schemas.openxmlformats.org/officeDocument/2006/relationships/hyperlink" Target="https://tldv.io/app/meetings/65fd7dee373ed70013b3a768" TargetMode="External"/><Relationship Id="rId399" Type="http://schemas.openxmlformats.org/officeDocument/2006/relationships/hyperlink" Target="https://tldv.io/app/meetings/6618f648338402001317f06a" TargetMode="External"/><Relationship Id="rId403" Type="http://schemas.openxmlformats.org/officeDocument/2006/relationships/hyperlink" Target="https://tldv.io/app/meetings/661e3cf8cb177d00122d228f" TargetMode="External"/><Relationship Id="rId6" Type="http://schemas.openxmlformats.org/officeDocument/2006/relationships/hyperlink" Target="https://goiteens.com/wp-content/uploads/cfdb7_uploads/1664287010-your-file-CV-Iryna-Melnychuk.pdf" TargetMode="External"/><Relationship Id="rId238" Type="http://schemas.openxmlformats.org/officeDocument/2006/relationships/hyperlink" Target="https://tldv.io/app/meetings/658e8f96ae5f9d0013f166b8" TargetMode="External"/><Relationship Id="rId259" Type="http://schemas.openxmlformats.org/officeDocument/2006/relationships/hyperlink" Target="https://tldv.io/app/meetings/65a66da4e4198d00136d3863" TargetMode="External"/><Relationship Id="rId23" Type="http://schemas.openxmlformats.org/officeDocument/2006/relationships/hyperlink" Target="https://t.me/Katerina_trut" TargetMode="External"/><Relationship Id="rId119" Type="http://schemas.openxmlformats.org/officeDocument/2006/relationships/hyperlink" Target="https://tldv.io/app/meetings/6540cdf2731e380013f9caf5" TargetMode="External"/><Relationship Id="rId270" Type="http://schemas.openxmlformats.org/officeDocument/2006/relationships/hyperlink" Target="https://tldv.io/app/meetings/65ae26e1c235920013b742da" TargetMode="External"/><Relationship Id="rId291" Type="http://schemas.openxmlformats.org/officeDocument/2006/relationships/hyperlink" Target="https://tldv.io/app/meetings/65b39cbcba4bc400135df755" TargetMode="External"/><Relationship Id="rId305" Type="http://schemas.openxmlformats.org/officeDocument/2006/relationships/hyperlink" Target="https://tldv.io/app/meetings/65bcc26d6cfc8500136e1428" TargetMode="External"/><Relationship Id="rId326" Type="http://schemas.openxmlformats.org/officeDocument/2006/relationships/hyperlink" Target="https://tldv.io/app/meetings/65cdde9540aefa0013e82ca3" TargetMode="External"/><Relationship Id="rId347" Type="http://schemas.openxmlformats.org/officeDocument/2006/relationships/hyperlink" Target="https://tldv.io/app/meetings/65e5ee35b1fe1b00130652a0" TargetMode="External"/><Relationship Id="rId44" Type="http://schemas.openxmlformats.org/officeDocument/2006/relationships/hyperlink" Target="https://docs.google.com/spreadsheets/d/1Oxa2gviSJoj-SFNA8IQ39XS2xzom5EszbNlGj_BXKJY/edit?usp=sharing" TargetMode="External"/><Relationship Id="rId65" Type="http://schemas.openxmlformats.org/officeDocument/2006/relationships/hyperlink" Target="https://tldv.io/app/meetings/6516995e9a65da0013ff45b7" TargetMode="External"/><Relationship Id="rId86" Type="http://schemas.openxmlformats.org/officeDocument/2006/relationships/hyperlink" Target="https://tldv.io/app/meetings/65292f82e509a10013a5e519" TargetMode="External"/><Relationship Id="rId130" Type="http://schemas.openxmlformats.org/officeDocument/2006/relationships/hyperlink" Target="https://tldv.io/app/meetings/6548c55e62a56f0014c18a74" TargetMode="External"/><Relationship Id="rId151" Type="http://schemas.openxmlformats.org/officeDocument/2006/relationships/hyperlink" Target="https://tldv.io/app/meetings/6555d6ef76dc0e0013ce2cdf" TargetMode="External"/><Relationship Id="rId368" Type="http://schemas.openxmlformats.org/officeDocument/2006/relationships/hyperlink" Target="https://tldv.io/app/meetings/65f83ffbd21f3c00132cf346" TargetMode="External"/><Relationship Id="rId389" Type="http://schemas.openxmlformats.org/officeDocument/2006/relationships/hyperlink" Target="mailto:pasha.oziminskyi@ukr.net" TargetMode="External"/><Relationship Id="rId172" Type="http://schemas.openxmlformats.org/officeDocument/2006/relationships/hyperlink" Target="https://tldv.io/app/meetings/655c7663deb4ec0013903ae1" TargetMode="External"/><Relationship Id="rId193" Type="http://schemas.openxmlformats.org/officeDocument/2006/relationships/hyperlink" Target="https://tldv.io/app/meetings/65673b2e85054d0012ad69b1" TargetMode="External"/><Relationship Id="rId207" Type="http://schemas.openxmlformats.org/officeDocument/2006/relationships/hyperlink" Target="https://tldv.io/app/meetings/65783cc59f1acb0012ae3421" TargetMode="External"/><Relationship Id="rId228" Type="http://schemas.openxmlformats.org/officeDocument/2006/relationships/hyperlink" Target="https://tldv.io/app/meetings/65893c111d8a500013baca86" TargetMode="External"/><Relationship Id="rId249" Type="http://schemas.openxmlformats.org/officeDocument/2006/relationships/hyperlink" Target="https://tldv.io/app/meetings/659bf73ab5bd2400135e3af5" TargetMode="External"/><Relationship Id="rId13" Type="http://schemas.openxmlformats.org/officeDocument/2006/relationships/hyperlink" Target="https://djinni.co/home/inbox/12427695/" TargetMode="External"/><Relationship Id="rId109" Type="http://schemas.openxmlformats.org/officeDocument/2006/relationships/hyperlink" Target="https://tldv.io/app/meetings/653b5e342ae09000137be4bc" TargetMode="External"/><Relationship Id="rId260" Type="http://schemas.openxmlformats.org/officeDocument/2006/relationships/hyperlink" Target="https://tldv.io/app/meetings/65a67bbcb01d39001443c894" TargetMode="External"/><Relationship Id="rId281" Type="http://schemas.openxmlformats.org/officeDocument/2006/relationships/hyperlink" Target="https://tldv.io/app/meetings/65afbddae10a3300137d5e01" TargetMode="External"/><Relationship Id="rId316" Type="http://schemas.openxmlformats.org/officeDocument/2006/relationships/hyperlink" Target="https://tldv.io/app/meetings/65c746dc6fd861001345f99b" TargetMode="External"/><Relationship Id="rId337" Type="http://schemas.openxmlformats.org/officeDocument/2006/relationships/hyperlink" Target="https://tldv.io/app/meetings/65d89be734bedc0013ea1540" TargetMode="External"/><Relationship Id="rId34" Type="http://schemas.openxmlformats.org/officeDocument/2006/relationships/hyperlink" Target="https://www.linkedin.com/in/maksym-sharko-5b1b21213/" TargetMode="External"/><Relationship Id="rId55" Type="http://schemas.openxmlformats.org/officeDocument/2006/relationships/hyperlink" Target="https://tldv.io/app/meetings/65113ceb8d0c5e0013d85ff9" TargetMode="External"/><Relationship Id="rId76" Type="http://schemas.openxmlformats.org/officeDocument/2006/relationships/hyperlink" Target="https://tldv.io/app/meetings/6523ce8dc28fb80013d62af6" TargetMode="External"/><Relationship Id="rId97" Type="http://schemas.openxmlformats.org/officeDocument/2006/relationships/hyperlink" Target="https://tldv.io/app/meetings/65324d7bf105ef0013d3ee3f" TargetMode="External"/><Relationship Id="rId120" Type="http://schemas.openxmlformats.org/officeDocument/2006/relationships/hyperlink" Target="https://tldv.io/app/meetings/6540dcbd58333a0013a8ef38" TargetMode="External"/><Relationship Id="rId141" Type="http://schemas.openxmlformats.org/officeDocument/2006/relationships/hyperlink" Target="https://tldv.io/app/meetings/654e0449b69c5e001304beb0" TargetMode="External"/><Relationship Id="rId358" Type="http://schemas.openxmlformats.org/officeDocument/2006/relationships/hyperlink" Target="https://tldv.io/app/meetings/65eeff6e2b052300139e6bad" TargetMode="External"/><Relationship Id="rId379" Type="http://schemas.openxmlformats.org/officeDocument/2006/relationships/hyperlink" Target="https://tldv.io/app/meetings/65fd85cb373ed70013b3be83" TargetMode="External"/><Relationship Id="rId7" Type="http://schemas.openxmlformats.org/officeDocument/2006/relationships/hyperlink" Target="https://www.linkedin.com/in/%D0%BA%D1%80%D0%B8%D1%81%D1%82%D0%B8%D0%BD%D0%B0-%D0%B1%D0%B5%D0%BB%D0%BE%D0%B2%D0%B0-9285821b4/" TargetMode="External"/><Relationship Id="rId162" Type="http://schemas.openxmlformats.org/officeDocument/2006/relationships/hyperlink" Target="https://tldv.io/app/meetings/65575c0a61a93600130f249b" TargetMode="External"/><Relationship Id="rId183" Type="http://schemas.openxmlformats.org/officeDocument/2006/relationships/hyperlink" Target="https://tldv.io/app/meetings/65645f9f5af80100139d5e35" TargetMode="External"/><Relationship Id="rId218" Type="http://schemas.openxmlformats.org/officeDocument/2006/relationships/hyperlink" Target="https://tldv.io/app/meetings/6582d531d691230014ab3f31" TargetMode="External"/><Relationship Id="rId239" Type="http://schemas.openxmlformats.org/officeDocument/2006/relationships/hyperlink" Target="https://tldv.io/app/meetings/658e96c401251a00146d4cb1" TargetMode="External"/><Relationship Id="rId390" Type="http://schemas.openxmlformats.org/officeDocument/2006/relationships/hyperlink" Target="https://tldv.io/app/meetings/660bd6419106bb00136e4b1b" TargetMode="External"/><Relationship Id="rId404" Type="http://schemas.openxmlformats.org/officeDocument/2006/relationships/hyperlink" Target="https://tldv.io/app/meetings/661e4fc0cb177d00122d5c79" TargetMode="External"/><Relationship Id="rId250" Type="http://schemas.openxmlformats.org/officeDocument/2006/relationships/hyperlink" Target="https://tldv.io/app/meetings/659d020e5ed18f00137a2e07" TargetMode="External"/><Relationship Id="rId271" Type="http://schemas.openxmlformats.org/officeDocument/2006/relationships/hyperlink" Target="https://tldv.io/app/meetings/65ae2c7177bb43001302b165" TargetMode="External"/><Relationship Id="rId292" Type="http://schemas.openxmlformats.org/officeDocument/2006/relationships/hyperlink" Target="https://tldv.io/app/meetings/65b3b1e953b9010013fe7a14" TargetMode="External"/><Relationship Id="rId306" Type="http://schemas.openxmlformats.org/officeDocument/2006/relationships/hyperlink" Target="https://tldv.io/app/meetings/65bcd05fbacbc00013fb52d5" TargetMode="External"/><Relationship Id="rId24" Type="http://schemas.openxmlformats.org/officeDocument/2006/relationships/hyperlink" Target="https://t.me/M15h9an" TargetMode="External"/><Relationship Id="rId45" Type="http://schemas.openxmlformats.org/officeDocument/2006/relationships/hyperlink" Target="https://docs.google.com/spreadsheets/d/1Fnh-kb7wSLewYkg0oPR9TsBDXHPYMv1_Kv_YV-VQyoM/edit?usp=sharing" TargetMode="External"/><Relationship Id="rId66" Type="http://schemas.openxmlformats.org/officeDocument/2006/relationships/hyperlink" Target="https://tldv.io/app/meetings/6516995e9a65da0013ff45b7" TargetMode="External"/><Relationship Id="rId87" Type="http://schemas.openxmlformats.org/officeDocument/2006/relationships/hyperlink" Target="https://tldv.io/app/meetings/652cdc514b4d9000138f094e" TargetMode="External"/><Relationship Id="rId110" Type="http://schemas.openxmlformats.org/officeDocument/2006/relationships/hyperlink" Target="https://tldv.io/app/meetings/653b7aac7aa34d0013b0bd53" TargetMode="External"/><Relationship Id="rId131" Type="http://schemas.openxmlformats.org/officeDocument/2006/relationships/hyperlink" Target="https://tldv.io/app/meetings/6548cfe2790f120013a70ca0" TargetMode="External"/><Relationship Id="rId327" Type="http://schemas.openxmlformats.org/officeDocument/2006/relationships/hyperlink" Target="https://tldv.io/app/meetings/65ce0a3c56293400136045d5" TargetMode="External"/><Relationship Id="rId348" Type="http://schemas.openxmlformats.org/officeDocument/2006/relationships/hyperlink" Target="https://tldv.io/app/meetings/65e6dcf9b8b6530014972eb9" TargetMode="External"/><Relationship Id="rId369" Type="http://schemas.openxmlformats.org/officeDocument/2006/relationships/hyperlink" Target="https://tldv.io/app/meetings/65f9463296f6190013e6c1b9" TargetMode="External"/><Relationship Id="rId152" Type="http://schemas.openxmlformats.org/officeDocument/2006/relationships/hyperlink" Target="https://tldv.io/app/meetings/65560958ab2de30013beb0bc" TargetMode="External"/><Relationship Id="rId173" Type="http://schemas.openxmlformats.org/officeDocument/2006/relationships/hyperlink" Target="https://tldv.io/app/meetings/655c7e52cb995d0013c96019" TargetMode="External"/><Relationship Id="rId194" Type="http://schemas.openxmlformats.org/officeDocument/2006/relationships/hyperlink" Target="https://tldv.io/app/meetings/65684cc6b7fdb80013f707e8" TargetMode="External"/><Relationship Id="rId208" Type="http://schemas.openxmlformats.org/officeDocument/2006/relationships/hyperlink" Target="https://tldv.io/app/meetings/657852459f1acb0012ae4840" TargetMode="External"/><Relationship Id="rId229" Type="http://schemas.openxmlformats.org/officeDocument/2006/relationships/hyperlink" Target="https://tldv.io/app/meetings/658957df6e12260014b52a79" TargetMode="External"/><Relationship Id="rId380" Type="http://schemas.openxmlformats.org/officeDocument/2006/relationships/hyperlink" Target="https://tldv.io/app/meetings/66016548a3c1f800130205a2" TargetMode="External"/><Relationship Id="rId240" Type="http://schemas.openxmlformats.org/officeDocument/2006/relationships/hyperlink" Target="https://tldv.io/app/meetings/658ea4903f3c630013aa5628" TargetMode="External"/><Relationship Id="rId261" Type="http://schemas.openxmlformats.org/officeDocument/2006/relationships/hyperlink" Target="https://tldv.io/app/meetings/65a79e96e3983c0013d0b241" TargetMode="External"/><Relationship Id="rId14" Type="http://schemas.openxmlformats.org/officeDocument/2006/relationships/hyperlink" Target="https://t.me/sasha_ux_ui" TargetMode="External"/><Relationship Id="rId35" Type="http://schemas.openxmlformats.org/officeDocument/2006/relationships/hyperlink" Target="https://www.linkedin.com/in/chichyga-vitalii/" TargetMode="External"/><Relationship Id="rId56" Type="http://schemas.openxmlformats.org/officeDocument/2006/relationships/hyperlink" Target="https://tldv.io/app/meetings/65117b0a2e474000137a53b6" TargetMode="External"/><Relationship Id="rId77" Type="http://schemas.openxmlformats.org/officeDocument/2006/relationships/hyperlink" Target="https://tldv.io/app/meetings/6523ea03da618a00136f72dd" TargetMode="External"/><Relationship Id="rId100" Type="http://schemas.openxmlformats.org/officeDocument/2006/relationships/hyperlink" Target="https://tldv.io/app/meetings/653271955f6c760013fecc5d" TargetMode="External"/><Relationship Id="rId282" Type="http://schemas.openxmlformats.org/officeDocument/2006/relationships/hyperlink" Target="https://tldv.io/app/meetings/65b0d26c62aebe00136ace09" TargetMode="External"/><Relationship Id="rId317" Type="http://schemas.openxmlformats.org/officeDocument/2006/relationships/hyperlink" Target="https://tldv.io/app/meetings/65ca062466b01f00134b4fd6" TargetMode="External"/><Relationship Id="rId338" Type="http://schemas.openxmlformats.org/officeDocument/2006/relationships/hyperlink" Target="https://tldv.io/app/meetings/65ddbe9023620800138d6d0f" TargetMode="External"/><Relationship Id="rId359" Type="http://schemas.openxmlformats.org/officeDocument/2006/relationships/hyperlink" Target="https://tldv.io/app/meetings/65ef082caf1c240013f3b55c" TargetMode="External"/><Relationship Id="rId8" Type="http://schemas.openxmlformats.org/officeDocument/2006/relationships/hyperlink" Target="https://www.linkedin.com/in/mariana-dzividzinska-3a2b4b1a3/" TargetMode="External"/><Relationship Id="rId98" Type="http://schemas.openxmlformats.org/officeDocument/2006/relationships/hyperlink" Target="https://tldv.io/app/meetings/65325beaf118510013dfdd9c" TargetMode="External"/><Relationship Id="rId121" Type="http://schemas.openxmlformats.org/officeDocument/2006/relationships/hyperlink" Target="https://tldv.io/app/meetings/6540e3cbaeab33001397c919" TargetMode="External"/><Relationship Id="rId142" Type="http://schemas.openxmlformats.org/officeDocument/2006/relationships/hyperlink" Target="https://tldv.io/app/meetings/654e0bbfb69c5e001304c309" TargetMode="External"/><Relationship Id="rId163" Type="http://schemas.openxmlformats.org/officeDocument/2006/relationships/hyperlink" Target="https://tldv.io/app/meetings/655762cdc34f9a0013299efa" TargetMode="External"/><Relationship Id="rId184" Type="http://schemas.openxmlformats.org/officeDocument/2006/relationships/hyperlink" Target="https://tldv.io/app/meetings/656466e0bbe95b0013ac6dfd" TargetMode="External"/><Relationship Id="rId219" Type="http://schemas.openxmlformats.org/officeDocument/2006/relationships/hyperlink" Target="https://tldv.io/app/meetings/6582ea59d691230014ab50f8" TargetMode="External"/><Relationship Id="rId370" Type="http://schemas.openxmlformats.org/officeDocument/2006/relationships/hyperlink" Target="https://tldv.io/app/meetings/65f94c14bb43da0013bcab15" TargetMode="External"/><Relationship Id="rId391" Type="http://schemas.openxmlformats.org/officeDocument/2006/relationships/hyperlink" Target="https://tldv.io/app/meetings/660d0c911af000001300e365" TargetMode="External"/><Relationship Id="rId405" Type="http://schemas.openxmlformats.org/officeDocument/2006/relationships/vmlDrawing" Target="../drawings/vmlDrawing2.vml"/><Relationship Id="rId230" Type="http://schemas.openxmlformats.org/officeDocument/2006/relationships/hyperlink" Target="https://tldv.io/app/meetings/6589742ef98e760013b619b2" TargetMode="External"/><Relationship Id="rId251" Type="http://schemas.openxmlformats.org/officeDocument/2006/relationships/hyperlink" Target="https://tldv.io/app/meetings/659e8c9dfcedec0013549334" TargetMode="External"/><Relationship Id="rId25" Type="http://schemas.openxmlformats.org/officeDocument/2006/relationships/hyperlink" Target="https://t.me/m_langilde" TargetMode="External"/><Relationship Id="rId46" Type="http://schemas.openxmlformats.org/officeDocument/2006/relationships/hyperlink" Target="https://tldv.io/app/meetings/650addd7ca6e7200131408e5" TargetMode="External"/><Relationship Id="rId67" Type="http://schemas.openxmlformats.org/officeDocument/2006/relationships/hyperlink" Target="https://tldv.io/app/meetings/6516ad7b9a65da0013ff5684" TargetMode="External"/><Relationship Id="rId272" Type="http://schemas.openxmlformats.org/officeDocument/2006/relationships/hyperlink" Target="https://tldv.io/app/meetings/65ae34ad49723600135738c6" TargetMode="External"/><Relationship Id="rId293" Type="http://schemas.openxmlformats.org/officeDocument/2006/relationships/hyperlink" Target="https://tldv.io/app/meetings/65b3d6a8ed359e0013eeaa55" TargetMode="External"/><Relationship Id="rId307" Type="http://schemas.openxmlformats.org/officeDocument/2006/relationships/hyperlink" Target="https://tldv.io/app/meetings/65c0af3379bb160013cf8dda" TargetMode="External"/><Relationship Id="rId328" Type="http://schemas.openxmlformats.org/officeDocument/2006/relationships/hyperlink" Target="https://tldv.io/app/meetings/65ce120ceb3b6b0013acb78b/" TargetMode="External"/><Relationship Id="rId349" Type="http://schemas.openxmlformats.org/officeDocument/2006/relationships/hyperlink" Target="https://tldv.io/app/meetings/65e84b45bdc5860013f898df" TargetMode="External"/><Relationship Id="rId88" Type="http://schemas.openxmlformats.org/officeDocument/2006/relationships/hyperlink" Target="https://tldv.io/app/meetings/652d242995acc0001404813c" TargetMode="External"/><Relationship Id="rId111" Type="http://schemas.openxmlformats.org/officeDocument/2006/relationships/hyperlink" Target="https://tldv.io/app/meetings/653f8a82c018780013fa33c9" TargetMode="External"/><Relationship Id="rId132" Type="http://schemas.openxmlformats.org/officeDocument/2006/relationships/hyperlink" Target="https://tldv.io/app/meetings/6549ec1c9b8d69001388790c" TargetMode="External"/><Relationship Id="rId153" Type="http://schemas.openxmlformats.org/officeDocument/2006/relationships/hyperlink" Target="https://tldv.io/app/meetings/65564872cc95ae001302202e" TargetMode="External"/><Relationship Id="rId174" Type="http://schemas.openxmlformats.org/officeDocument/2006/relationships/hyperlink" Target="https://tldv.io/app/meetings/655c9999123db800138de304" TargetMode="External"/><Relationship Id="rId195" Type="http://schemas.openxmlformats.org/officeDocument/2006/relationships/hyperlink" Target="https://tldv.io/app/meetings/65699720f5e0de001322c806" TargetMode="External"/><Relationship Id="rId209" Type="http://schemas.openxmlformats.org/officeDocument/2006/relationships/hyperlink" Target="https://tldv.io/app/meetings/65798c93c8cb450013bab0d2" TargetMode="External"/><Relationship Id="rId360" Type="http://schemas.openxmlformats.org/officeDocument/2006/relationships/hyperlink" Target="https://tldv.io/app/meetings/65f0099501c7a40014233f2d" TargetMode="External"/><Relationship Id="rId381" Type="http://schemas.openxmlformats.org/officeDocument/2006/relationships/hyperlink" Target="https://tldv.io/app/meetings/66016c8c0727420013453902" TargetMode="External"/><Relationship Id="rId220" Type="http://schemas.openxmlformats.org/officeDocument/2006/relationships/hyperlink" Target="https://tldv.io/app/meetings/65855c88af61bf0013badd51" TargetMode="External"/><Relationship Id="rId241" Type="http://schemas.openxmlformats.org/officeDocument/2006/relationships/hyperlink" Target="https://tldv.io/app/meetings/658eb9d8816a6600130e8adf" TargetMode="External"/><Relationship Id="rId15" Type="http://schemas.openxmlformats.org/officeDocument/2006/relationships/hyperlink" Target="https://www.linkedin.com/in/sasha-savchenko-854a17229/" TargetMode="External"/><Relationship Id="rId36" Type="http://schemas.openxmlformats.org/officeDocument/2006/relationships/hyperlink" Target="https://t.me/YuuSakuma" TargetMode="External"/><Relationship Id="rId57" Type="http://schemas.openxmlformats.org/officeDocument/2006/relationships/hyperlink" Target="https://tldv.io/app/meetings/651278a23a983a001372781a" TargetMode="External"/><Relationship Id="rId262" Type="http://schemas.openxmlformats.org/officeDocument/2006/relationships/hyperlink" Target="https://tldv.io/app/meetings/65a7a4e3e3983c0013d0b8d5" TargetMode="External"/><Relationship Id="rId283" Type="http://schemas.openxmlformats.org/officeDocument/2006/relationships/hyperlink" Target="https://tldv.io/app/meetings/65b0de54e8e7670013898caf" TargetMode="External"/><Relationship Id="rId318" Type="http://schemas.openxmlformats.org/officeDocument/2006/relationships/hyperlink" Target="https://tldv.io/app/meetings/65ca0e7d095ca900133caa0f" TargetMode="External"/><Relationship Id="rId339" Type="http://schemas.openxmlformats.org/officeDocument/2006/relationships/hyperlink" Target="https://tldv.io/app/meetings/65def6f07a0f9e0013709bf5" TargetMode="External"/><Relationship Id="rId78" Type="http://schemas.openxmlformats.org/officeDocument/2006/relationships/hyperlink" Target="https://tldv.io/app/meetings/6523f22dc28fb80013d63ca7" TargetMode="External"/><Relationship Id="rId99" Type="http://schemas.openxmlformats.org/officeDocument/2006/relationships/hyperlink" Target="https://tldv.io/app/meetings/65326a385f6c760013fec338" TargetMode="External"/><Relationship Id="rId101" Type="http://schemas.openxmlformats.org/officeDocument/2006/relationships/hyperlink" Target="https://tldv.io/app/meetings/6532786d00c159001249965b" TargetMode="External"/><Relationship Id="rId122" Type="http://schemas.openxmlformats.org/officeDocument/2006/relationships/hyperlink" Target="https://tldv.io/app/meetings/6540ebd6731e380013f9ec9b" TargetMode="External"/><Relationship Id="rId143" Type="http://schemas.openxmlformats.org/officeDocument/2006/relationships/hyperlink" Target="https://tldv.io/app/meetings/654e2f23040b0b0013815ed2" TargetMode="External"/><Relationship Id="rId164" Type="http://schemas.openxmlformats.org/officeDocument/2006/relationships/hyperlink" Target="https://tldv.io/app/meetings/655769928d59a700131d9ab0" TargetMode="External"/><Relationship Id="rId185" Type="http://schemas.openxmlformats.org/officeDocument/2006/relationships/hyperlink" Target="https://tldv.io/app/meetings/65647f269c8e440013402ac5" TargetMode="External"/><Relationship Id="rId350" Type="http://schemas.openxmlformats.org/officeDocument/2006/relationships/hyperlink" Target="https://tldv.io/app/meetings/65e9aaace4c340001348f422" TargetMode="External"/><Relationship Id="rId371" Type="http://schemas.openxmlformats.org/officeDocument/2006/relationships/hyperlink" Target="https://tldv.io/app/meetings/65f9530295dda00013dcfd5b" TargetMode="External"/><Relationship Id="rId406" Type="http://schemas.openxmlformats.org/officeDocument/2006/relationships/comments" Target="../comments2.xml"/><Relationship Id="rId9" Type="http://schemas.openxmlformats.org/officeDocument/2006/relationships/hyperlink" Target="https://www.linkedin.com/in/vladyslav-mahar-759a36174/" TargetMode="External"/><Relationship Id="rId210" Type="http://schemas.openxmlformats.org/officeDocument/2006/relationships/hyperlink" Target="https://tldv.io/app/meetings/65799a721703080013bd66b6" TargetMode="External"/><Relationship Id="rId392" Type="http://schemas.openxmlformats.org/officeDocument/2006/relationships/hyperlink" Target="https://tldv.io/app/meetings/660e94b71af00000130412e3" TargetMode="External"/><Relationship Id="rId26" Type="http://schemas.openxmlformats.org/officeDocument/2006/relationships/hyperlink" Target="mailto:lizzzie.ok@gmail.com" TargetMode="External"/><Relationship Id="rId231" Type="http://schemas.openxmlformats.org/officeDocument/2006/relationships/hyperlink" Target="https://tldv.io/app/meetings/658ab06f6e12260014b577f7" TargetMode="External"/><Relationship Id="rId252" Type="http://schemas.openxmlformats.org/officeDocument/2006/relationships/hyperlink" Target="https://tldv.io/app/meetings/659e93f271f8c20013965f3b" TargetMode="External"/><Relationship Id="rId273" Type="http://schemas.openxmlformats.org/officeDocument/2006/relationships/hyperlink" Target="https://tldv.io/app/meetings/65ae4217dfcbd70013ba62d5" TargetMode="External"/><Relationship Id="rId294" Type="http://schemas.openxmlformats.org/officeDocument/2006/relationships/hyperlink" Target="https://tldv.io/app/meetings/65b4d2876c736e0013a34b04" TargetMode="External"/><Relationship Id="rId308" Type="http://schemas.openxmlformats.org/officeDocument/2006/relationships/hyperlink" Target="https://tldv.io/app/meetings/65c0e0ebdb517a0013798520" TargetMode="External"/><Relationship Id="rId329" Type="http://schemas.openxmlformats.org/officeDocument/2006/relationships/hyperlink" Target="https://tldv.io/app/meetings/65d356007562f300132842ca" TargetMode="External"/><Relationship Id="rId47" Type="http://schemas.openxmlformats.org/officeDocument/2006/relationships/hyperlink" Target="https://tldv.io/app/meetings/650ae3e44d886f001274b04c" TargetMode="External"/><Relationship Id="rId68" Type="http://schemas.openxmlformats.org/officeDocument/2006/relationships/hyperlink" Target="https://tldv.io/app/meetings/6516b3cf9a65da0013ff5ab9" TargetMode="External"/><Relationship Id="rId89" Type="http://schemas.openxmlformats.org/officeDocument/2006/relationships/hyperlink" Target="https://tldv.io/app/meetings/652d2b7b95acc00014048af7" TargetMode="External"/><Relationship Id="rId112" Type="http://schemas.openxmlformats.org/officeDocument/2006/relationships/hyperlink" Target="https://tldv.io/app/meetings/653f98320160d5001378eea9" TargetMode="External"/><Relationship Id="rId133" Type="http://schemas.openxmlformats.org/officeDocument/2006/relationships/hyperlink" Target="https://tldv.io/app/meetings/654a0aea74e75300138d08e2" TargetMode="External"/><Relationship Id="rId154" Type="http://schemas.openxmlformats.org/officeDocument/2006/relationships/hyperlink" Target="https://tldv.io/app/meetings/65565201c8eb770013f5c2b6" TargetMode="External"/><Relationship Id="rId175" Type="http://schemas.openxmlformats.org/officeDocument/2006/relationships/hyperlink" Target="https://tldv.io/app/meetings/655caf12cb995d0013c98e73" TargetMode="External"/><Relationship Id="rId340" Type="http://schemas.openxmlformats.org/officeDocument/2006/relationships/hyperlink" Target="https://tldv.io/app/meetings/65df1e017a0f9e001370f0e5" TargetMode="External"/><Relationship Id="rId361" Type="http://schemas.openxmlformats.org/officeDocument/2006/relationships/hyperlink" Target="https://tldv.io/app/meetings/65f0264baf1c240013f52d78" TargetMode="External"/><Relationship Id="rId196" Type="http://schemas.openxmlformats.org/officeDocument/2006/relationships/hyperlink" Target="https://tldv.io/app/meetings/65699f2938f9fb001366f888" TargetMode="External"/><Relationship Id="rId200" Type="http://schemas.openxmlformats.org/officeDocument/2006/relationships/hyperlink" Target="https://tldv.io/app/meetings/656dce248096c90013dec4ec" TargetMode="External"/><Relationship Id="rId382" Type="http://schemas.openxmlformats.org/officeDocument/2006/relationships/hyperlink" Target="https://tldv.io/app/meetings/6602a8f00954600012665536" TargetMode="External"/><Relationship Id="rId16" Type="http://schemas.openxmlformats.org/officeDocument/2006/relationships/hyperlink" Target="https://t.me/NataNovak" TargetMode="External"/><Relationship Id="rId221" Type="http://schemas.openxmlformats.org/officeDocument/2006/relationships/hyperlink" Target="https://tldv.io/app/meetings/65856a87af61bf0013bae82e" TargetMode="External"/><Relationship Id="rId242" Type="http://schemas.openxmlformats.org/officeDocument/2006/relationships/hyperlink" Target="https://tldv.io/app/meetings/6593eb1d37740b0013b4db41?sortBy=by_time" TargetMode="External"/><Relationship Id="rId263" Type="http://schemas.openxmlformats.org/officeDocument/2006/relationships/hyperlink" Target="https://tldv.io/app/meetings/65a7c677de9ae500136f4ad0" TargetMode="External"/><Relationship Id="rId284" Type="http://schemas.openxmlformats.org/officeDocument/2006/relationships/hyperlink" Target="https://tldv.io/app/meetings/65b1012e0d21a30013d85562" TargetMode="External"/><Relationship Id="rId319" Type="http://schemas.openxmlformats.org/officeDocument/2006/relationships/hyperlink" Target="https://tldv.io/app/meetings/65ca152c12b27c0013838476" TargetMode="External"/><Relationship Id="rId37" Type="http://schemas.openxmlformats.org/officeDocument/2006/relationships/hyperlink" Target="https://rabota.ua/ua/my/vacancies/9291612/applies?id=88019901-attach&amp;keyword=%D0%B1%D0%BB%D1%96%D0%BD%D0%BE%D0%B2%D0%B0" TargetMode="External"/><Relationship Id="rId58" Type="http://schemas.openxmlformats.org/officeDocument/2006/relationships/hyperlink" Target="https://tldv.io/app/meetings/65129cdd8aa4ee0013dfaf04" TargetMode="External"/><Relationship Id="rId79" Type="http://schemas.openxmlformats.org/officeDocument/2006/relationships/hyperlink" Target="https://tldv.io/app/meetings/652511094a1c8b00134d1b12" TargetMode="External"/><Relationship Id="rId102" Type="http://schemas.openxmlformats.org/officeDocument/2006/relationships/hyperlink" Target="https://tldv.io/app/meetings/653285c0f105ef0013d42f63" TargetMode="External"/><Relationship Id="rId123" Type="http://schemas.openxmlformats.org/officeDocument/2006/relationships/hyperlink" Target="https://tldv.io/app/meetings/6540f2d558333a0013a9054c" TargetMode="External"/><Relationship Id="rId144" Type="http://schemas.openxmlformats.org/officeDocument/2006/relationships/hyperlink" Target="https://tldv.io/app/meetings/6552009f76dc0e0013cb9900" TargetMode="External"/><Relationship Id="rId330" Type="http://schemas.openxmlformats.org/officeDocument/2006/relationships/hyperlink" Target="https://tldv.io/app/meetings/65d475fe9fe00000140fef25" TargetMode="External"/><Relationship Id="rId90" Type="http://schemas.openxmlformats.org/officeDocument/2006/relationships/hyperlink" Target="https://tldv.io/app/meetings/652d4e1f69891200138af151" TargetMode="External"/><Relationship Id="rId165" Type="http://schemas.openxmlformats.org/officeDocument/2006/relationships/hyperlink" Target="https://tldv.io/app/meetings/655b0ff278f4e900134db608" TargetMode="External"/><Relationship Id="rId186" Type="http://schemas.openxmlformats.org/officeDocument/2006/relationships/hyperlink" Target="https://tldv.io/app/meetings/656489b52b1e53001317ffd5" TargetMode="External"/><Relationship Id="rId351" Type="http://schemas.openxmlformats.org/officeDocument/2006/relationships/hyperlink" Target="https://tldv.io/app/meetings/65e9b1302ef99800130cd7f2" TargetMode="External"/><Relationship Id="rId372" Type="http://schemas.openxmlformats.org/officeDocument/2006/relationships/hyperlink" Target="https://tldv.io/app/meetings/65fab8cae938fa0012f94662" TargetMode="External"/><Relationship Id="rId393" Type="http://schemas.openxmlformats.org/officeDocument/2006/relationships/hyperlink" Target="https://tldv.io/app/meetings/660fecedaf88c30013ce6cc5" TargetMode="External"/><Relationship Id="rId211" Type="http://schemas.openxmlformats.org/officeDocument/2006/relationships/hyperlink" Target="https://tldv.io/app/meetings/6579a28a78c35500133b72d0" TargetMode="External"/><Relationship Id="rId232" Type="http://schemas.openxmlformats.org/officeDocument/2006/relationships/hyperlink" Target="https://tldv.io/app/meetings/658ab8931d8a500013bb2450" TargetMode="External"/><Relationship Id="rId253" Type="http://schemas.openxmlformats.org/officeDocument/2006/relationships/hyperlink" Target="https://tldv.io/app/meetings/659ec4f8acf4a900134c7c96" TargetMode="External"/><Relationship Id="rId274" Type="http://schemas.openxmlformats.org/officeDocument/2006/relationships/hyperlink" Target="https://tldv.io/app/meetings/65ae4a0fe132d900136cab2f" TargetMode="External"/><Relationship Id="rId295" Type="http://schemas.openxmlformats.org/officeDocument/2006/relationships/hyperlink" Target="https://tldv.io/app/meetings/65b76e3159eedb0013f08b01" TargetMode="External"/><Relationship Id="rId309" Type="http://schemas.openxmlformats.org/officeDocument/2006/relationships/hyperlink" Target="https://tldv.io/app/meetings/65c20f2d0eebae0013a4ee98" TargetMode="External"/><Relationship Id="rId27" Type="http://schemas.openxmlformats.org/officeDocument/2006/relationships/hyperlink" Target="https://rabota.ua/ua/my/vacancies/9291612/applies?id=87831441-attach" TargetMode="External"/><Relationship Id="rId48" Type="http://schemas.openxmlformats.org/officeDocument/2006/relationships/hyperlink" Target="https://tldv.io/app/meetings/650c60448130700013741010" TargetMode="External"/><Relationship Id="rId69" Type="http://schemas.openxmlformats.org/officeDocument/2006/relationships/hyperlink" Target="https://tldv.io/app/meetings/6516c1cc74e86d0013b2ecb5" TargetMode="External"/><Relationship Id="rId113" Type="http://schemas.openxmlformats.org/officeDocument/2006/relationships/hyperlink" Target="https://tldv.io/app/meetings/653fa1409a2e98001307aff5" TargetMode="External"/><Relationship Id="rId134" Type="http://schemas.openxmlformats.org/officeDocument/2006/relationships/hyperlink" Target="https://tldv.io/app/meetings/654b55128d14ed00139fae81" TargetMode="External"/><Relationship Id="rId320" Type="http://schemas.openxmlformats.org/officeDocument/2006/relationships/hyperlink" Target="https://tldv.io/app/meetings/65ca1c37f7f9980013b13866" TargetMode="External"/><Relationship Id="rId80" Type="http://schemas.openxmlformats.org/officeDocument/2006/relationships/hyperlink" Target="https://tldv.io/app/meetings/652527b9b03b210013534069" TargetMode="External"/><Relationship Id="rId155" Type="http://schemas.openxmlformats.org/officeDocument/2006/relationships/hyperlink" Target="https://tldv.io/app/meetings/65571bbb3dad3a0013eb3168" TargetMode="External"/><Relationship Id="rId176" Type="http://schemas.openxmlformats.org/officeDocument/2006/relationships/hyperlink" Target="https://tldv.io/app/meetings/655df942739bcf00136e85cd" TargetMode="External"/><Relationship Id="rId197" Type="http://schemas.openxmlformats.org/officeDocument/2006/relationships/hyperlink" Target="https://tldv.io/app/meetings/6569b39038f9fb0013670a03" TargetMode="External"/><Relationship Id="rId341" Type="http://schemas.openxmlformats.org/officeDocument/2006/relationships/hyperlink" Target="https://tldv.io/app/meetings/65e0375ee063930013edb34b" TargetMode="External"/><Relationship Id="rId362" Type="http://schemas.openxmlformats.org/officeDocument/2006/relationships/hyperlink" Target="https://tldv.io/app/meetings/65f0970721179800125732f6" TargetMode="External"/><Relationship Id="rId383" Type="http://schemas.openxmlformats.org/officeDocument/2006/relationships/hyperlink" Target="https://tldv.io/app/meetings/6604103b9c48d80013ef22de" TargetMode="External"/><Relationship Id="rId201" Type="http://schemas.openxmlformats.org/officeDocument/2006/relationships/hyperlink" Target="https://tldv.io/app/meetings/656ed65c2a29c80013239029" TargetMode="External"/><Relationship Id="rId222" Type="http://schemas.openxmlformats.org/officeDocument/2006/relationships/hyperlink" Target="https://tldv.io/app/meetings/65857177a49aa900137c3cf5" TargetMode="External"/><Relationship Id="rId243" Type="http://schemas.openxmlformats.org/officeDocument/2006/relationships/hyperlink" Target="https://tldv.io/app/meetings/65952780f08cb6001367eb31" TargetMode="External"/><Relationship Id="rId264" Type="http://schemas.openxmlformats.org/officeDocument/2006/relationships/hyperlink" Target="https://tldv.io/app/meetings/65a7cf00e209a50013912130" TargetMode="External"/><Relationship Id="rId285" Type="http://schemas.openxmlformats.org/officeDocument/2006/relationships/hyperlink" Target="https://tldv.io/app/meetings/65b1088074907c0013fda4fd" TargetMode="External"/><Relationship Id="rId17" Type="http://schemas.openxmlformats.org/officeDocument/2006/relationships/hyperlink" Target="http://t.me/ArtemyFaust" TargetMode="External"/><Relationship Id="rId38" Type="http://schemas.openxmlformats.org/officeDocument/2006/relationships/hyperlink" Target="https://t.me/DoubleDamages" TargetMode="External"/><Relationship Id="rId59" Type="http://schemas.openxmlformats.org/officeDocument/2006/relationships/hyperlink" Target="https://tldv.io/app/meetings/6512be96357adb0014840c24" TargetMode="External"/><Relationship Id="rId103" Type="http://schemas.openxmlformats.org/officeDocument/2006/relationships/hyperlink" Target="https://tldv.io/app/meetings/6536267ef8d2f400144b97d6" TargetMode="External"/><Relationship Id="rId124" Type="http://schemas.openxmlformats.org/officeDocument/2006/relationships/hyperlink" Target="https://tldv.io/app/meetings/65421899ab40ff001338d692" TargetMode="External"/><Relationship Id="rId310" Type="http://schemas.openxmlformats.org/officeDocument/2006/relationships/hyperlink" Target="https://tldv.io/app/meetings/65c22b77f76739001344d4ac" TargetMode="External"/><Relationship Id="rId70" Type="http://schemas.openxmlformats.org/officeDocument/2006/relationships/hyperlink" Target="https://tldv.io/app/meetings/651bd86bd45351001397e088" TargetMode="External"/><Relationship Id="rId91" Type="http://schemas.openxmlformats.org/officeDocument/2006/relationships/hyperlink" Target="https://tldv.io/app/meetings/652e598495acc00014058a90" TargetMode="External"/><Relationship Id="rId145" Type="http://schemas.openxmlformats.org/officeDocument/2006/relationships/hyperlink" Target="https://tldv.io/app/meetings/65521849b69c5e001305ed95" TargetMode="External"/><Relationship Id="rId166" Type="http://schemas.openxmlformats.org/officeDocument/2006/relationships/hyperlink" Target="https://tldv.io/app/meetings/655b1e5ca3cffd0013d25276" TargetMode="External"/><Relationship Id="rId187" Type="http://schemas.openxmlformats.org/officeDocument/2006/relationships/hyperlink" Target="https://tldv.io/app/meetings/656493402b1e53001318094f" TargetMode="External"/><Relationship Id="rId331" Type="http://schemas.openxmlformats.org/officeDocument/2006/relationships/hyperlink" Target="https://tldv.io/app/meetings/65d484300fe56300134a573c" TargetMode="External"/><Relationship Id="rId352" Type="http://schemas.openxmlformats.org/officeDocument/2006/relationships/hyperlink" Target="https://tldv.io/app/meetings/65e9b8d795a6d000138f9db6" TargetMode="External"/><Relationship Id="rId373" Type="http://schemas.openxmlformats.org/officeDocument/2006/relationships/hyperlink" Target="https://t.me/moroz_eva" TargetMode="External"/><Relationship Id="rId394" Type="http://schemas.openxmlformats.org/officeDocument/2006/relationships/hyperlink" Target="https://tldv.io/app/meetings/661394d4df0c2f0013d62617" TargetMode="External"/><Relationship Id="rId1" Type="http://schemas.openxmlformats.org/officeDocument/2006/relationships/hyperlink" Target="https://docs.google.com/spreadsheets/d/1y20UDc6gfpaEBzaWt5B70a6bE4gHLyX1GOjS_Bx3x3Y/edit" TargetMode="External"/><Relationship Id="rId212" Type="http://schemas.openxmlformats.org/officeDocument/2006/relationships/hyperlink" Target="https://tldv.io/app/meetings/657c28c22aaa020013eef643" TargetMode="External"/><Relationship Id="rId233" Type="http://schemas.openxmlformats.org/officeDocument/2006/relationships/hyperlink" Target="https://tldv.io/app/meetings/658ac01598a361001407b2ea" TargetMode="External"/><Relationship Id="rId254" Type="http://schemas.openxmlformats.org/officeDocument/2006/relationships/hyperlink" Target="https://tldv.io/app/meetings/65a10b8c7d3c8c0012e690c9" TargetMode="External"/><Relationship Id="rId28" Type="http://schemas.openxmlformats.org/officeDocument/2006/relationships/hyperlink" Target="https://cv.djinni.co/af/b329d97dfe341b836dac566e8e38bd/Anna_Perlovska_CV_English.pdf" TargetMode="External"/><Relationship Id="rId49" Type="http://schemas.openxmlformats.org/officeDocument/2006/relationships/hyperlink" Target="https://tldv.io/app/meetings/650d6b00f844c000133e1152" TargetMode="External"/><Relationship Id="rId114" Type="http://schemas.openxmlformats.org/officeDocument/2006/relationships/hyperlink" Target="https://tldv.io/app/meetings/653fa697c018780013fa51cb" TargetMode="External"/><Relationship Id="rId275" Type="http://schemas.openxmlformats.org/officeDocument/2006/relationships/hyperlink" Target="https://tldv.io/app/meetings/65ae56ccdfcbd70013ba77ba" TargetMode="External"/><Relationship Id="rId296" Type="http://schemas.openxmlformats.org/officeDocument/2006/relationships/hyperlink" Target="https://tldv.io/app/meetings/65b7834fe0c807001377d259" TargetMode="External"/><Relationship Id="rId300" Type="http://schemas.openxmlformats.org/officeDocument/2006/relationships/hyperlink" Target="https://tldv.io/app/meetings/65b8f5a19e3e6b0012102e44" TargetMode="External"/><Relationship Id="rId60" Type="http://schemas.openxmlformats.org/officeDocument/2006/relationships/hyperlink" Target="https://tldv.io/app/meetings/6513db503a983a001373f882" TargetMode="External"/><Relationship Id="rId81" Type="http://schemas.openxmlformats.org/officeDocument/2006/relationships/hyperlink" Target="https://tldv.io/app/meetings/65252d3a2e74ea0013900e0a" TargetMode="External"/><Relationship Id="rId135" Type="http://schemas.openxmlformats.org/officeDocument/2006/relationships/hyperlink" Target="https://tldv.io/app/meetings/654b6177c1bac80013bd1961" TargetMode="External"/><Relationship Id="rId156" Type="http://schemas.openxmlformats.org/officeDocument/2006/relationships/hyperlink" Target="https://tldv.io/app/meetings/655722453dad3a0013eb379f" TargetMode="External"/><Relationship Id="rId177" Type="http://schemas.openxmlformats.org/officeDocument/2006/relationships/hyperlink" Target="https://tldv.io/app/meetings/655e0767da6ced0013283cbf" TargetMode="External"/><Relationship Id="rId198" Type="http://schemas.openxmlformats.org/officeDocument/2006/relationships/hyperlink" Target="https://tldv.io/app/meetings/656da19a8096c90013de98be" TargetMode="External"/><Relationship Id="rId321" Type="http://schemas.openxmlformats.org/officeDocument/2006/relationships/hyperlink" Target="https://tldv.io/app/meetings/65cb2d2e0925f00013d3255a" TargetMode="External"/><Relationship Id="rId342" Type="http://schemas.openxmlformats.org/officeDocument/2006/relationships/hyperlink" Target="https://tldv.io/app/meetings/65e06891e063930013ee09cb" TargetMode="External"/><Relationship Id="rId363" Type="http://schemas.openxmlformats.org/officeDocument/2006/relationships/hyperlink" Target="https://tldv.io/app/meetings/65f187ad6577190013565520" TargetMode="External"/><Relationship Id="rId384" Type="http://schemas.openxmlformats.org/officeDocument/2006/relationships/hyperlink" Target="https://tldv.io/app/meetings/66053933af1963001239b960" TargetMode="External"/><Relationship Id="rId202" Type="http://schemas.openxmlformats.org/officeDocument/2006/relationships/hyperlink" Target="https://tldv.io/app/meetings/656ef50562a5320013531aad" TargetMode="External"/><Relationship Id="rId223" Type="http://schemas.openxmlformats.org/officeDocument/2006/relationships/hyperlink" Target="https://tldv.io/app/meetings/6585792aaf61bf0013baf2d6" TargetMode="External"/><Relationship Id="rId244" Type="http://schemas.openxmlformats.org/officeDocument/2006/relationships/hyperlink" Target="https://tldv.io/app/meetings/659543145b6c980013ec3273" TargetMode="External"/><Relationship Id="rId18" Type="http://schemas.openxmlformats.org/officeDocument/2006/relationships/hyperlink" Target="https://t.me/posatsky" TargetMode="External"/><Relationship Id="rId39" Type="http://schemas.openxmlformats.org/officeDocument/2006/relationships/hyperlink" Target="https://imgur.com/a/PTHgVz2" TargetMode="External"/><Relationship Id="rId265" Type="http://schemas.openxmlformats.org/officeDocument/2006/relationships/hyperlink" Target="https://tldv.io/app/meetings/65a9264c969a6c0013606eac" TargetMode="External"/><Relationship Id="rId286" Type="http://schemas.openxmlformats.org/officeDocument/2006/relationships/hyperlink" Target="https://tldv.io/app/meetings/65b10ff2e6ee6300138bdd97" TargetMode="External"/><Relationship Id="rId50" Type="http://schemas.openxmlformats.org/officeDocument/2006/relationships/hyperlink" Target="https://tldv.io/app/meetings/650d72bd13527d001371a594" TargetMode="External"/><Relationship Id="rId104" Type="http://schemas.openxmlformats.org/officeDocument/2006/relationships/hyperlink" Target="https://tldv.io/app/meetings/65365e7b7c8dbd00130f0af5" TargetMode="External"/><Relationship Id="rId125" Type="http://schemas.openxmlformats.org/officeDocument/2006/relationships/hyperlink" Target="https://tldv.io/app/meetings/65422e1aa4ab440013813bb8" TargetMode="External"/><Relationship Id="rId146" Type="http://schemas.openxmlformats.org/officeDocument/2006/relationships/hyperlink" Target="https://tldv.io/app/meetings/655223da040b0b0013827554" TargetMode="External"/><Relationship Id="rId167" Type="http://schemas.openxmlformats.org/officeDocument/2006/relationships/hyperlink" Target="https://tldv.io/app/meetings/655b2c3778f4e900134dcf2c" TargetMode="External"/><Relationship Id="rId188" Type="http://schemas.openxmlformats.org/officeDocument/2006/relationships/hyperlink" Target="https://tldv.io/app/meetings/65649a2d8ce2280013786c68" TargetMode="External"/><Relationship Id="rId311" Type="http://schemas.openxmlformats.org/officeDocument/2006/relationships/hyperlink" Target="https://tldv.io/app/meetings/65c3613aaea2510013e10d86" TargetMode="External"/><Relationship Id="rId332" Type="http://schemas.openxmlformats.org/officeDocument/2006/relationships/hyperlink" Target="https://tldv.io/app/meetings/65d5f1e84894f9001338541f" TargetMode="External"/><Relationship Id="rId353" Type="http://schemas.openxmlformats.org/officeDocument/2006/relationships/hyperlink" Target="https://tldv.io/app/meetings/65eb12c52b052300139c3626" TargetMode="External"/><Relationship Id="rId374" Type="http://schemas.openxmlformats.org/officeDocument/2006/relationships/hyperlink" Target="https://tldv.io/app/meetings/65fadbe069917c0013adb357" TargetMode="External"/><Relationship Id="rId395" Type="http://schemas.openxmlformats.org/officeDocument/2006/relationships/hyperlink" Target="https://tldv.io/app/meetings/6613a922df0c2f0013d65673" TargetMode="External"/><Relationship Id="rId71" Type="http://schemas.openxmlformats.org/officeDocument/2006/relationships/hyperlink" Target="https://tldv.io/app/meetings/651d1ab9d453510013988306" TargetMode="External"/><Relationship Id="rId92" Type="http://schemas.openxmlformats.org/officeDocument/2006/relationships/hyperlink" Target="https://tldv.io/app/meetings/652e60328fb7df001360d381" TargetMode="External"/><Relationship Id="rId213" Type="http://schemas.openxmlformats.org/officeDocument/2006/relationships/hyperlink" Target="https://tldv.io/app/meetings/657c2fe27d07bf001338aeb4" TargetMode="External"/><Relationship Id="rId234" Type="http://schemas.openxmlformats.org/officeDocument/2006/relationships/hyperlink" Target="https://tldv.io/app/meetings/658c10bac1027e001358abc5" TargetMode="External"/><Relationship Id="rId2" Type="http://schemas.openxmlformats.org/officeDocument/2006/relationships/hyperlink" Target="mailto:davishev11@gmail.com" TargetMode="External"/><Relationship Id="rId29" Type="http://schemas.openxmlformats.org/officeDocument/2006/relationships/hyperlink" Target="https://rabota.ua/ua/my/vacancies/9291612/applies?id=87791151-attach&amp;keyword=%D0%B4%D1%83%D1%88%D0%B5%D0%BD%D0%BA%D0%BE" TargetMode="External"/><Relationship Id="rId255" Type="http://schemas.openxmlformats.org/officeDocument/2006/relationships/hyperlink" Target="https://tldv.io/app/meetings/65a508609d286d0013f63b71" TargetMode="External"/><Relationship Id="rId276" Type="http://schemas.openxmlformats.org/officeDocument/2006/relationships/hyperlink" Target="https://tldv.io/app/meetings/65ae5fb2e132d900136cc77e" TargetMode="External"/><Relationship Id="rId297" Type="http://schemas.openxmlformats.org/officeDocument/2006/relationships/hyperlink" Target="https://tldv.io/app/meetings/65b791398cee660013637f05" TargetMode="External"/><Relationship Id="rId40" Type="http://schemas.openxmlformats.org/officeDocument/2006/relationships/hyperlink" Target="https://t.me/Ishchenko_Liliia" TargetMode="External"/><Relationship Id="rId115" Type="http://schemas.openxmlformats.org/officeDocument/2006/relationships/hyperlink" Target="https://tldv.io/app/meetings/653fada5c018780013fa5b64" TargetMode="External"/><Relationship Id="rId136" Type="http://schemas.openxmlformats.org/officeDocument/2006/relationships/hyperlink" Target="https://tldv.io/app/meetings/654b680bc1bac80013bd20f3" TargetMode="External"/><Relationship Id="rId157" Type="http://schemas.openxmlformats.org/officeDocument/2006/relationships/hyperlink" Target="https://tldv.io/app/meetings/65572b261e9c0f0013559302" TargetMode="External"/><Relationship Id="rId178" Type="http://schemas.openxmlformats.org/officeDocument/2006/relationships/hyperlink" Target="https://tldv.io/app/meetings/655f049fe701300012513e2c" TargetMode="External"/><Relationship Id="rId301" Type="http://schemas.openxmlformats.org/officeDocument/2006/relationships/hyperlink" Target="https://tldv.io/app/meetings/65ba19f8f6fb3a0013995d3d" TargetMode="External"/><Relationship Id="rId322" Type="http://schemas.openxmlformats.org/officeDocument/2006/relationships/hyperlink" Target="https://tldv.io/app/meetings/65cb6d66aacf540013a194c3" TargetMode="External"/><Relationship Id="rId343" Type="http://schemas.openxmlformats.org/officeDocument/2006/relationships/hyperlink" Target="https://tldv.io/app/meetings/65e06f92a351d400139c0de9" TargetMode="External"/><Relationship Id="rId364" Type="http://schemas.openxmlformats.org/officeDocument/2006/relationships/hyperlink" Target="https://tldv.io/app/meetings/65f19350657719001356683f" TargetMode="External"/><Relationship Id="rId61" Type="http://schemas.openxmlformats.org/officeDocument/2006/relationships/hyperlink" Target="https://tldv.io/app/meetings/65140a658e969800122616a6" TargetMode="External"/><Relationship Id="rId82" Type="http://schemas.openxmlformats.org/officeDocument/2006/relationships/hyperlink" Target="https://tldv.io/app/meetings/65253540729fec001394d914" TargetMode="External"/><Relationship Id="rId199" Type="http://schemas.openxmlformats.org/officeDocument/2006/relationships/hyperlink" Target="https://tldv.io/app/meetings/656dbd10e0fa3c0013fd7529" TargetMode="External"/><Relationship Id="rId203" Type="http://schemas.openxmlformats.org/officeDocument/2006/relationships/hyperlink" Target="https://tldv.io/app/meetings/656f00afc4344e0013471b0f" TargetMode="External"/><Relationship Id="rId385" Type="http://schemas.openxmlformats.org/officeDocument/2006/relationships/hyperlink" Target="https://tldv.io/app/meetings/6605453f7347b00014cbde58" TargetMode="External"/><Relationship Id="rId19" Type="http://schemas.openxmlformats.org/officeDocument/2006/relationships/hyperlink" Target="https://t.me/YanaMks" TargetMode="External"/><Relationship Id="rId224" Type="http://schemas.openxmlformats.org/officeDocument/2006/relationships/hyperlink" Target="https://tldv.io/app/meetings/658580b4ae19730013d0ed36" TargetMode="External"/><Relationship Id="rId245" Type="http://schemas.openxmlformats.org/officeDocument/2006/relationships/hyperlink" Target="https://tldv.io/app/meetings/65954b5bf08cb60013680544" TargetMode="External"/><Relationship Id="rId266" Type="http://schemas.openxmlformats.org/officeDocument/2006/relationships/hyperlink" Target="https://tldv.io/app/meetings/65a8e749969a6c0013601edf" TargetMode="External"/><Relationship Id="rId287" Type="http://schemas.openxmlformats.org/officeDocument/2006/relationships/hyperlink" Target="https://tldv.io/app/meetings/65b24a96379a9000134b274f" TargetMode="External"/><Relationship Id="rId30" Type="http://schemas.openxmlformats.org/officeDocument/2006/relationships/hyperlink" Target="https://rabota.ua/ua/my/vacancies/9291612/applies?id=73087717-prof&amp;resumeId=21836156&amp;keyword=%D1%81%D0%B5%D0%B2%D1%80%D1%83%D0%BA" TargetMode="External"/><Relationship Id="rId105" Type="http://schemas.openxmlformats.org/officeDocument/2006/relationships/hyperlink" Target="https://tldv.io/app/meetings/653688463993ed0012eb1296" TargetMode="External"/><Relationship Id="rId126" Type="http://schemas.openxmlformats.org/officeDocument/2006/relationships/hyperlink" Target="https://tldv.io/app/meetings/6544d83e4e37210013cc1c5e" TargetMode="External"/><Relationship Id="rId147" Type="http://schemas.openxmlformats.org/officeDocument/2006/relationships/hyperlink" Target="https://tldv.io/app/meetings/65535848cc95ae0013fffdec" TargetMode="External"/><Relationship Id="rId168" Type="http://schemas.openxmlformats.org/officeDocument/2006/relationships/hyperlink" Target="https://tldv.io/app/meetings/655b3372f2675900139c0f67" TargetMode="External"/><Relationship Id="rId312" Type="http://schemas.openxmlformats.org/officeDocument/2006/relationships/hyperlink" Target="https://tldv.io/app/meetings/65c4a6b89887860013f5329b" TargetMode="External"/><Relationship Id="rId333" Type="http://schemas.openxmlformats.org/officeDocument/2006/relationships/hyperlink" Target="https://tldv.io/app/meetings/65d70ab4368f890014f2fb3d" TargetMode="External"/><Relationship Id="rId354" Type="http://schemas.openxmlformats.org/officeDocument/2006/relationships/hyperlink" Target="https://tldv.io/app/meetings/65eedc65901a4c0013888f9e" TargetMode="External"/><Relationship Id="rId51" Type="http://schemas.openxmlformats.org/officeDocument/2006/relationships/hyperlink" Target="https://tldv.io/app/meetings/650d7fc079249d0013db956d" TargetMode="External"/><Relationship Id="rId72" Type="http://schemas.openxmlformats.org/officeDocument/2006/relationships/hyperlink" Target="https://tldv.io/app/meetings/651d378bdcd12e0013a23637" TargetMode="External"/><Relationship Id="rId93" Type="http://schemas.openxmlformats.org/officeDocument/2006/relationships/hyperlink" Target="https://tldv.io/app/meetings/652e683a630cec0013beb9bd" TargetMode="External"/><Relationship Id="rId189" Type="http://schemas.openxmlformats.org/officeDocument/2006/relationships/hyperlink" Target="https://tldv.io/app/meetings/6565bb002b1e53001318d612" TargetMode="External"/><Relationship Id="rId375" Type="http://schemas.openxmlformats.org/officeDocument/2006/relationships/hyperlink" Target="https://tldv.io/app/meetings/65fbee3ffe48c50013603713" TargetMode="External"/><Relationship Id="rId396" Type="http://schemas.openxmlformats.org/officeDocument/2006/relationships/hyperlink" Target="https://tldv.io/app/meetings/661646188c0cc40013074082" TargetMode="External"/><Relationship Id="rId3" Type="http://schemas.openxmlformats.org/officeDocument/2006/relationships/hyperlink" Target="mailto:noskova.anastasiia.ua@gmail.com" TargetMode="External"/><Relationship Id="rId214" Type="http://schemas.openxmlformats.org/officeDocument/2006/relationships/hyperlink" Target="https://tldv.io/app/meetings/657c36f47d07bf001338b5c6" TargetMode="External"/><Relationship Id="rId235" Type="http://schemas.openxmlformats.org/officeDocument/2006/relationships/hyperlink" Target="https://tldv.io/app/meetings/658c173dd16ff4001302089b" TargetMode="External"/><Relationship Id="rId256" Type="http://schemas.openxmlformats.org/officeDocument/2006/relationships/hyperlink" Target="https://tldv.io/app/meetings/65a63cd6f5309300131384de" TargetMode="External"/><Relationship Id="rId277" Type="http://schemas.openxmlformats.org/officeDocument/2006/relationships/hyperlink" Target="https://tldv.io/app/meetings/65ae6737dfcbd70013ba8c0b" TargetMode="External"/><Relationship Id="rId298" Type="http://schemas.openxmlformats.org/officeDocument/2006/relationships/hyperlink" Target="https://tldv.io/app/meetings/65b7bbabcc066f0013e538fc" TargetMode="External"/><Relationship Id="rId400" Type="http://schemas.openxmlformats.org/officeDocument/2006/relationships/hyperlink" Target="https://tldv.io/app/meetings/6619204be436a100130c6643" TargetMode="External"/><Relationship Id="rId116" Type="http://schemas.openxmlformats.org/officeDocument/2006/relationships/hyperlink" Target="https://tldv.io/app/meetings/653fd16b0160d500137936e8" TargetMode="External"/><Relationship Id="rId137" Type="http://schemas.openxmlformats.org/officeDocument/2006/relationships/hyperlink" Target="https://tldv.io/app/meetings/654b7ddfc1bac80013bd4076" TargetMode="External"/><Relationship Id="rId158" Type="http://schemas.openxmlformats.org/officeDocument/2006/relationships/hyperlink" Target="https://tldv.io/app/meetings/6557330d61a93600130efea9" TargetMode="External"/><Relationship Id="rId302" Type="http://schemas.openxmlformats.org/officeDocument/2006/relationships/hyperlink" Target="https://tldv.io/app/meetings/65ba1fdba4d1510013b77045" TargetMode="External"/><Relationship Id="rId323" Type="http://schemas.openxmlformats.org/officeDocument/2006/relationships/hyperlink" Target="https://tldv.io/app/meetings/65cc9b1c13eb52001487b353" TargetMode="External"/><Relationship Id="rId344" Type="http://schemas.openxmlformats.org/officeDocument/2006/relationships/hyperlink" Target="https://tldv.io/app/meetings/65e1a775dfc947001420c2b5" TargetMode="External"/><Relationship Id="rId20" Type="http://schemas.openxmlformats.org/officeDocument/2006/relationships/hyperlink" Target="https://t.me/Mashkaaap" TargetMode="External"/><Relationship Id="rId41" Type="http://schemas.openxmlformats.org/officeDocument/2006/relationships/hyperlink" Target="http://t.me/skuub96" TargetMode="External"/><Relationship Id="rId62" Type="http://schemas.openxmlformats.org/officeDocument/2006/relationships/hyperlink" Target="https://tldv.io/app/meetings/65141eec8e969800122628a0" TargetMode="External"/><Relationship Id="rId83" Type="http://schemas.openxmlformats.org/officeDocument/2006/relationships/hyperlink" Target="https://tldv.io/app/meetings/6528f6f348156d0013472dbc" TargetMode="External"/><Relationship Id="rId179" Type="http://schemas.openxmlformats.org/officeDocument/2006/relationships/hyperlink" Target="https://tldv.io/app/meetings/655f368a53219800131da3b7" TargetMode="External"/><Relationship Id="rId365" Type="http://schemas.openxmlformats.org/officeDocument/2006/relationships/hyperlink" Target="https://tldv.io/app/meetings/65f2ed208934390012bba0f2" TargetMode="External"/><Relationship Id="rId386" Type="http://schemas.openxmlformats.org/officeDocument/2006/relationships/hyperlink" Target="https://tldv.io/app/meetings/660a92792de2180013ada244" TargetMode="External"/><Relationship Id="rId190" Type="http://schemas.openxmlformats.org/officeDocument/2006/relationships/hyperlink" Target="https://tldv.io/app/meetings/6565d41685054d0012ac5202" TargetMode="External"/><Relationship Id="rId204" Type="http://schemas.openxmlformats.org/officeDocument/2006/relationships/hyperlink" Target="https://tldv.io/app/meetings/6573044622a42f001327a2d9" TargetMode="External"/><Relationship Id="rId225" Type="http://schemas.openxmlformats.org/officeDocument/2006/relationships/hyperlink" Target="https://tldv.io/app/meetings/658586cbb38dac00133a8601" TargetMode="External"/><Relationship Id="rId246" Type="http://schemas.openxmlformats.org/officeDocument/2006/relationships/hyperlink" Target="https://tldv.io/app/meetings/659bb26119e2ae00138c6c81" TargetMode="External"/><Relationship Id="rId267" Type="http://schemas.openxmlformats.org/officeDocument/2006/relationships/hyperlink" Target="https://tldv.io/app/meetings/65aa4ddbf24aeb0013c8c00e" TargetMode="External"/><Relationship Id="rId288" Type="http://schemas.openxmlformats.org/officeDocument/2006/relationships/hyperlink" Target="https://tldv.io/app/meetings/65b2524be6c3270013be5334" TargetMode="External"/><Relationship Id="rId106" Type="http://schemas.openxmlformats.org/officeDocument/2006/relationships/hyperlink" Target="https://tldv.io/app/meetings/6537a97b8e074a001338eb86" TargetMode="External"/><Relationship Id="rId127" Type="http://schemas.openxmlformats.org/officeDocument/2006/relationships/hyperlink" Target="https://tldv.io/app/meetings/6544e09a1d138e0013bd70d2" TargetMode="External"/><Relationship Id="rId313" Type="http://schemas.openxmlformats.org/officeDocument/2006/relationships/hyperlink" Target="https://tldv.io/app/meetings/65c4d433cbf04b0013e13f86" TargetMode="External"/><Relationship Id="rId10" Type="http://schemas.openxmlformats.org/officeDocument/2006/relationships/hyperlink" Target="https://goiteens.com/wp-content/uploads/cfdb7_uploads/1664825950-your-file-CV_Dudka-Inna_vykladach-kursu.pdf" TargetMode="External"/><Relationship Id="rId31" Type="http://schemas.openxmlformats.org/officeDocument/2006/relationships/hyperlink" Target="https://rabota.ua/ua/my/vacancies/9291612/applies?id=87859554-attach&amp;keyword=%D1%81%D1%82%D1%83%D0%BB%D0%B5%D0%BD%D1%8C" TargetMode="External"/><Relationship Id="rId52" Type="http://schemas.openxmlformats.org/officeDocument/2006/relationships/hyperlink" Target="https://tldv.io/app/meetings/650d88b613527d001371c652" TargetMode="External"/><Relationship Id="rId73" Type="http://schemas.openxmlformats.org/officeDocument/2006/relationships/hyperlink" Target="https://tldv.io/app/meetings/651d4c6fdcd12e0013a24317" TargetMode="External"/><Relationship Id="rId94" Type="http://schemas.openxmlformats.org/officeDocument/2006/relationships/hyperlink" Target="https://tldv.io/app/meetings/652f8f7869359e00147b98ba" TargetMode="External"/><Relationship Id="rId148" Type="http://schemas.openxmlformats.org/officeDocument/2006/relationships/hyperlink" Target="https://tldv.io/app/meetings/65548a03cc95ae001300d1b3" TargetMode="External"/><Relationship Id="rId169" Type="http://schemas.openxmlformats.org/officeDocument/2006/relationships/hyperlink" Target="https://tldv.io/app/meetings/655b413da3cffd0013d2749f" TargetMode="External"/><Relationship Id="rId334" Type="http://schemas.openxmlformats.org/officeDocument/2006/relationships/hyperlink" Target="https://tldv.io/app/meetings/65d71960f568660013535bf6" TargetMode="External"/><Relationship Id="rId355" Type="http://schemas.openxmlformats.org/officeDocument/2006/relationships/hyperlink" Target="https://tldv.io/app/meetings/65eed53ca8e3f00013dd01b2" TargetMode="External"/><Relationship Id="rId376" Type="http://schemas.openxmlformats.org/officeDocument/2006/relationships/hyperlink" Target="https://tldv.io/app/meetings/65fc1174056aac0013f4ad04" TargetMode="External"/><Relationship Id="rId397" Type="http://schemas.openxmlformats.org/officeDocument/2006/relationships/hyperlink" Target="https://tldv.io/app/meetings/6617b2cd74a4d300131eb154" TargetMode="External"/><Relationship Id="rId4" Type="http://schemas.openxmlformats.org/officeDocument/2006/relationships/hyperlink" Target="https://goiteens.com/wp-content/uploads/cfdb7_uploads/1663849796-your-file-Reziume-Pekshyna-S.A.-vykladach-Soft-skills.pdf" TargetMode="External"/><Relationship Id="rId180" Type="http://schemas.openxmlformats.org/officeDocument/2006/relationships/hyperlink" Target="https://tldv.io/app/meetings/655f3c93040d4b00139d8ef6" TargetMode="External"/><Relationship Id="rId215" Type="http://schemas.openxmlformats.org/officeDocument/2006/relationships/hyperlink" Target="https://tldv.io/app/meetings/657d55eaea8ce60013fd02e2" TargetMode="External"/><Relationship Id="rId236" Type="http://schemas.openxmlformats.org/officeDocument/2006/relationships/hyperlink" Target="https://tldv.io/app/meetings/658c1e4ec1027e001358b35d" TargetMode="External"/><Relationship Id="rId257" Type="http://schemas.openxmlformats.org/officeDocument/2006/relationships/hyperlink" Target="https://tldv.io/app/meetings/65a64ae2e4198d00136d1057" TargetMode="External"/><Relationship Id="rId278" Type="http://schemas.openxmlformats.org/officeDocument/2006/relationships/hyperlink" Target="https://tldv.io/app/meetings/65ae6dd7dbf2f9001396c1e2" TargetMode="External"/><Relationship Id="rId401" Type="http://schemas.openxmlformats.org/officeDocument/2006/relationships/hyperlink" Target="https://tldv.io/app/meetings/661cea9c7b4f1e0013987e89" TargetMode="External"/><Relationship Id="rId303" Type="http://schemas.openxmlformats.org/officeDocument/2006/relationships/hyperlink" Target="https://tldv.io/app/meetings/65bb9ad1e235450013119a08" TargetMode="External"/><Relationship Id="rId42" Type="http://schemas.openxmlformats.org/officeDocument/2006/relationships/hyperlink" Target="https://t.me/grinalina" TargetMode="External"/><Relationship Id="rId84" Type="http://schemas.openxmlformats.org/officeDocument/2006/relationships/hyperlink" Target="https://tldv.io/app/meetings/6528feea6f0148001379110f" TargetMode="External"/><Relationship Id="rId138" Type="http://schemas.openxmlformats.org/officeDocument/2006/relationships/hyperlink" Target="https://tldv.io/app/meetings/654b83991ebc520013057323" TargetMode="External"/><Relationship Id="rId345" Type="http://schemas.openxmlformats.org/officeDocument/2006/relationships/hyperlink" Target="https://tldv.io/app/meetings/65e58463750e88001363f290" TargetMode="External"/><Relationship Id="rId387" Type="http://schemas.openxmlformats.org/officeDocument/2006/relationships/hyperlink" Target="https://tldv.io/app/meetings/660aa6aa5a98cd00135accf3" TargetMode="External"/><Relationship Id="rId191" Type="http://schemas.openxmlformats.org/officeDocument/2006/relationships/hyperlink" Target="https://tldv.io/app/meetings/6565dcad8ce2280013795747" TargetMode="External"/><Relationship Id="rId205" Type="http://schemas.openxmlformats.org/officeDocument/2006/relationships/hyperlink" Target="https://tldv.io/app/meetings/6576e2b10b365500131cf808" TargetMode="External"/><Relationship Id="rId247" Type="http://schemas.openxmlformats.org/officeDocument/2006/relationships/hyperlink" Target="https://tldv.io/app/meetings/659be12a17792e00124c29bb" TargetMode="External"/><Relationship Id="rId107" Type="http://schemas.openxmlformats.org/officeDocument/2006/relationships/hyperlink" Target="https://prnt.sc/KuMewGuJk3Vr" TargetMode="External"/><Relationship Id="rId289" Type="http://schemas.openxmlformats.org/officeDocument/2006/relationships/hyperlink" Target="https://tldv.io/app/meetings/65b380a353b9010013fe4161"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t.me/sveta_m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i.imgur.com/2MU7UTV.png" TargetMode="External"/><Relationship Id="rId13" Type="http://schemas.openxmlformats.org/officeDocument/2006/relationships/hyperlink" Target="https://docs.google.com/spreadsheets/d/1JZhEfMTiwIFQJkfB0bJR7koRGiKKbzBLtqRc1bYSrvQ/edit?usp=drive_link" TargetMode="External"/><Relationship Id="rId3" Type="http://schemas.openxmlformats.org/officeDocument/2006/relationships/hyperlink" Target="mailto:noskova.anastasiia.ua@gmail.com" TargetMode="External"/><Relationship Id="rId7" Type="http://schemas.openxmlformats.org/officeDocument/2006/relationships/hyperlink" Target="https://t.me/KarlinaDaria" TargetMode="External"/><Relationship Id="rId12" Type="http://schemas.openxmlformats.org/officeDocument/2006/relationships/hyperlink" Target="https://docs.google.com/spreadsheets/d/1HbaHW6WQG3Y0fwfQZ9sHoiC1KOYOVK_kV-qs88j4Mmc/edit?usp=sharing" TargetMode="External"/><Relationship Id="rId2" Type="http://schemas.openxmlformats.org/officeDocument/2006/relationships/hyperlink" Target="mailto:NearExternal@gmail.com" TargetMode="External"/><Relationship Id="rId1" Type="http://schemas.openxmlformats.org/officeDocument/2006/relationships/hyperlink" Target="mailto:mrcodecat@gmail.com" TargetMode="External"/><Relationship Id="rId6" Type="http://schemas.openxmlformats.org/officeDocument/2006/relationships/hyperlink" Target="https://t.me/m_langilde" TargetMode="External"/><Relationship Id="rId11" Type="http://schemas.openxmlformats.org/officeDocument/2006/relationships/hyperlink" Target="https://t.me/Aircorridor" TargetMode="External"/><Relationship Id="rId5" Type="http://schemas.openxmlformats.org/officeDocument/2006/relationships/hyperlink" Target="https://t.me/egorLs" TargetMode="External"/><Relationship Id="rId15" Type="http://schemas.openxmlformats.org/officeDocument/2006/relationships/comments" Target="../comments3.xml"/><Relationship Id="rId10" Type="http://schemas.openxmlformats.org/officeDocument/2006/relationships/hyperlink" Target="mailto:0mrdenials0@gmail.com" TargetMode="External"/><Relationship Id="rId4" Type="http://schemas.openxmlformats.org/officeDocument/2006/relationships/hyperlink" Target="https://t.me/patsyukMakarova" TargetMode="External"/><Relationship Id="rId9" Type="http://schemas.openxmlformats.org/officeDocument/2006/relationships/hyperlink" Target="mailto:vladsadura4@gmail.com" TargetMode="External"/><Relationship Id="rId1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hyperlink" Target="https://t.me/luly_sv20" TargetMode="External"/><Relationship Id="rId2" Type="http://schemas.openxmlformats.org/officeDocument/2006/relationships/hyperlink" Target="https://t.me/luly_sv20" TargetMode="External"/><Relationship Id="rId1" Type="http://schemas.openxmlformats.org/officeDocument/2006/relationships/hyperlink" Target="https://t.me/designer_sanek"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t.me/sveta_mr" TargetMode="External"/><Relationship Id="rId13" Type="http://schemas.openxmlformats.org/officeDocument/2006/relationships/hyperlink" Target="https://t.me/istorozha" TargetMode="External"/><Relationship Id="rId18" Type="http://schemas.openxmlformats.org/officeDocument/2006/relationships/hyperlink" Target="https://t.me/Otenko_Julia" TargetMode="External"/><Relationship Id="rId3" Type="http://schemas.openxmlformats.org/officeDocument/2006/relationships/hyperlink" Target="https://t.me/mariiavodka" TargetMode="External"/><Relationship Id="rId7" Type="http://schemas.openxmlformats.org/officeDocument/2006/relationships/hyperlink" Target="https://t.me/katyakatherinaa" TargetMode="External"/><Relationship Id="rId12" Type="http://schemas.openxmlformats.org/officeDocument/2006/relationships/hyperlink" Target="https://t.me/drange_p" TargetMode="External"/><Relationship Id="rId17" Type="http://schemas.openxmlformats.org/officeDocument/2006/relationships/hyperlink" Target="https://t.me/goldaratmyrqa" TargetMode="External"/><Relationship Id="rId2" Type="http://schemas.openxmlformats.org/officeDocument/2006/relationships/hyperlink" Target="https://t.me/Lysenko_Ivan26" TargetMode="External"/><Relationship Id="rId16" Type="http://schemas.openxmlformats.org/officeDocument/2006/relationships/hyperlink" Target="https://t.me/haanaab" TargetMode="External"/><Relationship Id="rId1" Type="http://schemas.openxmlformats.org/officeDocument/2006/relationships/hyperlink" Target="https://t.me/yasyasyaaa" TargetMode="External"/><Relationship Id="rId6" Type="http://schemas.openxmlformats.org/officeDocument/2006/relationships/hyperlink" Target="https://t.me/thejugo" TargetMode="External"/><Relationship Id="rId11" Type="http://schemas.openxmlformats.org/officeDocument/2006/relationships/hyperlink" Target="https://t.me/Alexandr_Vkt" TargetMode="External"/><Relationship Id="rId5" Type="http://schemas.openxmlformats.org/officeDocument/2006/relationships/hyperlink" Target="https://t.me/sveta_mr" TargetMode="External"/><Relationship Id="rId15" Type="http://schemas.openxmlformats.org/officeDocument/2006/relationships/hyperlink" Target="https://t.me/VioKravchuk" TargetMode="External"/><Relationship Id="rId10" Type="http://schemas.openxmlformats.org/officeDocument/2006/relationships/hyperlink" Target="https://t.me/filipp_petrov02" TargetMode="External"/><Relationship Id="rId19" Type="http://schemas.openxmlformats.org/officeDocument/2006/relationships/hyperlink" Target="https://t.me/anuta_tsymbal" TargetMode="External"/><Relationship Id="rId4" Type="http://schemas.openxmlformats.org/officeDocument/2006/relationships/hyperlink" Target="https://t.me/adlissss" TargetMode="External"/><Relationship Id="rId9" Type="http://schemas.openxmlformats.org/officeDocument/2006/relationships/hyperlink" Target="https://t.me/BudzNastya" TargetMode="External"/><Relationship Id="rId14" Type="http://schemas.openxmlformats.org/officeDocument/2006/relationships/hyperlink" Target="https://t.me/tasha_kachynska"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t.me/thejugo" TargetMode="External"/><Relationship Id="rId3" Type="http://schemas.openxmlformats.org/officeDocument/2006/relationships/hyperlink" Target="https://t.me/ann_tytarenko" TargetMode="External"/><Relationship Id="rId7" Type="http://schemas.openxmlformats.org/officeDocument/2006/relationships/hyperlink" Target="https://t.me/adlissss" TargetMode="External"/><Relationship Id="rId2" Type="http://schemas.openxmlformats.org/officeDocument/2006/relationships/hyperlink" Target="https://t.me/adlissss" TargetMode="External"/><Relationship Id="rId1" Type="http://schemas.openxmlformats.org/officeDocument/2006/relationships/hyperlink" Target="https://t.me/Lysenko_Ivan26" TargetMode="External"/><Relationship Id="rId6" Type="http://schemas.openxmlformats.org/officeDocument/2006/relationships/hyperlink" Target="https://t.me/Lysenko_Ivan26" TargetMode="External"/><Relationship Id="rId11" Type="http://schemas.openxmlformats.org/officeDocument/2006/relationships/hyperlink" Target="https://t.me/BudzNastya" TargetMode="External"/><Relationship Id="rId5" Type="http://schemas.openxmlformats.org/officeDocument/2006/relationships/hyperlink" Target="https://t.me/BudzNastya" TargetMode="External"/><Relationship Id="rId10" Type="http://schemas.openxmlformats.org/officeDocument/2006/relationships/hyperlink" Target="https://t.me/Nadya_Kuprievich" TargetMode="External"/><Relationship Id="rId4" Type="http://schemas.openxmlformats.org/officeDocument/2006/relationships/hyperlink" Target="https://t.me/Nadya_Kuprievich" TargetMode="External"/><Relationship Id="rId9" Type="http://schemas.openxmlformats.org/officeDocument/2006/relationships/hyperlink" Target="https://t.me/FilippPetrov"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8" Type="http://schemas.openxmlformats.org/officeDocument/2006/relationships/hyperlink" Target="mailto:oleggapuk20@gmail.com" TargetMode="External"/><Relationship Id="rId13" Type="http://schemas.openxmlformats.org/officeDocument/2006/relationships/hyperlink" Target="mailto:yprykhodko@goit.ua" TargetMode="External"/><Relationship Id="rId18" Type="http://schemas.openxmlformats.org/officeDocument/2006/relationships/hyperlink" Target="https://rabota.ua/candidates/14362880" TargetMode="External"/><Relationship Id="rId26" Type="http://schemas.openxmlformats.org/officeDocument/2006/relationships/hyperlink" Target="http://joxi.ru/Vm6eZYXI3xZOWr" TargetMode="External"/><Relationship Id="rId39" Type="http://schemas.openxmlformats.org/officeDocument/2006/relationships/hyperlink" Target="mailto:Yuliya.dobroskok5@gmail.com" TargetMode="External"/><Relationship Id="rId3" Type="http://schemas.openxmlformats.org/officeDocument/2006/relationships/hyperlink" Target="https://drive.google.com/open?id=1hxBkc_R5dYfM8pfYLgUbljPgqMweQwyJ" TargetMode="External"/><Relationship Id="rId21" Type="http://schemas.openxmlformats.org/officeDocument/2006/relationships/hyperlink" Target="http://joxi.ru/Dr8zvYgtJ97kX2" TargetMode="External"/><Relationship Id="rId34" Type="http://schemas.openxmlformats.org/officeDocument/2006/relationships/hyperlink" Target="mailto:vkinev6@gmail.com" TargetMode="External"/><Relationship Id="rId7" Type="http://schemas.openxmlformats.org/officeDocument/2006/relationships/hyperlink" Target="mailto:ann_odzhykovska@goiteens.ua" TargetMode="External"/><Relationship Id="rId12" Type="http://schemas.openxmlformats.org/officeDocument/2006/relationships/hyperlink" Target="mailto:Slava.herasymov@gmail.com" TargetMode="External"/><Relationship Id="rId17" Type="http://schemas.openxmlformats.org/officeDocument/2006/relationships/hyperlink" Target="https://career.habr.com/nick-momotenko" TargetMode="External"/><Relationship Id="rId25" Type="http://schemas.openxmlformats.org/officeDocument/2006/relationships/hyperlink" Target="http://joxi.ru/J2bEgzGIq4ZPPm" TargetMode="External"/><Relationship Id="rId33" Type="http://schemas.openxmlformats.org/officeDocument/2006/relationships/hyperlink" Target="http://joxi.ru/RmzOEywivvlaQ2" TargetMode="External"/><Relationship Id="rId38" Type="http://schemas.openxmlformats.org/officeDocument/2006/relationships/hyperlink" Target="http://joxi.ru/823eQyWTzMzQlr" TargetMode="External"/><Relationship Id="rId2" Type="http://schemas.openxmlformats.org/officeDocument/2006/relationships/hyperlink" Target="mailto:kirsvidersk@gmail.com" TargetMode="External"/><Relationship Id="rId16" Type="http://schemas.openxmlformats.org/officeDocument/2006/relationships/hyperlink" Target="mailto:tsarevadancer@gmail.com" TargetMode="External"/><Relationship Id="rId20" Type="http://schemas.openxmlformats.org/officeDocument/2006/relationships/hyperlink" Target="http://joxi.ru/ZrJxNKLibD0EV2" TargetMode="External"/><Relationship Id="rId29" Type="http://schemas.openxmlformats.org/officeDocument/2006/relationships/hyperlink" Target="http://joxi.ru/5mdVVZ6iaw0qlA" TargetMode="External"/><Relationship Id="rId1" Type="http://schemas.openxmlformats.org/officeDocument/2006/relationships/hyperlink" Target="mailto:mrcodecat@gmail.com" TargetMode="External"/><Relationship Id="rId6" Type="http://schemas.openxmlformats.org/officeDocument/2006/relationships/hyperlink" Target="mailto:seredenko.evgeniya@gmail.com" TargetMode="External"/><Relationship Id="rId11" Type="http://schemas.openxmlformats.org/officeDocument/2006/relationships/hyperlink" Target="https://drive.google.com/open?id=1gc3dAdsjoyTnKoptTy175i1L7tjMqDyd" TargetMode="External"/><Relationship Id="rId24" Type="http://schemas.openxmlformats.org/officeDocument/2006/relationships/hyperlink" Target="http://joxi.ru/5mdK09bta75e4r" TargetMode="External"/><Relationship Id="rId32" Type="http://schemas.openxmlformats.org/officeDocument/2006/relationships/hyperlink" Target="http://joxi.ru/n2Y7gJ1IkkOEar" TargetMode="External"/><Relationship Id="rId37" Type="http://schemas.openxmlformats.org/officeDocument/2006/relationships/hyperlink" Target="http://joxi.ru/8AnDyKaiNnZGDm" TargetMode="External"/><Relationship Id="rId40" Type="http://schemas.openxmlformats.org/officeDocument/2006/relationships/hyperlink" Target="https://europa.eu/europass/eportfolio/api/eprofile/shared-profile/c8701ae2-fba9-46f9-981b-88bf243c78af?view=html" TargetMode="External"/><Relationship Id="rId5" Type="http://schemas.openxmlformats.org/officeDocument/2006/relationships/hyperlink" Target="mailto:NearExternal@gmail.com" TargetMode="External"/><Relationship Id="rId15" Type="http://schemas.openxmlformats.org/officeDocument/2006/relationships/hyperlink" Target="mailto:mikhail_maksimov@goit.ua" TargetMode="External"/><Relationship Id="rId23" Type="http://schemas.openxmlformats.org/officeDocument/2006/relationships/hyperlink" Target="http://joxi.ru/nAyDDjgCaBXRN2" TargetMode="External"/><Relationship Id="rId28" Type="http://schemas.openxmlformats.org/officeDocument/2006/relationships/hyperlink" Target="http://joxi.ru/ZrJWzK5fQ10JPm" TargetMode="External"/><Relationship Id="rId36" Type="http://schemas.openxmlformats.org/officeDocument/2006/relationships/hyperlink" Target="http://joxi.ru/n2Y7gJ1IkkgGMr" TargetMode="External"/><Relationship Id="rId10" Type="http://schemas.openxmlformats.org/officeDocument/2006/relationships/hyperlink" Target="mailto:vadympichurin@gmail.com" TargetMode="External"/><Relationship Id="rId19" Type="http://schemas.openxmlformats.org/officeDocument/2006/relationships/hyperlink" Target="http://katerynabelikova@gmail.com/" TargetMode="External"/><Relationship Id="rId31" Type="http://schemas.openxmlformats.org/officeDocument/2006/relationships/hyperlink" Target="http://joxi.ru/DrlxNWYiGak7Dr" TargetMode="External"/><Relationship Id="rId4" Type="http://schemas.openxmlformats.org/officeDocument/2006/relationships/hyperlink" Target="mailto:gohim322@gmail.com" TargetMode="External"/><Relationship Id="rId9" Type="http://schemas.openxmlformats.org/officeDocument/2006/relationships/hyperlink" Target="https://drive.google.com/file/d/1JaVUaePnueHiw570Zaylby1zWjc1JADK/view" TargetMode="External"/><Relationship Id="rId14" Type="http://schemas.openxmlformats.org/officeDocument/2006/relationships/hyperlink" Target="mailto:solarwisdom29@gmail.com" TargetMode="External"/><Relationship Id="rId22" Type="http://schemas.openxmlformats.org/officeDocument/2006/relationships/hyperlink" Target="http://joxi.ru/Vm6EEW1cR6ORRr" TargetMode="External"/><Relationship Id="rId27" Type="http://schemas.openxmlformats.org/officeDocument/2006/relationships/hyperlink" Target="http://joxi.ru/eAOxxjoC6Blyar" TargetMode="External"/><Relationship Id="rId30" Type="http://schemas.openxmlformats.org/officeDocument/2006/relationships/hyperlink" Target="http://joxi.ru/J2bEgzGIqXdyym" TargetMode="External"/><Relationship Id="rId35" Type="http://schemas.openxmlformats.org/officeDocument/2006/relationships/hyperlink" Target="http://joxi.ru/823edY3IzzenX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38761D"/>
    <outlinePr summaryBelow="0" summaryRight="0"/>
  </sheetPr>
  <dimension ref="A1:BZ3102"/>
  <sheetViews>
    <sheetView tabSelected="1" zoomScale="70" zoomScaleNormal="70" workbookViewId="0">
      <pane xSplit="6" ySplit="2" topLeftCell="G3" activePane="bottomRight" state="frozen"/>
      <selection pane="topRight" activeCell="G1" sqref="G1"/>
      <selection pane="bottomLeft" activeCell="A3" sqref="A3"/>
      <selection pane="bottomRight" activeCell="S1" sqref="S1:XFD1048576"/>
    </sheetView>
  </sheetViews>
  <sheetFormatPr defaultColWidth="12.5703125" defaultRowHeight="15.75" customHeight="1"/>
  <cols>
    <col min="1" max="1" width="23.5703125" customWidth="1"/>
    <col min="2" max="2" width="20.7109375" customWidth="1"/>
    <col min="3" max="3" width="13.5703125" customWidth="1"/>
    <col min="4" max="4" width="15.85546875" customWidth="1"/>
    <col min="5" max="5" width="22.28515625" customWidth="1"/>
    <col min="6" max="6" width="13.5703125" customWidth="1"/>
    <col min="7" max="7" width="9.140625" customWidth="1"/>
    <col min="8" max="10" width="7.85546875" customWidth="1"/>
    <col min="11" max="13" width="8.42578125" customWidth="1"/>
    <col min="14" max="14" width="10.42578125" customWidth="1"/>
    <col min="15" max="17" width="7.85546875" customWidth="1"/>
    <col min="18" max="18" width="23" customWidth="1"/>
  </cols>
  <sheetData>
    <row r="1" spans="1:18" ht="15" customHeight="1">
      <c r="A1" s="1"/>
      <c r="B1" s="2"/>
      <c r="C1" s="3"/>
      <c r="D1" s="2"/>
      <c r="G1" s="671" t="s">
        <v>0</v>
      </c>
      <c r="H1" s="672"/>
      <c r="I1" s="672"/>
      <c r="J1" s="672"/>
      <c r="K1" s="672"/>
      <c r="L1" s="672"/>
      <c r="M1" s="672"/>
      <c r="N1" s="672"/>
      <c r="O1" s="672"/>
      <c r="P1" s="673"/>
      <c r="Q1" s="4"/>
      <c r="R1" s="5"/>
    </row>
    <row r="2" spans="1:18" ht="25.5" customHeight="1">
      <c r="A2" s="6"/>
      <c r="B2" s="7" t="s">
        <v>5</v>
      </c>
      <c r="C2" s="7" t="s">
        <v>6</v>
      </c>
      <c r="D2" s="7" t="s">
        <v>7</v>
      </c>
      <c r="E2" s="8" t="s">
        <v>8</v>
      </c>
      <c r="F2" s="9" t="s">
        <v>9</v>
      </c>
      <c r="G2" s="10" t="s">
        <v>10</v>
      </c>
      <c r="H2" s="11" t="s">
        <v>11</v>
      </c>
      <c r="I2" s="11" t="s">
        <v>12</v>
      </c>
      <c r="J2" s="11" t="s">
        <v>13</v>
      </c>
      <c r="K2" s="12" t="s">
        <v>14</v>
      </c>
      <c r="L2" s="12" t="s">
        <v>15</v>
      </c>
      <c r="M2" s="12" t="s">
        <v>16</v>
      </c>
      <c r="N2" s="12" t="s">
        <v>17</v>
      </c>
      <c r="O2" s="11" t="s">
        <v>18</v>
      </c>
      <c r="P2" s="11" t="s">
        <v>19</v>
      </c>
      <c r="Q2" s="11" t="s">
        <v>20</v>
      </c>
      <c r="R2" s="13" t="s">
        <v>21</v>
      </c>
    </row>
    <row r="3" spans="1:18" ht="15.75" customHeight="1">
      <c r="A3" s="14" t="s">
        <v>23</v>
      </c>
      <c r="B3" s="15"/>
      <c r="C3" s="16" t="s">
        <v>24</v>
      </c>
      <c r="D3" s="17" t="s">
        <v>25</v>
      </c>
      <c r="E3" s="18" t="s">
        <v>26</v>
      </c>
      <c r="F3" s="19" t="s">
        <v>27</v>
      </c>
      <c r="G3" s="18" t="b">
        <v>0</v>
      </c>
      <c r="H3" s="18" t="b">
        <v>0</v>
      </c>
      <c r="I3" s="18" t="b">
        <v>1</v>
      </c>
      <c r="J3" s="18" t="b">
        <v>0</v>
      </c>
      <c r="K3" s="18" t="b">
        <v>0</v>
      </c>
      <c r="L3" s="18" t="b">
        <v>0</v>
      </c>
      <c r="M3" s="18" t="b">
        <v>0</v>
      </c>
      <c r="N3" s="18" t="b">
        <v>0</v>
      </c>
      <c r="O3" s="18" t="b">
        <v>0</v>
      </c>
      <c r="P3" s="18" t="b">
        <v>0</v>
      </c>
      <c r="Q3" s="18" t="b">
        <v>0</v>
      </c>
      <c r="R3" s="19" t="b">
        <v>0</v>
      </c>
    </row>
    <row r="4" spans="1:18" ht="15.75" hidden="1" customHeight="1">
      <c r="A4" s="30" t="s">
        <v>29</v>
      </c>
      <c r="B4" s="15" t="s">
        <v>30</v>
      </c>
      <c r="C4" s="31" t="s">
        <v>31</v>
      </c>
      <c r="D4" s="32" t="s">
        <v>32</v>
      </c>
      <c r="E4" s="16" t="s">
        <v>33</v>
      </c>
      <c r="F4" s="33" t="s">
        <v>34</v>
      </c>
      <c r="G4" s="16" t="b">
        <v>0</v>
      </c>
      <c r="H4" s="16" t="b">
        <v>0</v>
      </c>
      <c r="I4" s="16" t="b">
        <v>0</v>
      </c>
      <c r="J4" s="16" t="b">
        <v>0</v>
      </c>
      <c r="K4" s="16" t="b">
        <v>0</v>
      </c>
      <c r="L4" s="16" t="b">
        <v>0</v>
      </c>
      <c r="M4" s="16" t="b">
        <v>0</v>
      </c>
      <c r="N4" s="16" t="b">
        <v>0</v>
      </c>
      <c r="O4" s="16" t="b">
        <v>0</v>
      </c>
      <c r="P4" s="16" t="b">
        <v>0</v>
      </c>
      <c r="Q4" s="16" t="b">
        <v>0</v>
      </c>
      <c r="R4" s="33" t="b">
        <v>1</v>
      </c>
    </row>
    <row r="5" spans="1:18" ht="15.75" hidden="1" customHeight="1">
      <c r="A5" s="37" t="s">
        <v>35</v>
      </c>
      <c r="B5" s="38"/>
      <c r="C5" s="38" t="s">
        <v>36</v>
      </c>
      <c r="D5" s="39" t="s">
        <v>37</v>
      </c>
      <c r="E5" s="36"/>
      <c r="F5" s="40" t="s">
        <v>38</v>
      </c>
      <c r="G5" s="36" t="b">
        <v>0</v>
      </c>
      <c r="H5" s="36" t="b">
        <v>0</v>
      </c>
      <c r="I5" s="36" t="b">
        <v>0</v>
      </c>
      <c r="J5" s="36" t="b">
        <v>0</v>
      </c>
      <c r="M5" s="36" t="b">
        <v>0</v>
      </c>
      <c r="N5" s="36" t="b">
        <v>0</v>
      </c>
      <c r="O5" s="36" t="b">
        <v>0</v>
      </c>
      <c r="P5" s="36" t="b">
        <v>0</v>
      </c>
      <c r="Q5" s="36" t="b">
        <v>0</v>
      </c>
      <c r="R5" s="40" t="b">
        <v>1</v>
      </c>
    </row>
    <row r="6" spans="1:18" ht="15.75" customHeight="1">
      <c r="A6" s="43" t="s">
        <v>39</v>
      </c>
      <c r="B6" s="15" t="s">
        <v>40</v>
      </c>
      <c r="C6" s="44" t="s">
        <v>41</v>
      </c>
      <c r="D6" s="45" t="s">
        <v>42</v>
      </c>
      <c r="E6" s="18" t="s">
        <v>43</v>
      </c>
      <c r="F6" s="19" t="s">
        <v>27</v>
      </c>
      <c r="G6" s="18" t="b">
        <v>1</v>
      </c>
      <c r="H6" s="18" t="b">
        <v>1</v>
      </c>
      <c r="I6" s="18" t="b">
        <v>0</v>
      </c>
      <c r="J6" s="18" t="b">
        <v>0</v>
      </c>
      <c r="K6" s="18" t="b">
        <v>0</v>
      </c>
      <c r="L6" s="18" t="b">
        <v>0</v>
      </c>
      <c r="M6" s="18" t="b">
        <v>0</v>
      </c>
      <c r="N6" s="18" t="b">
        <v>0</v>
      </c>
      <c r="O6" s="18" t="b">
        <v>0</v>
      </c>
      <c r="P6" s="18" t="b">
        <v>0</v>
      </c>
      <c r="Q6" s="18" t="b">
        <v>0</v>
      </c>
      <c r="R6" s="19" t="b">
        <v>0</v>
      </c>
    </row>
    <row r="7" spans="1:18" ht="15.75" hidden="1" customHeight="1">
      <c r="A7" s="46" t="s">
        <v>45</v>
      </c>
      <c r="B7" s="15"/>
      <c r="C7" s="47" t="s">
        <v>46</v>
      </c>
      <c r="D7" s="45" t="s">
        <v>47</v>
      </c>
      <c r="E7" s="18" t="s">
        <v>43</v>
      </c>
      <c r="F7" s="19" t="s">
        <v>38</v>
      </c>
      <c r="G7" s="48" t="b">
        <v>1</v>
      </c>
      <c r="H7" s="18" t="b">
        <v>1</v>
      </c>
      <c r="I7" s="18" t="b">
        <v>0</v>
      </c>
      <c r="J7" s="18" t="b">
        <v>0</v>
      </c>
      <c r="K7" s="18" t="b">
        <v>0</v>
      </c>
      <c r="L7" s="18" t="b">
        <v>0</v>
      </c>
      <c r="M7" s="18" t="b">
        <v>0</v>
      </c>
      <c r="N7" s="18" t="b">
        <v>0</v>
      </c>
      <c r="O7" s="18" t="b">
        <v>1</v>
      </c>
      <c r="P7" s="18" t="b">
        <v>0</v>
      </c>
      <c r="Q7" s="17" t="b">
        <v>1</v>
      </c>
      <c r="R7" s="19" t="b">
        <v>0</v>
      </c>
    </row>
    <row r="8" spans="1:18" ht="15.75" hidden="1" customHeight="1">
      <c r="A8" s="46" t="s">
        <v>48</v>
      </c>
      <c r="B8" s="15" t="s">
        <v>49</v>
      </c>
      <c r="C8" s="44" t="s">
        <v>50</v>
      </c>
      <c r="D8" s="45" t="s">
        <v>51</v>
      </c>
      <c r="E8" s="18" t="s">
        <v>52</v>
      </c>
      <c r="F8" s="19" t="s">
        <v>38</v>
      </c>
      <c r="G8" s="18" t="b">
        <v>0</v>
      </c>
      <c r="H8" s="18" t="b">
        <v>0</v>
      </c>
      <c r="I8" s="18" t="b">
        <v>1</v>
      </c>
      <c r="J8" s="18" t="b">
        <v>1</v>
      </c>
      <c r="K8" s="18" t="b">
        <v>0</v>
      </c>
      <c r="L8" s="18" t="b">
        <v>0</v>
      </c>
      <c r="M8" s="18" t="b">
        <v>0</v>
      </c>
      <c r="N8" s="18" t="b">
        <v>0</v>
      </c>
      <c r="O8" s="18" t="b">
        <v>0</v>
      </c>
      <c r="P8" s="18" t="b">
        <v>0</v>
      </c>
      <c r="Q8" s="18" t="b">
        <v>0</v>
      </c>
      <c r="R8" s="19" t="b">
        <v>0</v>
      </c>
    </row>
    <row r="9" spans="1:18" ht="15.75" hidden="1" customHeight="1">
      <c r="A9" s="50" t="s">
        <v>54</v>
      </c>
      <c r="B9" s="51" t="s">
        <v>54</v>
      </c>
      <c r="C9" s="17" t="s">
        <v>55</v>
      </c>
      <c r="D9" s="17" t="s">
        <v>56</v>
      </c>
      <c r="E9" s="18" t="s">
        <v>52</v>
      </c>
      <c r="F9" s="19" t="s">
        <v>34</v>
      </c>
      <c r="G9" s="18" t="b">
        <v>0</v>
      </c>
      <c r="H9" s="18" t="b">
        <v>0</v>
      </c>
      <c r="I9" s="18" t="b">
        <v>1</v>
      </c>
      <c r="J9" s="18" t="b">
        <v>0</v>
      </c>
      <c r="K9" s="18" t="b">
        <v>0</v>
      </c>
      <c r="L9" s="18" t="b">
        <v>0</v>
      </c>
      <c r="M9" s="18" t="b">
        <v>0</v>
      </c>
      <c r="N9" s="18" t="b">
        <v>0</v>
      </c>
      <c r="O9" s="18" t="b">
        <v>0</v>
      </c>
      <c r="P9" s="18" t="b">
        <v>0</v>
      </c>
      <c r="Q9" s="18" t="b">
        <v>0</v>
      </c>
      <c r="R9" s="19" t="b">
        <v>0</v>
      </c>
    </row>
    <row r="10" spans="1:18" ht="15.75" hidden="1" customHeight="1">
      <c r="A10" s="43" t="s">
        <v>57</v>
      </c>
      <c r="B10" s="51" t="s">
        <v>57</v>
      </c>
      <c r="C10" s="17" t="s">
        <v>58</v>
      </c>
      <c r="D10" s="17" t="s">
        <v>59</v>
      </c>
      <c r="E10" s="16" t="s">
        <v>60</v>
      </c>
      <c r="F10" s="19" t="s">
        <v>34</v>
      </c>
      <c r="G10" s="18" t="b">
        <v>0</v>
      </c>
      <c r="H10" s="18" t="b">
        <v>0</v>
      </c>
      <c r="I10" s="18" t="b">
        <v>0</v>
      </c>
      <c r="J10" s="18" t="b">
        <v>0</v>
      </c>
      <c r="K10" s="18" t="b">
        <v>0</v>
      </c>
      <c r="L10" s="18" t="b">
        <v>0</v>
      </c>
      <c r="M10" s="18" t="b">
        <v>1</v>
      </c>
      <c r="N10" s="18" t="b">
        <v>0</v>
      </c>
      <c r="O10" s="18" t="b">
        <v>0</v>
      </c>
      <c r="P10" s="18" t="b">
        <v>0</v>
      </c>
      <c r="Q10" s="18" t="b">
        <v>0</v>
      </c>
      <c r="R10" s="19" t="b">
        <v>0</v>
      </c>
    </row>
    <row r="11" spans="1:18" ht="15.75" hidden="1" customHeight="1">
      <c r="A11" s="17" t="s">
        <v>61</v>
      </c>
      <c r="B11" s="52"/>
      <c r="C11" s="48" t="s">
        <v>62</v>
      </c>
      <c r="D11" s="17" t="s">
        <v>63</v>
      </c>
      <c r="E11" s="18" t="s">
        <v>52</v>
      </c>
      <c r="F11" s="19" t="s">
        <v>38</v>
      </c>
      <c r="G11" s="18" t="b">
        <v>0</v>
      </c>
      <c r="H11" s="18" t="b">
        <v>0</v>
      </c>
      <c r="I11" s="18" t="b">
        <v>0</v>
      </c>
      <c r="J11" s="18" t="b">
        <v>1</v>
      </c>
      <c r="K11" s="18" t="b">
        <v>0</v>
      </c>
      <c r="L11" s="18" t="b">
        <v>0</v>
      </c>
      <c r="M11" s="18" t="b">
        <v>0</v>
      </c>
      <c r="N11" s="18" t="b">
        <v>0</v>
      </c>
      <c r="O11" s="18" t="b">
        <v>0</v>
      </c>
      <c r="P11" s="18" t="b">
        <v>0</v>
      </c>
      <c r="Q11" s="18" t="b">
        <v>0</v>
      </c>
      <c r="R11" s="19" t="b">
        <v>0</v>
      </c>
    </row>
    <row r="12" spans="1:18" ht="15.75" hidden="1" customHeight="1">
      <c r="A12" s="17" t="s">
        <v>66</v>
      </c>
      <c r="B12" s="54" t="s">
        <v>66</v>
      </c>
      <c r="C12" s="55" t="s">
        <v>67</v>
      </c>
      <c r="D12" s="17" t="s">
        <v>68</v>
      </c>
      <c r="E12" s="16" t="s">
        <v>69</v>
      </c>
      <c r="F12" s="19" t="s">
        <v>34</v>
      </c>
      <c r="G12" s="16" t="b">
        <v>0</v>
      </c>
      <c r="H12" s="16" t="b">
        <v>0</v>
      </c>
      <c r="I12" s="16" t="b">
        <v>0</v>
      </c>
      <c r="J12" s="16" t="b">
        <v>0</v>
      </c>
      <c r="K12" s="16" t="b">
        <v>0</v>
      </c>
      <c r="L12" s="16" t="b">
        <v>0</v>
      </c>
      <c r="M12" s="16" t="b">
        <v>0</v>
      </c>
      <c r="N12" s="16" t="b">
        <v>0</v>
      </c>
      <c r="O12" s="16" t="b">
        <v>1</v>
      </c>
      <c r="P12" s="16" t="b">
        <v>0</v>
      </c>
      <c r="Q12" s="16" t="b">
        <v>0</v>
      </c>
      <c r="R12" s="33" t="b">
        <v>0</v>
      </c>
    </row>
    <row r="13" spans="1:18" ht="15.75" hidden="1" customHeight="1">
      <c r="A13" s="17" t="s">
        <v>70</v>
      </c>
      <c r="B13" s="15" t="s">
        <v>71</v>
      </c>
      <c r="C13" s="18" t="s">
        <v>72</v>
      </c>
      <c r="D13" s="57" t="s">
        <v>73</v>
      </c>
      <c r="E13" s="18" t="s">
        <v>43</v>
      </c>
      <c r="F13" s="19" t="s">
        <v>38</v>
      </c>
      <c r="G13" s="18" t="b">
        <v>1</v>
      </c>
      <c r="H13" s="18" t="b">
        <v>0</v>
      </c>
      <c r="I13" s="18" t="b">
        <v>0</v>
      </c>
      <c r="J13" s="18" t="b">
        <v>0</v>
      </c>
      <c r="K13" s="18" t="b">
        <v>0</v>
      </c>
      <c r="L13" s="18" t="b">
        <v>0</v>
      </c>
      <c r="M13" s="18" t="b">
        <v>0</v>
      </c>
      <c r="N13" s="18" t="b">
        <v>0</v>
      </c>
      <c r="O13" s="18" t="b">
        <v>0</v>
      </c>
      <c r="P13" s="18" t="b">
        <v>0</v>
      </c>
      <c r="Q13" s="18" t="b">
        <v>0</v>
      </c>
      <c r="R13" s="19" t="b">
        <v>0</v>
      </c>
    </row>
    <row r="14" spans="1:18" ht="15.75" hidden="1" customHeight="1">
      <c r="A14" s="17" t="s">
        <v>75</v>
      </c>
      <c r="B14" s="58" t="s">
        <v>75</v>
      </c>
      <c r="C14" s="17" t="s">
        <v>76</v>
      </c>
      <c r="D14" s="17" t="s">
        <v>77</v>
      </c>
      <c r="E14" s="16" t="s">
        <v>60</v>
      </c>
      <c r="F14" s="19" t="s">
        <v>34</v>
      </c>
      <c r="G14" s="18" t="b">
        <v>0</v>
      </c>
      <c r="H14" s="18" t="b">
        <v>0</v>
      </c>
      <c r="I14" s="18" t="b">
        <v>0</v>
      </c>
      <c r="J14" s="18" t="b">
        <v>0</v>
      </c>
      <c r="K14" s="18" t="b">
        <v>0</v>
      </c>
      <c r="L14" s="18" t="b">
        <v>0</v>
      </c>
      <c r="M14" s="18" t="b">
        <v>1</v>
      </c>
      <c r="N14" s="18" t="b">
        <v>0</v>
      </c>
      <c r="O14" s="18" t="b">
        <v>0</v>
      </c>
      <c r="P14" s="18" t="b">
        <v>0</v>
      </c>
      <c r="Q14" s="18" t="b">
        <v>0</v>
      </c>
      <c r="R14" s="19" t="b">
        <v>0</v>
      </c>
    </row>
    <row r="15" spans="1:18" ht="15.75" hidden="1" customHeight="1">
      <c r="A15" s="60" t="s">
        <v>79</v>
      </c>
      <c r="B15" s="15" t="s">
        <v>79</v>
      </c>
      <c r="C15" s="44" t="s">
        <v>80</v>
      </c>
      <c r="D15" s="44" t="s">
        <v>81</v>
      </c>
      <c r="E15" s="18" t="s">
        <v>33</v>
      </c>
      <c r="F15" s="19" t="s">
        <v>34</v>
      </c>
      <c r="G15" s="18" t="b">
        <v>0</v>
      </c>
      <c r="H15" s="18" t="b">
        <v>0</v>
      </c>
      <c r="I15" s="18" t="b">
        <v>0</v>
      </c>
      <c r="J15" s="18" t="b">
        <v>0</v>
      </c>
      <c r="K15" s="18" t="b">
        <v>0</v>
      </c>
      <c r="L15" s="18" t="b">
        <v>0</v>
      </c>
      <c r="M15" s="18" t="b">
        <v>0</v>
      </c>
      <c r="N15" s="18" t="b">
        <v>0</v>
      </c>
      <c r="O15" s="18" t="b">
        <v>0</v>
      </c>
      <c r="P15" s="18" t="b">
        <v>0</v>
      </c>
      <c r="Q15" s="18" t="b">
        <v>0</v>
      </c>
      <c r="R15" s="19" t="b">
        <v>1</v>
      </c>
    </row>
    <row r="16" spans="1:18" ht="15.75" hidden="1" customHeight="1">
      <c r="A16" s="61" t="s">
        <v>83</v>
      </c>
      <c r="B16" s="58" t="s">
        <v>83</v>
      </c>
      <c r="C16" s="17" t="s">
        <v>84</v>
      </c>
      <c r="D16" s="17" t="s">
        <v>85</v>
      </c>
      <c r="E16" s="16" t="s">
        <v>86</v>
      </c>
      <c r="F16" s="33" t="s">
        <v>38</v>
      </c>
      <c r="G16" s="16" t="b">
        <v>0</v>
      </c>
      <c r="H16" s="16" t="b">
        <v>0</v>
      </c>
      <c r="I16" s="16" t="b">
        <v>1</v>
      </c>
      <c r="J16" s="16" t="b">
        <v>0</v>
      </c>
      <c r="K16" s="16" t="b">
        <v>0</v>
      </c>
      <c r="L16" s="16" t="b">
        <v>0</v>
      </c>
      <c r="M16" s="16" t="b">
        <v>0</v>
      </c>
      <c r="N16" s="16" t="b">
        <v>0</v>
      </c>
      <c r="O16" s="16" t="b">
        <v>0</v>
      </c>
      <c r="P16" s="16" t="b">
        <v>1</v>
      </c>
      <c r="Q16" s="16" t="b">
        <v>1</v>
      </c>
      <c r="R16" s="33" t="b">
        <v>0</v>
      </c>
    </row>
    <row r="17" spans="1:18" ht="15.75" hidden="1" customHeight="1">
      <c r="A17" s="17" t="s">
        <v>87</v>
      </c>
      <c r="B17" s="15" t="s">
        <v>88</v>
      </c>
      <c r="C17" s="18" t="s">
        <v>89</v>
      </c>
      <c r="D17" s="48" t="s">
        <v>90</v>
      </c>
      <c r="E17" s="18" t="s">
        <v>86</v>
      </c>
      <c r="F17" s="19" t="s">
        <v>34</v>
      </c>
      <c r="G17" s="18" t="b">
        <v>0</v>
      </c>
      <c r="H17" s="18" t="b">
        <v>0</v>
      </c>
      <c r="I17" s="18" t="b">
        <v>1</v>
      </c>
      <c r="J17" s="18" t="b">
        <v>0</v>
      </c>
      <c r="K17" s="18" t="b">
        <v>0</v>
      </c>
      <c r="L17" s="18" t="b">
        <v>0</v>
      </c>
      <c r="M17" s="18" t="b">
        <v>0</v>
      </c>
      <c r="N17" s="18" t="b">
        <v>0</v>
      </c>
      <c r="O17" s="18" t="b">
        <v>0</v>
      </c>
      <c r="P17" s="18" t="b">
        <v>0</v>
      </c>
      <c r="Q17" s="18" t="b">
        <v>0</v>
      </c>
      <c r="R17" s="19" t="b">
        <v>0</v>
      </c>
    </row>
    <row r="18" spans="1:18" ht="15.75" hidden="1" customHeight="1">
      <c r="A18" s="17" t="s">
        <v>91</v>
      </c>
      <c r="B18" s="15"/>
      <c r="C18" s="44" t="s">
        <v>92</v>
      </c>
      <c r="D18" s="57" t="s">
        <v>93</v>
      </c>
      <c r="E18" s="18" t="s">
        <v>43</v>
      </c>
      <c r="F18" s="19" t="s">
        <v>38</v>
      </c>
      <c r="G18" s="18" t="b">
        <v>1</v>
      </c>
      <c r="H18" s="18" t="b">
        <v>0</v>
      </c>
      <c r="I18" s="18" t="b">
        <v>0</v>
      </c>
      <c r="J18" s="18" t="b">
        <v>0</v>
      </c>
      <c r="K18" s="18" t="b">
        <v>0</v>
      </c>
      <c r="L18" s="18" t="b">
        <v>0</v>
      </c>
      <c r="M18" s="18" t="b">
        <v>0</v>
      </c>
      <c r="N18" s="18" t="b">
        <v>0</v>
      </c>
      <c r="O18" s="18" t="b">
        <v>0</v>
      </c>
      <c r="P18" s="18" t="b">
        <v>0</v>
      </c>
      <c r="Q18" s="18" t="b">
        <v>0</v>
      </c>
      <c r="R18" s="19" t="b">
        <v>0</v>
      </c>
    </row>
    <row r="19" spans="1:18" ht="15.75" hidden="1" customHeight="1">
      <c r="A19" s="46" t="s">
        <v>94</v>
      </c>
      <c r="B19" s="15" t="s">
        <v>94</v>
      </c>
      <c r="C19" s="18" t="s">
        <v>95</v>
      </c>
      <c r="D19" s="48" t="s">
        <v>96</v>
      </c>
      <c r="E19" s="18" t="s">
        <v>33</v>
      </c>
      <c r="F19" s="19" t="s">
        <v>34</v>
      </c>
      <c r="G19" s="18" t="b">
        <v>0</v>
      </c>
      <c r="H19" s="18" t="b">
        <v>0</v>
      </c>
      <c r="I19" s="18" t="b">
        <v>0</v>
      </c>
      <c r="J19" s="18" t="b">
        <v>0</v>
      </c>
      <c r="K19" s="18" t="b">
        <v>0</v>
      </c>
      <c r="L19" s="18" t="b">
        <v>0</v>
      </c>
      <c r="M19" s="18" t="b">
        <v>0</v>
      </c>
      <c r="N19" s="18" t="b">
        <v>0</v>
      </c>
      <c r="O19" s="18" t="b">
        <v>0</v>
      </c>
      <c r="P19" s="18" t="b">
        <v>0</v>
      </c>
      <c r="Q19" s="18" t="b">
        <v>0</v>
      </c>
      <c r="R19" s="19" t="b">
        <v>1</v>
      </c>
    </row>
    <row r="20" spans="1:18" ht="15.75" hidden="1" customHeight="1">
      <c r="A20" s="16" t="s">
        <v>97</v>
      </c>
      <c r="B20" s="16"/>
      <c r="C20" s="67" t="s">
        <v>98</v>
      </c>
      <c r="D20" s="18" t="s">
        <v>99</v>
      </c>
      <c r="E20" s="16"/>
      <c r="F20" s="33" t="s">
        <v>38</v>
      </c>
      <c r="G20" s="16" t="b">
        <v>0</v>
      </c>
      <c r="H20" s="16" t="b">
        <v>0</v>
      </c>
      <c r="I20" s="16" t="b">
        <v>0</v>
      </c>
      <c r="J20" s="16" t="b">
        <v>0</v>
      </c>
      <c r="K20" s="16"/>
      <c r="L20" s="16"/>
      <c r="M20" s="16" t="b">
        <v>0</v>
      </c>
      <c r="N20" s="16" t="b">
        <v>0</v>
      </c>
      <c r="O20" s="16" t="b">
        <v>1</v>
      </c>
      <c r="P20" s="16" t="b">
        <v>0</v>
      </c>
      <c r="Q20" s="16" t="b">
        <v>0</v>
      </c>
      <c r="R20" s="33" t="b">
        <v>0</v>
      </c>
    </row>
    <row r="21" spans="1:18" ht="15.75" hidden="1" customHeight="1">
      <c r="A21" s="68" t="s">
        <v>100</v>
      </c>
      <c r="B21" s="69">
        <v>380674563262</v>
      </c>
      <c r="C21" s="70" t="s">
        <v>101</v>
      </c>
      <c r="D21" s="68" t="s">
        <v>102</v>
      </c>
      <c r="E21" s="18" t="s">
        <v>86</v>
      </c>
      <c r="F21" s="19" t="s">
        <v>34</v>
      </c>
      <c r="G21" s="18" t="b">
        <v>0</v>
      </c>
      <c r="H21" s="18" t="b">
        <v>0</v>
      </c>
      <c r="I21" s="18" t="b">
        <v>1</v>
      </c>
      <c r="J21" s="18" t="b">
        <v>0</v>
      </c>
      <c r="K21" s="18" t="b">
        <v>0</v>
      </c>
      <c r="L21" s="18" t="b">
        <v>0</v>
      </c>
      <c r="M21" s="18" t="b">
        <v>0</v>
      </c>
      <c r="N21" s="18" t="b">
        <v>0</v>
      </c>
      <c r="O21" s="18" t="b">
        <v>0</v>
      </c>
      <c r="P21" s="18" t="b">
        <v>0</v>
      </c>
      <c r="Q21" s="18" t="b">
        <v>0</v>
      </c>
      <c r="R21" s="19" t="b">
        <v>0</v>
      </c>
    </row>
    <row r="22" spans="1:18" ht="15.75" hidden="1" customHeight="1">
      <c r="A22" s="61" t="s">
        <v>103</v>
      </c>
      <c r="B22" s="15" t="s">
        <v>104</v>
      </c>
      <c r="C22" s="16" t="s">
        <v>105</v>
      </c>
      <c r="D22" s="16" t="s">
        <v>106</v>
      </c>
      <c r="E22" s="16" t="s">
        <v>86</v>
      </c>
      <c r="F22" s="33" t="s">
        <v>34</v>
      </c>
      <c r="G22" s="16" t="b">
        <v>0</v>
      </c>
      <c r="H22" s="16" t="b">
        <v>0</v>
      </c>
      <c r="I22" s="16" t="b">
        <v>1</v>
      </c>
      <c r="J22" s="16" t="b">
        <v>1</v>
      </c>
      <c r="K22" s="16" t="b">
        <v>0</v>
      </c>
      <c r="L22" s="16" t="b">
        <v>0</v>
      </c>
      <c r="M22" s="16" t="b">
        <v>0</v>
      </c>
      <c r="N22" s="16" t="b">
        <v>0</v>
      </c>
      <c r="O22" s="16" t="b">
        <v>0</v>
      </c>
      <c r="P22" s="16" t="b">
        <v>0</v>
      </c>
      <c r="Q22" s="16" t="b">
        <v>0</v>
      </c>
      <c r="R22" s="33" t="b">
        <v>0</v>
      </c>
    </row>
    <row r="23" spans="1:18" ht="15.75" hidden="1" customHeight="1">
      <c r="A23" s="60" t="s">
        <v>107</v>
      </c>
      <c r="B23" s="72" t="s">
        <v>107</v>
      </c>
      <c r="C23" s="73" t="s">
        <v>108</v>
      </c>
      <c r="D23" s="74" t="s">
        <v>109</v>
      </c>
      <c r="E23" s="18" t="s">
        <v>33</v>
      </c>
      <c r="F23" s="19" t="s">
        <v>34</v>
      </c>
      <c r="G23" s="18" t="b">
        <v>0</v>
      </c>
      <c r="H23" s="18" t="b">
        <v>0</v>
      </c>
      <c r="I23" s="18" t="b">
        <v>0</v>
      </c>
      <c r="J23" s="18" t="b">
        <v>0</v>
      </c>
      <c r="K23" s="18" t="b">
        <v>0</v>
      </c>
      <c r="L23" s="18" t="b">
        <v>0</v>
      </c>
      <c r="M23" s="18" t="b">
        <v>0</v>
      </c>
      <c r="N23" s="18" t="b">
        <v>0</v>
      </c>
      <c r="O23" s="18" t="b">
        <v>0</v>
      </c>
      <c r="P23" s="18" t="b">
        <v>0</v>
      </c>
      <c r="Q23" s="18" t="b">
        <v>0</v>
      </c>
      <c r="R23" s="19" t="b">
        <v>1</v>
      </c>
    </row>
    <row r="24" spans="1:18" ht="15.75" hidden="1" customHeight="1">
      <c r="A24" s="75" t="s">
        <v>110</v>
      </c>
      <c r="B24" s="15"/>
      <c r="C24" s="44" t="s">
        <v>111</v>
      </c>
      <c r="D24" s="45" t="s">
        <v>112</v>
      </c>
      <c r="E24" s="18" t="s">
        <v>69</v>
      </c>
      <c r="F24" s="19" t="s">
        <v>34</v>
      </c>
      <c r="G24" s="18" t="b">
        <v>0</v>
      </c>
      <c r="H24" s="18" t="b">
        <v>0</v>
      </c>
      <c r="I24" s="18" t="b">
        <v>0</v>
      </c>
      <c r="J24" s="18" t="b">
        <v>0</v>
      </c>
      <c r="K24" s="18" t="b">
        <v>0</v>
      </c>
      <c r="L24" s="18" t="b">
        <v>0</v>
      </c>
      <c r="M24" s="18" t="b">
        <v>0</v>
      </c>
      <c r="N24" s="18" t="b">
        <v>0</v>
      </c>
      <c r="O24" s="18" t="b">
        <v>1</v>
      </c>
      <c r="P24" s="18" t="b">
        <v>0</v>
      </c>
      <c r="Q24" s="18" t="b">
        <v>0</v>
      </c>
      <c r="R24" s="19" t="b">
        <v>0</v>
      </c>
    </row>
    <row r="25" spans="1:18" ht="15.75" hidden="1" customHeight="1">
      <c r="A25" s="17" t="s">
        <v>113</v>
      </c>
      <c r="B25" s="15" t="s">
        <v>114</v>
      </c>
      <c r="C25" s="17" t="s">
        <v>115</v>
      </c>
      <c r="D25" s="17" t="s">
        <v>116</v>
      </c>
      <c r="E25" s="16" t="s">
        <v>86</v>
      </c>
      <c r="F25" s="33" t="s">
        <v>34</v>
      </c>
      <c r="G25" s="16" t="b">
        <v>0</v>
      </c>
      <c r="H25" s="16" t="b">
        <v>0</v>
      </c>
      <c r="I25" s="16" t="b">
        <v>1</v>
      </c>
      <c r="J25" s="16" t="b">
        <v>0</v>
      </c>
      <c r="K25" s="16" t="b">
        <v>0</v>
      </c>
      <c r="L25" s="16" t="b">
        <v>0</v>
      </c>
      <c r="M25" s="16" t="b">
        <v>0</v>
      </c>
      <c r="N25" s="16" t="b">
        <v>0</v>
      </c>
      <c r="O25" s="16" t="b">
        <v>0</v>
      </c>
      <c r="P25" s="16" t="b">
        <v>0</v>
      </c>
      <c r="Q25" s="16" t="b">
        <v>1</v>
      </c>
      <c r="R25" s="33" t="b">
        <v>0</v>
      </c>
    </row>
    <row r="26" spans="1:18" ht="15.75" hidden="1" customHeight="1">
      <c r="A26" s="18" t="s">
        <v>117</v>
      </c>
      <c r="B26" s="15"/>
      <c r="C26" s="18" t="s">
        <v>118</v>
      </c>
      <c r="D26" s="17" t="s">
        <v>119</v>
      </c>
      <c r="E26" s="18" t="s">
        <v>43</v>
      </c>
      <c r="F26" s="19" t="s">
        <v>38</v>
      </c>
      <c r="G26" s="18" t="b">
        <v>1</v>
      </c>
      <c r="H26" s="18" t="b">
        <v>0</v>
      </c>
      <c r="I26" s="18" t="b">
        <v>0</v>
      </c>
      <c r="J26" s="18" t="b">
        <v>0</v>
      </c>
      <c r="K26" s="18" t="b">
        <v>0</v>
      </c>
      <c r="L26" s="18" t="b">
        <v>0</v>
      </c>
      <c r="M26" s="18" t="b">
        <v>0</v>
      </c>
      <c r="N26" s="18" t="b">
        <v>0</v>
      </c>
      <c r="O26" s="18" t="b">
        <v>0</v>
      </c>
      <c r="P26" s="18" t="b">
        <v>0</v>
      </c>
      <c r="Q26" s="18" t="b">
        <v>0</v>
      </c>
      <c r="R26" s="19" t="b">
        <v>0</v>
      </c>
    </row>
    <row r="27" spans="1:18" ht="15.75" hidden="1" customHeight="1">
      <c r="A27" s="18" t="s">
        <v>120</v>
      </c>
      <c r="B27" s="15"/>
      <c r="C27" s="18" t="s">
        <v>121</v>
      </c>
      <c r="D27" s="17" t="s">
        <v>122</v>
      </c>
      <c r="E27" s="18" t="s">
        <v>43</v>
      </c>
      <c r="F27" s="19" t="s">
        <v>38</v>
      </c>
      <c r="G27" s="18" t="b">
        <v>1</v>
      </c>
      <c r="H27" s="18" t="b">
        <v>0</v>
      </c>
      <c r="I27" s="18" t="b">
        <v>0</v>
      </c>
      <c r="J27" s="18" t="b">
        <v>0</v>
      </c>
      <c r="K27" s="18" t="b">
        <v>0</v>
      </c>
      <c r="L27" s="18" t="b">
        <v>0</v>
      </c>
      <c r="M27" s="18" t="b">
        <v>0</v>
      </c>
      <c r="N27" s="18" t="b">
        <v>0</v>
      </c>
      <c r="O27" s="18" t="b">
        <v>0</v>
      </c>
      <c r="P27" s="18" t="b">
        <v>0</v>
      </c>
      <c r="Q27" s="18" t="b">
        <v>0</v>
      </c>
      <c r="R27" s="19" t="b">
        <v>0</v>
      </c>
    </row>
    <row r="28" spans="1:18" ht="15.75" hidden="1" customHeight="1">
      <c r="A28" s="61" t="s">
        <v>123</v>
      </c>
      <c r="B28" s="15" t="s">
        <v>124</v>
      </c>
      <c r="C28" s="76" t="s">
        <v>125</v>
      </c>
      <c r="D28" s="76" t="s">
        <v>126</v>
      </c>
      <c r="E28" s="16" t="s">
        <v>86</v>
      </c>
      <c r="F28" s="33" t="s">
        <v>38</v>
      </c>
      <c r="G28" s="16" t="b">
        <v>0</v>
      </c>
      <c r="H28" s="16" t="b">
        <v>0</v>
      </c>
      <c r="I28" s="16" t="b">
        <v>1</v>
      </c>
      <c r="J28" s="16" t="b">
        <v>0</v>
      </c>
      <c r="K28" s="16" t="b">
        <v>0</v>
      </c>
      <c r="L28" s="16" t="b">
        <v>0</v>
      </c>
      <c r="M28" s="16" t="b">
        <v>0</v>
      </c>
      <c r="N28" s="16" t="b">
        <v>0</v>
      </c>
      <c r="O28" s="16" t="b">
        <v>0</v>
      </c>
      <c r="P28" s="16" t="b">
        <v>0</v>
      </c>
      <c r="Q28" s="16" t="b">
        <v>0</v>
      </c>
      <c r="R28" s="33" t="b">
        <v>0</v>
      </c>
    </row>
    <row r="29" spans="1:18" ht="15.75" hidden="1" customHeight="1">
      <c r="A29" s="17" t="s">
        <v>127</v>
      </c>
      <c r="B29" s="15" t="s">
        <v>127</v>
      </c>
      <c r="C29" s="45" t="s">
        <v>128</v>
      </c>
      <c r="D29" s="17" t="s">
        <v>129</v>
      </c>
      <c r="E29" s="18" t="s">
        <v>33</v>
      </c>
      <c r="F29" s="19" t="s">
        <v>34</v>
      </c>
      <c r="G29" s="18" t="b">
        <v>0</v>
      </c>
      <c r="H29" s="18" t="b">
        <v>0</v>
      </c>
      <c r="I29" s="18" t="b">
        <v>0</v>
      </c>
      <c r="J29" s="18" t="b">
        <v>0</v>
      </c>
      <c r="K29" s="18" t="b">
        <v>0</v>
      </c>
      <c r="L29" s="18" t="b">
        <v>0</v>
      </c>
      <c r="M29" s="18" t="b">
        <v>0</v>
      </c>
      <c r="N29" s="18" t="b">
        <v>0</v>
      </c>
      <c r="O29" s="18" t="b">
        <v>0</v>
      </c>
      <c r="P29" s="18" t="b">
        <v>0</v>
      </c>
      <c r="Q29" s="18" t="b">
        <v>0</v>
      </c>
      <c r="R29" s="19" t="b">
        <v>1</v>
      </c>
    </row>
    <row r="30" spans="1:18" ht="15.75" hidden="1" customHeight="1">
      <c r="A30" s="76" t="s">
        <v>130</v>
      </c>
      <c r="B30" s="15" t="s">
        <v>131</v>
      </c>
      <c r="C30" s="16" t="s">
        <v>132</v>
      </c>
      <c r="D30" s="16" t="s">
        <v>133</v>
      </c>
      <c r="E30" s="16"/>
      <c r="F30" s="33" t="s">
        <v>38</v>
      </c>
      <c r="G30" s="16" t="b">
        <v>0</v>
      </c>
      <c r="H30" s="16" t="b">
        <v>0</v>
      </c>
      <c r="I30" s="16" t="b">
        <v>1</v>
      </c>
      <c r="J30" s="16" t="b">
        <v>0</v>
      </c>
      <c r="K30" s="16"/>
      <c r="L30" s="16"/>
      <c r="M30" s="16" t="b">
        <v>0</v>
      </c>
      <c r="N30" s="16" t="b">
        <v>0</v>
      </c>
      <c r="O30" s="16" t="b">
        <v>0</v>
      </c>
      <c r="P30" s="16" t="b">
        <v>0</v>
      </c>
      <c r="Q30" s="16" t="b">
        <v>0</v>
      </c>
      <c r="R30" s="33" t="b">
        <v>0</v>
      </c>
    </row>
    <row r="31" spans="1:18" ht="15.75" customHeight="1">
      <c r="A31" s="61" t="s">
        <v>134</v>
      </c>
      <c r="B31" s="15" t="s">
        <v>134</v>
      </c>
      <c r="C31" s="18" t="s">
        <v>135</v>
      </c>
      <c r="D31" s="17" t="s">
        <v>136</v>
      </c>
      <c r="E31" s="18" t="s">
        <v>52</v>
      </c>
      <c r="F31" s="19" t="s">
        <v>27</v>
      </c>
      <c r="G31" s="18" t="b">
        <v>0</v>
      </c>
      <c r="H31" s="18" t="b">
        <v>0</v>
      </c>
      <c r="I31" s="18" t="b">
        <v>0</v>
      </c>
      <c r="J31" s="18" t="b">
        <v>1</v>
      </c>
      <c r="K31" s="18" t="b">
        <v>0</v>
      </c>
      <c r="L31" s="18" t="b">
        <v>0</v>
      </c>
      <c r="M31" s="18" t="b">
        <v>0</v>
      </c>
      <c r="N31" s="18" t="b">
        <v>0</v>
      </c>
      <c r="O31" s="18" t="b">
        <v>0</v>
      </c>
      <c r="P31" s="18" t="b">
        <v>0</v>
      </c>
      <c r="Q31" s="18" t="b">
        <v>0</v>
      </c>
      <c r="R31" s="19" t="b">
        <v>0</v>
      </c>
    </row>
    <row r="32" spans="1:18" ht="15.75" hidden="1" customHeight="1">
      <c r="A32" s="17" t="s">
        <v>137</v>
      </c>
      <c r="B32" s="15"/>
      <c r="C32" s="17" t="s">
        <v>138</v>
      </c>
      <c r="D32" s="18" t="s">
        <v>139</v>
      </c>
      <c r="E32" s="18" t="s">
        <v>140</v>
      </c>
      <c r="F32" s="19" t="s">
        <v>38</v>
      </c>
      <c r="G32" s="18" t="b">
        <v>0</v>
      </c>
      <c r="H32" s="18" t="b">
        <v>1</v>
      </c>
      <c r="I32" s="18" t="b">
        <v>0</v>
      </c>
      <c r="J32" s="18" t="b">
        <v>0</v>
      </c>
      <c r="K32" s="18" t="b">
        <v>0</v>
      </c>
      <c r="L32" s="18" t="b">
        <v>0</v>
      </c>
      <c r="M32" s="18" t="b">
        <v>0</v>
      </c>
      <c r="N32" s="18" t="b">
        <v>0</v>
      </c>
      <c r="O32" s="18" t="b">
        <v>0</v>
      </c>
      <c r="P32" s="18" t="b">
        <v>0</v>
      </c>
      <c r="Q32" s="18" t="b">
        <v>0</v>
      </c>
      <c r="R32" s="19" t="b">
        <v>0</v>
      </c>
    </row>
    <row r="33" spans="1:18" ht="15.75" hidden="1" customHeight="1">
      <c r="A33" s="18" t="s">
        <v>141</v>
      </c>
      <c r="B33" s="15" t="s">
        <v>142</v>
      </c>
      <c r="C33" s="18" t="s">
        <v>143</v>
      </c>
      <c r="D33" s="17" t="s">
        <v>144</v>
      </c>
      <c r="E33" s="18" t="s">
        <v>52</v>
      </c>
      <c r="F33" s="19" t="s">
        <v>38</v>
      </c>
      <c r="G33" s="18" t="b">
        <v>0</v>
      </c>
      <c r="H33" s="18" t="b">
        <v>0</v>
      </c>
      <c r="I33" s="18" t="b">
        <v>1</v>
      </c>
      <c r="J33" s="18" t="b">
        <v>1</v>
      </c>
      <c r="K33" s="18" t="b">
        <v>0</v>
      </c>
      <c r="L33" s="18" t="b">
        <v>0</v>
      </c>
      <c r="M33" s="18" t="b">
        <v>0</v>
      </c>
      <c r="N33" s="18" t="b">
        <v>0</v>
      </c>
      <c r="O33" s="18" t="b">
        <v>0</v>
      </c>
      <c r="P33" s="18" t="b">
        <v>0</v>
      </c>
      <c r="Q33" s="18" t="b">
        <v>0</v>
      </c>
      <c r="R33" s="19" t="b">
        <v>0</v>
      </c>
    </row>
    <row r="34" spans="1:18" ht="15.75" customHeight="1">
      <c r="A34" s="61" t="s">
        <v>145</v>
      </c>
      <c r="B34" s="15" t="s">
        <v>145</v>
      </c>
      <c r="C34" s="18" t="s">
        <v>146</v>
      </c>
      <c r="D34" s="17" t="s">
        <v>147</v>
      </c>
      <c r="E34" s="18" t="s">
        <v>52</v>
      </c>
      <c r="F34" s="19" t="s">
        <v>27</v>
      </c>
      <c r="G34" s="18" t="b">
        <v>0</v>
      </c>
      <c r="H34" s="18" t="b">
        <v>0</v>
      </c>
      <c r="I34" s="18" t="b">
        <v>0</v>
      </c>
      <c r="J34" s="18" t="b">
        <v>1</v>
      </c>
      <c r="K34" s="18" t="b">
        <v>0</v>
      </c>
      <c r="L34" s="18" t="b">
        <v>0</v>
      </c>
      <c r="M34" s="18" t="b">
        <v>0</v>
      </c>
      <c r="N34" s="18" t="b">
        <v>0</v>
      </c>
      <c r="O34" s="18" t="b">
        <v>0</v>
      </c>
      <c r="P34" s="18" t="b">
        <v>0</v>
      </c>
      <c r="Q34" s="18" t="b">
        <v>0</v>
      </c>
      <c r="R34" s="19" t="b">
        <v>0</v>
      </c>
    </row>
    <row r="35" spans="1:18" ht="15.75" customHeight="1">
      <c r="A35" s="61" t="s">
        <v>148</v>
      </c>
      <c r="B35" s="15" t="s">
        <v>148</v>
      </c>
      <c r="C35" s="18" t="s">
        <v>149</v>
      </c>
      <c r="D35" s="17" t="s">
        <v>150</v>
      </c>
      <c r="E35" s="18" t="s">
        <v>26</v>
      </c>
      <c r="F35" s="19" t="s">
        <v>27</v>
      </c>
      <c r="G35" s="18" t="b">
        <v>0</v>
      </c>
      <c r="H35" s="18" t="b">
        <v>0</v>
      </c>
      <c r="I35" s="18" t="b">
        <v>1</v>
      </c>
      <c r="J35" s="18" t="b">
        <v>0</v>
      </c>
      <c r="K35" s="18" t="b">
        <v>0</v>
      </c>
      <c r="L35" s="18" t="b">
        <v>0</v>
      </c>
      <c r="M35" s="18" t="b">
        <v>0</v>
      </c>
      <c r="N35" s="18" t="b">
        <v>0</v>
      </c>
      <c r="O35" s="18" t="b">
        <v>0</v>
      </c>
      <c r="P35" s="18" t="b">
        <v>0</v>
      </c>
      <c r="Q35" s="18" t="b">
        <v>0</v>
      </c>
      <c r="R35" s="18" t="b">
        <v>0</v>
      </c>
    </row>
    <row r="36" spans="1:18" ht="15.75" customHeight="1">
      <c r="A36" s="61" t="s">
        <v>151</v>
      </c>
      <c r="B36" s="78" t="s">
        <v>151</v>
      </c>
      <c r="C36" s="44" t="s">
        <v>152</v>
      </c>
      <c r="D36" s="17" t="s">
        <v>153</v>
      </c>
      <c r="E36" s="18" t="s">
        <v>154</v>
      </c>
      <c r="F36" s="19" t="s">
        <v>27</v>
      </c>
      <c r="G36" s="18" t="b">
        <v>0</v>
      </c>
      <c r="H36" s="18" t="b">
        <v>0</v>
      </c>
      <c r="I36" s="18" t="b">
        <v>1</v>
      </c>
      <c r="J36" s="18" t="b">
        <v>0</v>
      </c>
      <c r="K36" s="18" t="b">
        <v>0</v>
      </c>
      <c r="L36" s="18" t="b">
        <v>0</v>
      </c>
      <c r="M36" s="18" t="b">
        <v>0</v>
      </c>
      <c r="N36" s="18" t="b">
        <v>0</v>
      </c>
      <c r="O36" s="18" t="b">
        <v>0</v>
      </c>
      <c r="P36" s="18" t="b">
        <v>0</v>
      </c>
      <c r="Q36" s="18" t="b">
        <v>0</v>
      </c>
      <c r="R36" s="19" t="b">
        <v>0</v>
      </c>
    </row>
    <row r="37" spans="1:18" ht="15.75" customHeight="1">
      <c r="A37" s="61" t="s">
        <v>155</v>
      </c>
      <c r="B37" s="15" t="s">
        <v>155</v>
      </c>
      <c r="C37" s="17" t="s">
        <v>156</v>
      </c>
      <c r="D37" s="17" t="s">
        <v>157</v>
      </c>
      <c r="E37" s="18" t="s">
        <v>43</v>
      </c>
      <c r="F37" s="19" t="s">
        <v>27</v>
      </c>
      <c r="G37" s="18" t="b">
        <v>1</v>
      </c>
      <c r="H37" s="18" t="b">
        <v>0</v>
      </c>
      <c r="I37" s="18" t="b">
        <v>0</v>
      </c>
      <c r="J37" s="18" t="b">
        <v>0</v>
      </c>
      <c r="K37" s="18" t="b">
        <v>0</v>
      </c>
      <c r="L37" s="18" t="b">
        <v>0</v>
      </c>
      <c r="M37" s="18" t="b">
        <v>0</v>
      </c>
      <c r="N37" s="18" t="b">
        <v>0</v>
      </c>
      <c r="O37" s="18" t="b">
        <v>0</v>
      </c>
      <c r="P37" s="18" t="b">
        <v>0</v>
      </c>
      <c r="Q37" s="18" t="b">
        <v>0</v>
      </c>
      <c r="R37" s="19" t="b">
        <v>0</v>
      </c>
    </row>
    <row r="38" spans="1:18" ht="15.75" hidden="1" customHeight="1">
      <c r="A38" s="76" t="s">
        <v>158</v>
      </c>
      <c r="B38" s="15" t="s">
        <v>158</v>
      </c>
      <c r="C38" s="16" t="s">
        <v>159</v>
      </c>
      <c r="D38" s="79" t="s">
        <v>160</v>
      </c>
      <c r="E38" s="16" t="s">
        <v>86</v>
      </c>
      <c r="F38" s="33" t="s">
        <v>38</v>
      </c>
      <c r="G38" s="16" t="b">
        <v>0</v>
      </c>
      <c r="H38" s="16" t="b">
        <v>0</v>
      </c>
      <c r="I38" s="16" t="b">
        <v>1</v>
      </c>
      <c r="J38" s="16" t="b">
        <v>0</v>
      </c>
      <c r="K38" s="16" t="b">
        <v>0</v>
      </c>
      <c r="L38" s="16" t="b">
        <v>0</v>
      </c>
      <c r="M38" s="16" t="b">
        <v>0</v>
      </c>
      <c r="N38" s="16" t="b">
        <v>0</v>
      </c>
      <c r="O38" s="16" t="b">
        <v>0</v>
      </c>
      <c r="P38" s="16" t="b">
        <v>0</v>
      </c>
      <c r="Q38" s="16" t="b">
        <v>0</v>
      </c>
      <c r="R38" s="33" t="b">
        <v>0</v>
      </c>
    </row>
    <row r="39" spans="1:18" ht="15.75" hidden="1" customHeight="1">
      <c r="A39" s="80" t="s">
        <v>161</v>
      </c>
      <c r="B39" s="15"/>
      <c r="C39" s="16" t="s">
        <v>162</v>
      </c>
      <c r="D39" s="16" t="s">
        <v>163</v>
      </c>
      <c r="E39" s="16"/>
      <c r="F39" s="33" t="s">
        <v>38</v>
      </c>
      <c r="G39" s="16" t="b">
        <v>0</v>
      </c>
      <c r="H39" s="16" t="b">
        <v>0</v>
      </c>
      <c r="I39" s="16" t="b">
        <v>0</v>
      </c>
      <c r="J39" s="16" t="b">
        <v>0</v>
      </c>
      <c r="K39" s="16"/>
      <c r="L39" s="16"/>
      <c r="M39" s="16" t="b">
        <v>0</v>
      </c>
      <c r="N39" s="16" t="b">
        <v>0</v>
      </c>
      <c r="O39" s="16" t="b">
        <v>1</v>
      </c>
      <c r="P39" s="16" t="b">
        <v>0</v>
      </c>
      <c r="Q39" s="16" t="b">
        <v>0</v>
      </c>
      <c r="R39" s="33" t="b">
        <v>0</v>
      </c>
    </row>
    <row r="40" spans="1:18" ht="15.75" customHeight="1">
      <c r="A40" s="61" t="s">
        <v>164</v>
      </c>
      <c r="B40" s="15"/>
      <c r="C40" s="68" t="s">
        <v>165</v>
      </c>
      <c r="D40" s="68" t="s">
        <v>166</v>
      </c>
      <c r="E40" s="18" t="s">
        <v>154</v>
      </c>
      <c r="F40" s="19" t="s">
        <v>27</v>
      </c>
      <c r="G40" s="18" t="b">
        <v>0</v>
      </c>
      <c r="H40" s="18" t="b">
        <v>0</v>
      </c>
      <c r="I40" s="18" t="b">
        <v>1</v>
      </c>
      <c r="J40" s="18" t="b">
        <v>0</v>
      </c>
      <c r="K40" s="18" t="b">
        <v>0</v>
      </c>
      <c r="L40" s="18" t="b">
        <v>0</v>
      </c>
      <c r="M40" s="18" t="b">
        <v>0</v>
      </c>
      <c r="N40" s="18" t="b">
        <v>0</v>
      </c>
      <c r="O40" s="18" t="b">
        <v>0</v>
      </c>
      <c r="P40" s="18" t="b">
        <v>0</v>
      </c>
      <c r="Q40" s="18" t="b">
        <v>0</v>
      </c>
      <c r="R40" s="18" t="b">
        <v>0</v>
      </c>
    </row>
    <row r="41" spans="1:18" ht="15.75" customHeight="1">
      <c r="A41" s="61" t="s">
        <v>167</v>
      </c>
      <c r="B41" s="15" t="s">
        <v>168</v>
      </c>
      <c r="C41" s="18" t="s">
        <v>169</v>
      </c>
      <c r="D41" s="17" t="s">
        <v>170</v>
      </c>
      <c r="E41" s="18" t="s">
        <v>43</v>
      </c>
      <c r="F41" s="19" t="s">
        <v>27</v>
      </c>
      <c r="G41" s="18" t="b">
        <v>1</v>
      </c>
      <c r="H41" s="18" t="b">
        <v>0</v>
      </c>
      <c r="I41" s="18" t="b">
        <v>0</v>
      </c>
      <c r="J41" s="18" t="b">
        <v>0</v>
      </c>
      <c r="K41" s="18" t="b">
        <v>0</v>
      </c>
      <c r="L41" s="18" t="b">
        <v>0</v>
      </c>
      <c r="M41" s="18" t="b">
        <v>0</v>
      </c>
      <c r="N41" s="18" t="b">
        <v>0</v>
      </c>
      <c r="O41" s="18" t="b">
        <v>0</v>
      </c>
      <c r="P41" s="18" t="b">
        <v>0</v>
      </c>
      <c r="Q41" s="18" t="b">
        <v>0</v>
      </c>
      <c r="R41" s="18" t="b">
        <v>0</v>
      </c>
    </row>
    <row r="42" spans="1:18" ht="15.75" customHeight="1">
      <c r="A42" s="61" t="s">
        <v>171</v>
      </c>
      <c r="B42" s="81" t="s">
        <v>172</v>
      </c>
      <c r="C42" s="18" t="s">
        <v>173</v>
      </c>
      <c r="D42" s="17" t="s">
        <v>174</v>
      </c>
      <c r="E42" s="18" t="s">
        <v>140</v>
      </c>
      <c r="F42" s="19" t="s">
        <v>27</v>
      </c>
      <c r="G42" s="18" t="b">
        <v>0</v>
      </c>
      <c r="H42" s="18" t="b">
        <v>1</v>
      </c>
      <c r="I42" s="18" t="b">
        <v>0</v>
      </c>
      <c r="J42" s="18" t="b">
        <v>0</v>
      </c>
      <c r="K42" s="18" t="b">
        <v>0</v>
      </c>
      <c r="L42" s="18" t="b">
        <v>0</v>
      </c>
      <c r="M42" s="18" t="b">
        <v>0</v>
      </c>
      <c r="N42" s="18" t="b">
        <v>0</v>
      </c>
      <c r="O42" s="18" t="b">
        <v>0</v>
      </c>
      <c r="P42" s="18" t="b">
        <v>0</v>
      </c>
      <c r="Q42" s="18" t="b">
        <v>0</v>
      </c>
      <c r="R42" s="18" t="b">
        <v>0</v>
      </c>
    </row>
    <row r="43" spans="1:18" ht="15.75" hidden="1" customHeight="1">
      <c r="A43" s="82" t="s">
        <v>175</v>
      </c>
      <c r="B43" s="83" t="s">
        <v>175</v>
      </c>
      <c r="C43" s="84" t="s">
        <v>176</v>
      </c>
      <c r="D43" s="1" t="s">
        <v>177</v>
      </c>
      <c r="E43" s="18" t="s">
        <v>178</v>
      </c>
      <c r="F43" s="19" t="s">
        <v>38</v>
      </c>
      <c r="G43" s="84" t="b">
        <v>0</v>
      </c>
      <c r="H43" s="84" t="b">
        <v>0</v>
      </c>
      <c r="I43" s="84" t="b">
        <v>0</v>
      </c>
      <c r="J43" s="84" t="b">
        <v>0</v>
      </c>
      <c r="K43" s="84" t="b">
        <v>1</v>
      </c>
      <c r="L43" s="84" t="b">
        <v>0</v>
      </c>
      <c r="M43" s="84" t="b">
        <v>1</v>
      </c>
      <c r="N43" s="84" t="b">
        <v>1</v>
      </c>
      <c r="O43" s="84" t="b">
        <v>0</v>
      </c>
      <c r="P43" s="84" t="b">
        <v>0</v>
      </c>
      <c r="Q43" s="84" t="b">
        <v>0</v>
      </c>
      <c r="R43" s="84" t="b">
        <v>0</v>
      </c>
    </row>
    <row r="44" spans="1:18" ht="15.75" customHeight="1">
      <c r="A44" s="61" t="s">
        <v>179</v>
      </c>
      <c r="B44" s="15" t="s">
        <v>179</v>
      </c>
      <c r="C44" s="17" t="s">
        <v>180</v>
      </c>
      <c r="D44" s="68" t="s">
        <v>181</v>
      </c>
      <c r="E44" s="18" t="s">
        <v>154</v>
      </c>
      <c r="F44" s="19" t="s">
        <v>27</v>
      </c>
      <c r="G44" s="18" t="b">
        <v>0</v>
      </c>
      <c r="H44" s="18" t="b">
        <v>0</v>
      </c>
      <c r="I44" s="18" t="b">
        <v>1</v>
      </c>
      <c r="J44" s="18" t="b">
        <v>0</v>
      </c>
      <c r="K44" s="18" t="b">
        <v>0</v>
      </c>
      <c r="L44" s="18" t="b">
        <v>0</v>
      </c>
      <c r="M44" s="18" t="b">
        <v>0</v>
      </c>
      <c r="N44" s="18" t="b">
        <v>0</v>
      </c>
      <c r="O44" s="18" t="b">
        <v>0</v>
      </c>
      <c r="P44" s="18" t="b">
        <v>0</v>
      </c>
      <c r="Q44" s="18" t="b">
        <v>0</v>
      </c>
      <c r="R44" s="18" t="b">
        <v>0</v>
      </c>
    </row>
    <row r="45" spans="1:18" ht="15.75" hidden="1" customHeight="1">
      <c r="A45" s="17" t="s">
        <v>182</v>
      </c>
      <c r="B45" s="15"/>
      <c r="C45" s="76" t="s">
        <v>183</v>
      </c>
      <c r="D45" s="76" t="s">
        <v>184</v>
      </c>
      <c r="E45" s="16" t="s">
        <v>69</v>
      </c>
      <c r="F45" s="19" t="s">
        <v>38</v>
      </c>
      <c r="G45" s="16" t="b">
        <v>0</v>
      </c>
      <c r="H45" s="16" t="b">
        <v>0</v>
      </c>
      <c r="I45" s="16" t="b">
        <v>0</v>
      </c>
      <c r="J45" s="16" t="b">
        <v>0</v>
      </c>
      <c r="K45" s="16" t="b">
        <v>0</v>
      </c>
      <c r="L45" s="16" t="b">
        <v>0</v>
      </c>
      <c r="M45" s="16" t="b">
        <v>0</v>
      </c>
      <c r="N45" s="16" t="b">
        <v>0</v>
      </c>
      <c r="O45" s="16" t="b">
        <v>1</v>
      </c>
      <c r="P45" s="16" t="b">
        <v>0</v>
      </c>
      <c r="Q45" s="16" t="b">
        <v>0</v>
      </c>
      <c r="R45" s="16" t="b">
        <v>0</v>
      </c>
    </row>
    <row r="46" spans="1:18" ht="15.75" hidden="1" customHeight="1">
      <c r="A46" s="76" t="s">
        <v>185</v>
      </c>
      <c r="B46" s="15"/>
      <c r="C46" s="85" t="s">
        <v>186</v>
      </c>
      <c r="D46" s="76" t="s">
        <v>187</v>
      </c>
      <c r="E46" s="16"/>
      <c r="F46" s="33" t="s">
        <v>38</v>
      </c>
      <c r="G46" s="16" t="b">
        <v>0</v>
      </c>
      <c r="H46" s="16" t="b">
        <v>0</v>
      </c>
      <c r="I46" s="16" t="b">
        <v>0</v>
      </c>
      <c r="J46" s="16" t="b">
        <v>0</v>
      </c>
      <c r="K46" s="16"/>
      <c r="L46" s="16"/>
      <c r="M46" s="16" t="b">
        <v>0</v>
      </c>
      <c r="N46" s="16" t="b">
        <v>0</v>
      </c>
      <c r="O46" s="16" t="b">
        <v>0</v>
      </c>
      <c r="P46" s="16" t="b">
        <v>0</v>
      </c>
      <c r="Q46" s="16" t="b">
        <v>0</v>
      </c>
      <c r="R46" s="16" t="b">
        <v>1</v>
      </c>
    </row>
    <row r="47" spans="1:18" ht="15.75" customHeight="1">
      <c r="A47" s="61" t="s">
        <v>189</v>
      </c>
      <c r="B47" s="51" t="s">
        <v>189</v>
      </c>
      <c r="C47" s="17" t="s">
        <v>190</v>
      </c>
      <c r="D47" s="17" t="s">
        <v>191</v>
      </c>
      <c r="E47" s="18" t="s">
        <v>192</v>
      </c>
      <c r="F47" s="19" t="s">
        <v>27</v>
      </c>
      <c r="G47" s="18" t="b">
        <v>0</v>
      </c>
      <c r="H47" s="18" t="b">
        <v>0</v>
      </c>
      <c r="I47" s="18" t="b">
        <v>0</v>
      </c>
      <c r="J47" s="18" t="b">
        <v>0</v>
      </c>
      <c r="K47" s="18" t="b">
        <v>0</v>
      </c>
      <c r="L47" s="18" t="b">
        <v>0</v>
      </c>
      <c r="M47" s="18" t="b">
        <v>0</v>
      </c>
      <c r="N47" s="18" t="b">
        <v>0</v>
      </c>
      <c r="O47" s="18" t="b">
        <v>0</v>
      </c>
      <c r="P47" s="18" t="b">
        <v>0</v>
      </c>
      <c r="Q47" s="18" t="b">
        <v>1</v>
      </c>
      <c r="R47" s="18" t="b">
        <v>0</v>
      </c>
    </row>
    <row r="48" spans="1:18" ht="15.75" customHeight="1">
      <c r="A48" s="61" t="s">
        <v>193</v>
      </c>
      <c r="B48" s="51" t="s">
        <v>193</v>
      </c>
      <c r="C48" s="17" t="s">
        <v>194</v>
      </c>
      <c r="D48" s="17" t="s">
        <v>195</v>
      </c>
      <c r="E48" s="18" t="s">
        <v>154</v>
      </c>
      <c r="F48" s="19" t="s">
        <v>27</v>
      </c>
      <c r="G48" s="18" t="b">
        <v>0</v>
      </c>
      <c r="H48" s="18" t="b">
        <v>0</v>
      </c>
      <c r="I48" s="18" t="b">
        <v>1</v>
      </c>
      <c r="J48" s="18" t="b">
        <v>0</v>
      </c>
      <c r="K48" s="18" t="b">
        <v>0</v>
      </c>
      <c r="L48" s="18" t="b">
        <v>0</v>
      </c>
      <c r="M48" s="18" t="b">
        <v>0</v>
      </c>
      <c r="N48" s="18" t="b">
        <v>0</v>
      </c>
      <c r="O48" s="18" t="b">
        <v>0</v>
      </c>
      <c r="P48" s="18" t="b">
        <v>0</v>
      </c>
      <c r="Q48" s="18" t="b">
        <v>1</v>
      </c>
      <c r="R48" s="18" t="b">
        <v>0</v>
      </c>
    </row>
    <row r="49" spans="1:18" ht="15.75" customHeight="1">
      <c r="A49" s="61" t="s">
        <v>196</v>
      </c>
      <c r="B49" s="15" t="s">
        <v>196</v>
      </c>
      <c r="C49" s="18" t="s">
        <v>197</v>
      </c>
      <c r="D49" s="17" t="s">
        <v>198</v>
      </c>
      <c r="E49" s="18" t="s">
        <v>154</v>
      </c>
      <c r="F49" s="19" t="s">
        <v>27</v>
      </c>
      <c r="G49" s="18" t="b">
        <v>0</v>
      </c>
      <c r="H49" s="18" t="b">
        <v>0</v>
      </c>
      <c r="I49" s="18" t="b">
        <v>1</v>
      </c>
      <c r="J49" s="18" t="b">
        <v>0</v>
      </c>
      <c r="K49" s="18" t="b">
        <v>0</v>
      </c>
      <c r="L49" s="18" t="b">
        <v>0</v>
      </c>
      <c r="M49" s="18" t="b">
        <v>0</v>
      </c>
      <c r="N49" s="18" t="b">
        <v>0</v>
      </c>
      <c r="O49" s="18" t="b">
        <v>0</v>
      </c>
      <c r="P49" s="18" t="b">
        <v>0</v>
      </c>
      <c r="Q49" s="18" t="b">
        <v>0</v>
      </c>
      <c r="R49" s="18" t="b">
        <v>0</v>
      </c>
    </row>
    <row r="50" spans="1:18" ht="15.75" customHeight="1">
      <c r="A50" s="61" t="s">
        <v>199</v>
      </c>
      <c r="B50" s="15" t="s">
        <v>199</v>
      </c>
      <c r="C50" s="18" t="s">
        <v>200</v>
      </c>
      <c r="D50" s="17" t="s">
        <v>201</v>
      </c>
      <c r="E50" s="18" t="s">
        <v>140</v>
      </c>
      <c r="F50" s="19" t="s">
        <v>27</v>
      </c>
      <c r="G50" s="18" t="b">
        <v>0</v>
      </c>
      <c r="H50" s="18" t="b">
        <v>1</v>
      </c>
      <c r="I50" s="18" t="b">
        <v>1</v>
      </c>
      <c r="J50" s="18" t="b">
        <v>0</v>
      </c>
      <c r="K50" s="18" t="b">
        <v>0</v>
      </c>
      <c r="L50" s="18" t="b">
        <v>0</v>
      </c>
      <c r="M50" s="18" t="b">
        <v>0</v>
      </c>
      <c r="N50" s="18" t="b">
        <v>0</v>
      </c>
      <c r="O50" s="18" t="b">
        <v>0</v>
      </c>
      <c r="P50" s="18" t="b">
        <v>0</v>
      </c>
      <c r="Q50" s="18" t="b">
        <v>0</v>
      </c>
      <c r="R50" s="18" t="b">
        <v>0</v>
      </c>
    </row>
    <row r="51" spans="1:18" ht="15.75" customHeight="1">
      <c r="A51" s="61" t="s">
        <v>202</v>
      </c>
      <c r="B51" s="51" t="s">
        <v>203</v>
      </c>
      <c r="C51" s="17" t="s">
        <v>204</v>
      </c>
      <c r="D51" s="17" t="s">
        <v>205</v>
      </c>
      <c r="E51" s="18" t="s">
        <v>52</v>
      </c>
      <c r="F51" s="19" t="s">
        <v>27</v>
      </c>
      <c r="G51" s="18" t="b">
        <v>0</v>
      </c>
      <c r="H51" s="18" t="b">
        <v>0</v>
      </c>
      <c r="I51" s="18" t="b">
        <v>0</v>
      </c>
      <c r="J51" s="18" t="b">
        <v>1</v>
      </c>
      <c r="K51" s="18" t="b">
        <v>0</v>
      </c>
      <c r="L51" s="18" t="b">
        <v>0</v>
      </c>
      <c r="M51" s="18" t="b">
        <v>0</v>
      </c>
      <c r="N51" s="18" t="b">
        <v>0</v>
      </c>
      <c r="O51" s="18" t="b">
        <v>0</v>
      </c>
      <c r="P51" s="18" t="b">
        <v>0</v>
      </c>
      <c r="Q51" s="18" t="b">
        <v>0</v>
      </c>
      <c r="R51" s="18" t="b">
        <v>0</v>
      </c>
    </row>
    <row r="52" spans="1:18" ht="15.75" customHeight="1">
      <c r="A52" s="61" t="s">
        <v>206</v>
      </c>
      <c r="B52" s="15" t="s">
        <v>206</v>
      </c>
      <c r="C52" s="18" t="s">
        <v>207</v>
      </c>
      <c r="D52" s="17" t="s">
        <v>208</v>
      </c>
      <c r="E52" s="18" t="s">
        <v>154</v>
      </c>
      <c r="F52" s="19" t="s">
        <v>27</v>
      </c>
      <c r="G52" s="18" t="b">
        <v>0</v>
      </c>
      <c r="H52" s="18" t="b">
        <v>0</v>
      </c>
      <c r="I52" s="18" t="b">
        <v>1</v>
      </c>
      <c r="J52" s="18" t="b">
        <v>0</v>
      </c>
      <c r="K52" s="18" t="b">
        <v>0</v>
      </c>
      <c r="L52" s="18" t="b">
        <v>0</v>
      </c>
      <c r="M52" s="18" t="b">
        <v>0</v>
      </c>
      <c r="N52" s="18" t="b">
        <v>0</v>
      </c>
      <c r="O52" s="18" t="b">
        <v>0</v>
      </c>
      <c r="P52" s="18" t="b">
        <v>0</v>
      </c>
      <c r="Q52" s="18" t="b">
        <v>0</v>
      </c>
      <c r="R52" s="18" t="b">
        <v>0</v>
      </c>
    </row>
    <row r="53" spans="1:18" ht="15.75" hidden="1" customHeight="1">
      <c r="A53" s="76" t="s">
        <v>209</v>
      </c>
      <c r="B53" s="15"/>
      <c r="C53" s="86">
        <f>380930222519</f>
        <v>380930222519</v>
      </c>
      <c r="D53" s="14" t="s">
        <v>210</v>
      </c>
      <c r="E53" s="16"/>
      <c r="F53" s="33" t="s">
        <v>38</v>
      </c>
      <c r="G53" s="16" t="b">
        <v>0</v>
      </c>
      <c r="H53" s="16" t="b">
        <v>0</v>
      </c>
      <c r="I53" s="16" t="b">
        <v>0</v>
      </c>
      <c r="J53" s="16" t="b">
        <v>0</v>
      </c>
      <c r="K53" s="16"/>
      <c r="L53" s="16"/>
      <c r="M53" s="16" t="b">
        <v>1</v>
      </c>
      <c r="N53" s="16" t="b">
        <v>0</v>
      </c>
      <c r="O53" s="16" t="b">
        <v>0</v>
      </c>
      <c r="P53" s="16" t="b">
        <v>0</v>
      </c>
      <c r="Q53" s="16" t="b">
        <v>0</v>
      </c>
      <c r="R53" s="16" t="b">
        <v>0</v>
      </c>
    </row>
    <row r="54" spans="1:18" ht="15.75" customHeight="1">
      <c r="A54" s="61" t="s">
        <v>211</v>
      </c>
      <c r="B54" s="81" t="s">
        <v>211</v>
      </c>
      <c r="C54" s="18" t="s">
        <v>212</v>
      </c>
      <c r="D54" s="17" t="s">
        <v>213</v>
      </c>
      <c r="E54" s="18" t="s">
        <v>178</v>
      </c>
      <c r="F54" s="19" t="s">
        <v>27</v>
      </c>
      <c r="G54" s="18" t="b">
        <v>0</v>
      </c>
      <c r="H54" s="18" t="b">
        <v>0</v>
      </c>
      <c r="I54" s="18" t="b">
        <v>0</v>
      </c>
      <c r="J54" s="18" t="b">
        <v>0</v>
      </c>
      <c r="K54" s="18" t="b">
        <v>0</v>
      </c>
      <c r="L54" s="18" t="b">
        <v>0</v>
      </c>
      <c r="M54" s="18" t="b">
        <v>1</v>
      </c>
      <c r="N54" s="18" t="b">
        <v>1</v>
      </c>
      <c r="O54" s="18" t="b">
        <v>0</v>
      </c>
      <c r="P54" s="18" t="b">
        <v>0</v>
      </c>
      <c r="Q54" s="18" t="b">
        <v>0</v>
      </c>
      <c r="R54" s="18" t="b">
        <v>0</v>
      </c>
    </row>
    <row r="55" spans="1:18" ht="15.75" customHeight="1">
      <c r="A55" s="61" t="s">
        <v>214</v>
      </c>
      <c r="B55" s="51" t="s">
        <v>214</v>
      </c>
      <c r="C55" s="17" t="s">
        <v>215</v>
      </c>
      <c r="D55" s="17" t="s">
        <v>216</v>
      </c>
      <c r="E55" s="18" t="s">
        <v>192</v>
      </c>
      <c r="F55" s="19" t="s">
        <v>27</v>
      </c>
      <c r="G55" s="18" t="b">
        <v>0</v>
      </c>
      <c r="H55" s="18" t="b">
        <v>0</v>
      </c>
      <c r="I55" s="18" t="b">
        <v>1</v>
      </c>
      <c r="J55" s="18" t="b">
        <v>0</v>
      </c>
      <c r="K55" s="18" t="b">
        <v>0</v>
      </c>
      <c r="L55" s="18" t="b">
        <v>0</v>
      </c>
      <c r="M55" s="18" t="b">
        <v>0</v>
      </c>
      <c r="N55" s="18" t="b">
        <v>0</v>
      </c>
      <c r="O55" s="18" t="b">
        <v>0</v>
      </c>
      <c r="P55" s="18" t="b">
        <v>0</v>
      </c>
      <c r="Q55" s="18" t="b">
        <v>1</v>
      </c>
      <c r="R55" s="18" t="b">
        <v>0</v>
      </c>
    </row>
    <row r="56" spans="1:18" ht="15.75" hidden="1" customHeight="1">
      <c r="A56" s="61" t="s">
        <v>217</v>
      </c>
      <c r="B56" s="15" t="s">
        <v>217</v>
      </c>
      <c r="C56" s="18" t="s">
        <v>218</v>
      </c>
      <c r="D56" s="17" t="s">
        <v>219</v>
      </c>
      <c r="E56" s="16" t="s">
        <v>60</v>
      </c>
      <c r="F56" s="19" t="s">
        <v>34</v>
      </c>
      <c r="G56" s="18" t="b">
        <v>0</v>
      </c>
      <c r="H56" s="18" t="b">
        <v>0</v>
      </c>
      <c r="I56" s="18" t="b">
        <v>0</v>
      </c>
      <c r="J56" s="18" t="b">
        <v>0</v>
      </c>
      <c r="K56" s="18" t="b">
        <v>0</v>
      </c>
      <c r="L56" s="18" t="b">
        <v>0</v>
      </c>
      <c r="M56" s="18" t="b">
        <v>1</v>
      </c>
      <c r="N56" s="18" t="b">
        <v>0</v>
      </c>
      <c r="O56" s="18" t="b">
        <v>0</v>
      </c>
      <c r="P56" s="18" t="b">
        <v>0</v>
      </c>
      <c r="Q56" s="18" t="b">
        <v>0</v>
      </c>
      <c r="R56" s="18" t="b">
        <v>0</v>
      </c>
    </row>
    <row r="57" spans="1:18" ht="15.75" customHeight="1">
      <c r="A57" s="61" t="s">
        <v>220</v>
      </c>
      <c r="B57" s="15" t="s">
        <v>220</v>
      </c>
      <c r="C57" s="18" t="s">
        <v>221</v>
      </c>
      <c r="D57" s="18" t="s">
        <v>222</v>
      </c>
      <c r="E57" s="16" t="s">
        <v>60</v>
      </c>
      <c r="F57" s="19" t="s">
        <v>27</v>
      </c>
      <c r="G57" s="18" t="b">
        <v>0</v>
      </c>
      <c r="H57" s="18" t="b">
        <v>0</v>
      </c>
      <c r="I57" s="18" t="b">
        <v>0</v>
      </c>
      <c r="J57" s="18" t="b">
        <v>0</v>
      </c>
      <c r="K57" s="18" t="b">
        <v>0</v>
      </c>
      <c r="L57" s="18" t="b">
        <v>0</v>
      </c>
      <c r="M57" s="18" t="b">
        <v>1</v>
      </c>
      <c r="N57" s="18" t="b">
        <v>0</v>
      </c>
      <c r="O57" s="18" t="b">
        <v>0</v>
      </c>
      <c r="P57" s="18" t="b">
        <v>0</v>
      </c>
      <c r="Q57" s="18" t="b">
        <v>0</v>
      </c>
      <c r="R57" s="18" t="b">
        <v>0</v>
      </c>
    </row>
    <row r="58" spans="1:18" ht="15.75" customHeight="1">
      <c r="A58" s="87" t="s">
        <v>223</v>
      </c>
      <c r="B58" s="15" t="s">
        <v>223</v>
      </c>
      <c r="C58" s="44" t="s">
        <v>224</v>
      </c>
      <c r="D58" s="45" t="s">
        <v>225</v>
      </c>
      <c r="E58" s="18" t="s">
        <v>192</v>
      </c>
      <c r="F58" s="19" t="s">
        <v>27</v>
      </c>
      <c r="G58" s="18" t="b">
        <v>0</v>
      </c>
      <c r="H58" s="18" t="b">
        <v>0</v>
      </c>
      <c r="I58" s="18" t="b">
        <v>0</v>
      </c>
      <c r="J58" s="18" t="b">
        <v>0</v>
      </c>
      <c r="K58" s="18" t="b">
        <v>0</v>
      </c>
      <c r="L58" s="18" t="b">
        <v>0</v>
      </c>
      <c r="M58" s="18" t="b">
        <v>0</v>
      </c>
      <c r="N58" s="18" t="b">
        <v>0</v>
      </c>
      <c r="O58" s="18" t="b">
        <v>0</v>
      </c>
      <c r="P58" s="18" t="b">
        <v>0</v>
      </c>
      <c r="Q58" s="18" t="b">
        <v>1</v>
      </c>
      <c r="R58" s="18" t="b">
        <v>0</v>
      </c>
    </row>
    <row r="59" spans="1:18" ht="15.75" hidden="1" customHeight="1">
      <c r="A59" s="46" t="s">
        <v>226</v>
      </c>
      <c r="B59" s="15" t="s">
        <v>227</v>
      </c>
      <c r="C59" s="31" t="s">
        <v>228</v>
      </c>
      <c r="D59" s="57" t="s">
        <v>229</v>
      </c>
      <c r="E59" s="16" t="s">
        <v>230</v>
      </c>
      <c r="F59" s="33" t="s">
        <v>38</v>
      </c>
      <c r="G59" s="16" t="b">
        <v>1</v>
      </c>
      <c r="H59" s="16" t="b">
        <v>0</v>
      </c>
      <c r="I59" s="16" t="b">
        <v>0</v>
      </c>
      <c r="J59" s="16" t="b">
        <v>0</v>
      </c>
      <c r="K59" s="16" t="b">
        <v>0</v>
      </c>
      <c r="L59" s="16" t="b">
        <v>0</v>
      </c>
      <c r="M59" s="16" t="b">
        <v>0</v>
      </c>
      <c r="N59" s="16" t="b">
        <v>0</v>
      </c>
      <c r="O59" s="16" t="b">
        <v>0</v>
      </c>
      <c r="P59" s="16" t="b">
        <v>0</v>
      </c>
      <c r="Q59" s="16" t="b">
        <v>0</v>
      </c>
      <c r="R59" s="16" t="b">
        <v>0</v>
      </c>
    </row>
    <row r="60" spans="1:18" ht="15.75" customHeight="1">
      <c r="A60" s="87" t="s">
        <v>231</v>
      </c>
      <c r="B60" s="15" t="s">
        <v>231</v>
      </c>
      <c r="C60" s="44" t="s">
        <v>232</v>
      </c>
      <c r="D60" s="45" t="s">
        <v>233</v>
      </c>
      <c r="E60" s="18" t="s">
        <v>192</v>
      </c>
      <c r="F60" s="19" t="s">
        <v>27</v>
      </c>
      <c r="G60" s="18" t="b">
        <v>0</v>
      </c>
      <c r="H60" s="18" t="b">
        <v>0</v>
      </c>
      <c r="I60" s="18" t="b">
        <v>0</v>
      </c>
      <c r="J60" s="18" t="b">
        <v>0</v>
      </c>
      <c r="K60" s="18" t="b">
        <v>0</v>
      </c>
      <c r="L60" s="18" t="b">
        <v>0</v>
      </c>
      <c r="M60" s="18" t="b">
        <v>0</v>
      </c>
      <c r="N60" s="18" t="b">
        <v>0</v>
      </c>
      <c r="O60" s="18" t="b">
        <v>0</v>
      </c>
      <c r="P60" s="18" t="b">
        <v>0</v>
      </c>
      <c r="Q60" s="18" t="b">
        <v>1</v>
      </c>
      <c r="R60" s="18" t="b">
        <v>0</v>
      </c>
    </row>
    <row r="61" spans="1:18" ht="15.75" hidden="1" customHeight="1">
      <c r="A61" s="17" t="s">
        <v>234</v>
      </c>
      <c r="B61" s="15"/>
      <c r="C61" s="16" t="s">
        <v>235</v>
      </c>
      <c r="D61" s="31" t="s">
        <v>236</v>
      </c>
      <c r="E61" s="16" t="s">
        <v>69</v>
      </c>
      <c r="F61" s="19" t="s">
        <v>38</v>
      </c>
      <c r="G61" s="16" t="b">
        <v>0</v>
      </c>
      <c r="H61" s="16" t="b">
        <v>0</v>
      </c>
      <c r="I61" s="16" t="b">
        <v>0</v>
      </c>
      <c r="J61" s="16" t="b">
        <v>0</v>
      </c>
      <c r="K61" s="16" t="b">
        <v>0</v>
      </c>
      <c r="L61" s="16" t="b">
        <v>0</v>
      </c>
      <c r="M61" s="16" t="b">
        <v>0</v>
      </c>
      <c r="N61" s="16" t="b">
        <v>0</v>
      </c>
      <c r="O61" s="16" t="b">
        <v>1</v>
      </c>
      <c r="P61" s="16" t="b">
        <v>0</v>
      </c>
      <c r="Q61" s="16" t="b">
        <v>0</v>
      </c>
      <c r="R61" s="16" t="b">
        <v>0</v>
      </c>
    </row>
    <row r="62" spans="1:18" ht="15.75" customHeight="1">
      <c r="A62" s="87" t="s">
        <v>237</v>
      </c>
      <c r="B62" s="72" t="s">
        <v>238</v>
      </c>
      <c r="C62" s="88" t="s">
        <v>239</v>
      </c>
      <c r="D62" s="88" t="s">
        <v>240</v>
      </c>
      <c r="E62" s="18" t="s">
        <v>52</v>
      </c>
      <c r="F62" s="19" t="s">
        <v>27</v>
      </c>
      <c r="G62" s="18" t="b">
        <v>0</v>
      </c>
      <c r="H62" s="18" t="b">
        <v>0</v>
      </c>
      <c r="I62" s="18" t="b">
        <v>1</v>
      </c>
      <c r="J62" s="18" t="b">
        <v>0</v>
      </c>
      <c r="K62" s="18" t="b">
        <v>0</v>
      </c>
      <c r="L62" s="18" t="b">
        <v>0</v>
      </c>
      <c r="M62" s="18" t="b">
        <v>0</v>
      </c>
      <c r="N62" s="18" t="b">
        <v>0</v>
      </c>
      <c r="O62" s="18" t="b">
        <v>0</v>
      </c>
      <c r="P62" s="18" t="b">
        <v>0</v>
      </c>
      <c r="Q62" s="18" t="b">
        <v>0</v>
      </c>
      <c r="R62" s="18" t="b">
        <v>0</v>
      </c>
    </row>
    <row r="63" spans="1:18" ht="15.75" customHeight="1">
      <c r="A63" s="61" t="s">
        <v>241</v>
      </c>
      <c r="B63" s="51" t="s">
        <v>241</v>
      </c>
      <c r="C63" s="17" t="s">
        <v>242</v>
      </c>
      <c r="D63" s="17" t="s">
        <v>243</v>
      </c>
      <c r="E63" s="18" t="s">
        <v>192</v>
      </c>
      <c r="F63" s="19" t="s">
        <v>27</v>
      </c>
      <c r="G63" s="18" t="b">
        <v>0</v>
      </c>
      <c r="H63" s="18" t="b">
        <v>0</v>
      </c>
      <c r="I63" s="18" t="b">
        <v>1</v>
      </c>
      <c r="J63" s="18" t="b">
        <v>0</v>
      </c>
      <c r="K63" s="18" t="b">
        <v>0</v>
      </c>
      <c r="L63" s="18" t="b">
        <v>0</v>
      </c>
      <c r="M63" s="18" t="b">
        <v>0</v>
      </c>
      <c r="N63" s="18" t="b">
        <v>0</v>
      </c>
      <c r="O63" s="18" t="b">
        <v>0</v>
      </c>
      <c r="P63" s="18" t="b">
        <v>0</v>
      </c>
      <c r="Q63" s="18" t="b">
        <v>1</v>
      </c>
      <c r="R63" s="18" t="b">
        <v>0</v>
      </c>
    </row>
    <row r="64" spans="1:18" ht="15.75" hidden="1" customHeight="1">
      <c r="A64" s="89" t="s">
        <v>244</v>
      </c>
      <c r="B64" s="15" t="s">
        <v>245</v>
      </c>
      <c r="C64" s="90" t="s">
        <v>246</v>
      </c>
      <c r="D64" s="76" t="s">
        <v>247</v>
      </c>
      <c r="E64" s="16" t="s">
        <v>140</v>
      </c>
      <c r="F64" s="33" t="s">
        <v>34</v>
      </c>
      <c r="G64" s="16" t="b">
        <v>0</v>
      </c>
      <c r="H64" s="16" t="b">
        <v>1</v>
      </c>
      <c r="I64" s="16" t="b">
        <v>0</v>
      </c>
      <c r="J64" s="16" t="b">
        <v>0</v>
      </c>
      <c r="K64" s="16" t="b">
        <v>0</v>
      </c>
      <c r="L64" s="16" t="b">
        <v>0</v>
      </c>
      <c r="M64" s="16" t="b">
        <v>0</v>
      </c>
      <c r="N64" s="16" t="b">
        <v>0</v>
      </c>
      <c r="O64" s="16" t="b">
        <v>0</v>
      </c>
      <c r="P64" s="16" t="b">
        <v>0</v>
      </c>
      <c r="Q64" s="16" t="b">
        <v>0</v>
      </c>
      <c r="R64" s="16" t="b">
        <v>0</v>
      </c>
    </row>
    <row r="65" spans="1:18" ht="15.75" hidden="1" customHeight="1">
      <c r="A65" s="61" t="s">
        <v>248</v>
      </c>
      <c r="B65" s="81" t="s">
        <v>248</v>
      </c>
      <c r="C65" s="18" t="s">
        <v>249</v>
      </c>
      <c r="D65" s="17" t="s">
        <v>250</v>
      </c>
      <c r="E65" s="18" t="s">
        <v>43</v>
      </c>
      <c r="F65" s="19" t="s">
        <v>34</v>
      </c>
      <c r="G65" s="18" t="b">
        <v>1</v>
      </c>
      <c r="H65" s="18" t="b">
        <v>0</v>
      </c>
      <c r="I65" s="18" t="b">
        <v>0</v>
      </c>
      <c r="J65" s="18" t="b">
        <v>0</v>
      </c>
      <c r="K65" s="18" t="b">
        <v>0</v>
      </c>
      <c r="L65" s="18" t="b">
        <v>0</v>
      </c>
      <c r="M65" s="18" t="b">
        <v>0</v>
      </c>
      <c r="N65" s="18" t="b">
        <v>0</v>
      </c>
      <c r="O65" s="18" t="b">
        <v>0</v>
      </c>
      <c r="P65" s="18" t="b">
        <v>0</v>
      </c>
      <c r="Q65" s="18" t="b">
        <v>0</v>
      </c>
      <c r="R65" s="18" t="b">
        <v>0</v>
      </c>
    </row>
    <row r="66" spans="1:18" ht="15.75" customHeight="1">
      <c r="A66" s="61" t="s">
        <v>251</v>
      </c>
      <c r="B66" s="15" t="s">
        <v>251</v>
      </c>
      <c r="C66" s="18" t="s">
        <v>252</v>
      </c>
      <c r="D66" s="17" t="s">
        <v>253</v>
      </c>
      <c r="E66" s="18" t="s">
        <v>43</v>
      </c>
      <c r="F66" s="19" t="s">
        <v>27</v>
      </c>
      <c r="G66" s="18" t="b">
        <v>1</v>
      </c>
      <c r="H66" s="18" t="b">
        <v>0</v>
      </c>
      <c r="I66" s="18" t="b">
        <v>0</v>
      </c>
      <c r="J66" s="18" t="b">
        <v>0</v>
      </c>
      <c r="K66" s="18" t="b">
        <v>0</v>
      </c>
      <c r="L66" s="18" t="b">
        <v>0</v>
      </c>
      <c r="M66" s="18" t="b">
        <v>0</v>
      </c>
      <c r="N66" s="18" t="b">
        <v>0</v>
      </c>
      <c r="O66" s="18" t="b">
        <v>0</v>
      </c>
      <c r="P66" s="18" t="b">
        <v>0</v>
      </c>
      <c r="Q66" s="18" t="b">
        <v>0</v>
      </c>
      <c r="R66" s="18" t="b">
        <v>0</v>
      </c>
    </row>
    <row r="67" spans="1:18" ht="15.75" hidden="1" customHeight="1">
      <c r="A67" s="17" t="s">
        <v>254</v>
      </c>
      <c r="B67" s="15"/>
      <c r="C67" s="31" t="s">
        <v>255</v>
      </c>
      <c r="D67" s="31" t="s">
        <v>256</v>
      </c>
      <c r="E67" s="16" t="s">
        <v>69</v>
      </c>
      <c r="F67" s="19" t="s">
        <v>34</v>
      </c>
      <c r="G67" s="16" t="b">
        <v>0</v>
      </c>
      <c r="H67" s="16" t="b">
        <v>0</v>
      </c>
      <c r="I67" s="16" t="b">
        <v>0</v>
      </c>
      <c r="J67" s="16" t="b">
        <v>0</v>
      </c>
      <c r="K67" s="16" t="b">
        <v>0</v>
      </c>
      <c r="L67" s="16" t="b">
        <v>0</v>
      </c>
      <c r="M67" s="16" t="b">
        <v>0</v>
      </c>
      <c r="N67" s="16" t="b">
        <v>0</v>
      </c>
      <c r="O67" s="16" t="b">
        <v>1</v>
      </c>
      <c r="P67" s="16" t="b">
        <v>0</v>
      </c>
      <c r="Q67" s="16" t="b">
        <v>0</v>
      </c>
      <c r="R67" s="16" t="b">
        <v>0</v>
      </c>
    </row>
    <row r="68" spans="1:18" ht="15.75" customHeight="1">
      <c r="A68" s="61" t="s">
        <v>257</v>
      </c>
      <c r="B68" s="51" t="s">
        <v>257</v>
      </c>
      <c r="C68" s="17" t="s">
        <v>258</v>
      </c>
      <c r="D68" s="17" t="s">
        <v>259</v>
      </c>
      <c r="E68" s="18" t="s">
        <v>192</v>
      </c>
      <c r="F68" s="19" t="s">
        <v>27</v>
      </c>
      <c r="G68" s="18" t="b">
        <v>0</v>
      </c>
      <c r="H68" s="18" t="b">
        <v>0</v>
      </c>
      <c r="I68" s="18" t="b">
        <v>0</v>
      </c>
      <c r="J68" s="18" t="b">
        <v>0</v>
      </c>
      <c r="K68" s="18" t="b">
        <v>0</v>
      </c>
      <c r="L68" s="18" t="b">
        <v>0</v>
      </c>
      <c r="M68" s="18" t="b">
        <v>0</v>
      </c>
      <c r="N68" s="18" t="b">
        <v>0</v>
      </c>
      <c r="O68" s="18" t="b">
        <v>0</v>
      </c>
      <c r="P68" s="18" t="b">
        <v>0</v>
      </c>
      <c r="Q68" s="18" t="b">
        <v>1</v>
      </c>
      <c r="R68" s="18" t="b">
        <v>0</v>
      </c>
    </row>
    <row r="69" spans="1:18" ht="15.75" hidden="1" customHeight="1">
      <c r="A69" s="17" t="s">
        <v>260</v>
      </c>
      <c r="B69" s="15"/>
      <c r="C69" s="44" t="s">
        <v>261</v>
      </c>
      <c r="D69" s="47" t="s">
        <v>262</v>
      </c>
      <c r="E69" s="18" t="s">
        <v>69</v>
      </c>
      <c r="F69" s="19" t="s">
        <v>38</v>
      </c>
      <c r="G69" s="18" t="b">
        <v>0</v>
      </c>
      <c r="H69" s="18" t="b">
        <v>0</v>
      </c>
      <c r="I69" s="18" t="b">
        <v>0</v>
      </c>
      <c r="J69" s="18" t="b">
        <v>0</v>
      </c>
      <c r="K69" s="18" t="b">
        <v>0</v>
      </c>
      <c r="L69" s="18" t="b">
        <v>0</v>
      </c>
      <c r="M69" s="18" t="b">
        <v>0</v>
      </c>
      <c r="N69" s="18" t="b">
        <v>0</v>
      </c>
      <c r="O69" s="18" t="b">
        <v>1</v>
      </c>
      <c r="P69" s="18" t="b">
        <v>0</v>
      </c>
      <c r="Q69" s="18" t="b">
        <v>0</v>
      </c>
      <c r="R69" s="18" t="b">
        <v>0</v>
      </c>
    </row>
    <row r="70" spans="1:18" ht="15.75" customHeight="1">
      <c r="A70" s="87" t="s">
        <v>263</v>
      </c>
      <c r="B70" s="91"/>
      <c r="C70" s="88" t="s">
        <v>264</v>
      </c>
      <c r="D70" s="88" t="s">
        <v>265</v>
      </c>
      <c r="E70" s="18" t="s">
        <v>43</v>
      </c>
      <c r="F70" s="19" t="s">
        <v>27</v>
      </c>
      <c r="G70" s="18" t="b">
        <v>1</v>
      </c>
      <c r="H70" s="18" t="b">
        <v>0</v>
      </c>
      <c r="I70" s="18" t="b">
        <v>0</v>
      </c>
      <c r="J70" s="18" t="b">
        <v>0</v>
      </c>
      <c r="K70" s="18" t="b">
        <v>0</v>
      </c>
      <c r="L70" s="18" t="b">
        <v>0</v>
      </c>
      <c r="M70" s="18" t="b">
        <v>0</v>
      </c>
      <c r="N70" s="18" t="b">
        <v>0</v>
      </c>
      <c r="O70" s="18" t="b">
        <v>0</v>
      </c>
      <c r="P70" s="18" t="b">
        <v>0</v>
      </c>
      <c r="Q70" s="18" t="b">
        <v>0</v>
      </c>
      <c r="R70" s="18" t="b">
        <v>0</v>
      </c>
    </row>
    <row r="71" spans="1:18" ht="15.75" hidden="1" customHeight="1">
      <c r="A71" s="17" t="s">
        <v>266</v>
      </c>
      <c r="B71" s="15"/>
      <c r="C71" s="76" t="s">
        <v>267</v>
      </c>
      <c r="D71" s="76" t="s">
        <v>268</v>
      </c>
      <c r="E71" s="16" t="s">
        <v>69</v>
      </c>
      <c r="F71" s="19" t="s">
        <v>34</v>
      </c>
      <c r="G71" s="16" t="b">
        <v>0</v>
      </c>
      <c r="H71" s="16" t="b">
        <v>0</v>
      </c>
      <c r="I71" s="16" t="b">
        <v>0</v>
      </c>
      <c r="J71" s="16" t="b">
        <v>0</v>
      </c>
      <c r="K71" s="16" t="b">
        <v>0</v>
      </c>
      <c r="L71" s="16" t="b">
        <v>0</v>
      </c>
      <c r="M71" s="16" t="b">
        <v>0</v>
      </c>
      <c r="N71" s="16" t="b">
        <v>0</v>
      </c>
      <c r="O71" s="16" t="b">
        <v>1</v>
      </c>
      <c r="P71" s="16" t="b">
        <v>0</v>
      </c>
      <c r="Q71" s="16" t="b">
        <v>0</v>
      </c>
      <c r="R71" s="16" t="b">
        <v>0</v>
      </c>
    </row>
    <row r="72" spans="1:18" ht="15.75" customHeight="1">
      <c r="A72" s="61" t="s">
        <v>269</v>
      </c>
      <c r="B72" s="15" t="s">
        <v>270</v>
      </c>
      <c r="C72" s="18" t="s">
        <v>271</v>
      </c>
      <c r="D72" s="17" t="s">
        <v>272</v>
      </c>
      <c r="E72" s="16" t="s">
        <v>60</v>
      </c>
      <c r="F72" s="19" t="s">
        <v>27</v>
      </c>
      <c r="G72" s="18" t="b">
        <v>0</v>
      </c>
      <c r="H72" s="18" t="b">
        <v>0</v>
      </c>
      <c r="I72" s="18" t="b">
        <v>0</v>
      </c>
      <c r="J72" s="18" t="b">
        <v>0</v>
      </c>
      <c r="K72" s="18" t="b">
        <v>0</v>
      </c>
      <c r="L72" s="18" t="b">
        <v>0</v>
      </c>
      <c r="M72" s="18" t="b">
        <v>1</v>
      </c>
      <c r="N72" s="18" t="b">
        <v>0</v>
      </c>
      <c r="O72" s="18" t="b">
        <v>0</v>
      </c>
      <c r="P72" s="18" t="b">
        <v>0</v>
      </c>
      <c r="Q72" s="18" t="b">
        <v>0</v>
      </c>
      <c r="R72" s="18" t="b">
        <v>0</v>
      </c>
    </row>
    <row r="73" spans="1:18" ht="15.75" customHeight="1">
      <c r="A73" s="61" t="s">
        <v>273</v>
      </c>
      <c r="B73" s="51" t="s">
        <v>273</v>
      </c>
      <c r="C73" s="17" t="s">
        <v>274</v>
      </c>
      <c r="D73" s="17" t="s">
        <v>275</v>
      </c>
      <c r="E73" s="18" t="s">
        <v>192</v>
      </c>
      <c r="F73" s="19" t="s">
        <v>27</v>
      </c>
      <c r="G73" s="18" t="b">
        <v>0</v>
      </c>
      <c r="H73" s="18" t="b">
        <v>0</v>
      </c>
      <c r="I73" s="18" t="b">
        <v>0</v>
      </c>
      <c r="J73" s="18" t="b">
        <v>0</v>
      </c>
      <c r="K73" s="18" t="b">
        <v>0</v>
      </c>
      <c r="L73" s="18" t="b">
        <v>0</v>
      </c>
      <c r="M73" s="18" t="b">
        <v>0</v>
      </c>
      <c r="N73" s="18" t="b">
        <v>0</v>
      </c>
      <c r="O73" s="18" t="b">
        <v>0</v>
      </c>
      <c r="P73" s="18" t="b">
        <v>1</v>
      </c>
      <c r="Q73" s="18" t="b">
        <v>1</v>
      </c>
      <c r="R73" s="18" t="b">
        <v>0</v>
      </c>
    </row>
    <row r="74" spans="1:18" ht="15.75" hidden="1" customHeight="1">
      <c r="A74" s="76" t="s">
        <v>276</v>
      </c>
      <c r="B74" s="15" t="s">
        <v>277</v>
      </c>
      <c r="C74" s="76" t="s">
        <v>278</v>
      </c>
      <c r="D74" s="76" t="s">
        <v>279</v>
      </c>
      <c r="E74" s="16" t="s">
        <v>86</v>
      </c>
      <c r="F74" s="33" t="s">
        <v>34</v>
      </c>
      <c r="G74" s="16" t="b">
        <v>0</v>
      </c>
      <c r="H74" s="16" t="b">
        <v>0</v>
      </c>
      <c r="I74" s="16" t="b">
        <v>1</v>
      </c>
      <c r="J74" s="16" t="b">
        <v>0</v>
      </c>
      <c r="K74" s="16" t="b">
        <v>0</v>
      </c>
      <c r="L74" s="16" t="b">
        <v>0</v>
      </c>
      <c r="M74" s="16" t="b">
        <v>0</v>
      </c>
      <c r="N74" s="16" t="b">
        <v>0</v>
      </c>
      <c r="O74" s="16" t="b">
        <v>0</v>
      </c>
      <c r="P74" s="16" t="b">
        <v>0</v>
      </c>
      <c r="Q74" s="16" t="b">
        <v>0</v>
      </c>
      <c r="R74" s="16" t="b">
        <v>0</v>
      </c>
    </row>
    <row r="75" spans="1:18" ht="15.75" hidden="1" customHeight="1">
      <c r="A75" s="17" t="s">
        <v>280</v>
      </c>
      <c r="B75" s="15"/>
      <c r="C75" s="17" t="s">
        <v>281</v>
      </c>
      <c r="D75" s="17" t="s">
        <v>282</v>
      </c>
      <c r="E75" s="18" t="s">
        <v>192</v>
      </c>
      <c r="F75" s="19" t="s">
        <v>34</v>
      </c>
      <c r="G75" s="18" t="b">
        <v>0</v>
      </c>
      <c r="H75" s="18" t="b">
        <v>0</v>
      </c>
      <c r="I75" s="18" t="b">
        <v>1</v>
      </c>
      <c r="J75" s="18" t="b">
        <v>0</v>
      </c>
      <c r="K75" s="18" t="b">
        <v>0</v>
      </c>
      <c r="L75" s="18" t="b">
        <v>0</v>
      </c>
      <c r="M75" s="18" t="b">
        <v>0</v>
      </c>
      <c r="N75" s="18" t="b">
        <v>0</v>
      </c>
      <c r="O75" s="18" t="b">
        <v>0</v>
      </c>
      <c r="P75" s="18" t="b">
        <v>1</v>
      </c>
      <c r="Q75" s="18" t="b">
        <v>1</v>
      </c>
      <c r="R75" s="18" t="b">
        <v>0</v>
      </c>
    </row>
    <row r="76" spans="1:18" ht="15.75" customHeight="1">
      <c r="A76" s="61" t="s">
        <v>283</v>
      </c>
      <c r="B76" s="92" t="s">
        <v>283</v>
      </c>
      <c r="C76" s="18" t="s">
        <v>284</v>
      </c>
      <c r="D76" s="17" t="s">
        <v>285</v>
      </c>
      <c r="E76" s="18" t="s">
        <v>154</v>
      </c>
      <c r="F76" s="19" t="s">
        <v>27</v>
      </c>
      <c r="G76" s="18" t="b">
        <v>0</v>
      </c>
      <c r="H76" s="18" t="b">
        <v>0</v>
      </c>
      <c r="I76" s="18" t="b">
        <v>1</v>
      </c>
      <c r="J76" s="18" t="b">
        <v>0</v>
      </c>
      <c r="K76" s="18" t="b">
        <v>1</v>
      </c>
      <c r="L76" s="18" t="b">
        <v>0</v>
      </c>
      <c r="M76" s="18" t="b">
        <v>0</v>
      </c>
      <c r="N76" s="18" t="b">
        <v>0</v>
      </c>
      <c r="O76" s="18" t="b">
        <v>1</v>
      </c>
      <c r="P76" s="18" t="b">
        <v>0</v>
      </c>
      <c r="Q76" s="18" t="b">
        <v>0</v>
      </c>
      <c r="R76" s="18" t="b">
        <v>0</v>
      </c>
    </row>
    <row r="77" spans="1:18" ht="15.75" customHeight="1">
      <c r="A77" s="61" t="s">
        <v>26</v>
      </c>
      <c r="B77" s="15" t="s">
        <v>286</v>
      </c>
      <c r="C77" s="18" t="s">
        <v>287</v>
      </c>
      <c r="D77" s="17" t="s">
        <v>288</v>
      </c>
      <c r="E77" s="18" t="s">
        <v>154</v>
      </c>
      <c r="F77" s="19" t="s">
        <v>27</v>
      </c>
      <c r="G77" s="18" t="b">
        <v>0</v>
      </c>
      <c r="H77" s="18" t="b">
        <v>0</v>
      </c>
      <c r="I77" s="18" t="b">
        <v>1</v>
      </c>
      <c r="J77" s="18" t="b">
        <v>0</v>
      </c>
      <c r="K77" s="18" t="b">
        <v>0</v>
      </c>
      <c r="L77" s="18" t="b">
        <v>0</v>
      </c>
      <c r="M77" s="18" t="b">
        <v>0</v>
      </c>
      <c r="N77" s="18" t="b">
        <v>0</v>
      </c>
      <c r="O77" s="18" t="b">
        <v>0</v>
      </c>
      <c r="P77" s="18" t="b">
        <v>0</v>
      </c>
      <c r="Q77" s="18" t="b">
        <v>0</v>
      </c>
      <c r="R77" s="18" t="b">
        <v>0</v>
      </c>
    </row>
    <row r="78" spans="1:18" ht="15.75" customHeight="1">
      <c r="A78" s="61" t="s">
        <v>289</v>
      </c>
      <c r="B78" s="51" t="s">
        <v>289</v>
      </c>
      <c r="C78" s="17" t="s">
        <v>290</v>
      </c>
      <c r="D78" s="17" t="s">
        <v>291</v>
      </c>
      <c r="E78" s="18" t="s">
        <v>178</v>
      </c>
      <c r="F78" s="19" t="s">
        <v>27</v>
      </c>
      <c r="G78" s="18" t="b">
        <v>0</v>
      </c>
      <c r="H78" s="18" t="b">
        <v>0</v>
      </c>
      <c r="I78" s="18" t="b">
        <v>0</v>
      </c>
      <c r="J78" s="18" t="b">
        <v>0</v>
      </c>
      <c r="K78" s="18" t="b">
        <v>0</v>
      </c>
      <c r="L78" s="18" t="b">
        <v>0</v>
      </c>
      <c r="M78" s="18" t="b">
        <v>1</v>
      </c>
      <c r="N78" s="18" t="b">
        <v>1</v>
      </c>
      <c r="O78" s="18" t="b">
        <v>0</v>
      </c>
      <c r="P78" s="18" t="b">
        <v>0</v>
      </c>
      <c r="Q78" s="18" t="b">
        <v>0</v>
      </c>
      <c r="R78" s="18" t="b">
        <v>0</v>
      </c>
    </row>
    <row r="79" spans="1:18" ht="15.75" customHeight="1">
      <c r="A79" s="61" t="s">
        <v>292</v>
      </c>
      <c r="B79" s="81" t="s">
        <v>292</v>
      </c>
      <c r="C79" s="18" t="s">
        <v>293</v>
      </c>
      <c r="D79" s="17" t="s">
        <v>294</v>
      </c>
      <c r="E79" s="18" t="s">
        <v>178</v>
      </c>
      <c r="F79" s="19" t="s">
        <v>27</v>
      </c>
      <c r="G79" s="18" t="b">
        <v>0</v>
      </c>
      <c r="H79" s="18" t="b">
        <v>0</v>
      </c>
      <c r="I79" s="18" t="b">
        <v>0</v>
      </c>
      <c r="J79" s="18" t="b">
        <v>0</v>
      </c>
      <c r="K79" s="18" t="b">
        <v>0</v>
      </c>
      <c r="L79" s="18" t="b">
        <v>0</v>
      </c>
      <c r="M79" s="18" t="b">
        <v>1</v>
      </c>
      <c r="N79" s="18" t="b">
        <v>1</v>
      </c>
      <c r="O79" s="18" t="b">
        <v>0</v>
      </c>
      <c r="P79" s="18" t="b">
        <v>0</v>
      </c>
      <c r="Q79" s="18" t="b">
        <v>0</v>
      </c>
      <c r="R79" s="18" t="b">
        <v>0</v>
      </c>
    </row>
    <row r="80" spans="1:18" ht="15.75" customHeight="1">
      <c r="A80" s="87" t="s">
        <v>295</v>
      </c>
      <c r="B80" s="72" t="s">
        <v>296</v>
      </c>
      <c r="C80" s="88" t="s">
        <v>297</v>
      </c>
      <c r="D80" s="88" t="s">
        <v>298</v>
      </c>
      <c r="E80" s="18" t="s">
        <v>43</v>
      </c>
      <c r="F80" s="19" t="s">
        <v>27</v>
      </c>
      <c r="G80" s="18" t="b">
        <v>1</v>
      </c>
      <c r="H80" s="18" t="b">
        <v>1</v>
      </c>
      <c r="I80" s="18" t="b">
        <v>0</v>
      </c>
      <c r="J80" s="18" t="b">
        <v>0</v>
      </c>
      <c r="K80" s="18" t="b">
        <v>0</v>
      </c>
      <c r="L80" s="18" t="b">
        <v>0</v>
      </c>
      <c r="M80" s="18" t="b">
        <v>0</v>
      </c>
      <c r="N80" s="18" t="b">
        <v>0</v>
      </c>
      <c r="O80" s="48" t="b">
        <v>1</v>
      </c>
      <c r="P80" s="18" t="b">
        <v>0</v>
      </c>
      <c r="Q80" s="18" t="b">
        <v>0</v>
      </c>
      <c r="R80" s="18" t="b">
        <v>0</v>
      </c>
    </row>
    <row r="81" spans="1:18" ht="15.75" customHeight="1">
      <c r="A81" s="61" t="s">
        <v>178</v>
      </c>
      <c r="B81" s="15" t="s">
        <v>178</v>
      </c>
      <c r="C81" s="44" t="s">
        <v>299</v>
      </c>
      <c r="D81" s="45" t="s">
        <v>300</v>
      </c>
      <c r="E81" s="18" t="s">
        <v>52</v>
      </c>
      <c r="F81" s="19" t="s">
        <v>27</v>
      </c>
      <c r="G81" s="18" t="b">
        <v>0</v>
      </c>
      <c r="H81" s="18" t="b">
        <v>0</v>
      </c>
      <c r="I81" s="18" t="b">
        <v>1</v>
      </c>
      <c r="J81" s="18" t="b">
        <v>1</v>
      </c>
      <c r="K81" s="18" t="b">
        <v>0</v>
      </c>
      <c r="L81" s="18" t="b">
        <v>0</v>
      </c>
      <c r="M81" s="18" t="b">
        <v>0</v>
      </c>
      <c r="N81" s="18" t="b">
        <v>0</v>
      </c>
      <c r="O81" s="18" t="b">
        <v>0</v>
      </c>
      <c r="P81" s="18" t="b">
        <v>0</v>
      </c>
      <c r="Q81" s="18" t="b">
        <v>0</v>
      </c>
      <c r="R81" s="18" t="b">
        <v>0</v>
      </c>
    </row>
    <row r="82" spans="1:18" ht="15.75" customHeight="1">
      <c r="A82" s="61" t="s">
        <v>301</v>
      </c>
      <c r="B82" s="15"/>
      <c r="C82" s="44" t="s">
        <v>302</v>
      </c>
      <c r="D82" s="45" t="s">
        <v>303</v>
      </c>
      <c r="E82" s="18" t="s">
        <v>43</v>
      </c>
      <c r="F82" s="19" t="s">
        <v>27</v>
      </c>
      <c r="G82" s="18" t="b">
        <v>0</v>
      </c>
      <c r="H82" s="18" t="b">
        <v>0</v>
      </c>
      <c r="I82" s="18" t="b">
        <v>0</v>
      </c>
      <c r="J82" s="18" t="b">
        <v>0</v>
      </c>
      <c r="K82" s="18" t="b">
        <v>0</v>
      </c>
      <c r="L82" s="18" t="b">
        <v>0</v>
      </c>
      <c r="M82" s="18" t="b">
        <v>0</v>
      </c>
      <c r="N82" s="18" t="b">
        <v>0</v>
      </c>
      <c r="O82" s="18" t="b">
        <v>1</v>
      </c>
      <c r="P82" s="18" t="b">
        <v>0</v>
      </c>
      <c r="Q82" s="18" t="b">
        <v>0</v>
      </c>
      <c r="R82" s="18" t="b">
        <v>0</v>
      </c>
    </row>
    <row r="83" spans="1:18" ht="15.75" customHeight="1">
      <c r="A83" s="61" t="s">
        <v>304</v>
      </c>
      <c r="B83" s="93" t="s">
        <v>305</v>
      </c>
      <c r="C83" s="18" t="s">
        <v>306</v>
      </c>
      <c r="D83" s="17" t="s">
        <v>307</v>
      </c>
      <c r="E83" s="18" t="s">
        <v>178</v>
      </c>
      <c r="F83" s="19" t="s">
        <v>27</v>
      </c>
      <c r="G83" s="18" t="b">
        <v>0</v>
      </c>
      <c r="H83" s="18" t="b">
        <v>0</v>
      </c>
      <c r="I83" s="18" t="b">
        <v>1</v>
      </c>
      <c r="J83" s="18" t="b">
        <v>0</v>
      </c>
      <c r="K83" s="18" t="b">
        <v>0</v>
      </c>
      <c r="L83" s="18" t="b">
        <v>0</v>
      </c>
      <c r="M83" s="18" t="b">
        <v>1</v>
      </c>
      <c r="N83" s="18" t="b">
        <v>1</v>
      </c>
      <c r="O83" s="18" t="b">
        <v>0</v>
      </c>
      <c r="P83" s="18" t="b">
        <v>0</v>
      </c>
      <c r="Q83" s="18" t="b">
        <v>0</v>
      </c>
      <c r="R83" s="18" t="b">
        <v>0</v>
      </c>
    </row>
    <row r="84" spans="1:18" ht="15.75" hidden="1" customHeight="1">
      <c r="A84" s="61" t="s">
        <v>308</v>
      </c>
      <c r="B84" s="15"/>
      <c r="C84" s="45" t="s">
        <v>309</v>
      </c>
      <c r="D84" s="94" t="s">
        <v>310</v>
      </c>
      <c r="E84" s="18" t="s">
        <v>43</v>
      </c>
      <c r="F84" s="19" t="s">
        <v>34</v>
      </c>
      <c r="G84" s="18" t="b">
        <v>1</v>
      </c>
      <c r="H84" s="18" t="b">
        <v>1</v>
      </c>
      <c r="I84" s="18" t="b">
        <v>0</v>
      </c>
      <c r="J84" s="18" t="b">
        <v>0</v>
      </c>
      <c r="K84" s="18" t="b">
        <v>0</v>
      </c>
      <c r="L84" s="18" t="b">
        <v>0</v>
      </c>
      <c r="M84" s="18" t="b">
        <v>0</v>
      </c>
      <c r="N84" s="18" t="b">
        <v>0</v>
      </c>
      <c r="O84" s="18" t="b">
        <v>0</v>
      </c>
      <c r="P84" s="18" t="b">
        <v>0</v>
      </c>
      <c r="Q84" s="18" t="b">
        <v>0</v>
      </c>
      <c r="R84" s="18" t="b">
        <v>0</v>
      </c>
    </row>
    <row r="85" spans="1:18" ht="15.75" hidden="1" customHeight="1">
      <c r="A85" s="61" t="s">
        <v>311</v>
      </c>
      <c r="B85" s="15"/>
      <c r="C85" s="31" t="s">
        <v>312</v>
      </c>
      <c r="D85" s="31" t="s">
        <v>313</v>
      </c>
      <c r="E85" s="16" t="s">
        <v>86</v>
      </c>
      <c r="F85" s="33" t="s">
        <v>34</v>
      </c>
      <c r="G85" s="16" t="b">
        <v>0</v>
      </c>
      <c r="H85" s="16" t="b">
        <v>0</v>
      </c>
      <c r="I85" s="16" t="b">
        <v>1</v>
      </c>
      <c r="J85" s="16" t="b">
        <v>0</v>
      </c>
      <c r="K85" s="16" t="b">
        <v>0</v>
      </c>
      <c r="L85" s="16" t="b">
        <v>0</v>
      </c>
      <c r="M85" s="16" t="b">
        <v>0</v>
      </c>
      <c r="N85" s="16" t="b">
        <v>0</v>
      </c>
      <c r="O85" s="16" t="b">
        <v>0</v>
      </c>
      <c r="P85" s="16" t="b">
        <v>0</v>
      </c>
      <c r="Q85" s="16" t="b">
        <v>0</v>
      </c>
      <c r="R85" s="16" t="b">
        <v>0</v>
      </c>
    </row>
    <row r="86" spans="1:18" ht="15.75" hidden="1" customHeight="1">
      <c r="A86" s="18" t="s">
        <v>314</v>
      </c>
      <c r="B86" s="15" t="s">
        <v>314</v>
      </c>
      <c r="C86" s="18" t="s">
        <v>315</v>
      </c>
      <c r="D86" s="17" t="s">
        <v>316</v>
      </c>
      <c r="E86" s="18" t="s">
        <v>52</v>
      </c>
      <c r="F86" s="19" t="s">
        <v>34</v>
      </c>
      <c r="G86" s="18" t="b">
        <v>0</v>
      </c>
      <c r="H86" s="18" t="b">
        <v>0</v>
      </c>
      <c r="I86" s="18" t="b">
        <v>0</v>
      </c>
      <c r="J86" s="18" t="b">
        <v>1</v>
      </c>
      <c r="K86" s="18" t="b">
        <v>0</v>
      </c>
      <c r="L86" s="18" t="b">
        <v>0</v>
      </c>
      <c r="M86" s="18" t="b">
        <v>0</v>
      </c>
      <c r="N86" s="18" t="b">
        <v>0</v>
      </c>
      <c r="O86" s="18" t="b">
        <v>0</v>
      </c>
      <c r="P86" s="18" t="b">
        <v>0</v>
      </c>
      <c r="Q86" s="18" t="b">
        <v>0</v>
      </c>
      <c r="R86" s="18" t="b">
        <v>0</v>
      </c>
    </row>
    <row r="87" spans="1:18" ht="15.75" hidden="1" customHeight="1">
      <c r="A87" s="61" t="s">
        <v>317</v>
      </c>
      <c r="B87" s="15"/>
      <c r="C87" s="76" t="s">
        <v>318</v>
      </c>
      <c r="D87" s="76" t="s">
        <v>319</v>
      </c>
      <c r="E87" s="16" t="s">
        <v>140</v>
      </c>
      <c r="F87" s="33" t="s">
        <v>38</v>
      </c>
      <c r="G87" s="16" t="b">
        <v>0</v>
      </c>
      <c r="H87" s="16" t="b">
        <v>1</v>
      </c>
      <c r="I87" s="16" t="b">
        <v>0</v>
      </c>
      <c r="J87" s="16" t="b">
        <v>0</v>
      </c>
      <c r="K87" s="16" t="b">
        <v>0</v>
      </c>
      <c r="L87" s="16" t="b">
        <v>0</v>
      </c>
      <c r="M87" s="16" t="b">
        <v>0</v>
      </c>
      <c r="N87" s="16" t="b">
        <v>0</v>
      </c>
      <c r="O87" s="16" t="b">
        <v>0</v>
      </c>
      <c r="P87" s="16" t="b">
        <v>0</v>
      </c>
      <c r="Q87" s="16" t="b">
        <v>0</v>
      </c>
      <c r="R87" s="16" t="b">
        <v>0</v>
      </c>
    </row>
    <row r="88" spans="1:18" ht="15.75" hidden="1" customHeight="1">
      <c r="A88" s="17" t="s">
        <v>320</v>
      </c>
      <c r="B88" s="81" t="s">
        <v>321</v>
      </c>
      <c r="C88" s="18" t="s">
        <v>322</v>
      </c>
      <c r="D88" s="17" t="s">
        <v>323</v>
      </c>
      <c r="E88" s="18" t="s">
        <v>33</v>
      </c>
      <c r="F88" s="19" t="s">
        <v>38</v>
      </c>
      <c r="G88" s="18" t="b">
        <v>0</v>
      </c>
      <c r="H88" s="18" t="b">
        <v>0</v>
      </c>
      <c r="I88" s="18" t="b">
        <v>0</v>
      </c>
      <c r="J88" s="18" t="b">
        <v>0</v>
      </c>
      <c r="K88" s="18" t="b">
        <v>0</v>
      </c>
      <c r="L88" s="18" t="b">
        <v>0</v>
      </c>
      <c r="M88" s="18" t="b">
        <v>0</v>
      </c>
      <c r="N88" s="18" t="b">
        <v>0</v>
      </c>
      <c r="O88" s="18" t="b">
        <v>0</v>
      </c>
      <c r="P88" s="18" t="b">
        <v>0</v>
      </c>
      <c r="Q88" s="18" t="b">
        <v>0</v>
      </c>
      <c r="R88" s="18" t="b">
        <v>1</v>
      </c>
    </row>
    <row r="89" spans="1:18" ht="15.75" hidden="1" customHeight="1">
      <c r="A89" s="76" t="s">
        <v>324</v>
      </c>
      <c r="B89" s="15"/>
      <c r="C89" s="76" t="s">
        <v>325</v>
      </c>
      <c r="D89" s="76" t="s">
        <v>326</v>
      </c>
      <c r="E89" s="16" t="s">
        <v>86</v>
      </c>
      <c r="F89" s="33" t="s">
        <v>34</v>
      </c>
      <c r="G89" s="16" t="b">
        <v>0</v>
      </c>
      <c r="H89" s="16" t="b">
        <v>0</v>
      </c>
      <c r="I89" s="16" t="b">
        <v>1</v>
      </c>
      <c r="J89" s="16" t="b">
        <v>0</v>
      </c>
      <c r="K89" s="16" t="b">
        <v>0</v>
      </c>
      <c r="L89" s="16" t="b">
        <v>0</v>
      </c>
      <c r="M89" s="16" t="b">
        <v>0</v>
      </c>
      <c r="N89" s="16" t="b">
        <v>0</v>
      </c>
      <c r="O89" s="16" t="b">
        <v>0</v>
      </c>
      <c r="P89" s="16" t="b">
        <v>0</v>
      </c>
      <c r="Q89" s="16" t="b">
        <v>0</v>
      </c>
      <c r="R89" s="16" t="b">
        <v>0</v>
      </c>
    </row>
    <row r="90" spans="1:18" ht="15.75" customHeight="1">
      <c r="A90" s="61" t="s">
        <v>327</v>
      </c>
      <c r="B90" s="15" t="s">
        <v>327</v>
      </c>
      <c r="C90" s="18" t="s">
        <v>328</v>
      </c>
      <c r="D90" s="17" t="s">
        <v>329</v>
      </c>
      <c r="E90" s="18" t="s">
        <v>43</v>
      </c>
      <c r="F90" s="19" t="s">
        <v>27</v>
      </c>
      <c r="G90" s="18" t="b">
        <v>1</v>
      </c>
      <c r="H90" s="18" t="b">
        <v>0</v>
      </c>
      <c r="I90" s="18" t="b">
        <v>1</v>
      </c>
      <c r="J90" s="18" t="b">
        <v>0</v>
      </c>
      <c r="K90" s="18" t="b">
        <v>0</v>
      </c>
      <c r="L90" s="18" t="b">
        <v>0</v>
      </c>
      <c r="M90" s="18" t="b">
        <v>0</v>
      </c>
      <c r="N90" s="18" t="b">
        <v>0</v>
      </c>
      <c r="O90" s="18" t="b">
        <v>1</v>
      </c>
      <c r="P90" s="18" t="b">
        <v>0</v>
      </c>
      <c r="Q90" s="18" t="b">
        <v>0</v>
      </c>
      <c r="R90" s="18" t="b">
        <v>0</v>
      </c>
    </row>
    <row r="91" spans="1:18" ht="15.75" hidden="1" customHeight="1">
      <c r="A91" s="76" t="s">
        <v>330</v>
      </c>
      <c r="B91" s="15"/>
      <c r="C91" s="76" t="s">
        <v>331</v>
      </c>
      <c r="D91" s="76" t="s">
        <v>332</v>
      </c>
      <c r="E91" s="16" t="s">
        <v>86</v>
      </c>
      <c r="F91" s="33" t="s">
        <v>34</v>
      </c>
      <c r="G91" s="16" t="b">
        <v>0</v>
      </c>
      <c r="H91" s="16" t="b">
        <v>0</v>
      </c>
      <c r="I91" s="16" t="b">
        <v>1</v>
      </c>
      <c r="J91" s="16" t="b">
        <v>0</v>
      </c>
      <c r="K91" s="16" t="b">
        <v>0</v>
      </c>
      <c r="L91" s="16" t="b">
        <v>0</v>
      </c>
      <c r="M91" s="16" t="b">
        <v>0</v>
      </c>
      <c r="N91" s="16" t="b">
        <v>0</v>
      </c>
      <c r="O91" s="16" t="b">
        <v>0</v>
      </c>
      <c r="P91" s="16" t="b">
        <v>0</v>
      </c>
      <c r="Q91" s="16" t="b">
        <v>0</v>
      </c>
      <c r="R91" s="16" t="b">
        <v>0</v>
      </c>
    </row>
    <row r="92" spans="1:18" ht="15.75" customHeight="1">
      <c r="A92" s="95" t="s">
        <v>43</v>
      </c>
      <c r="B92" s="15" t="s">
        <v>43</v>
      </c>
      <c r="C92" s="44" t="s">
        <v>333</v>
      </c>
      <c r="D92" s="45" t="s">
        <v>334</v>
      </c>
      <c r="E92" s="18" t="s">
        <v>192</v>
      </c>
      <c r="F92" s="19" t="s">
        <v>27</v>
      </c>
      <c r="G92" s="18" t="b">
        <v>0</v>
      </c>
      <c r="H92" s="18" t="b">
        <v>0</v>
      </c>
      <c r="I92" s="18" t="b">
        <v>0</v>
      </c>
      <c r="J92" s="18" t="b">
        <v>0</v>
      </c>
      <c r="K92" s="18" t="b">
        <v>0</v>
      </c>
      <c r="L92" s="18" t="b">
        <v>0</v>
      </c>
      <c r="M92" s="18" t="b">
        <v>0</v>
      </c>
      <c r="N92" s="18" t="b">
        <v>0</v>
      </c>
      <c r="O92" s="17" t="b">
        <v>0</v>
      </c>
      <c r="P92" s="18" t="b">
        <v>0</v>
      </c>
      <c r="Q92" s="18" t="b">
        <v>1</v>
      </c>
      <c r="R92" s="18" t="b">
        <v>0</v>
      </c>
    </row>
    <row r="93" spans="1:18" ht="15.75" hidden="1" customHeight="1">
      <c r="A93" s="17" t="s">
        <v>335</v>
      </c>
      <c r="B93" s="15" t="s">
        <v>335</v>
      </c>
      <c r="C93" s="17" t="s">
        <v>336</v>
      </c>
      <c r="D93" s="96" t="s">
        <v>337</v>
      </c>
      <c r="E93" s="16" t="s">
        <v>60</v>
      </c>
      <c r="F93" s="19" t="s">
        <v>34</v>
      </c>
      <c r="G93" s="18" t="b">
        <v>0</v>
      </c>
      <c r="H93" s="18" t="b">
        <v>0</v>
      </c>
      <c r="I93" s="18" t="b">
        <v>0</v>
      </c>
      <c r="J93" s="18" t="b">
        <v>0</v>
      </c>
      <c r="K93" s="18" t="b">
        <v>0</v>
      </c>
      <c r="L93" s="18" t="b">
        <v>0</v>
      </c>
      <c r="M93" s="18" t="b">
        <v>1</v>
      </c>
      <c r="N93" s="18" t="b">
        <v>0</v>
      </c>
      <c r="O93" s="18" t="b">
        <v>0</v>
      </c>
      <c r="P93" s="18" t="b">
        <v>0</v>
      </c>
      <c r="Q93" s="18" t="b">
        <v>0</v>
      </c>
      <c r="R93" s="18" t="b">
        <v>0</v>
      </c>
    </row>
    <row r="94" spans="1:18" ht="15.75" customHeight="1">
      <c r="A94" s="61" t="s">
        <v>338</v>
      </c>
      <c r="B94" s="51" t="s">
        <v>338</v>
      </c>
      <c r="C94" s="17" t="s">
        <v>339</v>
      </c>
      <c r="D94" s="17" t="s">
        <v>340</v>
      </c>
      <c r="E94" s="18" t="s">
        <v>43</v>
      </c>
      <c r="F94" s="19" t="s">
        <v>27</v>
      </c>
      <c r="G94" s="18" t="b">
        <v>1</v>
      </c>
      <c r="H94" s="18" t="b">
        <v>1</v>
      </c>
      <c r="I94" s="18" t="b">
        <v>0</v>
      </c>
      <c r="J94" s="18" t="b">
        <v>0</v>
      </c>
      <c r="K94" s="18" t="b">
        <v>0</v>
      </c>
      <c r="L94" s="18" t="b">
        <v>0</v>
      </c>
      <c r="M94" s="18" t="b">
        <v>0</v>
      </c>
      <c r="N94" s="18" t="b">
        <v>0</v>
      </c>
      <c r="O94" s="18" t="b">
        <v>0</v>
      </c>
      <c r="P94" s="18" t="b">
        <v>0</v>
      </c>
      <c r="Q94" s="18" t="b">
        <v>0</v>
      </c>
      <c r="R94" s="18" t="b">
        <v>0</v>
      </c>
    </row>
    <row r="95" spans="1:18" ht="15.75" customHeight="1">
      <c r="A95" s="61" t="s">
        <v>341</v>
      </c>
      <c r="B95" s="15" t="s">
        <v>341</v>
      </c>
      <c r="C95" s="17" t="s">
        <v>342</v>
      </c>
      <c r="D95" s="68" t="s">
        <v>343</v>
      </c>
      <c r="E95" s="16" t="s">
        <v>60</v>
      </c>
      <c r="F95" s="19" t="s">
        <v>27</v>
      </c>
      <c r="G95" s="18" t="b">
        <v>0</v>
      </c>
      <c r="H95" s="18" t="b">
        <v>0</v>
      </c>
      <c r="I95" s="18" t="b">
        <v>0</v>
      </c>
      <c r="J95" s="18" t="b">
        <v>0</v>
      </c>
      <c r="K95" s="18" t="b">
        <v>0</v>
      </c>
      <c r="L95" s="18" t="b">
        <v>0</v>
      </c>
      <c r="M95" s="18" t="b">
        <v>1</v>
      </c>
      <c r="N95" s="18" t="b">
        <v>0</v>
      </c>
      <c r="O95" s="18" t="b">
        <v>0</v>
      </c>
      <c r="P95" s="18" t="b">
        <v>0</v>
      </c>
      <c r="Q95" s="18" t="b">
        <v>0</v>
      </c>
      <c r="R95" s="18" t="b">
        <v>0</v>
      </c>
    </row>
    <row r="96" spans="1:18" ht="15.75" customHeight="1">
      <c r="A96" s="61" t="s">
        <v>345</v>
      </c>
      <c r="B96" s="51" t="s">
        <v>345</v>
      </c>
      <c r="C96" s="17" t="s">
        <v>346</v>
      </c>
      <c r="D96" s="17" t="s">
        <v>347</v>
      </c>
      <c r="E96" s="18" t="s">
        <v>140</v>
      </c>
      <c r="F96" s="19" t="s">
        <v>27</v>
      </c>
      <c r="G96" s="18" t="b">
        <v>1</v>
      </c>
      <c r="H96" s="18" t="b">
        <v>1</v>
      </c>
      <c r="I96" s="18" t="b">
        <v>0</v>
      </c>
      <c r="J96" s="18" t="b">
        <v>0</v>
      </c>
      <c r="K96" s="18" t="b">
        <v>0</v>
      </c>
      <c r="L96" s="18" t="b">
        <v>0</v>
      </c>
      <c r="M96" s="18" t="b">
        <v>0</v>
      </c>
      <c r="N96" s="18" t="b">
        <v>0</v>
      </c>
      <c r="O96" s="18" t="b">
        <v>0</v>
      </c>
      <c r="P96" s="18" t="b">
        <v>0</v>
      </c>
      <c r="Q96" s="18" t="b">
        <v>0</v>
      </c>
      <c r="R96" s="18" t="b">
        <v>0</v>
      </c>
    </row>
    <row r="97" spans="1:18" ht="15.75" customHeight="1">
      <c r="A97" s="61" t="s">
        <v>348</v>
      </c>
      <c r="B97" s="15" t="s">
        <v>348</v>
      </c>
      <c r="C97" s="18" t="s">
        <v>349</v>
      </c>
      <c r="D97" s="17" t="s">
        <v>350</v>
      </c>
      <c r="E97" s="18" t="s">
        <v>192</v>
      </c>
      <c r="F97" s="19" t="s">
        <v>27</v>
      </c>
      <c r="G97" s="18" t="b">
        <v>0</v>
      </c>
      <c r="H97" s="18" t="b">
        <v>0</v>
      </c>
      <c r="I97" s="18" t="b">
        <v>0</v>
      </c>
      <c r="J97" s="18" t="b">
        <v>0</v>
      </c>
      <c r="K97" s="18" t="b">
        <v>0</v>
      </c>
      <c r="L97" s="18" t="b">
        <v>0</v>
      </c>
      <c r="M97" s="18" t="b">
        <v>0</v>
      </c>
      <c r="N97" s="18" t="b">
        <v>0</v>
      </c>
      <c r="O97" s="18" t="b">
        <v>0</v>
      </c>
      <c r="P97" s="18" t="b">
        <v>0</v>
      </c>
      <c r="Q97" s="18" t="b">
        <v>1</v>
      </c>
      <c r="R97" s="18" t="b">
        <v>0</v>
      </c>
    </row>
    <row r="98" spans="1:18" ht="15.75" customHeight="1">
      <c r="A98" s="61" t="s">
        <v>140</v>
      </c>
      <c r="B98" s="51" t="s">
        <v>351</v>
      </c>
      <c r="C98" s="17" t="s">
        <v>352</v>
      </c>
      <c r="D98" s="17" t="s">
        <v>353</v>
      </c>
      <c r="E98" s="18" t="s">
        <v>178</v>
      </c>
      <c r="F98" s="19" t="s">
        <v>27</v>
      </c>
      <c r="G98" s="18" t="b">
        <v>0</v>
      </c>
      <c r="H98" s="18" t="b">
        <v>1</v>
      </c>
      <c r="I98" s="18" t="b">
        <v>1</v>
      </c>
      <c r="J98" s="18" t="b">
        <v>1</v>
      </c>
      <c r="K98" s="18" t="b">
        <v>0</v>
      </c>
      <c r="L98" s="18" t="b">
        <v>0</v>
      </c>
      <c r="M98" s="18" t="b">
        <v>1</v>
      </c>
      <c r="N98" s="18" t="b">
        <v>1</v>
      </c>
      <c r="O98" s="18" t="b">
        <v>1</v>
      </c>
      <c r="P98" s="18" t="b">
        <v>1</v>
      </c>
      <c r="Q98" s="18" t="b">
        <v>1</v>
      </c>
      <c r="R98" s="18" t="b">
        <v>0</v>
      </c>
    </row>
    <row r="99" spans="1:18" ht="15.75" customHeight="1">
      <c r="A99" s="98" t="s">
        <v>354</v>
      </c>
      <c r="B99" s="15" t="s">
        <v>355</v>
      </c>
      <c r="C99" s="44" t="s">
        <v>356</v>
      </c>
      <c r="D99" s="45" t="s">
        <v>357</v>
      </c>
      <c r="E99" s="18" t="s">
        <v>52</v>
      </c>
      <c r="F99" s="19" t="s">
        <v>27</v>
      </c>
      <c r="G99" s="18" t="b">
        <v>0</v>
      </c>
      <c r="H99" s="18" t="b">
        <v>0</v>
      </c>
      <c r="I99" s="18" t="b">
        <v>0</v>
      </c>
      <c r="J99" s="18" t="b">
        <v>1</v>
      </c>
      <c r="K99" s="18" t="b">
        <v>0</v>
      </c>
      <c r="L99" s="18" t="b">
        <v>0</v>
      </c>
      <c r="M99" s="18" t="b">
        <v>0</v>
      </c>
      <c r="N99" s="18" t="b">
        <v>0</v>
      </c>
      <c r="O99" s="18" t="b">
        <v>0</v>
      </c>
      <c r="P99" s="18" t="b">
        <v>0</v>
      </c>
      <c r="Q99" s="18" t="b">
        <v>0</v>
      </c>
      <c r="R99" s="18" t="b">
        <v>0</v>
      </c>
    </row>
    <row r="100" spans="1:18" ht="15.75" customHeight="1">
      <c r="A100" s="61" t="s">
        <v>358</v>
      </c>
      <c r="B100" s="15" t="s">
        <v>358</v>
      </c>
      <c r="C100" s="18" t="s">
        <v>359</v>
      </c>
      <c r="D100" s="17" t="s">
        <v>360</v>
      </c>
      <c r="E100" s="18" t="s">
        <v>154</v>
      </c>
      <c r="F100" s="19" t="s">
        <v>27</v>
      </c>
      <c r="G100" s="18" t="b">
        <v>0</v>
      </c>
      <c r="H100" s="18" t="b">
        <v>0</v>
      </c>
      <c r="I100" s="18" t="b">
        <v>1</v>
      </c>
      <c r="J100" s="18" t="b">
        <v>0</v>
      </c>
      <c r="K100" s="18" t="b">
        <v>1</v>
      </c>
      <c r="L100" s="18" t="b">
        <v>0</v>
      </c>
      <c r="M100" s="18" t="b">
        <v>0</v>
      </c>
      <c r="N100" s="18" t="b">
        <v>0</v>
      </c>
      <c r="O100" s="18" t="b">
        <v>0</v>
      </c>
      <c r="P100" s="18" t="b">
        <v>0</v>
      </c>
      <c r="Q100" s="18" t="b">
        <v>0</v>
      </c>
      <c r="R100" s="18" t="b">
        <v>0</v>
      </c>
    </row>
    <row r="101" spans="1:18" ht="15.75" hidden="1" customHeight="1">
      <c r="A101" s="61" t="s">
        <v>361</v>
      </c>
      <c r="B101" s="15"/>
      <c r="C101" s="76" t="s">
        <v>362</v>
      </c>
      <c r="D101" s="76" t="s">
        <v>363</v>
      </c>
      <c r="E101" s="16" t="s">
        <v>86</v>
      </c>
      <c r="F101" s="33" t="s">
        <v>34</v>
      </c>
      <c r="G101" s="16" t="b">
        <v>0</v>
      </c>
      <c r="H101" s="16" t="b">
        <v>0</v>
      </c>
      <c r="I101" s="16" t="b">
        <v>1</v>
      </c>
      <c r="J101" s="16" t="b">
        <v>0</v>
      </c>
      <c r="K101" s="16" t="b">
        <v>0</v>
      </c>
      <c r="L101" s="16" t="b">
        <v>0</v>
      </c>
      <c r="M101" s="16" t="b">
        <v>0</v>
      </c>
      <c r="N101" s="16" t="b">
        <v>0</v>
      </c>
      <c r="O101" s="16" t="b">
        <v>0</v>
      </c>
      <c r="P101" s="16" t="b">
        <v>0</v>
      </c>
      <c r="Q101" s="16" t="b">
        <v>0</v>
      </c>
      <c r="R101" s="16" t="b">
        <v>0</v>
      </c>
    </row>
    <row r="102" spans="1:18" ht="15.75" customHeight="1">
      <c r="A102" s="87" t="s">
        <v>364</v>
      </c>
      <c r="B102" s="15" t="s">
        <v>365</v>
      </c>
      <c r="C102" s="15" t="s">
        <v>365</v>
      </c>
      <c r="D102" s="88" t="s">
        <v>366</v>
      </c>
      <c r="E102" s="16" t="s">
        <v>60</v>
      </c>
      <c r="F102" s="19" t="s">
        <v>27</v>
      </c>
      <c r="G102" s="18" t="b">
        <v>0</v>
      </c>
      <c r="H102" s="18" t="b">
        <v>0</v>
      </c>
      <c r="I102" s="18" t="b">
        <v>0</v>
      </c>
      <c r="J102" s="18" t="b">
        <v>0</v>
      </c>
      <c r="K102" s="18" t="b">
        <v>0</v>
      </c>
      <c r="L102" s="18" t="b">
        <v>0</v>
      </c>
      <c r="M102" s="18" t="b">
        <v>1</v>
      </c>
      <c r="N102" s="18" t="b">
        <v>0</v>
      </c>
      <c r="O102" s="18" t="b">
        <v>0</v>
      </c>
      <c r="P102" s="18" t="b">
        <v>0</v>
      </c>
      <c r="Q102" s="18" t="b">
        <v>0</v>
      </c>
      <c r="R102" s="18" t="b">
        <v>0</v>
      </c>
    </row>
    <row r="103" spans="1:18" ht="15.75" customHeight="1">
      <c r="A103" s="61" t="s">
        <v>367</v>
      </c>
      <c r="B103" s="15" t="s">
        <v>367</v>
      </c>
      <c r="C103" s="18" t="s">
        <v>368</v>
      </c>
      <c r="D103" s="17" t="s">
        <v>369</v>
      </c>
      <c r="E103" s="16" t="s">
        <v>60</v>
      </c>
      <c r="F103" s="19" t="s">
        <v>27</v>
      </c>
      <c r="G103" s="18" t="b">
        <v>0</v>
      </c>
      <c r="H103" s="18" t="b">
        <v>0</v>
      </c>
      <c r="I103" s="18" t="b">
        <v>0</v>
      </c>
      <c r="J103" s="18" t="b">
        <v>0</v>
      </c>
      <c r="K103" s="18" t="b">
        <v>0</v>
      </c>
      <c r="L103" s="18" t="b">
        <v>0</v>
      </c>
      <c r="M103" s="18" t="b">
        <v>1</v>
      </c>
      <c r="N103" s="18" t="b">
        <v>0</v>
      </c>
      <c r="O103" s="18" t="b">
        <v>0</v>
      </c>
      <c r="P103" s="18" t="b">
        <v>0</v>
      </c>
      <c r="Q103" s="18" t="b">
        <v>0</v>
      </c>
      <c r="R103" s="18" t="b">
        <v>0</v>
      </c>
    </row>
    <row r="104" spans="1:18" ht="15.75" hidden="1" customHeight="1">
      <c r="A104" s="17" t="s">
        <v>370</v>
      </c>
      <c r="B104" s="15"/>
      <c r="C104" s="70" t="s">
        <v>371</v>
      </c>
      <c r="D104" s="68" t="s">
        <v>372</v>
      </c>
      <c r="E104" s="18" t="s">
        <v>86</v>
      </c>
      <c r="F104" s="19" t="s">
        <v>38</v>
      </c>
      <c r="G104" s="18" t="b">
        <v>0</v>
      </c>
      <c r="H104" s="18" t="b">
        <v>0</v>
      </c>
      <c r="I104" s="18" t="b">
        <v>1</v>
      </c>
      <c r="J104" s="18" t="b">
        <v>0</v>
      </c>
      <c r="K104" s="18" t="b">
        <v>0</v>
      </c>
      <c r="L104" s="18" t="b">
        <v>0</v>
      </c>
      <c r="M104" s="18" t="b">
        <v>0</v>
      </c>
      <c r="N104" s="18" t="b">
        <v>0</v>
      </c>
      <c r="O104" s="18" t="b">
        <v>1</v>
      </c>
      <c r="P104" s="18" t="b">
        <v>0</v>
      </c>
      <c r="Q104" s="18" t="b">
        <v>0</v>
      </c>
      <c r="R104" s="18" t="b">
        <v>0</v>
      </c>
    </row>
    <row r="105" spans="1:18" ht="15.75" customHeight="1">
      <c r="A105" s="61" t="s">
        <v>373</v>
      </c>
      <c r="B105" s="99" t="s">
        <v>374</v>
      </c>
      <c r="C105" s="100" t="s">
        <v>375</v>
      </c>
      <c r="D105" s="17" t="s">
        <v>376</v>
      </c>
      <c r="E105" s="18" t="s">
        <v>192</v>
      </c>
      <c r="F105" s="19" t="s">
        <v>27</v>
      </c>
      <c r="G105" s="18" t="b">
        <v>0</v>
      </c>
      <c r="H105" s="18" t="b">
        <v>0</v>
      </c>
      <c r="I105" s="18" t="b">
        <v>1</v>
      </c>
      <c r="J105" s="18" t="b">
        <v>0</v>
      </c>
      <c r="K105" s="18" t="b">
        <v>0</v>
      </c>
      <c r="L105" s="18" t="b">
        <v>0</v>
      </c>
      <c r="M105" s="18" t="b">
        <v>0</v>
      </c>
      <c r="N105" s="18" t="b">
        <v>0</v>
      </c>
      <c r="O105" s="18" t="b">
        <v>0</v>
      </c>
      <c r="P105" s="18" t="b">
        <v>1</v>
      </c>
      <c r="Q105" s="18" t="b">
        <v>1</v>
      </c>
      <c r="R105" s="18" t="b">
        <v>0</v>
      </c>
    </row>
    <row r="106" spans="1:18" ht="15.75" customHeight="1">
      <c r="A106" s="61" t="s">
        <v>377</v>
      </c>
      <c r="B106" s="81" t="s">
        <v>377</v>
      </c>
      <c r="C106" s="18" t="s">
        <v>378</v>
      </c>
      <c r="D106" s="17" t="s">
        <v>379</v>
      </c>
      <c r="E106" s="18" t="s">
        <v>52</v>
      </c>
      <c r="F106" s="19" t="s">
        <v>27</v>
      </c>
      <c r="G106" s="18" t="b">
        <v>0</v>
      </c>
      <c r="H106" s="18" t="b">
        <v>0</v>
      </c>
      <c r="I106" s="18" t="b">
        <v>1</v>
      </c>
      <c r="J106" s="18" t="b">
        <v>0</v>
      </c>
      <c r="K106" s="18" t="b">
        <v>0</v>
      </c>
      <c r="L106" s="18" t="b">
        <v>0</v>
      </c>
      <c r="M106" s="18" t="b">
        <v>0</v>
      </c>
      <c r="N106" s="18" t="b">
        <v>0</v>
      </c>
      <c r="O106" s="18" t="b">
        <v>0</v>
      </c>
      <c r="P106" s="18" t="b">
        <v>0</v>
      </c>
      <c r="Q106" s="18" t="b">
        <v>0</v>
      </c>
      <c r="R106" s="18" t="b">
        <v>0</v>
      </c>
    </row>
    <row r="107" spans="1:18" ht="15.75" customHeight="1">
      <c r="A107" s="87" t="s">
        <v>380</v>
      </c>
      <c r="B107" s="15" t="s">
        <v>380</v>
      </c>
      <c r="C107" s="44" t="s">
        <v>381</v>
      </c>
      <c r="D107" s="45" t="s">
        <v>382</v>
      </c>
      <c r="E107" s="18" t="s">
        <v>140</v>
      </c>
      <c r="F107" s="19" t="s">
        <v>27</v>
      </c>
      <c r="G107" s="18" t="b">
        <v>0</v>
      </c>
      <c r="H107" s="18" t="b">
        <v>1</v>
      </c>
      <c r="I107" s="18" t="b">
        <v>0</v>
      </c>
      <c r="J107" s="18" t="b">
        <v>0</v>
      </c>
      <c r="K107" s="18" t="b">
        <v>0</v>
      </c>
      <c r="L107" s="18" t="b">
        <v>0</v>
      </c>
      <c r="M107" s="18" t="b">
        <v>0</v>
      </c>
      <c r="N107" s="18" t="b">
        <v>0</v>
      </c>
      <c r="O107" s="18" t="b">
        <v>0</v>
      </c>
      <c r="P107" s="18" t="b">
        <v>0</v>
      </c>
      <c r="Q107" s="18" t="b">
        <v>0</v>
      </c>
      <c r="R107" s="18" t="b">
        <v>0</v>
      </c>
    </row>
    <row r="108" spans="1:18" ht="15.75" customHeight="1">
      <c r="A108" s="61" t="s">
        <v>383</v>
      </c>
      <c r="B108" s="15" t="s">
        <v>384</v>
      </c>
      <c r="C108" s="101" t="s">
        <v>385</v>
      </c>
      <c r="D108" s="17" t="s">
        <v>386</v>
      </c>
      <c r="E108" s="18" t="s">
        <v>140</v>
      </c>
      <c r="F108" s="19" t="s">
        <v>27</v>
      </c>
      <c r="G108" s="18" t="b">
        <v>0</v>
      </c>
      <c r="H108" s="18" t="b">
        <v>1</v>
      </c>
      <c r="I108" s="18" t="b">
        <v>0</v>
      </c>
      <c r="J108" s="18" t="b">
        <v>0</v>
      </c>
      <c r="K108" s="18" t="b">
        <v>0</v>
      </c>
      <c r="L108" s="18" t="b">
        <v>0</v>
      </c>
      <c r="M108" s="18" t="b">
        <v>0</v>
      </c>
      <c r="N108" s="18" t="b">
        <v>1</v>
      </c>
      <c r="O108" s="18" t="b">
        <v>0</v>
      </c>
      <c r="P108" s="18" t="b">
        <v>0</v>
      </c>
      <c r="Q108" s="18" t="b">
        <v>0</v>
      </c>
      <c r="R108" s="18" t="b">
        <v>0</v>
      </c>
    </row>
    <row r="109" spans="1:18" ht="15.75" customHeight="1">
      <c r="A109" s="87" t="s">
        <v>387</v>
      </c>
      <c r="B109" s="15" t="s">
        <v>388</v>
      </c>
      <c r="C109" s="44" t="s">
        <v>389</v>
      </c>
      <c r="D109" s="88" t="s">
        <v>390</v>
      </c>
      <c r="E109" s="18" t="s">
        <v>52</v>
      </c>
      <c r="F109" s="19" t="s">
        <v>27</v>
      </c>
      <c r="G109" s="18" t="b">
        <v>0</v>
      </c>
      <c r="H109" s="18" t="b">
        <v>0</v>
      </c>
      <c r="I109" s="18" t="b">
        <v>0</v>
      </c>
      <c r="J109" s="18" t="b">
        <v>1</v>
      </c>
      <c r="K109" s="18" t="b">
        <v>0</v>
      </c>
      <c r="L109" s="18" t="b">
        <v>0</v>
      </c>
      <c r="M109" s="18" t="b">
        <v>0</v>
      </c>
      <c r="N109" s="18" t="b">
        <v>0</v>
      </c>
      <c r="O109" s="18" t="b">
        <v>0</v>
      </c>
      <c r="P109" s="18" t="b">
        <v>0</v>
      </c>
      <c r="Q109" s="18" t="b">
        <v>0</v>
      </c>
      <c r="R109" s="18" t="b">
        <v>0</v>
      </c>
    </row>
    <row r="110" spans="1:18" ht="15.75" hidden="1" customHeight="1">
      <c r="A110" s="61" t="s">
        <v>391</v>
      </c>
      <c r="B110" s="15"/>
      <c r="C110" s="76" t="s">
        <v>392</v>
      </c>
      <c r="D110" s="61" t="s">
        <v>393</v>
      </c>
      <c r="E110" s="16" t="s">
        <v>140</v>
      </c>
      <c r="F110" s="33" t="s">
        <v>38</v>
      </c>
      <c r="G110" s="16" t="b">
        <v>0</v>
      </c>
      <c r="H110" s="16" t="b">
        <v>1</v>
      </c>
      <c r="I110" s="16" t="b">
        <v>0</v>
      </c>
      <c r="J110" s="16" t="b">
        <v>0</v>
      </c>
      <c r="K110" s="16" t="b">
        <v>0</v>
      </c>
      <c r="L110" s="16" t="b">
        <v>0</v>
      </c>
      <c r="M110" s="16" t="b">
        <v>0</v>
      </c>
      <c r="N110" s="16" t="b">
        <v>0</v>
      </c>
      <c r="O110" s="16" t="b">
        <v>0</v>
      </c>
      <c r="P110" s="16" t="b">
        <v>0</v>
      </c>
      <c r="Q110" s="16" t="b">
        <v>0</v>
      </c>
      <c r="R110" s="16" t="b">
        <v>0</v>
      </c>
    </row>
    <row r="111" spans="1:18" ht="15.75" customHeight="1">
      <c r="A111" s="61" t="s">
        <v>394</v>
      </c>
      <c r="B111" s="81" t="s">
        <v>394</v>
      </c>
      <c r="C111" s="18" t="s">
        <v>395</v>
      </c>
      <c r="D111" s="17" t="s">
        <v>396</v>
      </c>
      <c r="E111" s="48" t="s">
        <v>69</v>
      </c>
      <c r="F111" s="19" t="s">
        <v>27</v>
      </c>
      <c r="G111" s="18" t="b">
        <v>0</v>
      </c>
      <c r="H111" s="18" t="b">
        <v>0</v>
      </c>
      <c r="I111" s="18" t="b">
        <v>0</v>
      </c>
      <c r="J111" s="18" t="b">
        <v>0</v>
      </c>
      <c r="K111" s="18" t="b">
        <v>0</v>
      </c>
      <c r="L111" s="18" t="b">
        <v>0</v>
      </c>
      <c r="M111" s="18" t="b">
        <v>0</v>
      </c>
      <c r="N111" s="18" t="b">
        <v>0</v>
      </c>
      <c r="O111" s="18" t="b">
        <v>1</v>
      </c>
      <c r="P111" s="18" t="b">
        <v>0</v>
      </c>
      <c r="Q111" s="18" t="b">
        <v>0</v>
      </c>
      <c r="R111" s="18" t="b">
        <v>0</v>
      </c>
    </row>
    <row r="112" spans="1:18" ht="15.75" customHeight="1">
      <c r="A112" s="61" t="s">
        <v>397</v>
      </c>
      <c r="B112" s="15" t="s">
        <v>397</v>
      </c>
      <c r="C112" s="18" t="s">
        <v>398</v>
      </c>
      <c r="D112" s="17" t="s">
        <v>399</v>
      </c>
      <c r="E112" s="18" t="s">
        <v>43</v>
      </c>
      <c r="F112" s="19" t="s">
        <v>27</v>
      </c>
      <c r="G112" s="18" t="b">
        <v>1</v>
      </c>
      <c r="H112" s="18" t="b">
        <v>0</v>
      </c>
      <c r="I112" s="18" t="b">
        <v>0</v>
      </c>
      <c r="J112" s="18" t="b">
        <v>0</v>
      </c>
      <c r="K112" s="18" t="b">
        <v>0</v>
      </c>
      <c r="L112" s="18" t="b">
        <v>0</v>
      </c>
      <c r="M112" s="18" t="b">
        <v>0</v>
      </c>
      <c r="N112" s="18" t="b">
        <v>0</v>
      </c>
      <c r="O112" s="18" t="b">
        <v>0</v>
      </c>
      <c r="P112" s="18" t="b">
        <v>0</v>
      </c>
      <c r="Q112" s="18" t="b">
        <v>0</v>
      </c>
      <c r="R112" s="18" t="b">
        <v>0</v>
      </c>
    </row>
    <row r="113" spans="1:18" ht="15.75" customHeight="1">
      <c r="A113" s="61" t="s">
        <v>400</v>
      </c>
      <c r="B113" s="15" t="s">
        <v>401</v>
      </c>
      <c r="C113" s="18" t="s">
        <v>402</v>
      </c>
      <c r="D113" s="17" t="s">
        <v>403</v>
      </c>
      <c r="E113" s="18" t="s">
        <v>140</v>
      </c>
      <c r="F113" s="19" t="s">
        <v>27</v>
      </c>
      <c r="G113" s="18" t="b">
        <v>1</v>
      </c>
      <c r="H113" s="18" t="b">
        <v>1</v>
      </c>
      <c r="I113" s="18" t="b">
        <v>0</v>
      </c>
      <c r="J113" s="18" t="b">
        <v>0</v>
      </c>
      <c r="K113" s="18" t="b">
        <v>0</v>
      </c>
      <c r="L113" s="18" t="b">
        <v>0</v>
      </c>
      <c r="M113" s="18" t="b">
        <v>0</v>
      </c>
      <c r="N113" s="18" t="b">
        <v>0</v>
      </c>
      <c r="O113" s="18" t="b">
        <v>0</v>
      </c>
      <c r="P113" s="18" t="b">
        <v>0</v>
      </c>
      <c r="Q113" s="18" t="b">
        <v>0</v>
      </c>
      <c r="R113" s="18" t="b">
        <v>0</v>
      </c>
    </row>
    <row r="114" spans="1:18" ht="15.75" hidden="1" customHeight="1">
      <c r="A114" s="61" t="s">
        <v>404</v>
      </c>
      <c r="B114" s="15" t="s">
        <v>404</v>
      </c>
      <c r="C114" s="102" t="s">
        <v>405</v>
      </c>
      <c r="D114" s="88" t="s">
        <v>406</v>
      </c>
      <c r="E114" s="18" t="s">
        <v>178</v>
      </c>
      <c r="F114" s="19" t="s">
        <v>38</v>
      </c>
      <c r="G114" s="18" t="b">
        <v>0</v>
      </c>
      <c r="H114" s="18" t="b">
        <v>0</v>
      </c>
      <c r="I114" s="18" t="b">
        <v>0</v>
      </c>
      <c r="J114" s="18" t="b">
        <v>0</v>
      </c>
      <c r="K114" s="18" t="b">
        <v>0</v>
      </c>
      <c r="L114" s="18" t="b">
        <v>0</v>
      </c>
      <c r="M114" s="18" t="b">
        <v>1</v>
      </c>
      <c r="N114" s="18" t="b">
        <v>1</v>
      </c>
      <c r="O114" s="18" t="b">
        <v>0</v>
      </c>
      <c r="P114" s="18" t="b">
        <v>0</v>
      </c>
      <c r="Q114" s="18" t="b">
        <v>0</v>
      </c>
      <c r="R114" s="18" t="b">
        <v>0</v>
      </c>
    </row>
    <row r="115" spans="1:18" ht="15.75" hidden="1" customHeight="1">
      <c r="A115" s="76" t="s">
        <v>407</v>
      </c>
      <c r="B115" s="103" t="s">
        <v>407</v>
      </c>
      <c r="C115" s="76" t="s">
        <v>408</v>
      </c>
      <c r="D115" s="76" t="s">
        <v>409</v>
      </c>
      <c r="E115" s="16" t="s">
        <v>33</v>
      </c>
      <c r="F115" s="33" t="s">
        <v>34</v>
      </c>
      <c r="G115" s="16" t="b">
        <v>0</v>
      </c>
      <c r="H115" s="16" t="b">
        <v>0</v>
      </c>
      <c r="I115" s="16" t="b">
        <v>0</v>
      </c>
      <c r="J115" s="16" t="b">
        <v>0</v>
      </c>
      <c r="K115" s="16" t="b">
        <v>0</v>
      </c>
      <c r="L115" s="16" t="b">
        <v>0</v>
      </c>
      <c r="M115" s="16" t="b">
        <v>0</v>
      </c>
      <c r="N115" s="16" t="b">
        <v>0</v>
      </c>
      <c r="O115" s="16" t="b">
        <v>0</v>
      </c>
      <c r="P115" s="16" t="b">
        <v>0</v>
      </c>
      <c r="Q115" s="16" t="b">
        <v>0</v>
      </c>
      <c r="R115" s="16" t="b">
        <v>1</v>
      </c>
    </row>
    <row r="116" spans="1:18" ht="15.75" customHeight="1">
      <c r="A116" s="61" t="s">
        <v>410</v>
      </c>
      <c r="B116" s="15" t="s">
        <v>410</v>
      </c>
      <c r="C116" s="18" t="s">
        <v>411</v>
      </c>
      <c r="D116" s="17" t="s">
        <v>412</v>
      </c>
      <c r="E116" s="18" t="s">
        <v>140</v>
      </c>
      <c r="F116" s="19" t="s">
        <v>27</v>
      </c>
      <c r="G116" s="18" t="b">
        <v>0</v>
      </c>
      <c r="H116" s="18" t="b">
        <v>1</v>
      </c>
      <c r="I116" s="18" t="b">
        <v>0</v>
      </c>
      <c r="J116" s="18" t="b">
        <v>0</v>
      </c>
      <c r="K116" s="18" t="b">
        <v>0</v>
      </c>
      <c r="L116" s="18" t="b">
        <v>0</v>
      </c>
      <c r="M116" s="18" t="b">
        <v>0</v>
      </c>
      <c r="N116" s="18" t="b">
        <v>0</v>
      </c>
      <c r="O116" s="18" t="b">
        <v>1</v>
      </c>
      <c r="P116" s="18" t="b">
        <v>0</v>
      </c>
      <c r="Q116" s="18" t="b">
        <v>0</v>
      </c>
      <c r="R116" s="18" t="b">
        <v>0</v>
      </c>
    </row>
    <row r="117" spans="1:18" ht="15.75" hidden="1" customHeight="1">
      <c r="A117" s="61" t="s">
        <v>413</v>
      </c>
      <c r="B117" s="105" t="s">
        <v>413</v>
      </c>
      <c r="C117" s="17" t="s">
        <v>414</v>
      </c>
      <c r="D117" s="68" t="s">
        <v>415</v>
      </c>
      <c r="E117" s="16" t="s">
        <v>60</v>
      </c>
      <c r="F117" s="19" t="s">
        <v>38</v>
      </c>
      <c r="G117" s="18" t="b">
        <v>0</v>
      </c>
      <c r="H117" s="18" t="b">
        <v>0</v>
      </c>
      <c r="I117" s="18" t="b">
        <v>0</v>
      </c>
      <c r="J117" s="18" t="b">
        <v>0</v>
      </c>
      <c r="K117" s="18" t="b">
        <v>0</v>
      </c>
      <c r="L117" s="18" t="b">
        <v>0</v>
      </c>
      <c r="M117" s="18" t="b">
        <v>1</v>
      </c>
      <c r="N117" s="18" t="b">
        <v>0</v>
      </c>
      <c r="O117" s="18" t="b">
        <v>0</v>
      </c>
      <c r="P117" s="18" t="b">
        <v>0</v>
      </c>
      <c r="Q117" s="18" t="b">
        <v>0</v>
      </c>
      <c r="R117" s="18" t="b">
        <v>0</v>
      </c>
    </row>
    <row r="118" spans="1:18" ht="15.75" customHeight="1">
      <c r="A118" s="61" t="s">
        <v>416</v>
      </c>
      <c r="B118" s="15" t="s">
        <v>417</v>
      </c>
      <c r="C118" s="100" t="s">
        <v>418</v>
      </c>
      <c r="D118" s="68" t="s">
        <v>419</v>
      </c>
      <c r="E118" s="16" t="s">
        <v>60</v>
      </c>
      <c r="F118" s="19" t="s">
        <v>27</v>
      </c>
      <c r="G118" s="18" t="b">
        <v>0</v>
      </c>
      <c r="H118" s="18" t="b">
        <v>0</v>
      </c>
      <c r="I118" s="18" t="b">
        <v>0</v>
      </c>
      <c r="J118" s="18" t="b">
        <v>0</v>
      </c>
      <c r="K118" s="18" t="b">
        <v>0</v>
      </c>
      <c r="L118" s="18" t="b">
        <v>0</v>
      </c>
      <c r="M118" s="18" t="b">
        <v>1</v>
      </c>
      <c r="N118" s="18" t="b">
        <v>0</v>
      </c>
      <c r="O118" s="18" t="b">
        <v>0</v>
      </c>
      <c r="P118" s="18" t="b">
        <v>0</v>
      </c>
      <c r="Q118" s="18" t="b">
        <v>0</v>
      </c>
      <c r="R118" s="18" t="b">
        <v>0</v>
      </c>
    </row>
    <row r="119" spans="1:18" ht="15.75" hidden="1" customHeight="1">
      <c r="A119" s="61" t="s">
        <v>420</v>
      </c>
      <c r="B119" s="15"/>
      <c r="C119" s="17" t="s">
        <v>421</v>
      </c>
      <c r="D119" s="68" t="s">
        <v>422</v>
      </c>
      <c r="E119" s="18" t="s">
        <v>69</v>
      </c>
      <c r="F119" s="19" t="s">
        <v>34</v>
      </c>
      <c r="G119" s="18" t="b">
        <v>0</v>
      </c>
      <c r="H119" s="18" t="b">
        <v>0</v>
      </c>
      <c r="I119" s="18" t="b">
        <v>0</v>
      </c>
      <c r="J119" s="18" t="b">
        <v>0</v>
      </c>
      <c r="K119" s="18" t="b">
        <v>0</v>
      </c>
      <c r="L119" s="18" t="b">
        <v>0</v>
      </c>
      <c r="M119" s="18" t="b">
        <v>0</v>
      </c>
      <c r="N119" s="18" t="b">
        <v>0</v>
      </c>
      <c r="O119" s="18" t="b">
        <v>1</v>
      </c>
      <c r="P119" s="18" t="b">
        <v>0</v>
      </c>
      <c r="Q119" s="18" t="b">
        <v>0</v>
      </c>
      <c r="R119" s="18" t="b">
        <v>0</v>
      </c>
    </row>
    <row r="120" spans="1:18" ht="15.75" customHeight="1">
      <c r="A120" s="61" t="s">
        <v>423</v>
      </c>
      <c r="B120" s="106"/>
      <c r="C120" s="17" t="s">
        <v>424</v>
      </c>
      <c r="D120" s="17" t="s">
        <v>425</v>
      </c>
      <c r="E120" s="18" t="s">
        <v>52</v>
      </c>
      <c r="F120" s="19" t="s">
        <v>27</v>
      </c>
      <c r="G120" s="18" t="b">
        <v>0</v>
      </c>
      <c r="H120" s="18" t="b">
        <v>0</v>
      </c>
      <c r="I120" s="18" t="b">
        <v>1</v>
      </c>
      <c r="J120" s="18" t="b">
        <v>0</v>
      </c>
      <c r="K120" s="18" t="b">
        <v>0</v>
      </c>
      <c r="L120" s="18" t="b">
        <v>0</v>
      </c>
      <c r="M120" s="18" t="b">
        <v>0</v>
      </c>
      <c r="N120" s="18" t="b">
        <v>0</v>
      </c>
      <c r="O120" s="18" t="b">
        <v>0</v>
      </c>
      <c r="P120" s="18" t="b">
        <v>0</v>
      </c>
      <c r="Q120" s="18" t="b">
        <v>0</v>
      </c>
      <c r="R120" s="18" t="b">
        <v>0</v>
      </c>
    </row>
    <row r="121" spans="1:18" ht="15.75" customHeight="1">
      <c r="A121" s="107" t="s">
        <v>426</v>
      </c>
      <c r="B121" s="15" t="s">
        <v>427</v>
      </c>
      <c r="C121" s="100" t="s">
        <v>428</v>
      </c>
      <c r="D121" s="68" t="s">
        <v>429</v>
      </c>
      <c r="E121" s="16" t="s">
        <v>60</v>
      </c>
      <c r="F121" s="19" t="s">
        <v>27</v>
      </c>
      <c r="G121" s="18" t="b">
        <v>0</v>
      </c>
      <c r="H121" s="18" t="b">
        <v>0</v>
      </c>
      <c r="I121" s="18" t="b">
        <v>0</v>
      </c>
      <c r="J121" s="18" t="b">
        <v>0</v>
      </c>
      <c r="K121" s="18" t="b">
        <v>0</v>
      </c>
      <c r="L121" s="18" t="b">
        <v>0</v>
      </c>
      <c r="M121" s="18" t="b">
        <v>1</v>
      </c>
      <c r="N121" s="18" t="b">
        <v>0</v>
      </c>
      <c r="O121" s="18" t="b">
        <v>0</v>
      </c>
      <c r="P121" s="18" t="b">
        <v>0</v>
      </c>
      <c r="Q121" s="18" t="b">
        <v>0</v>
      </c>
      <c r="R121" s="18" t="b">
        <v>0</v>
      </c>
    </row>
    <row r="122" spans="1:18" ht="15.75" hidden="1" customHeight="1">
      <c r="A122" s="76" t="s">
        <v>430</v>
      </c>
      <c r="B122" s="15"/>
      <c r="C122" s="76" t="s">
        <v>431</v>
      </c>
      <c r="D122" s="76" t="s">
        <v>432</v>
      </c>
      <c r="E122" s="16" t="s">
        <v>86</v>
      </c>
      <c r="F122" s="33" t="s">
        <v>38</v>
      </c>
      <c r="G122" s="16" t="b">
        <v>0</v>
      </c>
      <c r="H122" s="16" t="b">
        <v>0</v>
      </c>
      <c r="I122" s="16" t="b">
        <v>1</v>
      </c>
      <c r="J122" s="16" t="b">
        <v>0</v>
      </c>
      <c r="K122" s="16" t="b">
        <v>0</v>
      </c>
      <c r="L122" s="16" t="b">
        <v>0</v>
      </c>
      <c r="M122" s="16" t="b">
        <v>0</v>
      </c>
      <c r="N122" s="16" t="b">
        <v>0</v>
      </c>
      <c r="O122" s="16" t="b">
        <v>0</v>
      </c>
      <c r="P122" s="16" t="b">
        <v>0</v>
      </c>
      <c r="Q122" s="16" t="b">
        <v>0</v>
      </c>
      <c r="R122" s="16" t="b">
        <v>0</v>
      </c>
    </row>
    <row r="123" spans="1:18" ht="15.75" customHeight="1">
      <c r="A123" s="108" t="s">
        <v>433</v>
      </c>
      <c r="B123" s="106"/>
      <c r="C123" s="17" t="s">
        <v>434</v>
      </c>
      <c r="D123" s="17" t="s">
        <v>435</v>
      </c>
      <c r="E123" s="18" t="s">
        <v>43</v>
      </c>
      <c r="F123" s="19" t="s">
        <v>27</v>
      </c>
      <c r="G123" s="18" t="b">
        <v>1</v>
      </c>
      <c r="H123" s="18" t="b">
        <v>1</v>
      </c>
      <c r="I123" s="18" t="b">
        <v>0</v>
      </c>
      <c r="J123" s="18" t="b">
        <v>0</v>
      </c>
      <c r="K123" s="18" t="b">
        <v>0</v>
      </c>
      <c r="L123" s="18" t="b">
        <v>0</v>
      </c>
      <c r="M123" s="18" t="b">
        <v>0</v>
      </c>
      <c r="N123" s="18" t="b">
        <v>0</v>
      </c>
      <c r="O123" s="18" t="b">
        <v>0</v>
      </c>
      <c r="P123" s="18" t="b">
        <v>0</v>
      </c>
      <c r="Q123" s="18" t="b">
        <v>0</v>
      </c>
      <c r="R123" s="18" t="b">
        <v>0</v>
      </c>
    </row>
    <row r="124" spans="1:18" ht="15.75" customHeight="1">
      <c r="A124" s="87" t="s">
        <v>436</v>
      </c>
      <c r="B124" s="91"/>
      <c r="C124" s="88" t="s">
        <v>437</v>
      </c>
      <c r="D124" s="88" t="s">
        <v>438</v>
      </c>
      <c r="E124" s="18" t="s">
        <v>52</v>
      </c>
      <c r="F124" s="19" t="s">
        <v>27</v>
      </c>
      <c r="G124" s="18" t="b">
        <v>0</v>
      </c>
      <c r="H124" s="18" t="b">
        <v>0</v>
      </c>
      <c r="I124" s="18" t="b">
        <v>1</v>
      </c>
      <c r="J124" s="18" t="b">
        <v>0</v>
      </c>
      <c r="K124" s="18" t="b">
        <v>0</v>
      </c>
      <c r="L124" s="18" t="b">
        <v>0</v>
      </c>
      <c r="M124" s="18" t="b">
        <v>0</v>
      </c>
      <c r="N124" s="18" t="b">
        <v>0</v>
      </c>
      <c r="O124" s="18" t="b">
        <v>0</v>
      </c>
      <c r="P124" s="18" t="b">
        <v>0</v>
      </c>
      <c r="Q124" s="18" t="b">
        <v>0</v>
      </c>
      <c r="R124" s="18" t="b">
        <v>0</v>
      </c>
    </row>
    <row r="125" spans="1:18" ht="15.75" hidden="1" customHeight="1">
      <c r="A125" s="76" t="s">
        <v>440</v>
      </c>
      <c r="B125" s="15"/>
      <c r="C125" s="16" t="s">
        <v>441</v>
      </c>
      <c r="D125" s="16"/>
      <c r="E125" s="16" t="s">
        <v>140</v>
      </c>
      <c r="F125" s="33" t="s">
        <v>38</v>
      </c>
      <c r="G125" s="16" t="b">
        <v>0</v>
      </c>
      <c r="H125" s="16" t="b">
        <v>0</v>
      </c>
      <c r="I125" s="16" t="b">
        <v>0</v>
      </c>
      <c r="J125" s="16" t="b">
        <v>1</v>
      </c>
      <c r="K125" s="16" t="b">
        <v>0</v>
      </c>
      <c r="L125" s="16" t="b">
        <v>0</v>
      </c>
      <c r="M125" s="16" t="b">
        <v>0</v>
      </c>
      <c r="N125" s="16" t="b">
        <v>0</v>
      </c>
      <c r="O125" s="16" t="b">
        <v>0</v>
      </c>
      <c r="P125" s="16" t="b">
        <v>0</v>
      </c>
      <c r="Q125" s="16" t="b">
        <v>0</v>
      </c>
      <c r="R125" s="16" t="b">
        <v>0</v>
      </c>
    </row>
    <row r="126" spans="1:18" ht="15.75" customHeight="1">
      <c r="A126" s="61" t="s">
        <v>442</v>
      </c>
      <c r="B126" s="15" t="s">
        <v>442</v>
      </c>
      <c r="C126" s="17" t="s">
        <v>443</v>
      </c>
      <c r="D126" s="17" t="s">
        <v>444</v>
      </c>
      <c r="E126" s="18" t="s">
        <v>192</v>
      </c>
      <c r="F126" s="19" t="s">
        <v>27</v>
      </c>
      <c r="G126" s="18" t="b">
        <v>0</v>
      </c>
      <c r="H126" s="18" t="b">
        <v>0</v>
      </c>
      <c r="I126" s="18" t="b">
        <v>1</v>
      </c>
      <c r="J126" s="18" t="b">
        <v>0</v>
      </c>
      <c r="K126" s="18" t="b">
        <v>0</v>
      </c>
      <c r="L126" s="18" t="b">
        <v>0</v>
      </c>
      <c r="M126" s="18" t="b">
        <v>0</v>
      </c>
      <c r="N126" s="18" t="b">
        <v>0</v>
      </c>
      <c r="O126" s="18" t="b">
        <v>0</v>
      </c>
      <c r="P126" s="18" t="b">
        <v>0</v>
      </c>
      <c r="Q126" s="18" t="b">
        <v>1</v>
      </c>
      <c r="R126" s="18" t="b">
        <v>0</v>
      </c>
    </row>
    <row r="127" spans="1:18" ht="15.75" customHeight="1">
      <c r="A127" s="61" t="s">
        <v>445</v>
      </c>
      <c r="B127" s="51" t="s">
        <v>446</v>
      </c>
      <c r="C127" s="17" t="s">
        <v>447</v>
      </c>
      <c r="D127" s="17" t="s">
        <v>448</v>
      </c>
      <c r="E127" s="18" t="s">
        <v>154</v>
      </c>
      <c r="F127" s="19" t="s">
        <v>27</v>
      </c>
      <c r="G127" s="18" t="b">
        <v>0</v>
      </c>
      <c r="H127" s="18" t="b">
        <v>1</v>
      </c>
      <c r="I127" s="18" t="b">
        <v>1</v>
      </c>
      <c r="J127" s="18" t="b">
        <v>0</v>
      </c>
      <c r="K127" s="18" t="b">
        <v>0</v>
      </c>
      <c r="L127" s="18" t="b">
        <v>0</v>
      </c>
      <c r="M127" s="18" t="b">
        <v>0</v>
      </c>
      <c r="N127" s="18" t="b">
        <v>0</v>
      </c>
      <c r="O127" s="18" t="b">
        <v>0</v>
      </c>
      <c r="P127" s="18" t="b">
        <v>0</v>
      </c>
      <c r="Q127" s="18" t="b">
        <v>0</v>
      </c>
      <c r="R127" s="18" t="b">
        <v>0</v>
      </c>
    </row>
    <row r="128" spans="1:18" ht="15.75" customHeight="1">
      <c r="A128" s="61" t="s">
        <v>449</v>
      </c>
      <c r="B128" s="15" t="s">
        <v>450</v>
      </c>
      <c r="C128" s="17" t="s">
        <v>451</v>
      </c>
      <c r="D128" s="109" t="s">
        <v>452</v>
      </c>
      <c r="E128" s="18" t="s">
        <v>154</v>
      </c>
      <c r="F128" s="19" t="s">
        <v>27</v>
      </c>
      <c r="G128" s="18" t="b">
        <v>0</v>
      </c>
      <c r="H128" s="18" t="b">
        <v>0</v>
      </c>
      <c r="I128" s="18" t="b">
        <v>1</v>
      </c>
      <c r="J128" s="18" t="b">
        <v>0</v>
      </c>
      <c r="K128" s="18" t="b">
        <v>0</v>
      </c>
      <c r="L128" s="18" t="b">
        <v>0</v>
      </c>
      <c r="M128" s="18" t="b">
        <v>0</v>
      </c>
      <c r="N128" s="18" t="b">
        <v>0</v>
      </c>
      <c r="O128" s="18" t="b">
        <v>0</v>
      </c>
      <c r="P128" s="18" t="b">
        <v>1</v>
      </c>
      <c r="Q128" s="18" t="b">
        <v>0</v>
      </c>
      <c r="R128" s="18" t="b">
        <v>0</v>
      </c>
    </row>
    <row r="129" spans="1:18" ht="15.75" customHeight="1">
      <c r="A129" s="61" t="s">
        <v>453</v>
      </c>
      <c r="B129" s="51" t="s">
        <v>453</v>
      </c>
      <c r="C129" s="110" t="s">
        <v>454</v>
      </c>
      <c r="D129" s="17" t="s">
        <v>455</v>
      </c>
      <c r="E129" s="18" t="s">
        <v>33</v>
      </c>
      <c r="F129" s="19" t="s">
        <v>27</v>
      </c>
      <c r="G129" s="18" t="b">
        <v>0</v>
      </c>
      <c r="H129" s="18" t="b">
        <v>0</v>
      </c>
      <c r="I129" s="18" t="b">
        <v>0</v>
      </c>
      <c r="J129" s="18" t="b">
        <v>0</v>
      </c>
      <c r="K129" s="18" t="b">
        <v>0</v>
      </c>
      <c r="L129" s="18" t="b">
        <v>0</v>
      </c>
      <c r="M129" s="18" t="b">
        <v>0</v>
      </c>
      <c r="N129" s="18" t="b">
        <v>0</v>
      </c>
      <c r="O129" s="18" t="b">
        <v>0</v>
      </c>
      <c r="P129" s="18" t="b">
        <v>0</v>
      </c>
      <c r="Q129" s="18" t="b">
        <v>0</v>
      </c>
      <c r="R129" s="18" t="b">
        <v>1</v>
      </c>
    </row>
    <row r="130" spans="1:18" ht="15.75" customHeight="1">
      <c r="A130" s="61" t="s">
        <v>456</v>
      </c>
      <c r="B130" s="15"/>
      <c r="C130" s="17" t="s">
        <v>457</v>
      </c>
      <c r="D130" s="17" t="s">
        <v>458</v>
      </c>
      <c r="E130" s="18" t="s">
        <v>154</v>
      </c>
      <c r="F130" s="19" t="s">
        <v>27</v>
      </c>
      <c r="G130" s="18" t="b">
        <v>0</v>
      </c>
      <c r="H130" s="18" t="b">
        <v>0</v>
      </c>
      <c r="I130" s="18" t="b">
        <v>1</v>
      </c>
      <c r="J130" s="18" t="b">
        <v>0</v>
      </c>
      <c r="K130" s="18" t="b">
        <v>0</v>
      </c>
      <c r="L130" s="18" t="b">
        <v>0</v>
      </c>
      <c r="M130" s="18" t="b">
        <v>0</v>
      </c>
      <c r="N130" s="18" t="b">
        <v>0</v>
      </c>
      <c r="O130" s="18" t="b">
        <v>0</v>
      </c>
      <c r="P130" s="18" t="b">
        <v>0</v>
      </c>
      <c r="Q130" s="18" t="b">
        <v>0</v>
      </c>
      <c r="R130" s="18" t="b">
        <v>0</v>
      </c>
    </row>
    <row r="131" spans="1:18" ht="15.75" customHeight="1">
      <c r="A131" s="61" t="s">
        <v>459</v>
      </c>
      <c r="B131" s="15" t="s">
        <v>459</v>
      </c>
      <c r="C131" s="17" t="s">
        <v>460</v>
      </c>
      <c r="D131" s="17" t="s">
        <v>461</v>
      </c>
      <c r="E131" s="18" t="s">
        <v>69</v>
      </c>
      <c r="F131" s="19" t="s">
        <v>27</v>
      </c>
      <c r="G131" s="18" t="b">
        <v>0</v>
      </c>
      <c r="H131" s="18" t="b">
        <v>0</v>
      </c>
      <c r="I131" s="18" t="b">
        <v>0</v>
      </c>
      <c r="J131" s="18" t="b">
        <v>0</v>
      </c>
      <c r="K131" s="18" t="b">
        <v>0</v>
      </c>
      <c r="L131" s="18" t="b">
        <v>0</v>
      </c>
      <c r="M131" s="18" t="b">
        <v>0</v>
      </c>
      <c r="N131" s="18" t="b">
        <v>0</v>
      </c>
      <c r="O131" s="18" t="b">
        <v>1</v>
      </c>
      <c r="P131" s="18" t="b">
        <v>0</v>
      </c>
      <c r="Q131" s="18" t="b">
        <v>0</v>
      </c>
      <c r="R131" s="18" t="b">
        <v>0</v>
      </c>
    </row>
    <row r="132" spans="1:18" ht="15.75" customHeight="1">
      <c r="A132" s="61" t="s">
        <v>462</v>
      </c>
      <c r="B132" s="51" t="s">
        <v>462</v>
      </c>
      <c r="C132" s="17" t="s">
        <v>463</v>
      </c>
      <c r="D132" s="17" t="s">
        <v>464</v>
      </c>
      <c r="E132" s="18" t="s">
        <v>178</v>
      </c>
      <c r="F132" s="19" t="s">
        <v>27</v>
      </c>
      <c r="G132" s="18" t="b">
        <v>0</v>
      </c>
      <c r="H132" s="18" t="b">
        <v>0</v>
      </c>
      <c r="I132" s="18" t="b">
        <v>0</v>
      </c>
      <c r="J132" s="18" t="b">
        <v>0</v>
      </c>
      <c r="K132" s="18" t="b">
        <v>0</v>
      </c>
      <c r="L132" s="18" t="b">
        <v>0</v>
      </c>
      <c r="M132" s="18" t="b">
        <v>0</v>
      </c>
      <c r="N132" s="18" t="b">
        <v>1</v>
      </c>
      <c r="O132" s="18" t="b">
        <v>0</v>
      </c>
      <c r="P132" s="18" t="b">
        <v>0</v>
      </c>
      <c r="Q132" s="18" t="b">
        <v>0</v>
      </c>
      <c r="R132" s="18" t="b">
        <v>0</v>
      </c>
    </row>
    <row r="133" spans="1:18" ht="15.75" customHeight="1">
      <c r="A133" s="61" t="s">
        <v>465</v>
      </c>
      <c r="B133" s="93" t="s">
        <v>465</v>
      </c>
      <c r="C133" s="18" t="s">
        <v>466</v>
      </c>
      <c r="D133" s="45" t="s">
        <v>467</v>
      </c>
      <c r="E133" s="18" t="s">
        <v>33</v>
      </c>
      <c r="F133" s="19" t="s">
        <v>27</v>
      </c>
      <c r="G133" s="18" t="b">
        <v>0</v>
      </c>
      <c r="H133" s="18" t="b">
        <v>0</v>
      </c>
      <c r="I133" s="18" t="b">
        <v>0</v>
      </c>
      <c r="J133" s="18" t="b">
        <v>0</v>
      </c>
      <c r="K133" s="18" t="b">
        <v>0</v>
      </c>
      <c r="L133" s="18" t="b">
        <v>0</v>
      </c>
      <c r="M133" s="18" t="b">
        <v>0</v>
      </c>
      <c r="N133" s="18" t="b">
        <v>0</v>
      </c>
      <c r="O133" s="18" t="b">
        <v>0</v>
      </c>
      <c r="P133" s="18" t="b">
        <v>0</v>
      </c>
      <c r="Q133" s="18" t="b">
        <v>0</v>
      </c>
      <c r="R133" s="18" t="b">
        <v>1</v>
      </c>
    </row>
    <row r="134" spans="1:18" ht="15.75" hidden="1" customHeight="1">
      <c r="A134" s="111" t="s">
        <v>468</v>
      </c>
      <c r="B134" s="15" t="s">
        <v>468</v>
      </c>
      <c r="C134" s="16" t="s">
        <v>469</v>
      </c>
      <c r="D134" s="16" t="s">
        <v>470</v>
      </c>
      <c r="E134" s="16" t="s">
        <v>471</v>
      </c>
      <c r="F134" s="33" t="s">
        <v>38</v>
      </c>
      <c r="G134" s="16" t="b">
        <v>0</v>
      </c>
      <c r="H134" s="16" t="b">
        <v>0</v>
      </c>
      <c r="I134" s="16" t="b">
        <v>0</v>
      </c>
      <c r="J134" s="16" t="b">
        <v>0</v>
      </c>
      <c r="K134" s="16" t="b">
        <v>0</v>
      </c>
      <c r="L134" s="16" t="b">
        <v>0</v>
      </c>
      <c r="M134" s="16" t="b">
        <v>0</v>
      </c>
      <c r="N134" s="16" t="b">
        <v>0</v>
      </c>
      <c r="O134" s="16" t="b">
        <v>0</v>
      </c>
      <c r="P134" s="16" t="b">
        <v>0</v>
      </c>
      <c r="Q134" s="16" t="b">
        <v>0</v>
      </c>
      <c r="R134" s="16" t="b">
        <v>1</v>
      </c>
    </row>
    <row r="135" spans="1:18" ht="15.75" customHeight="1">
      <c r="A135" s="61" t="s">
        <v>472</v>
      </c>
      <c r="B135" s="15"/>
      <c r="C135" s="17" t="s">
        <v>473</v>
      </c>
      <c r="D135" s="17" t="s">
        <v>474</v>
      </c>
      <c r="E135" s="18" t="s">
        <v>178</v>
      </c>
      <c r="F135" s="19" t="s">
        <v>27</v>
      </c>
      <c r="G135" s="18" t="b">
        <v>0</v>
      </c>
      <c r="H135" s="18" t="b">
        <v>0</v>
      </c>
      <c r="I135" s="18" t="b">
        <v>0</v>
      </c>
      <c r="J135" s="18" t="b">
        <v>0</v>
      </c>
      <c r="K135" s="18" t="b">
        <v>0</v>
      </c>
      <c r="L135" s="18" t="b">
        <v>0</v>
      </c>
      <c r="M135" s="18" t="b">
        <v>0</v>
      </c>
      <c r="N135" s="18" t="b">
        <v>1</v>
      </c>
      <c r="O135" s="18" t="b">
        <v>0</v>
      </c>
      <c r="P135" s="18" t="b">
        <v>0</v>
      </c>
      <c r="Q135" s="18" t="b">
        <v>0</v>
      </c>
      <c r="R135" s="18" t="b">
        <v>0</v>
      </c>
    </row>
    <row r="136" spans="1:18" ht="15.75" customHeight="1">
      <c r="A136" s="61" t="s">
        <v>475</v>
      </c>
      <c r="B136" s="15"/>
      <c r="C136" s="18" t="s">
        <v>476</v>
      </c>
      <c r="D136" s="17" t="s">
        <v>477</v>
      </c>
      <c r="E136" s="18" t="s">
        <v>471</v>
      </c>
      <c r="F136" s="19" t="s">
        <v>27</v>
      </c>
      <c r="G136" s="18" t="b">
        <v>0</v>
      </c>
      <c r="H136" s="18" t="b">
        <v>0</v>
      </c>
      <c r="I136" s="18" t="b">
        <v>0</v>
      </c>
      <c r="J136" s="18" t="b">
        <v>0</v>
      </c>
      <c r="K136" s="18" t="b">
        <v>0</v>
      </c>
      <c r="L136" s="18" t="b">
        <v>0</v>
      </c>
      <c r="M136" s="18" t="b">
        <v>0</v>
      </c>
      <c r="N136" s="18" t="b">
        <v>0</v>
      </c>
      <c r="O136" s="18" t="b">
        <v>0</v>
      </c>
      <c r="P136" s="18" t="b">
        <v>0</v>
      </c>
      <c r="Q136" s="18" t="b">
        <v>0</v>
      </c>
      <c r="R136" s="18" t="b">
        <v>1</v>
      </c>
    </row>
    <row r="137" spans="1:18" ht="15.75" hidden="1" customHeight="1">
      <c r="A137" s="115" t="s">
        <v>478</v>
      </c>
      <c r="B137" s="15" t="s">
        <v>478</v>
      </c>
      <c r="C137" s="116" t="s">
        <v>479</v>
      </c>
      <c r="D137" s="117" t="s">
        <v>480</v>
      </c>
      <c r="E137" s="16" t="s">
        <v>43</v>
      </c>
      <c r="F137" s="19" t="s">
        <v>38</v>
      </c>
      <c r="G137" s="16" t="b">
        <v>1</v>
      </c>
      <c r="H137" s="16" t="b">
        <v>0</v>
      </c>
      <c r="I137" s="16" t="b">
        <v>0</v>
      </c>
      <c r="J137" s="16" t="b">
        <v>0</v>
      </c>
      <c r="K137" s="16" t="b">
        <v>0</v>
      </c>
      <c r="L137" s="16" t="b">
        <v>0</v>
      </c>
      <c r="M137" s="16" t="b">
        <v>0</v>
      </c>
      <c r="N137" s="16" t="b">
        <v>0</v>
      </c>
      <c r="O137" s="16" t="b">
        <v>0</v>
      </c>
      <c r="P137" s="16" t="b">
        <v>0</v>
      </c>
      <c r="Q137" s="16" t="b">
        <v>0</v>
      </c>
      <c r="R137" s="16" t="b">
        <v>0</v>
      </c>
    </row>
    <row r="138" spans="1:18" ht="15.75" hidden="1" customHeight="1">
      <c r="A138" s="111" t="s">
        <v>481</v>
      </c>
      <c r="B138" s="15"/>
      <c r="C138" s="16" t="s">
        <v>482</v>
      </c>
      <c r="D138" s="16" t="s">
        <v>483</v>
      </c>
      <c r="E138" s="16" t="s">
        <v>140</v>
      </c>
      <c r="F138" s="33" t="s">
        <v>38</v>
      </c>
      <c r="G138" s="16" t="b">
        <v>0</v>
      </c>
      <c r="H138" s="16" t="b">
        <v>1</v>
      </c>
      <c r="I138" s="16" t="b">
        <v>0</v>
      </c>
      <c r="J138" s="16" t="b">
        <v>0</v>
      </c>
      <c r="K138" s="16" t="b">
        <v>0</v>
      </c>
      <c r="L138" s="16" t="b">
        <v>0</v>
      </c>
      <c r="M138" s="16" t="b">
        <v>0</v>
      </c>
      <c r="N138" s="16" t="b">
        <v>0</v>
      </c>
      <c r="O138" s="16" t="b">
        <v>0</v>
      </c>
      <c r="P138" s="16" t="b">
        <v>0</v>
      </c>
      <c r="Q138" s="16" t="b">
        <v>0</v>
      </c>
      <c r="R138" s="16" t="b">
        <v>0</v>
      </c>
    </row>
    <row r="139" spans="1:18" ht="15.75" customHeight="1">
      <c r="A139" s="61" t="s">
        <v>484</v>
      </c>
      <c r="B139" s="51" t="s">
        <v>485</v>
      </c>
      <c r="C139" s="17" t="s">
        <v>486</v>
      </c>
      <c r="D139" s="17" t="s">
        <v>487</v>
      </c>
      <c r="E139" s="18" t="s">
        <v>154</v>
      </c>
      <c r="F139" s="19" t="s">
        <v>27</v>
      </c>
      <c r="G139" s="18" t="b">
        <v>0</v>
      </c>
      <c r="H139" s="18" t="b">
        <v>0</v>
      </c>
      <c r="I139" s="18" t="b">
        <v>1</v>
      </c>
      <c r="J139" s="18" t="b">
        <v>0</v>
      </c>
      <c r="K139" s="18" t="b">
        <v>0</v>
      </c>
      <c r="L139" s="18" t="b">
        <v>0</v>
      </c>
      <c r="M139" s="18" t="b">
        <v>0</v>
      </c>
      <c r="N139" s="18" t="b">
        <v>0</v>
      </c>
      <c r="O139" s="18" t="b">
        <v>0</v>
      </c>
      <c r="P139" s="18" t="b">
        <v>0</v>
      </c>
      <c r="Q139" s="18" t="b">
        <v>0</v>
      </c>
      <c r="R139" s="18" t="b">
        <v>0</v>
      </c>
    </row>
    <row r="140" spans="1:18" ht="15.75" customHeight="1">
      <c r="A140" s="87" t="s">
        <v>52</v>
      </c>
      <c r="B140" s="15" t="s">
        <v>488</v>
      </c>
      <c r="C140" s="44" t="s">
        <v>489</v>
      </c>
      <c r="D140" s="88" t="s">
        <v>490</v>
      </c>
      <c r="E140" s="18" t="s">
        <v>52</v>
      </c>
      <c r="F140" s="19" t="s">
        <v>27</v>
      </c>
      <c r="G140" s="18" t="b">
        <v>0</v>
      </c>
      <c r="H140" s="18" t="b">
        <v>0</v>
      </c>
      <c r="I140" s="18" t="b">
        <v>1</v>
      </c>
      <c r="J140" s="18" t="b">
        <v>0</v>
      </c>
      <c r="K140" s="18" t="b">
        <v>0</v>
      </c>
      <c r="L140" s="18" t="b">
        <v>0</v>
      </c>
      <c r="M140" s="18" t="b">
        <v>0</v>
      </c>
      <c r="N140" s="18" t="b">
        <v>0</v>
      </c>
      <c r="O140" s="18" t="b">
        <v>0</v>
      </c>
      <c r="P140" s="18" t="b">
        <v>0</v>
      </c>
      <c r="Q140" s="18" t="b">
        <v>0</v>
      </c>
      <c r="R140" s="18" t="b">
        <v>0</v>
      </c>
    </row>
    <row r="141" spans="1:18" ht="15.75" customHeight="1">
      <c r="A141" s="61" t="s">
        <v>491</v>
      </c>
      <c r="B141" s="15" t="s">
        <v>491</v>
      </c>
      <c r="C141" s="18" t="s">
        <v>492</v>
      </c>
      <c r="D141" s="17" t="s">
        <v>493</v>
      </c>
      <c r="E141" s="18" t="s">
        <v>192</v>
      </c>
      <c r="F141" s="19" t="s">
        <v>27</v>
      </c>
      <c r="G141" s="18" t="b">
        <v>0</v>
      </c>
      <c r="H141" s="18" t="b">
        <v>0</v>
      </c>
      <c r="I141" s="18" t="b">
        <v>0</v>
      </c>
      <c r="J141" s="18" t="b">
        <v>0</v>
      </c>
      <c r="K141" s="18" t="b">
        <v>0</v>
      </c>
      <c r="L141" s="18" t="b">
        <v>0</v>
      </c>
      <c r="M141" s="18" t="b">
        <v>0</v>
      </c>
      <c r="N141" s="18" t="b">
        <v>0</v>
      </c>
      <c r="O141" s="18" t="b">
        <v>0</v>
      </c>
      <c r="P141" s="18" t="b">
        <v>1</v>
      </c>
      <c r="Q141" s="18" t="b">
        <v>0</v>
      </c>
      <c r="R141" s="18" t="b">
        <v>0</v>
      </c>
    </row>
    <row r="142" spans="1:18" ht="15.75" hidden="1" customHeight="1">
      <c r="A142" s="17" t="s">
        <v>494</v>
      </c>
      <c r="B142" s="58" t="s">
        <v>494</v>
      </c>
      <c r="C142" s="17" t="s">
        <v>495</v>
      </c>
      <c r="D142" s="17" t="s">
        <v>496</v>
      </c>
      <c r="E142" s="18" t="s">
        <v>33</v>
      </c>
      <c r="F142" s="19" t="s">
        <v>38</v>
      </c>
      <c r="G142" s="18" t="b">
        <v>0</v>
      </c>
      <c r="H142" s="18" t="b">
        <v>0</v>
      </c>
      <c r="I142" s="18" t="b">
        <v>0</v>
      </c>
      <c r="J142" s="18" t="b">
        <v>0</v>
      </c>
      <c r="K142" s="18" t="b">
        <v>0</v>
      </c>
      <c r="L142" s="18" t="b">
        <v>0</v>
      </c>
      <c r="M142" s="18" t="b">
        <v>0</v>
      </c>
      <c r="N142" s="18" t="b">
        <v>0</v>
      </c>
      <c r="O142" s="18" t="b">
        <v>0</v>
      </c>
      <c r="P142" s="18" t="b">
        <v>0</v>
      </c>
      <c r="Q142" s="18" t="b">
        <v>0</v>
      </c>
      <c r="R142" s="18" t="b">
        <v>1</v>
      </c>
    </row>
    <row r="143" spans="1:18" ht="15.75" customHeight="1">
      <c r="A143" s="87" t="s">
        <v>498</v>
      </c>
      <c r="B143" s="72" t="s">
        <v>498</v>
      </c>
      <c r="C143" s="45" t="s">
        <v>499</v>
      </c>
      <c r="D143" s="17" t="s">
        <v>500</v>
      </c>
      <c r="E143" s="18" t="s">
        <v>178</v>
      </c>
      <c r="F143" s="19" t="s">
        <v>27</v>
      </c>
      <c r="G143" s="18" t="b">
        <v>0</v>
      </c>
      <c r="H143" s="18" t="b">
        <v>0</v>
      </c>
      <c r="I143" s="18" t="b">
        <v>0</v>
      </c>
      <c r="J143" s="18" t="b">
        <v>0</v>
      </c>
      <c r="K143" s="18" t="b">
        <v>0</v>
      </c>
      <c r="L143" s="18" t="b">
        <v>0</v>
      </c>
      <c r="M143" s="18" t="b">
        <v>1</v>
      </c>
      <c r="N143" s="18" t="b">
        <v>1</v>
      </c>
      <c r="O143" s="18" t="b">
        <v>0</v>
      </c>
      <c r="P143" s="18" t="b">
        <v>0</v>
      </c>
      <c r="Q143" s="18" t="b">
        <v>0</v>
      </c>
      <c r="R143" s="18" t="b">
        <v>0</v>
      </c>
    </row>
    <row r="144" spans="1:18" ht="15.75" customHeight="1">
      <c r="A144" s="61" t="s">
        <v>501</v>
      </c>
      <c r="B144" s="15" t="s">
        <v>501</v>
      </c>
      <c r="C144" s="18" t="s">
        <v>502</v>
      </c>
      <c r="D144" s="17" t="s">
        <v>503</v>
      </c>
      <c r="E144" s="18" t="s">
        <v>192</v>
      </c>
      <c r="F144" s="19" t="s">
        <v>27</v>
      </c>
      <c r="G144" s="18" t="b">
        <v>0</v>
      </c>
      <c r="H144" s="18" t="b">
        <v>0</v>
      </c>
      <c r="I144" s="18" t="b">
        <v>0</v>
      </c>
      <c r="J144" s="18" t="b">
        <v>0</v>
      </c>
      <c r="K144" s="18" t="b">
        <v>0</v>
      </c>
      <c r="L144" s="18" t="b">
        <v>0</v>
      </c>
      <c r="M144" s="18" t="b">
        <v>0</v>
      </c>
      <c r="N144" s="18" t="b">
        <v>1</v>
      </c>
      <c r="O144" s="18" t="b">
        <v>0</v>
      </c>
      <c r="P144" s="18" t="b">
        <v>1</v>
      </c>
      <c r="Q144" s="18" t="b">
        <v>0</v>
      </c>
      <c r="R144" s="18" t="b">
        <v>0</v>
      </c>
    </row>
    <row r="145" spans="1:18" ht="15.75" hidden="1" customHeight="1">
      <c r="A145" s="111" t="s">
        <v>504</v>
      </c>
      <c r="B145" s="15"/>
      <c r="C145" s="16" t="s">
        <v>505</v>
      </c>
      <c r="D145" s="16" t="s">
        <v>506</v>
      </c>
      <c r="E145" s="16" t="s">
        <v>140</v>
      </c>
      <c r="F145" s="33" t="s">
        <v>34</v>
      </c>
      <c r="G145" s="16" t="b">
        <v>0</v>
      </c>
      <c r="H145" s="16" t="b">
        <v>0</v>
      </c>
      <c r="I145" s="16" t="b">
        <v>0</v>
      </c>
      <c r="J145" s="16" t="b">
        <v>1</v>
      </c>
      <c r="K145" s="16" t="b">
        <v>0</v>
      </c>
      <c r="L145" s="16" t="b">
        <v>0</v>
      </c>
      <c r="M145" s="16" t="b">
        <v>0</v>
      </c>
      <c r="N145" s="16" t="b">
        <v>0</v>
      </c>
      <c r="O145" s="16" t="b">
        <v>0</v>
      </c>
      <c r="P145" s="16" t="b">
        <v>0</v>
      </c>
      <c r="Q145" s="16" t="b">
        <v>0</v>
      </c>
      <c r="R145" s="16" t="b">
        <v>0</v>
      </c>
    </row>
    <row r="146" spans="1:18" ht="15.75" customHeight="1">
      <c r="A146" s="61" t="s">
        <v>507</v>
      </c>
      <c r="B146" s="51" t="s">
        <v>508</v>
      </c>
      <c r="C146" s="17" t="s">
        <v>509</v>
      </c>
      <c r="D146" s="17" t="s">
        <v>510</v>
      </c>
      <c r="E146" s="18" t="s">
        <v>33</v>
      </c>
      <c r="F146" s="19" t="s">
        <v>27</v>
      </c>
      <c r="G146" s="18" t="b">
        <v>0</v>
      </c>
      <c r="H146" s="18" t="b">
        <v>0</v>
      </c>
      <c r="I146" s="18" t="b">
        <v>0</v>
      </c>
      <c r="J146" s="18" t="b">
        <v>0</v>
      </c>
      <c r="K146" s="18" t="b">
        <v>0</v>
      </c>
      <c r="L146" s="18" t="b">
        <v>0</v>
      </c>
      <c r="M146" s="18" t="b">
        <v>0</v>
      </c>
      <c r="N146" s="18" t="b">
        <v>0</v>
      </c>
      <c r="O146" s="18" t="b">
        <v>0</v>
      </c>
      <c r="P146" s="18" t="b">
        <v>0</v>
      </c>
      <c r="Q146" s="18" t="b">
        <v>0</v>
      </c>
      <c r="R146" s="18" t="b">
        <v>1</v>
      </c>
    </row>
    <row r="147" spans="1:18" ht="15.75" hidden="1" customHeight="1">
      <c r="A147" s="98" t="s">
        <v>511</v>
      </c>
      <c r="B147" s="15" t="s">
        <v>511</v>
      </c>
      <c r="C147" s="118" t="s">
        <v>512</v>
      </c>
      <c r="D147" s="118" t="s">
        <v>513</v>
      </c>
      <c r="E147" s="16" t="s">
        <v>33</v>
      </c>
      <c r="F147" s="33" t="s">
        <v>34</v>
      </c>
      <c r="G147" s="16" t="b">
        <v>0</v>
      </c>
      <c r="H147" s="16" t="b">
        <v>0</v>
      </c>
      <c r="I147" s="16" t="b">
        <v>0</v>
      </c>
      <c r="J147" s="16" t="b">
        <v>0</v>
      </c>
      <c r="K147" s="16" t="b">
        <v>0</v>
      </c>
      <c r="L147" s="16" t="b">
        <v>0</v>
      </c>
      <c r="M147" s="16" t="b">
        <v>0</v>
      </c>
      <c r="N147" s="16" t="b">
        <v>0</v>
      </c>
      <c r="O147" s="16" t="b">
        <v>0</v>
      </c>
      <c r="P147" s="16" t="b">
        <v>0</v>
      </c>
      <c r="Q147" s="16" t="b">
        <v>0</v>
      </c>
      <c r="R147" s="16" t="b">
        <v>1</v>
      </c>
    </row>
    <row r="148" spans="1:18" ht="15.75" hidden="1" customHeight="1">
      <c r="A148" s="16" t="s">
        <v>514</v>
      </c>
      <c r="B148" s="15" t="s">
        <v>514</v>
      </c>
      <c r="C148" s="16" t="s">
        <v>515</v>
      </c>
      <c r="D148" s="16" t="s">
        <v>516</v>
      </c>
      <c r="E148" s="16" t="s">
        <v>230</v>
      </c>
      <c r="F148" s="33" t="s">
        <v>38</v>
      </c>
      <c r="G148" s="16" t="b">
        <v>0</v>
      </c>
      <c r="H148" s="16" t="b">
        <v>1</v>
      </c>
      <c r="I148" s="16" t="b">
        <v>0</v>
      </c>
      <c r="J148" s="16" t="b">
        <v>0</v>
      </c>
      <c r="K148" s="16" t="b">
        <v>0</v>
      </c>
      <c r="L148" s="16" t="b">
        <v>0</v>
      </c>
      <c r="M148" s="16" t="b">
        <v>0</v>
      </c>
      <c r="N148" s="16" t="b">
        <v>0</v>
      </c>
      <c r="O148" s="16" t="b">
        <v>0</v>
      </c>
      <c r="P148" s="16" t="b">
        <v>0</v>
      </c>
      <c r="Q148" s="16" t="b">
        <v>0</v>
      </c>
      <c r="R148" s="16" t="b">
        <v>0</v>
      </c>
    </row>
    <row r="149" spans="1:18" ht="15.75" customHeight="1">
      <c r="A149" s="61" t="s">
        <v>517</v>
      </c>
      <c r="B149" s="51" t="s">
        <v>517</v>
      </c>
      <c r="C149" s="17" t="s">
        <v>518</v>
      </c>
      <c r="D149" s="17" t="s">
        <v>519</v>
      </c>
      <c r="E149" s="18" t="s">
        <v>33</v>
      </c>
      <c r="F149" s="19" t="s">
        <v>27</v>
      </c>
      <c r="G149" s="18" t="b">
        <v>0</v>
      </c>
      <c r="H149" s="18" t="b">
        <v>0</v>
      </c>
      <c r="I149" s="18" t="b">
        <v>0</v>
      </c>
      <c r="J149" s="18" t="b">
        <v>0</v>
      </c>
      <c r="K149" s="18" t="b">
        <v>0</v>
      </c>
      <c r="L149" s="18" t="b">
        <v>0</v>
      </c>
      <c r="M149" s="18" t="b">
        <v>0</v>
      </c>
      <c r="N149" s="18" t="b">
        <v>0</v>
      </c>
      <c r="O149" s="18" t="b">
        <v>0</v>
      </c>
      <c r="P149" s="18" t="b">
        <v>0</v>
      </c>
      <c r="Q149" s="18" t="b">
        <v>0</v>
      </c>
      <c r="R149" s="18" t="b">
        <v>1</v>
      </c>
    </row>
    <row r="150" spans="1:18" ht="15.75" customHeight="1">
      <c r="A150" s="61" t="s">
        <v>520</v>
      </c>
      <c r="B150" s="15" t="s">
        <v>521</v>
      </c>
      <c r="C150" s="18" t="s">
        <v>522</v>
      </c>
      <c r="D150" s="17" t="s">
        <v>523</v>
      </c>
      <c r="E150" s="18" t="s">
        <v>52</v>
      </c>
      <c r="F150" s="19" t="s">
        <v>27</v>
      </c>
      <c r="G150" s="18" t="b">
        <v>0</v>
      </c>
      <c r="H150" s="18" t="b">
        <v>0</v>
      </c>
      <c r="I150" s="18" t="b">
        <v>0</v>
      </c>
      <c r="J150" s="18" t="b">
        <v>1</v>
      </c>
      <c r="K150" s="18" t="b">
        <v>1</v>
      </c>
      <c r="L150" s="18" t="b">
        <v>0</v>
      </c>
      <c r="M150" s="18" t="b">
        <v>0</v>
      </c>
      <c r="N150" s="18" t="b">
        <v>0</v>
      </c>
      <c r="O150" s="18" t="b">
        <v>0</v>
      </c>
      <c r="P150" s="18" t="b">
        <v>0</v>
      </c>
      <c r="Q150" s="18" t="b">
        <v>0</v>
      </c>
      <c r="R150" s="18" t="b">
        <v>0</v>
      </c>
    </row>
    <row r="151" spans="1:18" ht="15.75" customHeight="1">
      <c r="A151" s="61" t="s">
        <v>524</v>
      </c>
      <c r="B151" s="15" t="s">
        <v>524</v>
      </c>
      <c r="C151" s="17" t="s">
        <v>525</v>
      </c>
      <c r="D151" s="17" t="s">
        <v>526</v>
      </c>
      <c r="E151" s="18" t="s">
        <v>154</v>
      </c>
      <c r="F151" s="19" t="s">
        <v>27</v>
      </c>
      <c r="G151" s="18" t="b">
        <v>0</v>
      </c>
      <c r="H151" s="18" t="b">
        <v>0</v>
      </c>
      <c r="I151" s="18" t="b">
        <v>1</v>
      </c>
      <c r="J151" s="18" t="b">
        <v>0</v>
      </c>
      <c r="K151" s="18" t="b">
        <v>0</v>
      </c>
      <c r="L151" s="18" t="b">
        <v>0</v>
      </c>
      <c r="M151" s="18" t="b">
        <v>0</v>
      </c>
      <c r="N151" s="18" t="b">
        <v>0</v>
      </c>
      <c r="O151" s="18" t="b">
        <v>0</v>
      </c>
      <c r="P151" s="18" t="b">
        <v>0</v>
      </c>
      <c r="Q151" s="18" t="b">
        <v>0</v>
      </c>
      <c r="R151" s="18" t="b">
        <v>0</v>
      </c>
    </row>
    <row r="152" spans="1:18" ht="15.75" hidden="1" customHeight="1">
      <c r="A152" s="61" t="s">
        <v>527</v>
      </c>
      <c r="B152" s="15"/>
      <c r="C152" s="18" t="s">
        <v>528</v>
      </c>
      <c r="D152" s="17" t="s">
        <v>529</v>
      </c>
      <c r="E152" s="18" t="s">
        <v>69</v>
      </c>
      <c r="F152" s="19" t="s">
        <v>34</v>
      </c>
      <c r="G152" s="18" t="b">
        <v>0</v>
      </c>
      <c r="H152" s="18" t="b">
        <v>0</v>
      </c>
      <c r="I152" s="18" t="b">
        <v>0</v>
      </c>
      <c r="J152" s="18" t="b">
        <v>0</v>
      </c>
      <c r="K152" s="18" t="b">
        <v>0</v>
      </c>
      <c r="L152" s="18" t="b">
        <v>0</v>
      </c>
      <c r="M152" s="18" t="b">
        <v>0</v>
      </c>
      <c r="N152" s="18" t="b">
        <v>0</v>
      </c>
      <c r="O152" s="18" t="b">
        <v>1</v>
      </c>
      <c r="P152" s="18" t="b">
        <v>0</v>
      </c>
      <c r="Q152" s="18" t="b">
        <v>0</v>
      </c>
      <c r="R152" s="18" t="b">
        <v>0</v>
      </c>
    </row>
    <row r="153" spans="1:18" ht="15.75" customHeight="1">
      <c r="A153" s="61" t="s">
        <v>530</v>
      </c>
      <c r="B153" s="15" t="s">
        <v>530</v>
      </c>
      <c r="C153" s="18" t="s">
        <v>531</v>
      </c>
      <c r="D153" s="119" t="s">
        <v>532</v>
      </c>
      <c r="E153" s="18" t="s">
        <v>140</v>
      </c>
      <c r="F153" s="19" t="s">
        <v>27</v>
      </c>
      <c r="G153" s="18" t="b">
        <v>0</v>
      </c>
      <c r="H153" s="18" t="b">
        <v>1</v>
      </c>
      <c r="I153" s="18" t="b">
        <v>0</v>
      </c>
      <c r="J153" s="18" t="b">
        <v>0</v>
      </c>
      <c r="K153" s="18" t="b">
        <v>0</v>
      </c>
      <c r="L153" s="18" t="b">
        <v>0</v>
      </c>
      <c r="M153" s="18" t="b">
        <v>0</v>
      </c>
      <c r="N153" s="18" t="b">
        <v>0</v>
      </c>
      <c r="O153" s="18" t="b">
        <v>0</v>
      </c>
      <c r="P153" s="18" t="b">
        <v>0</v>
      </c>
      <c r="Q153" s="18" t="b">
        <v>0</v>
      </c>
      <c r="R153" s="18" t="b">
        <v>0</v>
      </c>
    </row>
    <row r="154" spans="1:18" ht="15.75" customHeight="1">
      <c r="A154" s="87" t="s">
        <v>533</v>
      </c>
      <c r="B154" s="15" t="s">
        <v>533</v>
      </c>
      <c r="C154" s="44" t="s">
        <v>534</v>
      </c>
      <c r="D154" s="88" t="s">
        <v>535</v>
      </c>
      <c r="E154" s="18" t="s">
        <v>33</v>
      </c>
      <c r="F154" s="19" t="s">
        <v>27</v>
      </c>
      <c r="G154" s="18" t="b">
        <v>0</v>
      </c>
      <c r="H154" s="18" t="b">
        <v>0</v>
      </c>
      <c r="I154" s="18" t="b">
        <v>0</v>
      </c>
      <c r="J154" s="18" t="b">
        <v>0</v>
      </c>
      <c r="K154" s="18" t="b">
        <v>0</v>
      </c>
      <c r="L154" s="18" t="b">
        <v>0</v>
      </c>
      <c r="M154" s="18" t="b">
        <v>0</v>
      </c>
      <c r="N154" s="18" t="b">
        <v>0</v>
      </c>
      <c r="O154" s="18" t="b">
        <v>0</v>
      </c>
      <c r="P154" s="18" t="b">
        <v>0</v>
      </c>
      <c r="Q154" s="18" t="b">
        <v>0</v>
      </c>
      <c r="R154" s="18" t="b">
        <v>1</v>
      </c>
    </row>
    <row r="155" spans="1:18" ht="15.75" customHeight="1">
      <c r="A155" s="61" t="s">
        <v>536</v>
      </c>
      <c r="B155" s="15" t="s">
        <v>536</v>
      </c>
      <c r="C155" s="18" t="s">
        <v>537</v>
      </c>
      <c r="D155" s="17" t="s">
        <v>538</v>
      </c>
      <c r="E155" s="18" t="s">
        <v>178</v>
      </c>
      <c r="F155" s="19" t="s">
        <v>27</v>
      </c>
      <c r="G155" s="18" t="b">
        <v>0</v>
      </c>
      <c r="H155" s="18" t="b">
        <v>0</v>
      </c>
      <c r="I155" s="18" t="b">
        <v>0</v>
      </c>
      <c r="J155" s="18" t="b">
        <v>0</v>
      </c>
      <c r="K155" s="18" t="b">
        <v>0</v>
      </c>
      <c r="L155" s="18" t="b">
        <v>0</v>
      </c>
      <c r="M155" s="18" t="b">
        <v>0</v>
      </c>
      <c r="N155" s="18" t="b">
        <v>1</v>
      </c>
      <c r="O155" s="18" t="b">
        <v>0</v>
      </c>
      <c r="P155" s="18" t="b">
        <v>0</v>
      </c>
      <c r="Q155" s="18" t="b">
        <v>0</v>
      </c>
      <c r="R155" s="18" t="b">
        <v>0</v>
      </c>
    </row>
    <row r="156" spans="1:18" ht="15.75" customHeight="1">
      <c r="A156" s="61" t="s">
        <v>539</v>
      </c>
      <c r="B156" s="15" t="s">
        <v>539</v>
      </c>
      <c r="C156" s="18" t="s">
        <v>540</v>
      </c>
      <c r="D156" s="17" t="s">
        <v>541</v>
      </c>
      <c r="E156" s="18" t="s">
        <v>52</v>
      </c>
      <c r="F156" s="19" t="s">
        <v>27</v>
      </c>
      <c r="G156" s="18" t="b">
        <v>0</v>
      </c>
      <c r="H156" s="18" t="b">
        <v>0</v>
      </c>
      <c r="I156" s="18" t="b">
        <v>1</v>
      </c>
      <c r="J156" s="18" t="b">
        <v>1</v>
      </c>
      <c r="K156" s="18" t="b">
        <v>0</v>
      </c>
      <c r="L156" s="18" t="b">
        <v>0</v>
      </c>
      <c r="M156" s="18" t="b">
        <v>0</v>
      </c>
      <c r="N156" s="18" t="b">
        <v>0</v>
      </c>
      <c r="O156" s="18" t="b">
        <v>0</v>
      </c>
      <c r="P156" s="18" t="b">
        <v>0</v>
      </c>
      <c r="Q156" s="18" t="b">
        <v>0</v>
      </c>
      <c r="R156" s="18" t="b">
        <v>0</v>
      </c>
    </row>
    <row r="157" spans="1:18" ht="15.75" customHeight="1">
      <c r="A157" s="61" t="s">
        <v>542</v>
      </c>
      <c r="B157" s="15"/>
      <c r="C157" s="17" t="s">
        <v>543</v>
      </c>
      <c r="D157" s="17" t="s">
        <v>544</v>
      </c>
      <c r="E157" s="18" t="s">
        <v>154</v>
      </c>
      <c r="F157" s="19" t="s">
        <v>27</v>
      </c>
      <c r="G157" s="18" t="b">
        <v>0</v>
      </c>
      <c r="H157" s="18" t="b">
        <v>0</v>
      </c>
      <c r="I157" s="18" t="b">
        <v>1</v>
      </c>
      <c r="J157" s="18" t="b">
        <v>0</v>
      </c>
      <c r="K157" s="18" t="b">
        <v>0</v>
      </c>
      <c r="L157" s="18" t="b">
        <v>0</v>
      </c>
      <c r="M157" s="18" t="b">
        <v>0</v>
      </c>
      <c r="N157" s="18" t="b">
        <v>0</v>
      </c>
      <c r="O157" s="18" t="b">
        <v>0</v>
      </c>
      <c r="P157" s="18" t="b">
        <v>0</v>
      </c>
      <c r="Q157" s="18" t="b">
        <v>0</v>
      </c>
      <c r="R157" s="18" t="b">
        <v>0</v>
      </c>
    </row>
    <row r="158" spans="1:18" ht="15.75" customHeight="1">
      <c r="A158" s="61" t="s">
        <v>545</v>
      </c>
      <c r="B158" s="15" t="s">
        <v>545</v>
      </c>
      <c r="C158" s="17" t="s">
        <v>546</v>
      </c>
      <c r="D158" s="17" t="s">
        <v>547</v>
      </c>
      <c r="E158" s="18" t="s">
        <v>154</v>
      </c>
      <c r="F158" s="19" t="s">
        <v>27</v>
      </c>
      <c r="G158" s="18" t="b">
        <v>0</v>
      </c>
      <c r="H158" s="18" t="b">
        <v>0</v>
      </c>
      <c r="I158" s="18" t="b">
        <v>1</v>
      </c>
      <c r="J158" s="18" t="b">
        <v>0</v>
      </c>
      <c r="K158" s="18" t="b">
        <v>0</v>
      </c>
      <c r="L158" s="18" t="b">
        <v>0</v>
      </c>
      <c r="M158" s="18" t="b">
        <v>0</v>
      </c>
      <c r="N158" s="18" t="b">
        <v>0</v>
      </c>
      <c r="O158" s="18" t="b">
        <v>0</v>
      </c>
      <c r="P158" s="18" t="b">
        <v>1</v>
      </c>
      <c r="Q158" s="18" t="b">
        <v>1</v>
      </c>
      <c r="R158" s="18" t="b">
        <v>0</v>
      </c>
    </row>
    <row r="159" spans="1:18" ht="15.75" customHeight="1">
      <c r="A159" s="87" t="s">
        <v>548</v>
      </c>
      <c r="B159" s="15" t="s">
        <v>548</v>
      </c>
      <c r="C159" s="44" t="s">
        <v>549</v>
      </c>
      <c r="D159" s="45" t="s">
        <v>550</v>
      </c>
      <c r="E159" s="18" t="s">
        <v>52</v>
      </c>
      <c r="F159" s="19" t="s">
        <v>27</v>
      </c>
      <c r="G159" s="18" t="b">
        <v>0</v>
      </c>
      <c r="H159" s="18" t="b">
        <v>0</v>
      </c>
      <c r="I159" s="18" t="b">
        <v>1</v>
      </c>
      <c r="J159" s="18" t="b">
        <v>0</v>
      </c>
      <c r="K159" s="18" t="b">
        <v>1</v>
      </c>
      <c r="L159" s="18" t="b">
        <v>0</v>
      </c>
      <c r="M159" s="18" t="b">
        <v>0</v>
      </c>
      <c r="N159" s="18" t="b">
        <v>0</v>
      </c>
      <c r="O159" s="18" t="b">
        <v>0</v>
      </c>
      <c r="P159" s="18" t="b">
        <v>0</v>
      </c>
      <c r="Q159" s="18" t="b">
        <v>0</v>
      </c>
      <c r="R159" s="18" t="b">
        <v>0</v>
      </c>
    </row>
    <row r="160" spans="1:18" ht="15.75" customHeight="1">
      <c r="A160" s="61" t="s">
        <v>551</v>
      </c>
      <c r="B160" s="15"/>
      <c r="C160" s="101" t="s">
        <v>552</v>
      </c>
      <c r="D160" s="17" t="s">
        <v>553</v>
      </c>
      <c r="E160" s="18" t="s">
        <v>33</v>
      </c>
      <c r="F160" s="19" t="s">
        <v>27</v>
      </c>
      <c r="G160" s="18" t="b">
        <v>0</v>
      </c>
      <c r="H160" s="18" t="b">
        <v>0</v>
      </c>
      <c r="I160" s="18" t="b">
        <v>0</v>
      </c>
      <c r="J160" s="18" t="b">
        <v>0</v>
      </c>
      <c r="K160" s="18" t="b">
        <v>0</v>
      </c>
      <c r="L160" s="18" t="b">
        <v>0</v>
      </c>
      <c r="M160" s="18" t="b">
        <v>0</v>
      </c>
      <c r="N160" s="18" t="b">
        <v>0</v>
      </c>
      <c r="O160" s="18" t="b">
        <v>0</v>
      </c>
      <c r="P160" s="18" t="b">
        <v>0</v>
      </c>
      <c r="Q160" s="18" t="b">
        <v>0</v>
      </c>
      <c r="R160" s="18" t="b">
        <v>1</v>
      </c>
    </row>
    <row r="161" spans="1:18" ht="15.75" customHeight="1">
      <c r="A161" s="61" t="s">
        <v>554</v>
      </c>
      <c r="B161" s="51" t="s">
        <v>554</v>
      </c>
      <c r="C161" s="17" t="s">
        <v>555</v>
      </c>
      <c r="D161" s="17" t="s">
        <v>556</v>
      </c>
      <c r="E161" s="18" t="s">
        <v>52</v>
      </c>
      <c r="F161" s="19" t="s">
        <v>27</v>
      </c>
      <c r="G161" s="18" t="b">
        <v>0</v>
      </c>
      <c r="H161" s="18" t="b">
        <v>0</v>
      </c>
      <c r="I161" s="18" t="b">
        <v>1</v>
      </c>
      <c r="J161" s="18" t="b">
        <v>0</v>
      </c>
      <c r="K161" s="18" t="b">
        <v>0</v>
      </c>
      <c r="L161" s="18" t="b">
        <v>0</v>
      </c>
      <c r="M161" s="18" t="b">
        <v>0</v>
      </c>
      <c r="N161" s="18" t="b">
        <v>0</v>
      </c>
      <c r="O161" s="18" t="b">
        <v>0</v>
      </c>
      <c r="P161" s="18" t="b">
        <v>0</v>
      </c>
      <c r="Q161" s="18" t="b">
        <v>0</v>
      </c>
      <c r="R161" s="18" t="b">
        <v>0</v>
      </c>
    </row>
    <row r="162" spans="1:18" ht="15.75" customHeight="1">
      <c r="A162" s="61" t="s">
        <v>557</v>
      </c>
      <c r="B162" s="81" t="s">
        <v>557</v>
      </c>
      <c r="C162" s="18" t="s">
        <v>558</v>
      </c>
      <c r="D162" s="17" t="s">
        <v>559</v>
      </c>
      <c r="E162" s="18" t="s">
        <v>33</v>
      </c>
      <c r="F162" s="19" t="s">
        <v>27</v>
      </c>
      <c r="G162" s="18" t="b">
        <v>0</v>
      </c>
      <c r="H162" s="18" t="b">
        <v>0</v>
      </c>
      <c r="I162" s="18" t="b">
        <v>0</v>
      </c>
      <c r="J162" s="18" t="b">
        <v>0</v>
      </c>
      <c r="K162" s="18" t="b">
        <v>0</v>
      </c>
      <c r="L162" s="18" t="b">
        <v>0</v>
      </c>
      <c r="M162" s="18" t="b">
        <v>0</v>
      </c>
      <c r="N162" s="18" t="b">
        <v>0</v>
      </c>
      <c r="O162" s="18" t="b">
        <v>0</v>
      </c>
      <c r="P162" s="18" t="b">
        <v>0</v>
      </c>
      <c r="Q162" s="18" t="b">
        <v>0</v>
      </c>
      <c r="R162" s="18" t="b">
        <v>1</v>
      </c>
    </row>
    <row r="163" spans="1:18" ht="15.75" customHeight="1">
      <c r="A163" s="61" t="s">
        <v>560</v>
      </c>
      <c r="B163" s="51" t="s">
        <v>561</v>
      </c>
      <c r="C163" s="110" t="s">
        <v>562</v>
      </c>
      <c r="D163" s="68" t="s">
        <v>563</v>
      </c>
      <c r="E163" s="16" t="s">
        <v>60</v>
      </c>
      <c r="F163" s="19" t="s">
        <v>27</v>
      </c>
      <c r="G163" s="18" t="b">
        <v>0</v>
      </c>
      <c r="H163" s="18" t="b">
        <v>0</v>
      </c>
      <c r="I163" s="18" t="b">
        <v>0</v>
      </c>
      <c r="J163" s="18" t="b">
        <v>1</v>
      </c>
      <c r="K163" s="18" t="b">
        <v>0</v>
      </c>
      <c r="L163" s="18" t="b">
        <v>0</v>
      </c>
      <c r="M163" s="18" t="b">
        <v>1</v>
      </c>
      <c r="N163" s="18" t="b">
        <v>0</v>
      </c>
      <c r="O163" s="18" t="b">
        <v>0</v>
      </c>
      <c r="P163" s="18" t="b">
        <v>0</v>
      </c>
      <c r="Q163" s="18" t="b">
        <v>0</v>
      </c>
      <c r="R163" s="18" t="b">
        <v>0</v>
      </c>
    </row>
    <row r="164" spans="1:18" ht="15.75" customHeight="1">
      <c r="A164" s="61" t="s">
        <v>564</v>
      </c>
      <c r="B164" s="15" t="s">
        <v>564</v>
      </c>
      <c r="C164" s="17" t="s">
        <v>565</v>
      </c>
      <c r="D164" s="17" t="s">
        <v>566</v>
      </c>
      <c r="E164" s="18" t="s">
        <v>33</v>
      </c>
      <c r="F164" s="19" t="s">
        <v>27</v>
      </c>
      <c r="G164" s="18" t="b">
        <v>0</v>
      </c>
      <c r="H164" s="18" t="b">
        <v>0</v>
      </c>
      <c r="I164" s="18" t="b">
        <v>0</v>
      </c>
      <c r="J164" s="18" t="b">
        <v>0</v>
      </c>
      <c r="K164" s="18" t="b">
        <v>0</v>
      </c>
      <c r="L164" s="18" t="b">
        <v>0</v>
      </c>
      <c r="M164" s="18" t="b">
        <v>0</v>
      </c>
      <c r="N164" s="18" t="b">
        <v>0</v>
      </c>
      <c r="O164" s="18" t="b">
        <v>0</v>
      </c>
      <c r="P164" s="18" t="b">
        <v>0</v>
      </c>
      <c r="Q164" s="18" t="b">
        <v>0</v>
      </c>
      <c r="R164" s="18" t="b">
        <v>1</v>
      </c>
    </row>
    <row r="165" spans="1:18" ht="15.75" customHeight="1">
      <c r="A165" s="61" t="s">
        <v>567</v>
      </c>
      <c r="B165" s="15" t="s">
        <v>567</v>
      </c>
      <c r="C165" s="18" t="s">
        <v>568</v>
      </c>
      <c r="D165" s="17" t="s">
        <v>569</v>
      </c>
      <c r="E165" s="18" t="s">
        <v>178</v>
      </c>
      <c r="F165" s="19" t="s">
        <v>27</v>
      </c>
      <c r="G165" s="18" t="b">
        <v>0</v>
      </c>
      <c r="H165" s="18" t="b">
        <v>0</v>
      </c>
      <c r="I165" s="18" t="b">
        <v>0</v>
      </c>
      <c r="J165" s="18" t="b">
        <v>0</v>
      </c>
      <c r="K165" s="18" t="b">
        <v>0</v>
      </c>
      <c r="L165" s="18" t="b">
        <v>0</v>
      </c>
      <c r="M165" s="18" t="b">
        <v>1</v>
      </c>
      <c r="N165" s="18" t="b">
        <v>1</v>
      </c>
      <c r="O165" s="18" t="b">
        <v>0</v>
      </c>
      <c r="P165" s="18" t="b">
        <v>0</v>
      </c>
      <c r="Q165" s="18" t="b">
        <v>0</v>
      </c>
      <c r="R165" s="18" t="b">
        <v>0</v>
      </c>
    </row>
    <row r="166" spans="1:18" ht="15.75" customHeight="1">
      <c r="A166" s="61" t="s">
        <v>570</v>
      </c>
      <c r="B166" s="15" t="s">
        <v>570</v>
      </c>
      <c r="C166" s="18" t="s">
        <v>571</v>
      </c>
      <c r="D166" s="17" t="s">
        <v>572</v>
      </c>
      <c r="E166" s="18" t="s">
        <v>154</v>
      </c>
      <c r="F166" s="19" t="s">
        <v>27</v>
      </c>
      <c r="G166" s="18" t="b">
        <v>0</v>
      </c>
      <c r="H166" s="18" t="b">
        <v>0</v>
      </c>
      <c r="I166" s="18" t="b">
        <v>1</v>
      </c>
      <c r="J166" s="18" t="b">
        <v>0</v>
      </c>
      <c r="K166" s="18" t="b">
        <v>0</v>
      </c>
      <c r="L166" s="18" t="b">
        <v>0</v>
      </c>
      <c r="M166" s="18" t="b">
        <v>0</v>
      </c>
      <c r="N166" s="18" t="b">
        <v>0</v>
      </c>
      <c r="O166" s="18" t="b">
        <v>0</v>
      </c>
      <c r="P166" s="18" t="b">
        <v>0</v>
      </c>
      <c r="Q166" s="18" t="b">
        <v>0</v>
      </c>
      <c r="R166" s="18" t="b">
        <v>0</v>
      </c>
    </row>
    <row r="167" spans="1:18" ht="15.75" customHeight="1">
      <c r="A167" s="61" t="s">
        <v>573</v>
      </c>
      <c r="B167" s="15" t="s">
        <v>573</v>
      </c>
      <c r="C167" s="18" t="s">
        <v>574</v>
      </c>
      <c r="D167" s="17" t="s">
        <v>575</v>
      </c>
      <c r="E167" s="16" t="s">
        <v>60</v>
      </c>
      <c r="F167" s="19" t="s">
        <v>27</v>
      </c>
      <c r="G167" s="18" t="b">
        <v>0</v>
      </c>
      <c r="H167" s="18" t="b">
        <v>0</v>
      </c>
      <c r="I167" s="18" t="b">
        <v>0</v>
      </c>
      <c r="J167" s="18" t="b">
        <v>0</v>
      </c>
      <c r="K167" s="18" t="b">
        <v>0</v>
      </c>
      <c r="L167" s="18" t="b">
        <v>0</v>
      </c>
      <c r="M167" s="18" t="b">
        <v>1</v>
      </c>
      <c r="N167" s="18" t="b">
        <v>0</v>
      </c>
      <c r="O167" s="18" t="b">
        <v>0</v>
      </c>
      <c r="P167" s="18" t="b">
        <v>0</v>
      </c>
      <c r="Q167" s="18" t="b">
        <v>0</v>
      </c>
      <c r="R167" s="18" t="b">
        <v>0</v>
      </c>
    </row>
    <row r="168" spans="1:18" ht="15.75" customHeight="1">
      <c r="A168" s="61" t="s">
        <v>576</v>
      </c>
      <c r="B168" s="51" t="s">
        <v>576</v>
      </c>
      <c r="C168" s="17" t="s">
        <v>577</v>
      </c>
      <c r="D168" s="17" t="s">
        <v>578</v>
      </c>
      <c r="E168" s="18" t="s">
        <v>33</v>
      </c>
      <c r="F168" s="19" t="s">
        <v>27</v>
      </c>
      <c r="G168" s="18" t="b">
        <v>0</v>
      </c>
      <c r="H168" s="18" t="b">
        <v>0</v>
      </c>
      <c r="I168" s="18" t="b">
        <v>0</v>
      </c>
      <c r="J168" s="18" t="b">
        <v>0</v>
      </c>
      <c r="K168" s="18" t="b">
        <v>0</v>
      </c>
      <c r="L168" s="18" t="b">
        <v>0</v>
      </c>
      <c r="M168" s="18" t="b">
        <v>0</v>
      </c>
      <c r="N168" s="18" t="b">
        <v>0</v>
      </c>
      <c r="O168" s="18" t="b">
        <v>1</v>
      </c>
      <c r="P168" s="18" t="b">
        <v>0</v>
      </c>
      <c r="Q168" s="18" t="b">
        <v>0</v>
      </c>
      <c r="R168" s="18" t="b">
        <v>1</v>
      </c>
    </row>
    <row r="169" spans="1:18" ht="15.75" customHeight="1">
      <c r="A169" s="87" t="s">
        <v>579</v>
      </c>
      <c r="B169" s="72" t="s">
        <v>579</v>
      </c>
      <c r="C169" s="88" t="s">
        <v>580</v>
      </c>
      <c r="D169" s="45" t="s">
        <v>581</v>
      </c>
      <c r="E169" s="18" t="s">
        <v>33</v>
      </c>
      <c r="F169" s="19" t="s">
        <v>27</v>
      </c>
      <c r="G169" s="18" t="b">
        <v>0</v>
      </c>
      <c r="H169" s="18" t="b">
        <v>0</v>
      </c>
      <c r="I169" s="18" t="b">
        <v>0</v>
      </c>
      <c r="J169" s="18" t="b">
        <v>0</v>
      </c>
      <c r="K169" s="18" t="b">
        <v>0</v>
      </c>
      <c r="L169" s="18" t="b">
        <v>0</v>
      </c>
      <c r="M169" s="18" t="b">
        <v>0</v>
      </c>
      <c r="N169" s="18" t="b">
        <v>0</v>
      </c>
      <c r="O169" s="18" t="b">
        <v>0</v>
      </c>
      <c r="P169" s="18" t="b">
        <v>0</v>
      </c>
      <c r="Q169" s="18" t="b">
        <v>0</v>
      </c>
      <c r="R169" s="18" t="b">
        <v>1</v>
      </c>
    </row>
    <row r="170" spans="1:18" ht="15.75" customHeight="1">
      <c r="A170" s="61" t="s">
        <v>582</v>
      </c>
      <c r="B170" s="15" t="s">
        <v>582</v>
      </c>
      <c r="C170" s="18" t="s">
        <v>583</v>
      </c>
      <c r="D170" s="17" t="s">
        <v>584</v>
      </c>
      <c r="E170" s="18" t="s">
        <v>154</v>
      </c>
      <c r="F170" s="19" t="s">
        <v>27</v>
      </c>
      <c r="G170" s="18" t="b">
        <v>0</v>
      </c>
      <c r="H170" s="18" t="b">
        <v>0</v>
      </c>
      <c r="I170" s="18" t="b">
        <v>1</v>
      </c>
      <c r="J170" s="18" t="b">
        <v>0</v>
      </c>
      <c r="K170" s="18" t="b">
        <v>0</v>
      </c>
      <c r="L170" s="18" t="b">
        <v>0</v>
      </c>
      <c r="M170" s="18" t="b">
        <v>0</v>
      </c>
      <c r="N170" s="18" t="b">
        <v>0</v>
      </c>
      <c r="O170" s="18" t="b">
        <v>0</v>
      </c>
      <c r="P170" s="18" t="b">
        <v>0</v>
      </c>
      <c r="Q170" s="18" t="b">
        <v>0</v>
      </c>
      <c r="R170" s="18" t="b">
        <v>0</v>
      </c>
    </row>
    <row r="171" spans="1:18" ht="15.75" hidden="1" customHeight="1">
      <c r="A171" s="111" t="s">
        <v>585</v>
      </c>
      <c r="B171" s="15" t="s">
        <v>585</v>
      </c>
      <c r="C171" s="16" t="s">
        <v>586</v>
      </c>
      <c r="D171" s="16" t="s">
        <v>587</v>
      </c>
      <c r="E171" s="16" t="s">
        <v>43</v>
      </c>
      <c r="F171" s="19" t="s">
        <v>38</v>
      </c>
      <c r="G171" s="16" t="b">
        <v>1</v>
      </c>
      <c r="H171" s="16" t="b">
        <v>1</v>
      </c>
      <c r="I171" s="16" t="b">
        <v>0</v>
      </c>
      <c r="J171" s="16" t="b">
        <v>0</v>
      </c>
      <c r="K171" s="16" t="b">
        <v>0</v>
      </c>
      <c r="L171" s="16" t="b">
        <v>0</v>
      </c>
      <c r="M171" s="16" t="b">
        <v>0</v>
      </c>
      <c r="N171" s="16" t="b">
        <v>0</v>
      </c>
      <c r="O171" s="16" t="b">
        <v>0</v>
      </c>
      <c r="P171" s="16" t="b">
        <v>0</v>
      </c>
      <c r="Q171" s="16" t="b">
        <v>0</v>
      </c>
      <c r="R171" s="16" t="b">
        <v>0</v>
      </c>
    </row>
    <row r="172" spans="1:18" ht="15.75" customHeight="1">
      <c r="A172" s="14" t="s">
        <v>588</v>
      </c>
      <c r="B172" s="51" t="s">
        <v>589</v>
      </c>
      <c r="C172" s="120" t="s">
        <v>590</v>
      </c>
      <c r="D172" s="68" t="s">
        <v>591</v>
      </c>
      <c r="E172" s="16" t="s">
        <v>60</v>
      </c>
      <c r="F172" s="19" t="s">
        <v>27</v>
      </c>
      <c r="G172" s="18" t="b">
        <v>0</v>
      </c>
      <c r="H172" s="18" t="b">
        <v>0</v>
      </c>
      <c r="I172" s="18" t="b">
        <v>0</v>
      </c>
      <c r="J172" s="18" t="b">
        <v>0</v>
      </c>
      <c r="K172" s="18" t="b">
        <v>0</v>
      </c>
      <c r="L172" s="18" t="b">
        <v>0</v>
      </c>
      <c r="M172" s="18" t="b">
        <v>1</v>
      </c>
      <c r="N172" s="18" t="b">
        <v>0</v>
      </c>
      <c r="O172" s="18" t="b">
        <v>0</v>
      </c>
      <c r="P172" s="18" t="b">
        <v>0</v>
      </c>
      <c r="Q172" s="18" t="b">
        <v>0</v>
      </c>
      <c r="R172" s="18" t="b">
        <v>0</v>
      </c>
    </row>
    <row r="173" spans="1:18" ht="15.75" customHeight="1">
      <c r="A173" s="87" t="s">
        <v>592</v>
      </c>
      <c r="B173" s="15" t="s">
        <v>592</v>
      </c>
      <c r="C173" s="102" t="s">
        <v>593</v>
      </c>
      <c r="D173" s="121" t="s">
        <v>594</v>
      </c>
      <c r="E173" s="18" t="s">
        <v>43</v>
      </c>
      <c r="F173" s="19" t="s">
        <v>27</v>
      </c>
      <c r="G173" s="18" t="b">
        <v>1</v>
      </c>
      <c r="H173" s="18" t="b">
        <v>0</v>
      </c>
      <c r="I173" s="18" t="b">
        <v>0</v>
      </c>
      <c r="J173" s="18" t="b">
        <v>0</v>
      </c>
      <c r="K173" s="18" t="b">
        <v>0</v>
      </c>
      <c r="L173" s="18" t="b">
        <v>0</v>
      </c>
      <c r="M173" s="18" t="b">
        <v>0</v>
      </c>
      <c r="N173" s="18" t="b">
        <v>0</v>
      </c>
      <c r="O173" s="18" t="b">
        <v>0</v>
      </c>
      <c r="P173" s="18" t="b">
        <v>0</v>
      </c>
      <c r="Q173" s="18" t="b">
        <v>0</v>
      </c>
      <c r="R173" s="18" t="b">
        <v>0</v>
      </c>
    </row>
    <row r="174" spans="1:18" ht="15.75" customHeight="1">
      <c r="A174" s="61" t="s">
        <v>595</v>
      </c>
      <c r="B174" s="15" t="s">
        <v>595</v>
      </c>
      <c r="C174" s="18" t="s">
        <v>596</v>
      </c>
      <c r="D174" s="17" t="s">
        <v>597</v>
      </c>
      <c r="E174" s="18" t="s">
        <v>52</v>
      </c>
      <c r="F174" s="19" t="s">
        <v>27</v>
      </c>
      <c r="G174" s="18" t="b">
        <v>0</v>
      </c>
      <c r="H174" s="18" t="b">
        <v>0</v>
      </c>
      <c r="I174" s="18" t="b">
        <v>0</v>
      </c>
      <c r="J174" s="18" t="b">
        <v>1</v>
      </c>
      <c r="K174" s="18" t="b">
        <v>0</v>
      </c>
      <c r="L174" s="18" t="b">
        <v>0</v>
      </c>
      <c r="M174" s="18" t="b">
        <v>0</v>
      </c>
      <c r="N174" s="18" t="b">
        <v>0</v>
      </c>
      <c r="O174" s="18" t="b">
        <v>0</v>
      </c>
      <c r="P174" s="18" t="b">
        <v>0</v>
      </c>
      <c r="Q174" s="18" t="b">
        <v>0</v>
      </c>
      <c r="R174" s="18" t="b">
        <v>1</v>
      </c>
    </row>
    <row r="175" spans="1:18" ht="15.75" customHeight="1">
      <c r="A175" s="61" t="s">
        <v>598</v>
      </c>
      <c r="B175" s="106"/>
      <c r="C175" s="17" t="s">
        <v>599</v>
      </c>
      <c r="D175" s="17" t="s">
        <v>600</v>
      </c>
      <c r="E175" s="18" t="s">
        <v>154</v>
      </c>
      <c r="F175" s="19" t="s">
        <v>27</v>
      </c>
      <c r="G175" s="18" t="b">
        <v>0</v>
      </c>
      <c r="H175" s="18" t="b">
        <v>0</v>
      </c>
      <c r="I175" s="18" t="b">
        <v>1</v>
      </c>
      <c r="J175" s="18" t="b">
        <v>0</v>
      </c>
      <c r="K175" s="18" t="b">
        <v>0</v>
      </c>
      <c r="L175" s="18" t="b">
        <v>0</v>
      </c>
      <c r="M175" s="18" t="b">
        <v>0</v>
      </c>
      <c r="N175" s="18" t="b">
        <v>0</v>
      </c>
      <c r="O175" s="18" t="b">
        <v>0</v>
      </c>
      <c r="P175" s="18" t="b">
        <v>0</v>
      </c>
      <c r="Q175" s="18" t="b">
        <v>1</v>
      </c>
      <c r="R175" s="18" t="b">
        <v>0</v>
      </c>
    </row>
    <row r="176" spans="1:18" ht="15.75" customHeight="1">
      <c r="A176" s="61" t="s">
        <v>601</v>
      </c>
      <c r="B176" s="51" t="s">
        <v>601</v>
      </c>
      <c r="C176" s="17" t="s">
        <v>602</v>
      </c>
      <c r="D176" s="17" t="s">
        <v>603</v>
      </c>
      <c r="E176" s="18" t="s">
        <v>33</v>
      </c>
      <c r="F176" s="19" t="s">
        <v>27</v>
      </c>
      <c r="G176" s="18" t="b">
        <v>0</v>
      </c>
      <c r="H176" s="18" t="b">
        <v>0</v>
      </c>
      <c r="I176" s="18" t="b">
        <v>0</v>
      </c>
      <c r="J176" s="18" t="b">
        <v>0</v>
      </c>
      <c r="K176" s="18" t="b">
        <v>0</v>
      </c>
      <c r="L176" s="18" t="b">
        <v>0</v>
      </c>
      <c r="M176" s="18" t="b">
        <v>0</v>
      </c>
      <c r="N176" s="18" t="b">
        <v>0</v>
      </c>
      <c r="O176" s="18" t="b">
        <v>0</v>
      </c>
      <c r="P176" s="18" t="b">
        <v>0</v>
      </c>
      <c r="Q176" s="18" t="b">
        <v>0</v>
      </c>
      <c r="R176" s="18" t="b">
        <v>1</v>
      </c>
    </row>
    <row r="177" spans="1:18" ht="15.75" hidden="1" customHeight="1">
      <c r="A177" s="111" t="s">
        <v>604</v>
      </c>
      <c r="B177" s="15" t="s">
        <v>604</v>
      </c>
      <c r="C177" s="16" t="s">
        <v>605</v>
      </c>
      <c r="D177" s="16" t="s">
        <v>606</v>
      </c>
      <c r="E177" s="16" t="s">
        <v>140</v>
      </c>
      <c r="F177" s="33" t="s">
        <v>38</v>
      </c>
      <c r="G177" s="16" t="b">
        <v>0</v>
      </c>
      <c r="H177" s="16" t="b">
        <v>1</v>
      </c>
      <c r="I177" s="16" t="b">
        <v>0</v>
      </c>
      <c r="J177" s="16" t="b">
        <v>0</v>
      </c>
      <c r="K177" s="16" t="b">
        <v>0</v>
      </c>
      <c r="L177" s="16" t="b">
        <v>0</v>
      </c>
      <c r="M177" s="16" t="b">
        <v>0</v>
      </c>
      <c r="N177" s="16" t="b">
        <v>0</v>
      </c>
      <c r="O177" s="16" t="b">
        <v>0</v>
      </c>
      <c r="P177" s="16" t="b">
        <v>0</v>
      </c>
      <c r="Q177" s="16" t="b">
        <v>0</v>
      </c>
      <c r="R177" s="16" t="b">
        <v>0</v>
      </c>
    </row>
    <row r="178" spans="1:18" ht="15.75" customHeight="1">
      <c r="A178" s="61" t="s">
        <v>192</v>
      </c>
      <c r="B178" s="15"/>
      <c r="C178" s="44" t="s">
        <v>607</v>
      </c>
      <c r="D178" s="17" t="s">
        <v>608</v>
      </c>
      <c r="E178" s="18" t="s">
        <v>471</v>
      </c>
      <c r="F178" s="19" t="s">
        <v>27</v>
      </c>
      <c r="G178" s="18" t="b">
        <v>0</v>
      </c>
      <c r="H178" s="18" t="b">
        <v>0</v>
      </c>
      <c r="I178" s="18" t="b">
        <v>0</v>
      </c>
      <c r="J178" s="18" t="b">
        <v>0</v>
      </c>
      <c r="K178" s="18" t="b">
        <v>0</v>
      </c>
      <c r="L178" s="18" t="b">
        <v>0</v>
      </c>
      <c r="M178" s="18" t="b">
        <v>0</v>
      </c>
      <c r="N178" s="18" t="b">
        <v>0</v>
      </c>
      <c r="O178" s="18" t="b">
        <v>0</v>
      </c>
      <c r="P178" s="18" t="b">
        <v>0</v>
      </c>
      <c r="Q178" s="18" t="b">
        <v>0</v>
      </c>
      <c r="R178" s="18" t="b">
        <v>1</v>
      </c>
    </row>
    <row r="179" spans="1:18" ht="15.75" hidden="1" customHeight="1">
      <c r="A179" s="16" t="s">
        <v>609</v>
      </c>
      <c r="B179" s="15" t="s">
        <v>609</v>
      </c>
      <c r="C179" s="16" t="s">
        <v>610</v>
      </c>
      <c r="D179" s="16" t="s">
        <v>611</v>
      </c>
      <c r="E179" s="16" t="s">
        <v>230</v>
      </c>
      <c r="F179" s="33" t="s">
        <v>612</v>
      </c>
      <c r="G179" s="16" t="b">
        <v>1</v>
      </c>
      <c r="H179" s="16" t="b">
        <v>0</v>
      </c>
      <c r="I179" s="16" t="b">
        <v>0</v>
      </c>
      <c r="J179" s="16" t="b">
        <v>0</v>
      </c>
      <c r="K179" s="16" t="b">
        <v>0</v>
      </c>
      <c r="L179" s="16" t="b">
        <v>0</v>
      </c>
      <c r="M179" s="16" t="b">
        <v>0</v>
      </c>
      <c r="N179" s="16" t="b">
        <v>0</v>
      </c>
      <c r="O179" s="16" t="b">
        <v>0</v>
      </c>
      <c r="P179" s="16" t="b">
        <v>0</v>
      </c>
      <c r="Q179" s="16" t="b">
        <v>0</v>
      </c>
      <c r="R179" s="16" t="b">
        <v>0</v>
      </c>
    </row>
    <row r="180" spans="1:18" ht="15.75" hidden="1" customHeight="1">
      <c r="A180" s="17" t="s">
        <v>613</v>
      </c>
      <c r="B180" s="15"/>
      <c r="C180" s="17" t="s">
        <v>614</v>
      </c>
      <c r="D180" s="48" t="s">
        <v>615</v>
      </c>
      <c r="E180" s="18" t="s">
        <v>154</v>
      </c>
      <c r="F180" s="19" t="s">
        <v>38</v>
      </c>
      <c r="G180" s="18" t="b">
        <v>0</v>
      </c>
      <c r="H180" s="18" t="b">
        <v>0</v>
      </c>
      <c r="I180" s="18" t="b">
        <v>1</v>
      </c>
      <c r="J180" s="18" t="b">
        <v>0</v>
      </c>
      <c r="K180" s="18" t="b">
        <v>0</v>
      </c>
      <c r="L180" s="18" t="b">
        <v>0</v>
      </c>
      <c r="M180" s="18" t="b">
        <v>0</v>
      </c>
      <c r="N180" s="18" t="b">
        <v>0</v>
      </c>
      <c r="O180" s="18" t="b">
        <v>0</v>
      </c>
      <c r="P180" s="18" t="b">
        <v>0</v>
      </c>
      <c r="Q180" s="18" t="b">
        <v>0</v>
      </c>
      <c r="R180" s="18" t="b">
        <v>0</v>
      </c>
    </row>
    <row r="181" spans="1:18" ht="15.75" customHeight="1">
      <c r="A181" s="61" t="s">
        <v>616</v>
      </c>
      <c r="B181" s="15" t="s">
        <v>616</v>
      </c>
      <c r="C181" s="46" t="s">
        <v>617</v>
      </c>
      <c r="D181" s="68" t="s">
        <v>618</v>
      </c>
      <c r="E181" s="16" t="s">
        <v>60</v>
      </c>
      <c r="F181" s="19" t="s">
        <v>27</v>
      </c>
      <c r="G181" s="18" t="b">
        <v>0</v>
      </c>
      <c r="H181" s="18" t="b">
        <v>0</v>
      </c>
      <c r="I181" s="18" t="b">
        <v>0</v>
      </c>
      <c r="J181" s="18" t="b">
        <v>0</v>
      </c>
      <c r="K181" s="18" t="b">
        <v>0</v>
      </c>
      <c r="L181" s="18" t="b">
        <v>0</v>
      </c>
      <c r="M181" s="18" t="b">
        <v>1</v>
      </c>
      <c r="N181" s="18" t="b">
        <v>0</v>
      </c>
      <c r="O181" s="18" t="b">
        <v>0</v>
      </c>
      <c r="P181" s="18" t="b">
        <v>0</v>
      </c>
      <c r="Q181" s="18" t="b">
        <v>0</v>
      </c>
      <c r="R181" s="18" t="b">
        <v>0</v>
      </c>
    </row>
    <row r="182" spans="1:18" ht="15.75" customHeight="1">
      <c r="A182" s="61" t="s">
        <v>619</v>
      </c>
      <c r="B182" s="15" t="s">
        <v>619</v>
      </c>
      <c r="C182" s="18" t="s">
        <v>620</v>
      </c>
      <c r="D182" s="17" t="s">
        <v>621</v>
      </c>
      <c r="E182" s="18" t="s">
        <v>52</v>
      </c>
      <c r="F182" s="19" t="s">
        <v>27</v>
      </c>
      <c r="G182" s="18" t="b">
        <v>0</v>
      </c>
      <c r="H182" s="18" t="b">
        <v>0</v>
      </c>
      <c r="I182" s="18" t="b">
        <v>0</v>
      </c>
      <c r="J182" s="18" t="b">
        <v>1</v>
      </c>
      <c r="K182" s="18" t="b">
        <v>0</v>
      </c>
      <c r="L182" s="18" t="b">
        <v>0</v>
      </c>
      <c r="M182" s="18" t="b">
        <v>0</v>
      </c>
      <c r="N182" s="18" t="b">
        <v>0</v>
      </c>
      <c r="O182" s="18" t="b">
        <v>0</v>
      </c>
      <c r="P182" s="18" t="b">
        <v>0</v>
      </c>
      <c r="Q182" s="18" t="b">
        <v>0</v>
      </c>
      <c r="R182" s="18" t="b">
        <v>0</v>
      </c>
    </row>
    <row r="183" spans="1:18" ht="15.75" hidden="1" customHeight="1">
      <c r="A183" s="61" t="s">
        <v>622</v>
      </c>
      <c r="B183" s="15"/>
      <c r="C183" s="44" t="s">
        <v>623</v>
      </c>
      <c r="D183" s="45" t="s">
        <v>624</v>
      </c>
      <c r="E183" s="16" t="s">
        <v>60</v>
      </c>
      <c r="F183" s="19" t="s">
        <v>38</v>
      </c>
      <c r="G183" s="18" t="b">
        <v>0</v>
      </c>
      <c r="H183" s="18" t="b">
        <v>0</v>
      </c>
      <c r="I183" s="18" t="b">
        <v>0</v>
      </c>
      <c r="J183" s="18" t="b">
        <v>0</v>
      </c>
      <c r="K183" s="18" t="b">
        <v>0</v>
      </c>
      <c r="L183" s="18" t="b">
        <v>0</v>
      </c>
      <c r="M183" s="18" t="b">
        <v>1</v>
      </c>
      <c r="N183" s="18" t="b">
        <v>0</v>
      </c>
      <c r="O183" s="18" t="b">
        <v>0</v>
      </c>
      <c r="P183" s="18" t="b">
        <v>0</v>
      </c>
      <c r="Q183" s="18" t="b">
        <v>0</v>
      </c>
      <c r="R183" s="18" t="b">
        <v>0</v>
      </c>
    </row>
    <row r="184" spans="1:18" ht="15.75" customHeight="1">
      <c r="A184" s="61" t="s">
        <v>154</v>
      </c>
      <c r="B184" s="81" t="s">
        <v>625</v>
      </c>
      <c r="C184" s="18" t="s">
        <v>626</v>
      </c>
      <c r="D184" s="17" t="s">
        <v>627</v>
      </c>
      <c r="E184" s="18" t="s">
        <v>154</v>
      </c>
      <c r="F184" s="19" t="s">
        <v>27</v>
      </c>
      <c r="G184" s="18" t="b">
        <v>0</v>
      </c>
      <c r="H184" s="18" t="b">
        <v>0</v>
      </c>
      <c r="I184" s="18" t="b">
        <v>1</v>
      </c>
      <c r="J184" s="18" t="b">
        <v>0</v>
      </c>
      <c r="K184" s="18" t="b">
        <v>0</v>
      </c>
      <c r="L184" s="18" t="b">
        <v>0</v>
      </c>
      <c r="M184" s="18" t="b">
        <v>0</v>
      </c>
      <c r="N184" s="18" t="b">
        <v>0</v>
      </c>
      <c r="O184" s="18" t="b">
        <v>0</v>
      </c>
      <c r="P184" s="18" t="b">
        <v>0</v>
      </c>
      <c r="Q184" s="18" t="b">
        <v>0</v>
      </c>
      <c r="R184" s="18" t="b">
        <v>0</v>
      </c>
    </row>
    <row r="185" spans="1:18" ht="15.75" hidden="1" customHeight="1">
      <c r="A185" s="61" t="s">
        <v>628</v>
      </c>
      <c r="B185" s="51" t="s">
        <v>628</v>
      </c>
      <c r="C185" s="122" t="s">
        <v>629</v>
      </c>
      <c r="D185" s="17" t="s">
        <v>630</v>
      </c>
      <c r="E185" s="16" t="s">
        <v>60</v>
      </c>
      <c r="F185" s="19" t="s">
        <v>38</v>
      </c>
      <c r="G185" s="18" t="b">
        <v>0</v>
      </c>
      <c r="H185" s="18" t="b">
        <v>0</v>
      </c>
      <c r="I185" s="18" t="b">
        <v>0</v>
      </c>
      <c r="J185" s="18" t="b">
        <v>0</v>
      </c>
      <c r="K185" s="18" t="b">
        <v>0</v>
      </c>
      <c r="L185" s="18" t="b">
        <v>0</v>
      </c>
      <c r="M185" s="18" t="b">
        <v>1</v>
      </c>
      <c r="N185" s="18" t="b">
        <v>0</v>
      </c>
      <c r="O185" s="18" t="b">
        <v>0</v>
      </c>
      <c r="P185" s="18" t="b">
        <v>0</v>
      </c>
      <c r="Q185" s="18" t="b">
        <v>0</v>
      </c>
      <c r="R185" s="18" t="b">
        <v>0</v>
      </c>
    </row>
    <row r="186" spans="1:18" ht="15.75" customHeight="1">
      <c r="A186" s="50" t="s">
        <v>631</v>
      </c>
      <c r="B186" s="15"/>
      <c r="C186" s="44" t="s">
        <v>632</v>
      </c>
      <c r="D186" s="74" t="s">
        <v>633</v>
      </c>
      <c r="E186" s="16" t="s">
        <v>60</v>
      </c>
      <c r="F186" s="19" t="s">
        <v>27</v>
      </c>
      <c r="G186" s="18" t="b">
        <v>0</v>
      </c>
      <c r="H186" s="18" t="b">
        <v>0</v>
      </c>
      <c r="I186" s="18" t="b">
        <v>0</v>
      </c>
      <c r="J186" s="18" t="b">
        <v>0</v>
      </c>
      <c r="K186" s="18" t="b">
        <v>0</v>
      </c>
      <c r="L186" s="18" t="b">
        <v>0</v>
      </c>
      <c r="M186" s="18" t="b">
        <v>1</v>
      </c>
      <c r="N186" s="18" t="b">
        <v>0</v>
      </c>
      <c r="O186" s="18" t="b">
        <v>0</v>
      </c>
      <c r="P186" s="18" t="b">
        <v>0</v>
      </c>
      <c r="Q186" s="18" t="b">
        <v>0</v>
      </c>
      <c r="R186" s="18" t="b">
        <v>0</v>
      </c>
    </row>
    <row r="187" spans="1:18" ht="15" customHeight="1">
      <c r="A187" s="61" t="s">
        <v>634</v>
      </c>
      <c r="B187" s="15" t="s">
        <v>634</v>
      </c>
      <c r="C187" s="18" t="s">
        <v>635</v>
      </c>
      <c r="D187" s="17" t="s">
        <v>636</v>
      </c>
      <c r="E187" s="18" t="s">
        <v>471</v>
      </c>
      <c r="F187" s="19" t="s">
        <v>27</v>
      </c>
      <c r="G187" s="18" t="b">
        <v>0</v>
      </c>
      <c r="H187" s="18" t="b">
        <v>0</v>
      </c>
      <c r="I187" s="18" t="b">
        <v>0</v>
      </c>
      <c r="J187" s="18" t="b">
        <v>0</v>
      </c>
      <c r="K187" s="18" t="b">
        <v>0</v>
      </c>
      <c r="L187" s="18" t="b">
        <v>0</v>
      </c>
      <c r="M187" s="18" t="b">
        <v>0</v>
      </c>
      <c r="N187" s="18" t="b">
        <v>0</v>
      </c>
      <c r="O187" s="18" t="b">
        <v>0</v>
      </c>
      <c r="P187" s="18" t="b">
        <v>0</v>
      </c>
      <c r="Q187" s="18" t="b">
        <v>0</v>
      </c>
      <c r="R187" s="18" t="b">
        <v>1</v>
      </c>
    </row>
    <row r="188" spans="1:18" ht="15.75" hidden="1" customHeight="1">
      <c r="A188" s="116" t="s">
        <v>637</v>
      </c>
      <c r="B188" s="15" t="s">
        <v>637</v>
      </c>
      <c r="C188" s="116" t="s">
        <v>638</v>
      </c>
      <c r="D188" s="116" t="s">
        <v>639</v>
      </c>
      <c r="E188" s="16" t="s">
        <v>471</v>
      </c>
      <c r="F188" s="33" t="s">
        <v>612</v>
      </c>
      <c r="G188" s="16" t="b">
        <v>0</v>
      </c>
      <c r="H188" s="16" t="b">
        <v>0</v>
      </c>
      <c r="I188" s="16" t="b">
        <v>0</v>
      </c>
      <c r="J188" s="16" t="b">
        <v>0</v>
      </c>
      <c r="K188" s="16" t="b">
        <v>0</v>
      </c>
      <c r="L188" s="16" t="b">
        <v>0</v>
      </c>
      <c r="M188" s="16" t="b">
        <v>0</v>
      </c>
      <c r="N188" s="16" t="b">
        <v>0</v>
      </c>
      <c r="O188" s="16" t="b">
        <v>0</v>
      </c>
      <c r="P188" s="16" t="b">
        <v>0</v>
      </c>
      <c r="Q188" s="16" t="b">
        <v>0</v>
      </c>
      <c r="R188" s="16" t="b">
        <v>1</v>
      </c>
    </row>
    <row r="189" spans="1:18" ht="15.75" customHeight="1">
      <c r="A189" s="61" t="s">
        <v>640</v>
      </c>
      <c r="B189" s="81" t="s">
        <v>641</v>
      </c>
      <c r="C189" s="18" t="s">
        <v>642</v>
      </c>
      <c r="D189" s="68" t="s">
        <v>643</v>
      </c>
      <c r="E189" s="18" t="s">
        <v>33</v>
      </c>
      <c r="F189" s="19" t="s">
        <v>27</v>
      </c>
      <c r="G189" s="18" t="b">
        <v>0</v>
      </c>
      <c r="H189" s="18" t="b">
        <v>0</v>
      </c>
      <c r="I189" s="18" t="b">
        <v>0</v>
      </c>
      <c r="J189" s="18" t="b">
        <v>0</v>
      </c>
      <c r="K189" s="18" t="b">
        <v>0</v>
      </c>
      <c r="L189" s="18" t="b">
        <v>0</v>
      </c>
      <c r="M189" s="18" t="b">
        <v>0</v>
      </c>
      <c r="N189" s="18" t="b">
        <v>0</v>
      </c>
      <c r="O189" s="18" t="b">
        <v>0</v>
      </c>
      <c r="P189" s="18" t="b">
        <v>0</v>
      </c>
      <c r="Q189" s="18" t="b">
        <v>0</v>
      </c>
      <c r="R189" s="18" t="b">
        <v>1</v>
      </c>
    </row>
    <row r="190" spans="1:18" ht="15.75" customHeight="1">
      <c r="A190" s="61" t="s">
        <v>60</v>
      </c>
      <c r="B190" s="72" t="s">
        <v>60</v>
      </c>
      <c r="C190" s="88" t="s">
        <v>644</v>
      </c>
      <c r="D190" s="88" t="s">
        <v>645</v>
      </c>
      <c r="E190" s="18" t="s">
        <v>192</v>
      </c>
      <c r="F190" s="19" t="s">
        <v>27</v>
      </c>
      <c r="G190" s="18" t="b">
        <v>0</v>
      </c>
      <c r="H190" s="18" t="b">
        <v>0</v>
      </c>
      <c r="I190" s="18" t="b">
        <v>0</v>
      </c>
      <c r="J190" s="18" t="b">
        <v>0</v>
      </c>
      <c r="K190" s="18" t="b">
        <v>0</v>
      </c>
      <c r="L190" s="18" t="b">
        <v>0</v>
      </c>
      <c r="M190" s="18" t="b">
        <v>0</v>
      </c>
      <c r="N190" s="18" t="b">
        <v>0</v>
      </c>
      <c r="O190" s="18" t="b">
        <v>0</v>
      </c>
      <c r="P190" s="18" t="b">
        <v>0</v>
      </c>
      <c r="Q190" s="18" t="b">
        <v>1</v>
      </c>
      <c r="R190" s="18" t="b">
        <v>0</v>
      </c>
    </row>
    <row r="191" spans="1:18" ht="15.75" customHeight="1">
      <c r="A191" s="61" t="s">
        <v>646</v>
      </c>
      <c r="B191" s="15" t="s">
        <v>646</v>
      </c>
      <c r="C191" s="18" t="s">
        <v>647</v>
      </c>
      <c r="D191" s="17" t="s">
        <v>648</v>
      </c>
      <c r="E191" s="18" t="s">
        <v>52</v>
      </c>
      <c r="F191" s="19" t="s">
        <v>27</v>
      </c>
      <c r="G191" s="18" t="b">
        <v>0</v>
      </c>
      <c r="H191" s="18" t="b">
        <v>0</v>
      </c>
      <c r="I191" s="18" t="b">
        <v>0</v>
      </c>
      <c r="J191" s="18" t="b">
        <v>1</v>
      </c>
      <c r="K191" s="18" t="b">
        <v>0</v>
      </c>
      <c r="L191" s="18" t="b">
        <v>0</v>
      </c>
      <c r="M191" s="18" t="b">
        <v>0</v>
      </c>
      <c r="N191" s="18" t="b">
        <v>0</v>
      </c>
      <c r="O191" s="18" t="b">
        <v>0</v>
      </c>
      <c r="P191" s="18" t="b">
        <v>0</v>
      </c>
      <c r="Q191" s="18" t="b">
        <v>0</v>
      </c>
      <c r="R191" s="18" t="b">
        <v>0</v>
      </c>
    </row>
    <row r="192" spans="1:18" ht="15.75" customHeight="1">
      <c r="A192" s="61" t="s">
        <v>649</v>
      </c>
      <c r="B192" s="51" t="s">
        <v>650</v>
      </c>
      <c r="C192" s="17" t="s">
        <v>651</v>
      </c>
      <c r="D192" s="17" t="s">
        <v>652</v>
      </c>
      <c r="E192" s="18" t="s">
        <v>154</v>
      </c>
      <c r="F192" s="19" t="s">
        <v>27</v>
      </c>
      <c r="G192" s="18" t="b">
        <v>0</v>
      </c>
      <c r="H192" s="18" t="b">
        <v>0</v>
      </c>
      <c r="I192" s="18" t="b">
        <v>1</v>
      </c>
      <c r="J192" s="18" t="b">
        <v>0</v>
      </c>
      <c r="K192" s="18" t="b">
        <v>0</v>
      </c>
      <c r="L192" s="18" t="b">
        <v>0</v>
      </c>
      <c r="M192" s="18" t="b">
        <v>0</v>
      </c>
      <c r="N192" s="18" t="b">
        <v>0</v>
      </c>
      <c r="O192" s="18" t="b">
        <v>0</v>
      </c>
      <c r="P192" s="18" t="b">
        <v>0</v>
      </c>
      <c r="Q192" s="18" t="b">
        <v>0</v>
      </c>
      <c r="R192" s="18" t="b">
        <v>0</v>
      </c>
    </row>
    <row r="193" spans="1:18" ht="15.75" hidden="1" customHeight="1">
      <c r="A193" s="111" t="s">
        <v>653</v>
      </c>
      <c r="B193" s="15" t="s">
        <v>653</v>
      </c>
      <c r="C193" s="16" t="s">
        <v>654</v>
      </c>
      <c r="D193" s="16" t="s">
        <v>655</v>
      </c>
      <c r="E193" s="16" t="s">
        <v>86</v>
      </c>
      <c r="F193" s="33" t="s">
        <v>38</v>
      </c>
      <c r="G193" s="16" t="b">
        <v>0</v>
      </c>
      <c r="H193" s="16" t="b">
        <v>0</v>
      </c>
      <c r="I193" s="16" t="b">
        <v>1</v>
      </c>
      <c r="J193" s="16" t="b">
        <v>0</v>
      </c>
      <c r="K193" s="16" t="b">
        <v>0</v>
      </c>
      <c r="L193" s="16" t="b">
        <v>0</v>
      </c>
      <c r="M193" s="16" t="b">
        <v>0</v>
      </c>
      <c r="N193" s="16" t="b">
        <v>0</v>
      </c>
      <c r="O193" s="16" t="b">
        <v>0</v>
      </c>
      <c r="P193" s="16" t="b">
        <v>0</v>
      </c>
      <c r="Q193" s="16" t="b">
        <v>0</v>
      </c>
      <c r="R193" s="16" t="b">
        <v>0</v>
      </c>
    </row>
    <row r="194" spans="1:18" ht="15.75" customHeight="1">
      <c r="A194" s="61" t="s">
        <v>656</v>
      </c>
      <c r="B194" s="15" t="s">
        <v>656</v>
      </c>
      <c r="C194" s="18" t="s">
        <v>657</v>
      </c>
      <c r="D194" s="17" t="s">
        <v>658</v>
      </c>
      <c r="E194" s="18" t="s">
        <v>192</v>
      </c>
      <c r="F194" s="19" t="s">
        <v>27</v>
      </c>
      <c r="G194" s="18" t="b">
        <v>0</v>
      </c>
      <c r="H194" s="18" t="b">
        <v>0</v>
      </c>
      <c r="I194" s="18" t="b">
        <v>0</v>
      </c>
      <c r="J194" s="18" t="b">
        <v>0</v>
      </c>
      <c r="K194" s="18" t="b">
        <v>0</v>
      </c>
      <c r="L194" s="18" t="b">
        <v>0</v>
      </c>
      <c r="M194" s="18" t="b">
        <v>0</v>
      </c>
      <c r="N194" s="18" t="b">
        <v>0</v>
      </c>
      <c r="O194" s="18" t="b">
        <v>0</v>
      </c>
      <c r="P194" s="18" t="b">
        <v>0</v>
      </c>
      <c r="Q194" s="18" t="b">
        <v>1</v>
      </c>
      <c r="R194" s="18" t="b">
        <v>0</v>
      </c>
    </row>
    <row r="195" spans="1:18" ht="15.75" customHeight="1">
      <c r="A195" s="61" t="s">
        <v>659</v>
      </c>
      <c r="B195" s="15" t="s">
        <v>660</v>
      </c>
      <c r="C195" s="18" t="s">
        <v>661</v>
      </c>
      <c r="D195" s="17" t="s">
        <v>662</v>
      </c>
      <c r="E195" s="18" t="s">
        <v>178</v>
      </c>
      <c r="F195" s="19" t="s">
        <v>27</v>
      </c>
      <c r="G195" s="18" t="b">
        <v>0</v>
      </c>
      <c r="H195" s="18" t="b">
        <v>0</v>
      </c>
      <c r="I195" s="18" t="b">
        <v>0</v>
      </c>
      <c r="J195" s="18" t="b">
        <v>0</v>
      </c>
      <c r="K195" s="18" t="b">
        <v>0</v>
      </c>
      <c r="L195" s="18" t="b">
        <v>0</v>
      </c>
      <c r="M195" s="18" t="b">
        <v>0</v>
      </c>
      <c r="N195" s="18" t="b">
        <v>1</v>
      </c>
      <c r="O195" s="18" t="b">
        <v>0</v>
      </c>
      <c r="P195" s="18" t="b">
        <v>0</v>
      </c>
      <c r="Q195" s="18" t="b">
        <v>0</v>
      </c>
      <c r="R195" s="18" t="b">
        <v>0</v>
      </c>
    </row>
    <row r="196" spans="1:18" ht="15.75" customHeight="1">
      <c r="A196" s="61" t="s">
        <v>663</v>
      </c>
      <c r="B196" s="81" t="s">
        <v>664</v>
      </c>
      <c r="C196" s="18" t="s">
        <v>665</v>
      </c>
      <c r="D196" s="17" t="s">
        <v>666</v>
      </c>
      <c r="E196" s="18" t="s">
        <v>52</v>
      </c>
      <c r="F196" s="19" t="s">
        <v>27</v>
      </c>
      <c r="G196" s="18" t="b">
        <v>0</v>
      </c>
      <c r="H196" s="18" t="b">
        <v>0</v>
      </c>
      <c r="I196" s="18" t="b">
        <v>1</v>
      </c>
      <c r="J196" s="18" t="b">
        <v>1</v>
      </c>
      <c r="K196" s="18" t="b">
        <v>0</v>
      </c>
      <c r="L196" s="18" t="b">
        <v>0</v>
      </c>
      <c r="M196" s="18" t="b">
        <v>0</v>
      </c>
      <c r="N196" s="18" t="b">
        <v>0</v>
      </c>
      <c r="O196" s="18" t="b">
        <v>0</v>
      </c>
      <c r="P196" s="18" t="b">
        <v>0</v>
      </c>
      <c r="Q196" s="18" t="b">
        <v>0</v>
      </c>
      <c r="R196" s="18" t="b">
        <v>0</v>
      </c>
    </row>
    <row r="197" spans="1:18" ht="15.75" hidden="1" customHeight="1">
      <c r="A197" s="76" t="s">
        <v>667</v>
      </c>
      <c r="B197" s="15" t="s">
        <v>668</v>
      </c>
      <c r="C197" s="31" t="s">
        <v>669</v>
      </c>
      <c r="D197" s="31" t="s">
        <v>670</v>
      </c>
      <c r="E197" s="16" t="s">
        <v>192</v>
      </c>
      <c r="F197" s="33" t="s">
        <v>38</v>
      </c>
      <c r="G197" s="16" t="b">
        <v>0</v>
      </c>
      <c r="H197" s="16" t="b">
        <v>0</v>
      </c>
      <c r="I197" s="16" t="b">
        <v>1</v>
      </c>
      <c r="J197" s="16" t="b">
        <v>0</v>
      </c>
      <c r="K197" s="16" t="b">
        <v>0</v>
      </c>
      <c r="L197" s="16" t="b">
        <v>0</v>
      </c>
      <c r="M197" s="16" t="b">
        <v>0</v>
      </c>
      <c r="N197" s="16" t="b">
        <v>0</v>
      </c>
      <c r="O197" s="16" t="b">
        <v>0</v>
      </c>
      <c r="P197" s="16" t="b">
        <v>1</v>
      </c>
      <c r="Q197" s="16" t="b">
        <v>1</v>
      </c>
      <c r="R197" s="16" t="b">
        <v>0</v>
      </c>
    </row>
    <row r="198" spans="1:18" ht="15.75" hidden="1" customHeight="1">
      <c r="A198" s="61" t="s">
        <v>671</v>
      </c>
      <c r="B198" s="15" t="s">
        <v>671</v>
      </c>
      <c r="C198" s="18" t="s">
        <v>672</v>
      </c>
      <c r="D198" s="17" t="s">
        <v>673</v>
      </c>
      <c r="E198" s="18" t="s">
        <v>52</v>
      </c>
      <c r="F198" s="19" t="s">
        <v>38</v>
      </c>
      <c r="G198" s="18" t="b">
        <v>0</v>
      </c>
      <c r="H198" s="18" t="b">
        <v>0</v>
      </c>
      <c r="I198" s="18" t="b">
        <v>0</v>
      </c>
      <c r="J198" s="18" t="b">
        <v>1</v>
      </c>
      <c r="K198" s="18" t="b">
        <v>0</v>
      </c>
      <c r="L198" s="18" t="b">
        <v>0</v>
      </c>
      <c r="M198" s="18" t="b">
        <v>0</v>
      </c>
      <c r="N198" s="18" t="b">
        <v>0</v>
      </c>
      <c r="O198" s="18" t="b">
        <v>0</v>
      </c>
      <c r="P198" s="18" t="b">
        <v>0</v>
      </c>
      <c r="Q198" s="18" t="b">
        <v>0</v>
      </c>
      <c r="R198" s="18" t="b">
        <v>0</v>
      </c>
    </row>
    <row r="199" spans="1:18" ht="15.75" customHeight="1">
      <c r="A199" s="87" t="s">
        <v>674</v>
      </c>
      <c r="B199" s="15" t="s">
        <v>674</v>
      </c>
      <c r="C199" s="17" t="s">
        <v>675</v>
      </c>
      <c r="D199" s="17" t="s">
        <v>676</v>
      </c>
      <c r="E199" s="18" t="s">
        <v>43</v>
      </c>
      <c r="F199" s="19" t="s">
        <v>27</v>
      </c>
      <c r="G199" s="18" t="b">
        <v>1</v>
      </c>
      <c r="H199" s="18" t="b">
        <v>0</v>
      </c>
      <c r="I199" s="18" t="b">
        <v>0</v>
      </c>
      <c r="J199" s="18" t="b">
        <v>0</v>
      </c>
      <c r="K199" s="18" t="b">
        <v>0</v>
      </c>
      <c r="L199" s="18" t="b">
        <v>0</v>
      </c>
      <c r="M199" s="18" t="b">
        <v>0</v>
      </c>
      <c r="N199" s="18" t="b">
        <v>0</v>
      </c>
      <c r="O199" s="18" t="b">
        <v>0</v>
      </c>
      <c r="P199" s="18" t="b">
        <v>0</v>
      </c>
      <c r="Q199" s="18" t="b">
        <v>0</v>
      </c>
      <c r="R199" s="18" t="b">
        <v>0</v>
      </c>
    </row>
    <row r="200" spans="1:18" ht="15.75" customHeight="1">
      <c r="A200" s="61" t="s">
        <v>677</v>
      </c>
      <c r="B200" s="15"/>
      <c r="C200" s="45" t="s">
        <v>678</v>
      </c>
      <c r="D200" s="17" t="s">
        <v>679</v>
      </c>
      <c r="E200" s="18" t="s">
        <v>43</v>
      </c>
      <c r="F200" s="19" t="s">
        <v>27</v>
      </c>
      <c r="G200" s="18" t="b">
        <v>1</v>
      </c>
      <c r="H200" s="18" t="b">
        <v>1</v>
      </c>
      <c r="I200" s="18" t="b">
        <v>0</v>
      </c>
      <c r="J200" s="18" t="b">
        <v>0</v>
      </c>
      <c r="K200" s="18" t="b">
        <v>0</v>
      </c>
      <c r="L200" s="18" t="b">
        <v>0</v>
      </c>
      <c r="M200" s="18" t="b">
        <v>0</v>
      </c>
      <c r="N200" s="18" t="b">
        <v>0</v>
      </c>
      <c r="O200" s="18" t="b">
        <v>0</v>
      </c>
      <c r="P200" s="18" t="b">
        <v>0</v>
      </c>
      <c r="Q200" s="18" t="b">
        <v>0</v>
      </c>
      <c r="R200" s="18" t="b">
        <v>0</v>
      </c>
    </row>
    <row r="201" spans="1:18" ht="15.75" hidden="1" customHeight="1">
      <c r="A201" s="87" t="s">
        <v>680</v>
      </c>
      <c r="B201" s="72" t="s">
        <v>680</v>
      </c>
      <c r="C201" s="121"/>
      <c r="D201" s="88" t="s">
        <v>681</v>
      </c>
      <c r="E201" s="18" t="s">
        <v>52</v>
      </c>
      <c r="F201" s="19" t="s">
        <v>34</v>
      </c>
      <c r="G201" s="18" t="b">
        <v>0</v>
      </c>
      <c r="H201" s="18" t="b">
        <v>0</v>
      </c>
      <c r="I201" s="18" t="b">
        <v>1</v>
      </c>
      <c r="J201" s="18" t="b">
        <v>0</v>
      </c>
      <c r="K201" s="18" t="b">
        <v>0</v>
      </c>
      <c r="L201" s="18" t="b">
        <v>0</v>
      </c>
      <c r="M201" s="18" t="b">
        <v>0</v>
      </c>
      <c r="N201" s="18" t="b">
        <v>0</v>
      </c>
      <c r="O201" s="18" t="b">
        <v>0</v>
      </c>
      <c r="P201" s="18" t="b">
        <v>0</v>
      </c>
      <c r="Q201" s="18" t="b">
        <v>0</v>
      </c>
      <c r="R201" s="18" t="b">
        <v>0</v>
      </c>
    </row>
    <row r="202" spans="1:18" ht="15.75" customHeight="1">
      <c r="A202" s="87" t="s">
        <v>682</v>
      </c>
      <c r="B202" s="15" t="s">
        <v>683</v>
      </c>
      <c r="C202" s="44" t="s">
        <v>684</v>
      </c>
      <c r="D202" s="45" t="s">
        <v>685</v>
      </c>
      <c r="E202" s="18" t="s">
        <v>52</v>
      </c>
      <c r="F202" s="19" t="s">
        <v>27</v>
      </c>
      <c r="G202" s="18" t="b">
        <v>0</v>
      </c>
      <c r="H202" s="18" t="b">
        <v>0</v>
      </c>
      <c r="I202" s="18" t="b">
        <v>1</v>
      </c>
      <c r="J202" s="18" t="b">
        <v>0</v>
      </c>
      <c r="K202" s="18" t="b">
        <v>0</v>
      </c>
      <c r="L202" s="18" t="b">
        <v>0</v>
      </c>
      <c r="M202" s="18" t="b">
        <v>0</v>
      </c>
      <c r="N202" s="18" t="b">
        <v>0</v>
      </c>
      <c r="O202" s="18" t="b">
        <v>0</v>
      </c>
      <c r="P202" s="18" t="b">
        <v>0</v>
      </c>
      <c r="Q202" s="18" t="b">
        <v>0</v>
      </c>
      <c r="R202" s="18" t="b">
        <v>0</v>
      </c>
    </row>
    <row r="203" spans="1:18" ht="15.75" hidden="1" customHeight="1">
      <c r="A203" s="111" t="s">
        <v>686</v>
      </c>
      <c r="B203" s="15" t="s">
        <v>687</v>
      </c>
      <c r="C203" s="16" t="s">
        <v>688</v>
      </c>
      <c r="D203" s="16" t="s">
        <v>689</v>
      </c>
      <c r="E203" s="16" t="s">
        <v>140</v>
      </c>
      <c r="F203" s="33" t="s">
        <v>38</v>
      </c>
      <c r="G203" s="16" t="b">
        <v>0</v>
      </c>
      <c r="H203" s="16" t="b">
        <v>1</v>
      </c>
      <c r="I203" s="16" t="b">
        <v>0</v>
      </c>
      <c r="J203" s="16" t="b">
        <v>0</v>
      </c>
      <c r="K203" s="16" t="b">
        <v>0</v>
      </c>
      <c r="L203" s="16" t="b">
        <v>0</v>
      </c>
      <c r="M203" s="16" t="b">
        <v>0</v>
      </c>
      <c r="N203" s="16" t="b">
        <v>0</v>
      </c>
      <c r="O203" s="16" t="b">
        <v>0</v>
      </c>
      <c r="P203" s="16" t="b">
        <v>0</v>
      </c>
      <c r="Q203" s="16" t="b">
        <v>0</v>
      </c>
      <c r="R203" s="16" t="b">
        <v>0</v>
      </c>
    </row>
    <row r="204" spans="1:18" ht="15.75" customHeight="1">
      <c r="A204" s="61" t="s">
        <v>690</v>
      </c>
      <c r="B204" s="15" t="s">
        <v>690</v>
      </c>
      <c r="C204" s="17" t="s">
        <v>691</v>
      </c>
      <c r="D204" s="17" t="s">
        <v>692</v>
      </c>
      <c r="E204" s="18" t="s">
        <v>154</v>
      </c>
      <c r="F204" s="19" t="s">
        <v>27</v>
      </c>
      <c r="G204" s="18" t="b">
        <v>0</v>
      </c>
      <c r="H204" s="18" t="b">
        <v>0</v>
      </c>
      <c r="I204" s="18" t="b">
        <v>1</v>
      </c>
      <c r="J204" s="18" t="b">
        <v>0</v>
      </c>
      <c r="K204" s="18" t="b">
        <v>0</v>
      </c>
      <c r="L204" s="18" t="b">
        <v>0</v>
      </c>
      <c r="M204" s="18" t="b">
        <v>0</v>
      </c>
      <c r="N204" s="18" t="b">
        <v>0</v>
      </c>
      <c r="O204" s="18" t="b">
        <v>0</v>
      </c>
      <c r="P204" s="18" t="b">
        <v>0</v>
      </c>
      <c r="Q204" s="18" t="b">
        <v>1</v>
      </c>
      <c r="R204" s="18" t="b">
        <v>0</v>
      </c>
    </row>
    <row r="205" spans="1:18" ht="15.75" hidden="1" customHeight="1">
      <c r="A205" s="50" t="s">
        <v>693</v>
      </c>
      <c r="B205" s="15" t="s">
        <v>693</v>
      </c>
      <c r="C205" s="18" t="s">
        <v>694</v>
      </c>
      <c r="D205" s="18" t="s">
        <v>695</v>
      </c>
      <c r="E205" s="18" t="s">
        <v>86</v>
      </c>
      <c r="F205" s="19" t="s">
        <v>34</v>
      </c>
      <c r="G205" s="18" t="b">
        <v>0</v>
      </c>
      <c r="H205" s="18" t="b">
        <v>0</v>
      </c>
      <c r="I205" s="18" t="b">
        <v>1</v>
      </c>
      <c r="J205" s="18" t="b">
        <v>0</v>
      </c>
      <c r="K205" s="18" t="b">
        <v>0</v>
      </c>
      <c r="L205" s="18" t="b">
        <v>0</v>
      </c>
      <c r="M205" s="18" t="b">
        <v>0</v>
      </c>
      <c r="N205" s="18" t="b">
        <v>0</v>
      </c>
      <c r="O205" s="18" t="b">
        <v>0</v>
      </c>
      <c r="P205" s="18" t="b">
        <v>0</v>
      </c>
      <c r="Q205" s="18" t="b">
        <v>0</v>
      </c>
      <c r="R205" s="18" t="b">
        <v>0</v>
      </c>
    </row>
    <row r="206" spans="1:18" ht="15.75" customHeight="1">
      <c r="A206" s="87" t="s">
        <v>696</v>
      </c>
      <c r="B206" s="72" t="s">
        <v>696</v>
      </c>
      <c r="C206" s="88" t="s">
        <v>697</v>
      </c>
      <c r="D206" s="88" t="s">
        <v>698</v>
      </c>
      <c r="E206" s="18" t="s">
        <v>52</v>
      </c>
      <c r="F206" s="19" t="s">
        <v>27</v>
      </c>
      <c r="G206" s="18" t="b">
        <v>0</v>
      </c>
      <c r="H206" s="18" t="b">
        <v>0</v>
      </c>
      <c r="I206" s="18" t="b">
        <v>1</v>
      </c>
      <c r="J206" s="18" t="b">
        <v>0</v>
      </c>
      <c r="K206" s="18" t="b">
        <v>0</v>
      </c>
      <c r="L206" s="18" t="b">
        <v>0</v>
      </c>
      <c r="M206" s="18" t="b">
        <v>0</v>
      </c>
      <c r="N206" s="18" t="b">
        <v>0</v>
      </c>
      <c r="O206" s="18" t="b">
        <v>0</v>
      </c>
      <c r="P206" s="18" t="b">
        <v>0</v>
      </c>
      <c r="Q206" s="18" t="b">
        <v>0</v>
      </c>
      <c r="R206" s="18" t="b">
        <v>0</v>
      </c>
    </row>
    <row r="207" spans="1:18" ht="15.75" customHeight="1">
      <c r="A207" s="61" t="s">
        <v>699</v>
      </c>
      <c r="B207" s="15" t="s">
        <v>699</v>
      </c>
      <c r="C207" s="18" t="s">
        <v>700</v>
      </c>
      <c r="D207" s="17" t="s">
        <v>701</v>
      </c>
      <c r="E207" s="18" t="s">
        <v>192</v>
      </c>
      <c r="F207" s="19" t="s">
        <v>27</v>
      </c>
      <c r="G207" s="18" t="b">
        <v>0</v>
      </c>
      <c r="H207" s="18" t="b">
        <v>0</v>
      </c>
      <c r="I207" s="18" t="b">
        <v>0</v>
      </c>
      <c r="J207" s="18" t="b">
        <v>0</v>
      </c>
      <c r="K207" s="18" t="b">
        <v>0</v>
      </c>
      <c r="L207" s="18" t="b">
        <v>0</v>
      </c>
      <c r="M207" s="18" t="b">
        <v>0</v>
      </c>
      <c r="N207" s="18" t="b">
        <v>0</v>
      </c>
      <c r="O207" s="18" t="b">
        <v>0</v>
      </c>
      <c r="P207" s="18" t="b">
        <v>1</v>
      </c>
      <c r="Q207" s="18" t="b">
        <v>1</v>
      </c>
      <c r="R207" s="18" t="b">
        <v>0</v>
      </c>
    </row>
    <row r="208" spans="1:18" ht="15.75" hidden="1" customHeight="1">
      <c r="A208" s="61" t="s">
        <v>702</v>
      </c>
      <c r="B208" s="15" t="s">
        <v>702</v>
      </c>
      <c r="C208" s="18" t="s">
        <v>703</v>
      </c>
      <c r="D208" s="17" t="s">
        <v>704</v>
      </c>
      <c r="E208" s="16" t="s">
        <v>60</v>
      </c>
      <c r="F208" s="19" t="s">
        <v>38</v>
      </c>
      <c r="G208" s="18" t="b">
        <v>0</v>
      </c>
      <c r="H208" s="18" t="b">
        <v>0</v>
      </c>
      <c r="I208" s="18" t="b">
        <v>0</v>
      </c>
      <c r="J208" s="18" t="b">
        <v>0</v>
      </c>
      <c r="K208" s="18" t="b">
        <v>0</v>
      </c>
      <c r="L208" s="18" t="b">
        <v>0</v>
      </c>
      <c r="M208" s="18" t="b">
        <v>1</v>
      </c>
      <c r="N208" s="18" t="b">
        <v>0</v>
      </c>
      <c r="O208" s="18" t="b">
        <v>0</v>
      </c>
      <c r="P208" s="18" t="b">
        <v>0</v>
      </c>
      <c r="Q208" s="18" t="b">
        <v>0</v>
      </c>
      <c r="R208" s="18" t="b">
        <v>0</v>
      </c>
    </row>
    <row r="209" spans="1:18" ht="15.75" hidden="1" customHeight="1">
      <c r="A209" s="111" t="s">
        <v>705</v>
      </c>
      <c r="B209" s="15" t="s">
        <v>705</v>
      </c>
      <c r="C209" s="16" t="s">
        <v>706</v>
      </c>
      <c r="D209" s="16" t="s">
        <v>707</v>
      </c>
      <c r="E209" s="16" t="s">
        <v>86</v>
      </c>
      <c r="F209" s="33" t="s">
        <v>34</v>
      </c>
      <c r="G209" s="16" t="b">
        <v>0</v>
      </c>
      <c r="H209" s="16" t="b">
        <v>0</v>
      </c>
      <c r="I209" s="16" t="b">
        <v>1</v>
      </c>
      <c r="J209" s="16" t="b">
        <v>0</v>
      </c>
      <c r="K209" s="16" t="b">
        <v>0</v>
      </c>
      <c r="L209" s="16" t="b">
        <v>0</v>
      </c>
      <c r="M209" s="16" t="b">
        <v>0</v>
      </c>
      <c r="N209" s="16" t="b">
        <v>0</v>
      </c>
      <c r="O209" s="16" t="b">
        <v>0</v>
      </c>
      <c r="P209" s="16" t="b">
        <v>0</v>
      </c>
      <c r="Q209" s="16" t="b">
        <v>0</v>
      </c>
      <c r="R209" s="16" t="b">
        <v>0</v>
      </c>
    </row>
    <row r="210" spans="1:18" ht="15.75" customHeight="1">
      <c r="A210" s="61" t="s">
        <v>708</v>
      </c>
      <c r="B210" s="51" t="s">
        <v>709</v>
      </c>
      <c r="C210" s="17" t="s">
        <v>710</v>
      </c>
      <c r="D210" s="17" t="s">
        <v>711</v>
      </c>
      <c r="E210" s="16" t="s">
        <v>60</v>
      </c>
      <c r="F210" s="19" t="s">
        <v>27</v>
      </c>
      <c r="G210" s="18" t="b">
        <v>0</v>
      </c>
      <c r="H210" s="18" t="b">
        <v>0</v>
      </c>
      <c r="I210" s="18" t="b">
        <v>0</v>
      </c>
      <c r="J210" s="18" t="b">
        <v>0</v>
      </c>
      <c r="K210" s="18" t="b">
        <v>0</v>
      </c>
      <c r="L210" s="18" t="b">
        <v>0</v>
      </c>
      <c r="M210" s="18" t="b">
        <v>1</v>
      </c>
      <c r="N210" s="18" t="b">
        <v>0</v>
      </c>
      <c r="O210" s="18" t="b">
        <v>0</v>
      </c>
      <c r="P210" s="18" t="b">
        <v>0</v>
      </c>
      <c r="Q210" s="18" t="b">
        <v>0</v>
      </c>
      <c r="R210" s="18" t="b">
        <v>0</v>
      </c>
    </row>
    <row r="211" spans="1:18" ht="15.75" customHeight="1">
      <c r="A211" s="61" t="s">
        <v>712</v>
      </c>
      <c r="B211" s="15" t="s">
        <v>712</v>
      </c>
      <c r="C211" s="18" t="s">
        <v>713</v>
      </c>
      <c r="D211" s="17" t="s">
        <v>714</v>
      </c>
      <c r="E211" s="18" t="s">
        <v>52</v>
      </c>
      <c r="F211" s="19" t="s">
        <v>27</v>
      </c>
      <c r="G211" s="18" t="b">
        <v>0</v>
      </c>
      <c r="H211" s="18" t="b">
        <v>0</v>
      </c>
      <c r="I211" s="18" t="b">
        <v>0</v>
      </c>
      <c r="J211" s="18" t="b">
        <v>1</v>
      </c>
      <c r="K211" s="18" t="b">
        <v>0</v>
      </c>
      <c r="L211" s="18" t="b">
        <v>0</v>
      </c>
      <c r="M211" s="18" t="b">
        <v>0</v>
      </c>
      <c r="N211" s="18" t="b">
        <v>0</v>
      </c>
      <c r="O211" s="18" t="b">
        <v>0</v>
      </c>
      <c r="P211" s="18" t="b">
        <v>0</v>
      </c>
      <c r="Q211" s="18" t="b">
        <v>0</v>
      </c>
      <c r="R211" s="18" t="b">
        <v>0</v>
      </c>
    </row>
    <row r="212" spans="1:18" ht="15.75" customHeight="1">
      <c r="A212" s="61" t="s">
        <v>715</v>
      </c>
      <c r="B212" s="123" t="s">
        <v>715</v>
      </c>
      <c r="C212" s="86" t="s">
        <v>716</v>
      </c>
      <c r="D212" s="17" t="s">
        <v>717</v>
      </c>
      <c r="E212" s="18" t="s">
        <v>33</v>
      </c>
      <c r="F212" s="19" t="s">
        <v>27</v>
      </c>
      <c r="G212" s="18" t="b">
        <v>0</v>
      </c>
      <c r="H212" s="18" t="b">
        <v>0</v>
      </c>
      <c r="I212" s="18" t="b">
        <v>0</v>
      </c>
      <c r="J212" s="18" t="b">
        <v>0</v>
      </c>
      <c r="K212" s="18" t="b">
        <v>0</v>
      </c>
      <c r="L212" s="18" t="b">
        <v>0</v>
      </c>
      <c r="M212" s="18" t="b">
        <v>0</v>
      </c>
      <c r="N212" s="18" t="b">
        <v>0</v>
      </c>
      <c r="O212" s="18" t="b">
        <v>0</v>
      </c>
      <c r="P212" s="18" t="b">
        <v>0</v>
      </c>
      <c r="Q212" s="18" t="b">
        <v>0</v>
      </c>
      <c r="R212" s="18" t="b">
        <v>1</v>
      </c>
    </row>
    <row r="213" spans="1:18" ht="15.75" customHeight="1">
      <c r="A213" s="87" t="s">
        <v>718</v>
      </c>
      <c r="B213" s="15" t="s">
        <v>718</v>
      </c>
      <c r="C213" s="44" t="s">
        <v>719</v>
      </c>
      <c r="D213" s="17" t="s">
        <v>720</v>
      </c>
      <c r="E213" s="16" t="s">
        <v>178</v>
      </c>
      <c r="F213" s="19" t="s">
        <v>27</v>
      </c>
      <c r="G213" s="18" t="b">
        <v>0</v>
      </c>
      <c r="H213" s="18" t="b">
        <v>0</v>
      </c>
      <c r="I213" s="18" t="b">
        <v>0</v>
      </c>
      <c r="J213" s="18" t="b">
        <v>0</v>
      </c>
      <c r="K213" s="18" t="b">
        <v>0</v>
      </c>
      <c r="L213" s="18" t="b">
        <v>0</v>
      </c>
      <c r="M213" s="18" t="b">
        <v>1</v>
      </c>
      <c r="N213" s="18" t="b">
        <v>0</v>
      </c>
      <c r="O213" s="18" t="b">
        <v>0</v>
      </c>
      <c r="P213" s="18" t="b">
        <v>0</v>
      </c>
      <c r="Q213" s="18" t="b">
        <v>0</v>
      </c>
      <c r="R213" s="18" t="b">
        <v>0</v>
      </c>
    </row>
    <row r="214" spans="1:18" ht="15.75" hidden="1" customHeight="1">
      <c r="A214" s="111" t="s">
        <v>721</v>
      </c>
      <c r="B214" s="15" t="s">
        <v>722</v>
      </c>
      <c r="C214" s="16" t="s">
        <v>723</v>
      </c>
      <c r="D214" s="16" t="s">
        <v>724</v>
      </c>
      <c r="E214" s="16" t="s">
        <v>86</v>
      </c>
      <c r="F214" s="33" t="s">
        <v>38</v>
      </c>
      <c r="G214" s="16" t="b">
        <v>0</v>
      </c>
      <c r="H214" s="16" t="b">
        <v>0</v>
      </c>
      <c r="I214" s="16" t="b">
        <v>1</v>
      </c>
      <c r="J214" s="16" t="b">
        <v>0</v>
      </c>
      <c r="K214" s="16" t="b">
        <v>0</v>
      </c>
      <c r="L214" s="16" t="b">
        <v>0</v>
      </c>
      <c r="M214" s="16" t="b">
        <v>0</v>
      </c>
      <c r="N214" s="16" t="b">
        <v>0</v>
      </c>
      <c r="O214" s="16" t="b">
        <v>0</v>
      </c>
      <c r="P214" s="16" t="b">
        <v>0</v>
      </c>
      <c r="Q214" s="16" t="b">
        <v>0</v>
      </c>
      <c r="R214" s="16" t="b">
        <v>0</v>
      </c>
    </row>
    <row r="215" spans="1:18" ht="15.75" customHeight="1">
      <c r="A215" s="61" t="s">
        <v>725</v>
      </c>
      <c r="B215" s="15" t="s">
        <v>725</v>
      </c>
      <c r="C215" s="18" t="s">
        <v>726</v>
      </c>
      <c r="D215" s="17" t="s">
        <v>727</v>
      </c>
      <c r="E215" s="18" t="s">
        <v>471</v>
      </c>
      <c r="F215" s="19" t="s">
        <v>27</v>
      </c>
      <c r="G215" s="18" t="b">
        <v>0</v>
      </c>
      <c r="H215" s="18" t="b">
        <v>0</v>
      </c>
      <c r="I215" s="18" t="b">
        <v>0</v>
      </c>
      <c r="J215" s="18" t="b">
        <v>0</v>
      </c>
      <c r="K215" s="18" t="b">
        <v>0</v>
      </c>
      <c r="L215" s="18" t="b">
        <v>0</v>
      </c>
      <c r="M215" s="18" t="b">
        <v>0</v>
      </c>
      <c r="N215" s="18" t="b">
        <v>0</v>
      </c>
      <c r="O215" s="18" t="b">
        <v>0</v>
      </c>
      <c r="P215" s="18" t="b">
        <v>0</v>
      </c>
      <c r="Q215" s="18" t="b">
        <v>0</v>
      </c>
      <c r="R215" s="18" t="b">
        <v>1</v>
      </c>
    </row>
    <row r="216" spans="1:18" ht="15.75" customHeight="1">
      <c r="A216" s="111" t="s">
        <v>728</v>
      </c>
      <c r="B216" s="15" t="s">
        <v>728</v>
      </c>
      <c r="C216" s="36" t="s">
        <v>729</v>
      </c>
      <c r="D216" s="17" t="s">
        <v>730</v>
      </c>
      <c r="E216" s="16" t="s">
        <v>60</v>
      </c>
      <c r="F216" s="19" t="s">
        <v>27</v>
      </c>
      <c r="G216" s="18" t="b">
        <v>0</v>
      </c>
      <c r="H216" s="18" t="b">
        <v>0</v>
      </c>
      <c r="I216" s="18" t="b">
        <v>0</v>
      </c>
      <c r="J216" s="18" t="b">
        <v>0</v>
      </c>
      <c r="K216" s="18" t="b">
        <v>0</v>
      </c>
      <c r="L216" s="18" t="b">
        <v>0</v>
      </c>
      <c r="M216" s="18" t="b">
        <v>1</v>
      </c>
      <c r="N216" s="18" t="b">
        <v>0</v>
      </c>
      <c r="O216" s="18" t="b">
        <v>0</v>
      </c>
      <c r="P216" s="18" t="b">
        <v>0</v>
      </c>
      <c r="Q216" s="18" t="b">
        <v>0</v>
      </c>
      <c r="R216" s="18" t="b">
        <v>0</v>
      </c>
    </row>
    <row r="217" spans="1:18" ht="15.75" customHeight="1">
      <c r="A217" s="61" t="s">
        <v>731</v>
      </c>
      <c r="B217" s="15" t="s">
        <v>731</v>
      </c>
      <c r="C217" s="125" t="s">
        <v>732</v>
      </c>
      <c r="D217" s="17" t="s">
        <v>733</v>
      </c>
      <c r="E217" s="18" t="s">
        <v>140</v>
      </c>
      <c r="F217" s="19" t="s">
        <v>27</v>
      </c>
      <c r="G217" s="18" t="b">
        <v>0</v>
      </c>
      <c r="H217" s="18" t="b">
        <v>1</v>
      </c>
      <c r="I217" s="18" t="b">
        <v>0</v>
      </c>
      <c r="J217" s="18" t="b">
        <v>0</v>
      </c>
      <c r="K217" s="18" t="b">
        <v>0</v>
      </c>
      <c r="L217" s="18" t="b">
        <v>0</v>
      </c>
      <c r="M217" s="18" t="b">
        <v>0</v>
      </c>
      <c r="N217" s="18" t="b">
        <v>0</v>
      </c>
      <c r="O217" s="18" t="b">
        <v>0</v>
      </c>
      <c r="P217" s="18" t="b">
        <v>0</v>
      </c>
      <c r="Q217" s="18" t="b">
        <v>0</v>
      </c>
      <c r="R217" s="18" t="b">
        <v>0</v>
      </c>
    </row>
    <row r="218" spans="1:18" ht="15.75" customHeight="1">
      <c r="A218" s="61" t="s">
        <v>734</v>
      </c>
      <c r="B218" s="92" t="s">
        <v>735</v>
      </c>
      <c r="C218" s="17" t="s">
        <v>736</v>
      </c>
      <c r="D218" s="68" t="s">
        <v>737</v>
      </c>
      <c r="E218" s="18" t="s">
        <v>140</v>
      </c>
      <c r="F218" s="19" t="s">
        <v>27</v>
      </c>
      <c r="G218" s="18" t="b">
        <v>0</v>
      </c>
      <c r="H218" s="18" t="b">
        <v>1</v>
      </c>
      <c r="I218" s="18" t="b">
        <v>0</v>
      </c>
      <c r="J218" s="18" t="b">
        <v>0</v>
      </c>
      <c r="K218" s="18" t="b">
        <v>0</v>
      </c>
      <c r="L218" s="18" t="b">
        <v>0</v>
      </c>
      <c r="M218" s="18" t="b">
        <v>0</v>
      </c>
      <c r="N218" s="18" t="b">
        <v>1</v>
      </c>
      <c r="O218" s="18" t="b">
        <v>0</v>
      </c>
      <c r="P218" s="18" t="b">
        <v>0</v>
      </c>
      <c r="Q218" s="18" t="b">
        <v>0</v>
      </c>
      <c r="R218" s="18" t="b">
        <v>0</v>
      </c>
    </row>
    <row r="219" spans="1:18" ht="15.75" customHeight="1">
      <c r="A219" s="61" t="s">
        <v>738</v>
      </c>
      <c r="B219" s="51" t="s">
        <v>738</v>
      </c>
      <c r="C219" s="51" t="s">
        <v>739</v>
      </c>
      <c r="D219" s="17" t="s">
        <v>740</v>
      </c>
      <c r="E219" s="16" t="s">
        <v>60</v>
      </c>
      <c r="F219" s="19" t="s">
        <v>27</v>
      </c>
      <c r="G219" s="18" t="b">
        <v>0</v>
      </c>
      <c r="H219" s="18" t="b">
        <v>0</v>
      </c>
      <c r="I219" s="18" t="b">
        <v>0</v>
      </c>
      <c r="J219" s="18" t="b">
        <v>0</v>
      </c>
      <c r="K219" s="18" t="b">
        <v>0</v>
      </c>
      <c r="L219" s="18" t="b">
        <v>0</v>
      </c>
      <c r="M219" s="18" t="b">
        <v>1</v>
      </c>
      <c r="N219" s="18" t="b">
        <v>0</v>
      </c>
      <c r="O219" s="18" t="b">
        <v>0</v>
      </c>
      <c r="P219" s="18" t="b">
        <v>0</v>
      </c>
      <c r="Q219" s="18" t="b">
        <v>0</v>
      </c>
      <c r="R219" s="18" t="b">
        <v>0</v>
      </c>
    </row>
    <row r="220" spans="1:18" ht="15.75" customHeight="1">
      <c r="A220" s="61" t="s">
        <v>741</v>
      </c>
      <c r="B220" s="15" t="s">
        <v>741</v>
      </c>
      <c r="C220" s="44" t="s">
        <v>742</v>
      </c>
      <c r="D220" s="45" t="s">
        <v>743</v>
      </c>
      <c r="E220" s="18" t="s">
        <v>33</v>
      </c>
      <c r="F220" s="19" t="s">
        <v>27</v>
      </c>
      <c r="G220" s="18" t="b">
        <v>0</v>
      </c>
      <c r="H220" s="18" t="b">
        <v>0</v>
      </c>
      <c r="I220" s="18" t="b">
        <v>0</v>
      </c>
      <c r="J220" s="18" t="b">
        <v>0</v>
      </c>
      <c r="K220" s="18" t="b">
        <v>0</v>
      </c>
      <c r="L220" s="18" t="b">
        <v>0</v>
      </c>
      <c r="M220" s="18" t="b">
        <v>0</v>
      </c>
      <c r="N220" s="18" t="b">
        <v>0</v>
      </c>
      <c r="O220" s="18" t="b">
        <v>0</v>
      </c>
      <c r="P220" s="18" t="b">
        <v>0</v>
      </c>
      <c r="Q220" s="18" t="b">
        <v>0</v>
      </c>
      <c r="R220" s="18" t="b">
        <v>1</v>
      </c>
    </row>
    <row r="221" spans="1:18" ht="15.75" customHeight="1">
      <c r="A221" s="61" t="s">
        <v>744</v>
      </c>
      <c r="B221" s="15" t="s">
        <v>744</v>
      </c>
      <c r="C221" s="17" t="s">
        <v>745</v>
      </c>
      <c r="D221" s="17" t="s">
        <v>746</v>
      </c>
      <c r="E221" s="18" t="s">
        <v>69</v>
      </c>
      <c r="F221" s="19" t="s">
        <v>27</v>
      </c>
      <c r="G221" s="18" t="b">
        <v>0</v>
      </c>
      <c r="H221" s="18" t="b">
        <v>0</v>
      </c>
      <c r="I221" s="18" t="b">
        <v>0</v>
      </c>
      <c r="J221" s="18" t="b">
        <v>0</v>
      </c>
      <c r="K221" s="18" t="b">
        <v>0</v>
      </c>
      <c r="L221" s="18" t="b">
        <v>0</v>
      </c>
      <c r="M221" s="18" t="b">
        <v>0</v>
      </c>
      <c r="N221" s="18" t="b">
        <v>0</v>
      </c>
      <c r="O221" s="18" t="b">
        <v>1</v>
      </c>
      <c r="P221" s="18" t="b">
        <v>0</v>
      </c>
      <c r="Q221" s="18" t="b">
        <v>0</v>
      </c>
      <c r="R221" s="18" t="b">
        <v>0</v>
      </c>
    </row>
    <row r="222" spans="1:18" ht="15.75" customHeight="1">
      <c r="A222" s="14" t="s">
        <v>747</v>
      </c>
      <c r="B222" s="15"/>
      <c r="C222" s="18" t="s">
        <v>748</v>
      </c>
      <c r="D222" s="68" t="s">
        <v>749</v>
      </c>
      <c r="E222" s="18" t="s">
        <v>140</v>
      </c>
      <c r="F222" s="19" t="s">
        <v>27</v>
      </c>
      <c r="G222" s="18" t="b">
        <v>0</v>
      </c>
      <c r="H222" s="18" t="b">
        <v>1</v>
      </c>
      <c r="I222" s="18" t="b">
        <v>0</v>
      </c>
      <c r="J222" s="18" t="b">
        <v>0</v>
      </c>
      <c r="K222" s="18" t="b">
        <v>0</v>
      </c>
      <c r="L222" s="18" t="b">
        <v>0</v>
      </c>
      <c r="M222" s="18" t="b">
        <v>0</v>
      </c>
      <c r="N222" s="18" t="b">
        <v>0</v>
      </c>
      <c r="O222" s="18" t="b">
        <v>1</v>
      </c>
      <c r="P222" s="18" t="b">
        <v>0</v>
      </c>
      <c r="Q222" s="18" t="b">
        <v>0</v>
      </c>
      <c r="R222" s="18" t="b">
        <v>0</v>
      </c>
    </row>
    <row r="223" spans="1:18" ht="15.75" hidden="1" customHeight="1">
      <c r="A223" s="16" t="s">
        <v>750</v>
      </c>
      <c r="B223" s="15" t="s">
        <v>750</v>
      </c>
      <c r="C223" s="16" t="s">
        <v>751</v>
      </c>
      <c r="D223" s="16" t="s">
        <v>752</v>
      </c>
      <c r="E223" s="16" t="s">
        <v>192</v>
      </c>
      <c r="F223" s="33" t="s">
        <v>34</v>
      </c>
      <c r="G223" s="16" t="b">
        <v>0</v>
      </c>
      <c r="H223" s="16" t="b">
        <v>0</v>
      </c>
      <c r="I223" s="16" t="b">
        <v>0</v>
      </c>
      <c r="J223" s="16" t="b">
        <v>0</v>
      </c>
      <c r="K223" s="16" t="b">
        <v>0</v>
      </c>
      <c r="L223" s="16" t="b">
        <v>0</v>
      </c>
      <c r="M223" s="16" t="b">
        <v>0</v>
      </c>
      <c r="N223" s="16" t="b">
        <v>0</v>
      </c>
      <c r="O223" s="16" t="b">
        <v>0</v>
      </c>
      <c r="P223" s="16" t="b">
        <v>0</v>
      </c>
      <c r="Q223" s="16" t="b">
        <v>1</v>
      </c>
      <c r="R223" s="16" t="b">
        <v>0</v>
      </c>
    </row>
    <row r="224" spans="1:18" ht="15.75" hidden="1" customHeight="1">
      <c r="A224" s="16" t="s">
        <v>753</v>
      </c>
      <c r="B224" s="15" t="s">
        <v>753</v>
      </c>
      <c r="C224" s="16" t="s">
        <v>754</v>
      </c>
      <c r="D224" s="16" t="s">
        <v>755</v>
      </c>
      <c r="E224" s="16" t="s">
        <v>192</v>
      </c>
      <c r="F224" s="33" t="s">
        <v>38</v>
      </c>
      <c r="G224" s="16" t="b">
        <v>0</v>
      </c>
      <c r="H224" s="16" t="b">
        <v>0</v>
      </c>
      <c r="I224" s="16" t="b">
        <v>0</v>
      </c>
      <c r="J224" s="16" t="b">
        <v>0</v>
      </c>
      <c r="K224" s="16" t="b">
        <v>0</v>
      </c>
      <c r="L224" s="16" t="b">
        <v>0</v>
      </c>
      <c r="M224" s="16" t="b">
        <v>0</v>
      </c>
      <c r="N224" s="16" t="b">
        <v>0</v>
      </c>
      <c r="O224" s="16" t="b">
        <v>0</v>
      </c>
      <c r="P224" s="16" t="b">
        <v>0</v>
      </c>
      <c r="Q224" s="16" t="b">
        <v>1</v>
      </c>
      <c r="R224" s="16" t="b">
        <v>0</v>
      </c>
    </row>
    <row r="225" spans="1:18" ht="15" customHeight="1">
      <c r="A225" s="61" t="s">
        <v>756</v>
      </c>
      <c r="B225" s="51" t="s">
        <v>757</v>
      </c>
      <c r="C225" s="17" t="s">
        <v>758</v>
      </c>
      <c r="D225" s="17" t="s">
        <v>759</v>
      </c>
      <c r="E225" s="16" t="s">
        <v>60</v>
      </c>
      <c r="F225" s="19" t="s">
        <v>27</v>
      </c>
      <c r="G225" s="18" t="b">
        <v>0</v>
      </c>
      <c r="H225" s="18" t="b">
        <v>0</v>
      </c>
      <c r="I225" s="18" t="b">
        <v>0</v>
      </c>
      <c r="J225" s="18" t="b">
        <v>0</v>
      </c>
      <c r="K225" s="18" t="b">
        <v>0</v>
      </c>
      <c r="L225" s="18" t="b">
        <v>0</v>
      </c>
      <c r="M225" s="18" t="b">
        <v>1</v>
      </c>
      <c r="N225" s="18" t="b">
        <v>0</v>
      </c>
      <c r="O225" s="18" t="b">
        <v>0</v>
      </c>
      <c r="P225" s="18" t="b">
        <v>0</v>
      </c>
      <c r="Q225" s="18" t="b">
        <v>0</v>
      </c>
      <c r="R225" s="18" t="b">
        <v>1</v>
      </c>
    </row>
    <row r="226" spans="1:18" ht="15.75" customHeight="1">
      <c r="A226" s="87" t="s">
        <v>760</v>
      </c>
      <c r="B226" s="15" t="s">
        <v>760</v>
      </c>
      <c r="C226" s="44" t="s">
        <v>761</v>
      </c>
      <c r="D226" s="88" t="s">
        <v>762</v>
      </c>
      <c r="E226" s="18" t="s">
        <v>52</v>
      </c>
      <c r="F226" s="19" t="s">
        <v>27</v>
      </c>
      <c r="G226" s="18" t="b">
        <v>0</v>
      </c>
      <c r="H226" s="18" t="b">
        <v>0</v>
      </c>
      <c r="I226" s="18" t="b">
        <v>1</v>
      </c>
      <c r="J226" s="18" t="b">
        <v>1</v>
      </c>
      <c r="K226" s="18" t="b">
        <v>0</v>
      </c>
      <c r="L226" s="18" t="b">
        <v>0</v>
      </c>
      <c r="M226" s="18" t="b">
        <v>0</v>
      </c>
      <c r="N226" s="18" t="b">
        <v>0</v>
      </c>
      <c r="O226" s="18" t="b">
        <v>0</v>
      </c>
      <c r="P226" s="18" t="b">
        <v>0</v>
      </c>
      <c r="Q226" s="18" t="b">
        <v>0</v>
      </c>
      <c r="R226" s="18" t="b">
        <v>0</v>
      </c>
    </row>
    <row r="227" spans="1:18" ht="15.75" hidden="1" customHeight="1">
      <c r="A227" s="18" t="s">
        <v>763</v>
      </c>
      <c r="B227" s="15" t="s">
        <v>763</v>
      </c>
      <c r="C227" s="18" t="s">
        <v>764</v>
      </c>
      <c r="D227" s="18" t="s">
        <v>765</v>
      </c>
      <c r="E227" s="18" t="s">
        <v>471</v>
      </c>
      <c r="F227" s="19" t="s">
        <v>38</v>
      </c>
      <c r="G227" s="18" t="b">
        <v>0</v>
      </c>
      <c r="H227" s="18" t="b">
        <v>0</v>
      </c>
      <c r="I227" s="18" t="b">
        <v>0</v>
      </c>
      <c r="J227" s="18" t="b">
        <v>0</v>
      </c>
      <c r="K227" s="18" t="b">
        <v>1</v>
      </c>
      <c r="L227" s="18" t="b">
        <v>0</v>
      </c>
      <c r="M227" s="18" t="b">
        <v>0</v>
      </c>
      <c r="N227" s="18" t="b">
        <v>1</v>
      </c>
      <c r="O227" s="18" t="b">
        <v>0</v>
      </c>
      <c r="P227" s="18" t="b">
        <v>0</v>
      </c>
      <c r="Q227" s="18" t="b">
        <v>0</v>
      </c>
      <c r="R227" s="18" t="b">
        <v>1</v>
      </c>
    </row>
    <row r="228" spans="1:18" ht="15.75" customHeight="1">
      <c r="A228" s="61" t="s">
        <v>766</v>
      </c>
      <c r="B228" s="52"/>
      <c r="C228" s="48" t="s">
        <v>767</v>
      </c>
      <c r="D228" s="17" t="s">
        <v>768</v>
      </c>
      <c r="E228" s="18" t="s">
        <v>33</v>
      </c>
      <c r="F228" s="19" t="s">
        <v>27</v>
      </c>
      <c r="G228" s="18" t="b">
        <v>0</v>
      </c>
      <c r="H228" s="18" t="b">
        <v>0</v>
      </c>
      <c r="I228" s="18" t="b">
        <v>0</v>
      </c>
      <c r="J228" s="18" t="b">
        <v>0</v>
      </c>
      <c r="K228" s="18" t="b">
        <v>0</v>
      </c>
      <c r="L228" s="18" t="b">
        <v>0</v>
      </c>
      <c r="M228" s="18" t="b">
        <v>0</v>
      </c>
      <c r="N228" s="18" t="b">
        <v>0</v>
      </c>
      <c r="O228" s="18" t="b">
        <v>0</v>
      </c>
      <c r="P228" s="18" t="b">
        <v>0</v>
      </c>
      <c r="Q228" s="18" t="b">
        <v>0</v>
      </c>
      <c r="R228" s="18" t="b">
        <v>1</v>
      </c>
    </row>
    <row r="229" spans="1:18" ht="15.75" customHeight="1">
      <c r="A229" s="61" t="s">
        <v>769</v>
      </c>
      <c r="B229" s="15" t="s">
        <v>769</v>
      </c>
      <c r="C229" s="44" t="s">
        <v>770</v>
      </c>
      <c r="D229" s="45" t="s">
        <v>771</v>
      </c>
      <c r="E229" s="18" t="s">
        <v>52</v>
      </c>
      <c r="F229" s="19" t="s">
        <v>27</v>
      </c>
      <c r="G229" s="18" t="b">
        <v>0</v>
      </c>
      <c r="H229" s="18" t="b">
        <v>0</v>
      </c>
      <c r="I229" s="18" t="b">
        <v>0</v>
      </c>
      <c r="J229" s="18" t="b">
        <v>1</v>
      </c>
      <c r="K229" s="18" t="b">
        <v>0</v>
      </c>
      <c r="L229" s="18" t="b">
        <v>0</v>
      </c>
      <c r="M229" s="18" t="b">
        <v>0</v>
      </c>
      <c r="N229" s="18" t="b">
        <v>0</v>
      </c>
      <c r="O229" s="18" t="b">
        <v>0</v>
      </c>
      <c r="P229" s="18" t="b">
        <v>0</v>
      </c>
      <c r="Q229" s="18" t="b">
        <v>0</v>
      </c>
      <c r="R229" s="18" t="b">
        <v>0</v>
      </c>
    </row>
    <row r="230" spans="1:18" ht="15.75" customHeight="1">
      <c r="A230" s="61" t="s">
        <v>772</v>
      </c>
      <c r="B230" s="15" t="s">
        <v>772</v>
      </c>
      <c r="C230" s="18" t="s">
        <v>773</v>
      </c>
      <c r="D230" s="17" t="s">
        <v>774</v>
      </c>
      <c r="E230" s="18" t="s">
        <v>178</v>
      </c>
      <c r="F230" s="19" t="s">
        <v>27</v>
      </c>
      <c r="G230" s="18" t="b">
        <v>0</v>
      </c>
      <c r="H230" s="18" t="b">
        <v>0</v>
      </c>
      <c r="I230" s="18" t="b">
        <v>0</v>
      </c>
      <c r="J230" s="18" t="b">
        <v>0</v>
      </c>
      <c r="K230" s="18" t="b">
        <v>0</v>
      </c>
      <c r="L230" s="18" t="b">
        <v>0</v>
      </c>
      <c r="M230" s="18" t="b">
        <v>0</v>
      </c>
      <c r="N230" s="18" t="b">
        <v>1</v>
      </c>
      <c r="O230" s="18" t="b">
        <v>0</v>
      </c>
      <c r="P230" s="18" t="b">
        <v>0</v>
      </c>
      <c r="Q230" s="18" t="b">
        <v>0</v>
      </c>
      <c r="R230" s="18" t="b">
        <v>0</v>
      </c>
    </row>
    <row r="231" spans="1:18" ht="15.75" hidden="1" customHeight="1">
      <c r="A231" s="111" t="s">
        <v>775</v>
      </c>
      <c r="B231" s="15" t="s">
        <v>775</v>
      </c>
      <c r="C231" s="16" t="s">
        <v>776</v>
      </c>
      <c r="D231" s="16" t="s">
        <v>777</v>
      </c>
      <c r="E231" s="16" t="s">
        <v>140</v>
      </c>
      <c r="F231" s="33" t="s">
        <v>38</v>
      </c>
      <c r="G231" s="16" t="b">
        <v>0</v>
      </c>
      <c r="H231" s="16" t="b">
        <v>1</v>
      </c>
      <c r="I231" s="16" t="b">
        <v>0</v>
      </c>
      <c r="J231" s="16" t="b">
        <v>0</v>
      </c>
      <c r="K231" s="16" t="b">
        <v>0</v>
      </c>
      <c r="L231" s="16" t="b">
        <v>0</v>
      </c>
      <c r="M231" s="16" t="b">
        <v>0</v>
      </c>
      <c r="N231" s="16" t="b">
        <v>0</v>
      </c>
      <c r="O231" s="16" t="b">
        <v>0</v>
      </c>
      <c r="P231" s="16" t="b">
        <v>0</v>
      </c>
      <c r="Q231" s="16" t="b">
        <v>0</v>
      </c>
      <c r="R231" s="16" t="b">
        <v>0</v>
      </c>
    </row>
    <row r="232" spans="1:18" ht="15.75" customHeight="1">
      <c r="A232" s="61" t="s">
        <v>778</v>
      </c>
      <c r="B232" s="15" t="s">
        <v>778</v>
      </c>
      <c r="C232" s="51" t="s">
        <v>779</v>
      </c>
      <c r="D232" s="17" t="s">
        <v>780</v>
      </c>
      <c r="E232" s="18" t="s">
        <v>154</v>
      </c>
      <c r="F232" s="19" t="s">
        <v>27</v>
      </c>
      <c r="G232" s="18" t="b">
        <v>0</v>
      </c>
      <c r="H232" s="18" t="b">
        <v>0</v>
      </c>
      <c r="I232" s="18" t="b">
        <v>1</v>
      </c>
      <c r="J232" s="18" t="b">
        <v>0</v>
      </c>
      <c r="K232" s="18" t="b">
        <v>0</v>
      </c>
      <c r="L232" s="18" t="b">
        <v>0</v>
      </c>
      <c r="M232" s="18" t="b">
        <v>0</v>
      </c>
      <c r="N232" s="18" t="b">
        <v>0</v>
      </c>
      <c r="O232" s="18" t="b">
        <v>0</v>
      </c>
      <c r="P232" s="18" t="b">
        <v>0</v>
      </c>
      <c r="Q232" s="18" t="b">
        <v>0</v>
      </c>
      <c r="R232" s="18" t="b">
        <v>0</v>
      </c>
    </row>
    <row r="233" spans="1:18" ht="15.75" hidden="1" customHeight="1">
      <c r="A233" s="61" t="s">
        <v>781</v>
      </c>
      <c r="B233" s="15" t="s">
        <v>781</v>
      </c>
      <c r="C233" s="17" t="s">
        <v>782</v>
      </c>
      <c r="D233" s="68" t="s">
        <v>783</v>
      </c>
      <c r="E233" s="18" t="s">
        <v>52</v>
      </c>
      <c r="F233" s="19" t="s">
        <v>38</v>
      </c>
      <c r="G233" s="18" t="b">
        <v>0</v>
      </c>
      <c r="H233" s="18" t="b">
        <v>0</v>
      </c>
      <c r="I233" s="18" t="b">
        <v>0</v>
      </c>
      <c r="J233" s="18" t="b">
        <v>1</v>
      </c>
      <c r="K233" s="18" t="b">
        <v>0</v>
      </c>
      <c r="L233" s="18" t="b">
        <v>0</v>
      </c>
      <c r="M233" s="18" t="b">
        <v>0</v>
      </c>
      <c r="N233" s="18" t="b">
        <v>0</v>
      </c>
      <c r="O233" s="18" t="b">
        <v>0</v>
      </c>
      <c r="P233" s="18" t="b">
        <v>0</v>
      </c>
      <c r="Q233" s="18" t="b">
        <v>0</v>
      </c>
      <c r="R233" s="18" t="b">
        <v>0</v>
      </c>
    </row>
    <row r="234" spans="1:18" ht="15.75" customHeight="1">
      <c r="A234" s="61" t="s">
        <v>784</v>
      </c>
      <c r="B234" s="123" t="s">
        <v>784</v>
      </c>
      <c r="C234" s="45" t="s">
        <v>785</v>
      </c>
      <c r="D234" s="17" t="s">
        <v>786</v>
      </c>
      <c r="E234" s="18" t="s">
        <v>178</v>
      </c>
      <c r="F234" s="19" t="s">
        <v>27</v>
      </c>
      <c r="G234" s="18" t="b">
        <v>0</v>
      </c>
      <c r="H234" s="18" t="b">
        <v>0</v>
      </c>
      <c r="I234" s="18" t="b">
        <v>0</v>
      </c>
      <c r="J234" s="18" t="b">
        <v>0</v>
      </c>
      <c r="K234" s="18" t="b">
        <v>0</v>
      </c>
      <c r="L234" s="18" t="b">
        <v>0</v>
      </c>
      <c r="M234" s="18" t="b">
        <v>1</v>
      </c>
      <c r="N234" s="18" t="b">
        <v>1</v>
      </c>
      <c r="O234" s="18" t="b">
        <v>0</v>
      </c>
      <c r="P234" s="18" t="b">
        <v>0</v>
      </c>
      <c r="Q234" s="18" t="b">
        <v>0</v>
      </c>
      <c r="R234" s="18" t="b">
        <v>0</v>
      </c>
    </row>
    <row r="235" spans="1:18" ht="15.75" customHeight="1">
      <c r="A235" s="61" t="s">
        <v>787</v>
      </c>
      <c r="B235" s="15" t="s">
        <v>788</v>
      </c>
      <c r="C235" s="18" t="s">
        <v>789</v>
      </c>
      <c r="D235" s="17" t="s">
        <v>790</v>
      </c>
      <c r="E235" s="18" t="s">
        <v>471</v>
      </c>
      <c r="F235" s="19" t="s">
        <v>27</v>
      </c>
      <c r="G235" s="18" t="b">
        <v>0</v>
      </c>
      <c r="H235" s="18" t="b">
        <v>0</v>
      </c>
      <c r="I235" s="18" t="b">
        <v>0</v>
      </c>
      <c r="J235" s="18" t="b">
        <v>0</v>
      </c>
      <c r="K235" s="18" t="b">
        <v>0</v>
      </c>
      <c r="L235" s="18" t="b">
        <v>0</v>
      </c>
      <c r="M235" s="18" t="b">
        <v>0</v>
      </c>
      <c r="N235" s="18" t="b">
        <v>0</v>
      </c>
      <c r="O235" s="18" t="b">
        <v>0</v>
      </c>
      <c r="P235" s="18" t="b">
        <v>0</v>
      </c>
      <c r="Q235" s="18" t="b">
        <v>0</v>
      </c>
      <c r="R235" s="18" t="b">
        <v>1</v>
      </c>
    </row>
    <row r="236" spans="1:18" ht="15.75" hidden="1" customHeight="1">
      <c r="A236" s="16" t="s">
        <v>791</v>
      </c>
      <c r="B236" s="15"/>
      <c r="C236" s="16" t="s">
        <v>792</v>
      </c>
      <c r="D236" s="16" t="s">
        <v>793</v>
      </c>
      <c r="E236" s="16" t="s">
        <v>471</v>
      </c>
      <c r="F236" s="33" t="s">
        <v>38</v>
      </c>
      <c r="G236" s="16" t="b">
        <v>0</v>
      </c>
      <c r="H236" s="16" t="b">
        <v>0</v>
      </c>
      <c r="I236" s="16" t="b">
        <v>0</v>
      </c>
      <c r="J236" s="16" t="b">
        <v>0</v>
      </c>
      <c r="K236" s="16" t="b">
        <v>0</v>
      </c>
      <c r="L236" s="16" t="b">
        <v>0</v>
      </c>
      <c r="M236" s="16" t="b">
        <v>0</v>
      </c>
      <c r="N236" s="16" t="b">
        <v>0</v>
      </c>
      <c r="O236" s="16" t="b">
        <v>0</v>
      </c>
      <c r="P236" s="16" t="b">
        <v>0</v>
      </c>
      <c r="Q236" s="16" t="b">
        <v>0</v>
      </c>
      <c r="R236" s="16" t="b">
        <v>1</v>
      </c>
    </row>
    <row r="237" spans="1:18" ht="15.75" customHeight="1">
      <c r="A237" s="61" t="s">
        <v>794</v>
      </c>
      <c r="B237" s="51" t="s">
        <v>794</v>
      </c>
      <c r="C237" s="17" t="s">
        <v>795</v>
      </c>
      <c r="D237" s="17" t="s">
        <v>796</v>
      </c>
      <c r="E237" s="18" t="s">
        <v>140</v>
      </c>
      <c r="F237" s="19" t="s">
        <v>27</v>
      </c>
      <c r="G237" s="18" t="b">
        <v>0</v>
      </c>
      <c r="H237" s="18" t="b">
        <v>1</v>
      </c>
      <c r="I237" s="18" t="b">
        <v>0</v>
      </c>
      <c r="J237" s="18" t="b">
        <v>0</v>
      </c>
      <c r="K237" s="18" t="b">
        <v>0</v>
      </c>
      <c r="L237" s="18" t="b">
        <v>0</v>
      </c>
      <c r="M237" s="18" t="b">
        <v>0</v>
      </c>
      <c r="N237" s="18" t="b">
        <v>0</v>
      </c>
      <c r="O237" s="18" t="b">
        <v>0</v>
      </c>
      <c r="P237" s="18" t="b">
        <v>0</v>
      </c>
      <c r="Q237" s="18" t="b">
        <v>0</v>
      </c>
      <c r="R237" s="18" t="b">
        <v>0</v>
      </c>
    </row>
    <row r="238" spans="1:18" ht="15.75" customHeight="1">
      <c r="A238" s="61" t="s">
        <v>797</v>
      </c>
      <c r="B238" s="15" t="s">
        <v>797</v>
      </c>
      <c r="C238" s="18" t="s">
        <v>798</v>
      </c>
      <c r="D238" s="17" t="s">
        <v>799</v>
      </c>
      <c r="E238" s="18" t="s">
        <v>178</v>
      </c>
      <c r="F238" s="19" t="s">
        <v>27</v>
      </c>
      <c r="G238" s="18" t="b">
        <v>0</v>
      </c>
      <c r="H238" s="18" t="b">
        <v>0</v>
      </c>
      <c r="I238" s="18" t="b">
        <v>0</v>
      </c>
      <c r="J238" s="18" t="b">
        <v>0</v>
      </c>
      <c r="K238" s="18" t="b">
        <v>0</v>
      </c>
      <c r="L238" s="18" t="b">
        <v>0</v>
      </c>
      <c r="M238" s="18" t="b">
        <v>1</v>
      </c>
      <c r="N238" s="18" t="b">
        <v>1</v>
      </c>
      <c r="O238" s="18" t="b">
        <v>0</v>
      </c>
      <c r="P238" s="18" t="b">
        <v>0</v>
      </c>
      <c r="Q238" s="18" t="b">
        <v>0</v>
      </c>
      <c r="R238" s="18" t="b">
        <v>0</v>
      </c>
    </row>
    <row r="239" spans="1:18" ht="15.75" customHeight="1">
      <c r="A239" s="61" t="s">
        <v>471</v>
      </c>
      <c r="B239" s="15" t="s">
        <v>471</v>
      </c>
      <c r="C239" s="18" t="s">
        <v>800</v>
      </c>
      <c r="D239" s="17" t="s">
        <v>801</v>
      </c>
      <c r="E239" s="18" t="s">
        <v>471</v>
      </c>
      <c r="F239" s="19" t="s">
        <v>27</v>
      </c>
      <c r="G239" s="18" t="b">
        <v>0</v>
      </c>
      <c r="H239" s="18" t="b">
        <v>0</v>
      </c>
      <c r="I239" s="18" t="b">
        <v>0</v>
      </c>
      <c r="J239" s="18" t="b">
        <v>0</v>
      </c>
      <c r="K239" s="18" t="b">
        <v>0</v>
      </c>
      <c r="L239" s="18" t="b">
        <v>0</v>
      </c>
      <c r="M239" s="18" t="b">
        <v>0</v>
      </c>
      <c r="N239" s="18" t="b">
        <v>0</v>
      </c>
      <c r="O239" s="18" t="b">
        <v>0</v>
      </c>
      <c r="P239" s="18" t="b">
        <v>0</v>
      </c>
      <c r="Q239" s="18" t="b">
        <v>0</v>
      </c>
      <c r="R239" s="18" t="b">
        <v>1</v>
      </c>
    </row>
    <row r="240" spans="1:18" ht="15.75" customHeight="1">
      <c r="A240" s="61" t="s">
        <v>802</v>
      </c>
      <c r="B240" s="106"/>
      <c r="C240" s="17" t="s">
        <v>803</v>
      </c>
      <c r="D240" s="17" t="s">
        <v>804</v>
      </c>
      <c r="E240" s="16" t="s">
        <v>60</v>
      </c>
      <c r="F240" s="19" t="s">
        <v>27</v>
      </c>
      <c r="G240" s="18" t="b">
        <v>0</v>
      </c>
      <c r="H240" s="18" t="b">
        <v>0</v>
      </c>
      <c r="I240" s="18" t="b">
        <v>0</v>
      </c>
      <c r="J240" s="18" t="b">
        <v>0</v>
      </c>
      <c r="K240" s="18" t="b">
        <v>0</v>
      </c>
      <c r="L240" s="18" t="b">
        <v>0</v>
      </c>
      <c r="M240" s="18" t="b">
        <v>1</v>
      </c>
      <c r="N240" s="18" t="b">
        <v>0</v>
      </c>
      <c r="O240" s="18" t="b">
        <v>0</v>
      </c>
      <c r="P240" s="18" t="b">
        <v>0</v>
      </c>
      <c r="Q240" s="18" t="b">
        <v>0</v>
      </c>
      <c r="R240" s="18" t="b">
        <v>0</v>
      </c>
    </row>
    <row r="241" spans="1:18" ht="15.75" customHeight="1">
      <c r="A241" s="61" t="s">
        <v>805</v>
      </c>
      <c r="B241" s="15" t="s">
        <v>805</v>
      </c>
      <c r="C241" s="18" t="s">
        <v>806</v>
      </c>
      <c r="D241" s="17" t="s">
        <v>807</v>
      </c>
      <c r="E241" s="18" t="s">
        <v>26</v>
      </c>
      <c r="F241" s="19" t="s">
        <v>27</v>
      </c>
      <c r="G241" s="18" t="b">
        <v>0</v>
      </c>
      <c r="H241" s="18" t="b">
        <v>0</v>
      </c>
      <c r="I241" s="18" t="b">
        <v>1</v>
      </c>
      <c r="J241" s="18" t="b">
        <v>0</v>
      </c>
      <c r="K241" s="18" t="b">
        <v>0</v>
      </c>
      <c r="L241" s="18" t="b">
        <v>0</v>
      </c>
      <c r="M241" s="18" t="b">
        <v>0</v>
      </c>
      <c r="N241" s="18" t="b">
        <v>0</v>
      </c>
      <c r="O241" s="18" t="b">
        <v>0</v>
      </c>
      <c r="P241" s="18" t="b">
        <v>0</v>
      </c>
      <c r="Q241" s="18" t="b">
        <v>0</v>
      </c>
      <c r="R241" s="18" t="b">
        <v>0</v>
      </c>
    </row>
    <row r="242" spans="1:18" ht="15.75" hidden="1" customHeight="1">
      <c r="A242" s="50" t="s">
        <v>808</v>
      </c>
      <c r="B242" s="15" t="s">
        <v>808</v>
      </c>
      <c r="C242" s="18" t="s">
        <v>809</v>
      </c>
      <c r="D242" s="17" t="s">
        <v>810</v>
      </c>
      <c r="E242" s="18" t="s">
        <v>471</v>
      </c>
      <c r="F242" s="19" t="s">
        <v>38</v>
      </c>
      <c r="G242" s="18" t="b">
        <v>0</v>
      </c>
      <c r="H242" s="18" t="b">
        <v>0</v>
      </c>
      <c r="I242" s="18" t="b">
        <v>0</v>
      </c>
      <c r="J242" s="18" t="b">
        <v>0</v>
      </c>
      <c r="K242" s="18" t="b">
        <v>0</v>
      </c>
      <c r="L242" s="18" t="b">
        <v>0</v>
      </c>
      <c r="M242" s="18" t="b">
        <v>0</v>
      </c>
      <c r="N242" s="18" t="b">
        <v>0</v>
      </c>
      <c r="O242" s="18" t="b">
        <v>0</v>
      </c>
      <c r="P242" s="18" t="b">
        <v>0</v>
      </c>
      <c r="Q242" s="18" t="b">
        <v>0</v>
      </c>
      <c r="R242" s="18" t="b">
        <v>1</v>
      </c>
    </row>
    <row r="243" spans="1:18" ht="15.75" customHeight="1">
      <c r="A243" s="61" t="s">
        <v>811</v>
      </c>
      <c r="B243" s="15" t="s">
        <v>812</v>
      </c>
      <c r="C243" s="17" t="s">
        <v>813</v>
      </c>
      <c r="D243" s="17" t="s">
        <v>814</v>
      </c>
      <c r="E243" s="18" t="s">
        <v>69</v>
      </c>
      <c r="F243" s="19" t="s">
        <v>27</v>
      </c>
      <c r="G243" s="18" t="b">
        <v>0</v>
      </c>
      <c r="H243" s="18" t="b">
        <v>1</v>
      </c>
      <c r="I243" s="18" t="b">
        <v>0</v>
      </c>
      <c r="J243" s="18" t="b">
        <v>0</v>
      </c>
      <c r="K243" s="18" t="b">
        <v>1</v>
      </c>
      <c r="L243" s="18" t="b">
        <v>0</v>
      </c>
      <c r="M243" s="18" t="b">
        <v>0</v>
      </c>
      <c r="N243" s="18" t="b">
        <v>0</v>
      </c>
      <c r="O243" s="18" t="b">
        <v>1</v>
      </c>
      <c r="P243" s="18" t="b">
        <v>0</v>
      </c>
      <c r="Q243" s="18" t="b">
        <v>0</v>
      </c>
      <c r="R243" s="18" t="b">
        <v>0</v>
      </c>
    </row>
    <row r="244" spans="1:18" ht="15.75" customHeight="1">
      <c r="A244" s="61" t="s">
        <v>815</v>
      </c>
      <c r="B244" s="15" t="s">
        <v>815</v>
      </c>
      <c r="C244" s="18" t="s">
        <v>816</v>
      </c>
      <c r="D244" s="17" t="s">
        <v>817</v>
      </c>
      <c r="E244" s="18" t="s">
        <v>471</v>
      </c>
      <c r="F244" s="19" t="s">
        <v>27</v>
      </c>
      <c r="G244" s="18" t="b">
        <v>0</v>
      </c>
      <c r="H244" s="18" t="b">
        <v>0</v>
      </c>
      <c r="I244" s="18" t="b">
        <v>0</v>
      </c>
      <c r="J244" s="18" t="b">
        <v>0</v>
      </c>
      <c r="K244" s="18" t="b">
        <v>0</v>
      </c>
      <c r="L244" s="18" t="b">
        <v>0</v>
      </c>
      <c r="M244" s="18" t="b">
        <v>0</v>
      </c>
      <c r="N244" s="18" t="b">
        <v>0</v>
      </c>
      <c r="O244" s="18" t="b">
        <v>0</v>
      </c>
      <c r="P244" s="18" t="b">
        <v>0</v>
      </c>
      <c r="Q244" s="18" t="b">
        <v>0</v>
      </c>
      <c r="R244" s="18" t="b">
        <v>1</v>
      </c>
    </row>
    <row r="245" spans="1:18" ht="18">
      <c r="A245" s="61" t="s">
        <v>818</v>
      </c>
      <c r="B245" s="15" t="s">
        <v>818</v>
      </c>
      <c r="C245" s="44" t="s">
        <v>819</v>
      </c>
      <c r="D245" s="45" t="s">
        <v>820</v>
      </c>
      <c r="E245" s="18" t="s">
        <v>154</v>
      </c>
      <c r="F245" s="19" t="s">
        <v>27</v>
      </c>
      <c r="G245" s="18" t="b">
        <v>0</v>
      </c>
      <c r="H245" s="18" t="b">
        <v>0</v>
      </c>
      <c r="I245" s="18" t="b">
        <v>1</v>
      </c>
      <c r="J245" s="18" t="b">
        <v>0</v>
      </c>
      <c r="K245" s="18" t="b">
        <v>1</v>
      </c>
      <c r="L245" s="18" t="b">
        <v>0</v>
      </c>
      <c r="M245" s="18" t="b">
        <v>0</v>
      </c>
      <c r="N245" s="18" t="b">
        <v>0</v>
      </c>
      <c r="O245" s="18" t="b">
        <v>0</v>
      </c>
      <c r="P245" s="18" t="b">
        <v>0</v>
      </c>
      <c r="Q245" s="18" t="b">
        <v>0</v>
      </c>
      <c r="R245" s="18" t="b">
        <v>0</v>
      </c>
    </row>
    <row r="246" spans="1:18" ht="15.75" customHeight="1">
      <c r="A246" s="61" t="s">
        <v>821</v>
      </c>
      <c r="B246" s="51" t="s">
        <v>822</v>
      </c>
      <c r="C246" s="17" t="s">
        <v>823</v>
      </c>
      <c r="D246" s="17" t="s">
        <v>824</v>
      </c>
      <c r="E246" s="18" t="s">
        <v>154</v>
      </c>
      <c r="F246" s="19" t="s">
        <v>27</v>
      </c>
      <c r="G246" s="18" t="b">
        <v>0</v>
      </c>
      <c r="H246" s="18" t="b">
        <v>0</v>
      </c>
      <c r="I246" s="18" t="b">
        <v>1</v>
      </c>
      <c r="J246" s="18" t="b">
        <v>0</v>
      </c>
      <c r="K246" s="18" t="b">
        <v>0</v>
      </c>
      <c r="L246" s="18" t="b">
        <v>0</v>
      </c>
      <c r="M246" s="18" t="b">
        <v>0</v>
      </c>
      <c r="N246" s="18" t="b">
        <v>0</v>
      </c>
      <c r="O246" s="18" t="b">
        <v>0</v>
      </c>
      <c r="P246" s="18" t="b">
        <v>0</v>
      </c>
      <c r="Q246" s="18" t="b">
        <v>0</v>
      </c>
      <c r="R246" s="18" t="b">
        <v>0</v>
      </c>
    </row>
    <row r="247" spans="1:18" ht="15.75" customHeight="1">
      <c r="A247" s="87" t="s">
        <v>825</v>
      </c>
      <c r="B247" s="15" t="s">
        <v>825</v>
      </c>
      <c r="C247" s="44" t="s">
        <v>826</v>
      </c>
      <c r="D247" s="45" t="s">
        <v>827</v>
      </c>
      <c r="E247" s="18" t="s">
        <v>52</v>
      </c>
      <c r="F247" s="19" t="s">
        <v>27</v>
      </c>
      <c r="G247" s="18" t="b">
        <v>0</v>
      </c>
      <c r="H247" s="18" t="b">
        <v>0</v>
      </c>
      <c r="I247" s="18" t="b">
        <v>1</v>
      </c>
      <c r="J247" s="18" t="b">
        <v>0</v>
      </c>
      <c r="K247" s="18" t="b">
        <v>0</v>
      </c>
      <c r="L247" s="18" t="b">
        <v>0</v>
      </c>
      <c r="M247" s="18" t="b">
        <v>0</v>
      </c>
      <c r="N247" s="18" t="b">
        <v>0</v>
      </c>
      <c r="O247" s="18" t="b">
        <v>0</v>
      </c>
      <c r="P247" s="18" t="b">
        <v>0</v>
      </c>
      <c r="Q247" s="18" t="b">
        <v>0</v>
      </c>
      <c r="R247" s="18" t="b">
        <v>0</v>
      </c>
    </row>
    <row r="248" spans="1:18" ht="15.75" customHeight="1">
      <c r="A248" s="61" t="s">
        <v>828</v>
      </c>
      <c r="B248" s="15" t="s">
        <v>828</v>
      </c>
      <c r="C248" s="18" t="s">
        <v>829</v>
      </c>
      <c r="D248" s="17" t="s">
        <v>830</v>
      </c>
      <c r="E248" s="18" t="s">
        <v>178</v>
      </c>
      <c r="F248" s="19" t="s">
        <v>27</v>
      </c>
      <c r="G248" s="18" t="b">
        <v>0</v>
      </c>
      <c r="H248" s="18" t="b">
        <v>0</v>
      </c>
      <c r="I248" s="18" t="b">
        <v>0</v>
      </c>
      <c r="J248" s="18" t="b">
        <v>0</v>
      </c>
      <c r="K248" s="18" t="b">
        <v>0</v>
      </c>
      <c r="L248" s="18" t="b">
        <v>0</v>
      </c>
      <c r="M248" s="18" t="b">
        <v>0</v>
      </c>
      <c r="N248" s="18" t="b">
        <v>1</v>
      </c>
      <c r="O248" s="18" t="b">
        <v>0</v>
      </c>
      <c r="P248" s="18" t="b">
        <v>0</v>
      </c>
      <c r="Q248" s="18" t="b">
        <v>0</v>
      </c>
      <c r="R248" s="18" t="b">
        <v>0</v>
      </c>
    </row>
    <row r="249" spans="1:18" ht="15.75" hidden="1" customHeight="1">
      <c r="A249" s="50" t="s">
        <v>831</v>
      </c>
      <c r="B249" s="15" t="s">
        <v>831</v>
      </c>
      <c r="C249" s="44" t="s">
        <v>832</v>
      </c>
      <c r="D249" s="45" t="s">
        <v>833</v>
      </c>
      <c r="E249" s="18" t="s">
        <v>69</v>
      </c>
      <c r="F249" s="19" t="s">
        <v>34</v>
      </c>
      <c r="G249" s="18" t="b">
        <v>0</v>
      </c>
      <c r="H249" s="18" t="b">
        <v>0</v>
      </c>
      <c r="I249" s="18" t="b">
        <v>0</v>
      </c>
      <c r="J249" s="18" t="b">
        <v>0</v>
      </c>
      <c r="K249" s="18" t="b">
        <v>0</v>
      </c>
      <c r="L249" s="18" t="b">
        <v>0</v>
      </c>
      <c r="M249" s="18" t="b">
        <v>0</v>
      </c>
      <c r="N249" s="18" t="b">
        <v>0</v>
      </c>
      <c r="O249" s="18" t="b">
        <v>1</v>
      </c>
      <c r="P249" s="18" t="b">
        <v>0</v>
      </c>
      <c r="Q249" s="18" t="b">
        <v>0</v>
      </c>
      <c r="R249" s="18" t="b">
        <v>0</v>
      </c>
    </row>
    <row r="250" spans="1:18" ht="15.75" customHeight="1">
      <c r="A250" s="87" t="s">
        <v>834</v>
      </c>
      <c r="B250" s="15" t="s">
        <v>835</v>
      </c>
      <c r="C250" s="44" t="s">
        <v>836</v>
      </c>
      <c r="D250" s="45" t="s">
        <v>837</v>
      </c>
      <c r="E250" s="18" t="s">
        <v>52</v>
      </c>
      <c r="F250" s="19" t="s">
        <v>27</v>
      </c>
      <c r="G250" s="18" t="b">
        <v>0</v>
      </c>
      <c r="H250" s="18" t="b">
        <v>0</v>
      </c>
      <c r="I250" s="18" t="b">
        <v>1</v>
      </c>
      <c r="J250" s="18" t="b">
        <v>1</v>
      </c>
      <c r="K250" s="18" t="b">
        <v>1</v>
      </c>
      <c r="L250" s="18" t="b">
        <v>0</v>
      </c>
      <c r="M250" s="18" t="b">
        <v>0</v>
      </c>
      <c r="N250" s="18" t="b">
        <v>0</v>
      </c>
      <c r="O250" s="18" t="b">
        <v>0</v>
      </c>
      <c r="P250" s="18" t="b">
        <v>0</v>
      </c>
      <c r="Q250" s="18" t="b">
        <v>0</v>
      </c>
      <c r="R250" s="18" t="b">
        <v>0</v>
      </c>
    </row>
    <row r="251" spans="1:18" ht="15.75" customHeight="1">
      <c r="A251" s="98" t="s">
        <v>838</v>
      </c>
      <c r="B251" s="15" t="s">
        <v>838</v>
      </c>
      <c r="C251" s="44" t="s">
        <v>839</v>
      </c>
      <c r="D251" s="88" t="s">
        <v>840</v>
      </c>
      <c r="E251" s="18" t="s">
        <v>52</v>
      </c>
      <c r="F251" s="19" t="s">
        <v>27</v>
      </c>
      <c r="G251" s="18" t="b">
        <v>0</v>
      </c>
      <c r="H251" s="18" t="b">
        <v>0</v>
      </c>
      <c r="I251" s="18" t="b">
        <v>1</v>
      </c>
      <c r="J251" s="18" t="b">
        <v>0</v>
      </c>
      <c r="K251" s="18" t="b">
        <v>0</v>
      </c>
      <c r="L251" s="18" t="b">
        <v>0</v>
      </c>
      <c r="M251" s="18" t="b">
        <v>0</v>
      </c>
      <c r="N251" s="18" t="b">
        <v>0</v>
      </c>
      <c r="O251" s="18" t="b">
        <v>1</v>
      </c>
      <c r="P251" s="18" t="b">
        <v>0</v>
      </c>
      <c r="Q251" s="18" t="b">
        <v>0</v>
      </c>
      <c r="R251" s="18" t="b">
        <v>0</v>
      </c>
    </row>
    <row r="252" spans="1:18" ht="15.75" customHeight="1">
      <c r="A252" s="61" t="s">
        <v>841</v>
      </c>
      <c r="B252" s="99" t="s">
        <v>841</v>
      </c>
      <c r="C252" s="17" t="s">
        <v>842</v>
      </c>
      <c r="D252" s="17" t="s">
        <v>843</v>
      </c>
      <c r="E252" s="18" t="s">
        <v>52</v>
      </c>
      <c r="F252" s="19" t="s">
        <v>27</v>
      </c>
      <c r="G252" s="18" t="b">
        <v>0</v>
      </c>
      <c r="H252" s="18" t="b">
        <v>0</v>
      </c>
      <c r="I252" s="18" t="b">
        <v>0</v>
      </c>
      <c r="J252" s="18" t="b">
        <v>1</v>
      </c>
      <c r="K252" s="18" t="b">
        <v>0</v>
      </c>
      <c r="L252" s="18" t="b">
        <v>0</v>
      </c>
      <c r="M252" s="18" t="b">
        <v>0</v>
      </c>
      <c r="N252" s="18" t="b">
        <v>0</v>
      </c>
      <c r="O252" s="18" t="b">
        <v>0</v>
      </c>
      <c r="P252" s="18" t="b">
        <v>0</v>
      </c>
      <c r="Q252" s="18" t="b">
        <v>0</v>
      </c>
      <c r="R252" s="18" t="b">
        <v>0</v>
      </c>
    </row>
    <row r="253" spans="1:18" ht="15.75" customHeight="1">
      <c r="A253" s="61" t="s">
        <v>844</v>
      </c>
      <c r="B253" s="15" t="s">
        <v>844</v>
      </c>
      <c r="C253" s="18" t="s">
        <v>845</v>
      </c>
      <c r="D253" s="17" t="s">
        <v>846</v>
      </c>
      <c r="E253" s="18" t="s">
        <v>471</v>
      </c>
      <c r="F253" s="19" t="s">
        <v>27</v>
      </c>
      <c r="G253" s="18" t="b">
        <v>0</v>
      </c>
      <c r="H253" s="18" t="b">
        <v>0</v>
      </c>
      <c r="I253" s="18" t="b">
        <v>0</v>
      </c>
      <c r="J253" s="18" t="b">
        <v>0</v>
      </c>
      <c r="K253" s="18" t="b">
        <v>0</v>
      </c>
      <c r="L253" s="18" t="b">
        <v>0</v>
      </c>
      <c r="M253" s="18" t="b">
        <v>0</v>
      </c>
      <c r="N253" s="18" t="b">
        <v>0</v>
      </c>
      <c r="O253" s="18" t="b">
        <v>0</v>
      </c>
      <c r="P253" s="18" t="b">
        <v>0</v>
      </c>
      <c r="Q253" s="18" t="b">
        <v>0</v>
      </c>
      <c r="R253" s="18" t="b">
        <v>1</v>
      </c>
    </row>
    <row r="254" spans="1:18" ht="15.75" customHeight="1">
      <c r="A254" s="61" t="s">
        <v>847</v>
      </c>
      <c r="B254" s="15" t="s">
        <v>848</v>
      </c>
      <c r="C254" s="18" t="s">
        <v>849</v>
      </c>
      <c r="D254" s="17" t="s">
        <v>850</v>
      </c>
      <c r="E254" s="18" t="s">
        <v>52</v>
      </c>
      <c r="F254" s="19" t="s">
        <v>27</v>
      </c>
      <c r="G254" s="18" t="b">
        <v>0</v>
      </c>
      <c r="H254" s="18" t="b">
        <v>0</v>
      </c>
      <c r="I254" s="18" t="b">
        <v>0</v>
      </c>
      <c r="J254" s="18" t="b">
        <v>1</v>
      </c>
      <c r="K254" s="18" t="b">
        <v>0</v>
      </c>
      <c r="L254" s="18" t="b">
        <v>0</v>
      </c>
      <c r="M254" s="18" t="b">
        <v>0</v>
      </c>
      <c r="N254" s="18" t="b">
        <v>0</v>
      </c>
      <c r="O254" s="18" t="b">
        <v>0</v>
      </c>
      <c r="P254" s="18" t="b">
        <v>0</v>
      </c>
      <c r="Q254" s="18" t="b">
        <v>0</v>
      </c>
      <c r="R254" s="18" t="b">
        <v>0</v>
      </c>
    </row>
    <row r="255" spans="1:18" ht="15.75" hidden="1" customHeight="1">
      <c r="A255" s="111" t="s">
        <v>851</v>
      </c>
      <c r="B255" s="15" t="s">
        <v>851</v>
      </c>
      <c r="C255" s="16" t="s">
        <v>852</v>
      </c>
      <c r="D255" s="16" t="s">
        <v>853</v>
      </c>
      <c r="E255" s="16" t="s">
        <v>471</v>
      </c>
      <c r="F255" s="33" t="s">
        <v>38</v>
      </c>
      <c r="G255" s="16" t="b">
        <v>0</v>
      </c>
      <c r="H255" s="16" t="b">
        <v>0</v>
      </c>
      <c r="I255" s="16" t="b">
        <v>0</v>
      </c>
      <c r="J255" s="16" t="b">
        <v>0</v>
      </c>
      <c r="K255" s="16" t="b">
        <v>0</v>
      </c>
      <c r="L255" s="16" t="b">
        <v>0</v>
      </c>
      <c r="M255" s="16" t="b">
        <v>0</v>
      </c>
      <c r="N255" s="16" t="b">
        <v>0</v>
      </c>
      <c r="O255" s="16" t="b">
        <v>0</v>
      </c>
      <c r="P255" s="16" t="b">
        <v>0</v>
      </c>
      <c r="Q255" s="16" t="b">
        <v>0</v>
      </c>
      <c r="R255" s="16" t="b">
        <v>1</v>
      </c>
    </row>
    <row r="256" spans="1:18" ht="15.75" customHeight="1">
      <c r="A256" s="87" t="s">
        <v>854</v>
      </c>
      <c r="B256" s="15" t="s">
        <v>854</v>
      </c>
      <c r="C256" s="44" t="s">
        <v>855</v>
      </c>
      <c r="D256" s="45" t="s">
        <v>856</v>
      </c>
      <c r="E256" s="18" t="s">
        <v>52</v>
      </c>
      <c r="F256" s="19" t="s">
        <v>27</v>
      </c>
      <c r="G256" s="18" t="b">
        <v>0</v>
      </c>
      <c r="H256" s="18" t="b">
        <v>0</v>
      </c>
      <c r="I256" s="18" t="b">
        <v>1</v>
      </c>
      <c r="J256" s="18" t="b">
        <v>0</v>
      </c>
      <c r="K256" s="18" t="b">
        <v>0</v>
      </c>
      <c r="L256" s="18" t="b">
        <v>0</v>
      </c>
      <c r="M256" s="18" t="b">
        <v>0</v>
      </c>
      <c r="N256" s="18" t="b">
        <v>0</v>
      </c>
      <c r="O256" s="18" t="b">
        <v>0</v>
      </c>
      <c r="P256" s="18" t="b">
        <v>0</v>
      </c>
      <c r="Q256" s="18" t="b">
        <v>0</v>
      </c>
      <c r="R256" s="18" t="b">
        <v>0</v>
      </c>
    </row>
    <row r="257" spans="1:18" ht="15.75" customHeight="1">
      <c r="A257" s="61" t="s">
        <v>857</v>
      </c>
      <c r="B257" s="15" t="s">
        <v>857</v>
      </c>
      <c r="C257" s="18" t="s">
        <v>858</v>
      </c>
      <c r="D257" s="17" t="s">
        <v>859</v>
      </c>
      <c r="E257" s="18" t="s">
        <v>52</v>
      </c>
      <c r="F257" s="19" t="s">
        <v>27</v>
      </c>
      <c r="G257" s="18" t="b">
        <v>0</v>
      </c>
      <c r="H257" s="18" t="b">
        <v>0</v>
      </c>
      <c r="I257" s="18" t="b">
        <v>0</v>
      </c>
      <c r="J257" s="18" t="b">
        <v>1</v>
      </c>
      <c r="K257" s="18" t="b">
        <v>0</v>
      </c>
      <c r="L257" s="18" t="b">
        <v>0</v>
      </c>
      <c r="M257" s="18" t="b">
        <v>0</v>
      </c>
      <c r="N257" s="18" t="b">
        <v>0</v>
      </c>
      <c r="O257" s="18" t="b">
        <v>0</v>
      </c>
      <c r="P257" s="18" t="b">
        <v>0</v>
      </c>
      <c r="Q257" s="18" t="b">
        <v>0</v>
      </c>
      <c r="R257" s="18" t="b">
        <v>0</v>
      </c>
    </row>
    <row r="258" spans="1:18" ht="15.75" customHeight="1">
      <c r="A258" s="87" t="s">
        <v>860</v>
      </c>
      <c r="B258" s="72" t="s">
        <v>860</v>
      </c>
      <c r="C258" s="45" t="s">
        <v>861</v>
      </c>
      <c r="D258" s="17" t="s">
        <v>862</v>
      </c>
      <c r="E258" s="18" t="s">
        <v>178</v>
      </c>
      <c r="F258" s="19" t="s">
        <v>27</v>
      </c>
      <c r="G258" s="18" t="b">
        <v>0</v>
      </c>
      <c r="H258" s="18" t="b">
        <v>0</v>
      </c>
      <c r="I258" s="18" t="b">
        <v>0</v>
      </c>
      <c r="J258" s="18" t="b">
        <v>0</v>
      </c>
      <c r="K258" s="18" t="b">
        <v>0</v>
      </c>
      <c r="L258" s="18" t="b">
        <v>0</v>
      </c>
      <c r="M258" s="18" t="b">
        <v>1</v>
      </c>
      <c r="N258" s="18" t="b">
        <v>1</v>
      </c>
      <c r="O258" s="18" t="b">
        <v>0</v>
      </c>
      <c r="P258" s="18" t="b">
        <v>0</v>
      </c>
      <c r="Q258" s="18" t="b">
        <v>0</v>
      </c>
      <c r="R258" s="18" t="b">
        <v>0</v>
      </c>
    </row>
    <row r="259" spans="1:18" ht="15.75" customHeight="1">
      <c r="A259" s="61" t="s">
        <v>863</v>
      </c>
      <c r="B259" s="15" t="s">
        <v>864</v>
      </c>
      <c r="C259" s="18" t="s">
        <v>865</v>
      </c>
      <c r="D259" s="45" t="s">
        <v>866</v>
      </c>
      <c r="E259" s="18" t="s">
        <v>33</v>
      </c>
      <c r="F259" s="19" t="s">
        <v>27</v>
      </c>
      <c r="G259" s="18" t="b">
        <v>0</v>
      </c>
      <c r="H259" s="18" t="b">
        <v>0</v>
      </c>
      <c r="I259" s="18" t="b">
        <v>0</v>
      </c>
      <c r="J259" s="18" t="b">
        <v>0</v>
      </c>
      <c r="K259" s="18" t="b">
        <v>0</v>
      </c>
      <c r="L259" s="18" t="b">
        <v>0</v>
      </c>
      <c r="M259" s="18" t="b">
        <v>0</v>
      </c>
      <c r="N259" s="18" t="b">
        <v>0</v>
      </c>
      <c r="O259" s="18" t="b">
        <v>0</v>
      </c>
      <c r="P259" s="18" t="b">
        <v>0</v>
      </c>
      <c r="Q259" s="18" t="b">
        <v>0</v>
      </c>
      <c r="R259" s="18" t="b">
        <v>1</v>
      </c>
    </row>
    <row r="260" spans="1:18" ht="15.75" customHeight="1">
      <c r="A260" s="87" t="s">
        <v>867</v>
      </c>
      <c r="B260" s="93" t="s">
        <v>868</v>
      </c>
      <c r="C260" s="18" t="s">
        <v>869</v>
      </c>
      <c r="D260" s="88" t="s">
        <v>870</v>
      </c>
      <c r="E260" s="18" t="s">
        <v>52</v>
      </c>
      <c r="F260" s="19" t="s">
        <v>27</v>
      </c>
      <c r="G260" s="18" t="b">
        <v>0</v>
      </c>
      <c r="H260" s="18" t="b">
        <v>1</v>
      </c>
      <c r="I260" s="17" t="b">
        <v>1</v>
      </c>
      <c r="J260" s="18" t="b">
        <v>1</v>
      </c>
      <c r="K260" s="18" t="b">
        <v>1</v>
      </c>
      <c r="L260" s="18" t="b">
        <v>0</v>
      </c>
      <c r="M260" s="18" t="b">
        <v>0</v>
      </c>
      <c r="N260" s="18" t="b">
        <v>0</v>
      </c>
      <c r="O260" s="18" t="b">
        <v>1</v>
      </c>
      <c r="P260" s="18" t="b">
        <v>0</v>
      </c>
      <c r="Q260" s="18" t="b">
        <v>0</v>
      </c>
      <c r="R260" s="18" t="b">
        <v>0</v>
      </c>
    </row>
    <row r="261" spans="1:18" ht="15.75" hidden="1" customHeight="1">
      <c r="A261" s="111" t="s">
        <v>871</v>
      </c>
      <c r="B261" s="15" t="s">
        <v>871</v>
      </c>
      <c r="C261" s="16" t="s">
        <v>872</v>
      </c>
      <c r="D261" s="16" t="s">
        <v>873</v>
      </c>
      <c r="E261" s="16" t="s">
        <v>471</v>
      </c>
      <c r="F261" s="33" t="s">
        <v>38</v>
      </c>
      <c r="G261" s="16" t="b">
        <v>0</v>
      </c>
      <c r="H261" s="16" t="b">
        <v>0</v>
      </c>
      <c r="I261" s="16" t="b">
        <v>0</v>
      </c>
      <c r="J261" s="16" t="b">
        <v>0</v>
      </c>
      <c r="K261" s="16" t="b">
        <v>0</v>
      </c>
      <c r="L261" s="16" t="b">
        <v>0</v>
      </c>
      <c r="M261" s="16" t="b">
        <v>0</v>
      </c>
      <c r="N261" s="16" t="b">
        <v>0</v>
      </c>
      <c r="O261" s="16" t="b">
        <v>0</v>
      </c>
      <c r="P261" s="16" t="b">
        <v>0</v>
      </c>
      <c r="Q261" s="16" t="b">
        <v>0</v>
      </c>
      <c r="R261" s="16" t="b">
        <v>1</v>
      </c>
    </row>
    <row r="262" spans="1:18" ht="15.75" customHeight="1">
      <c r="A262" s="61" t="s">
        <v>874</v>
      </c>
      <c r="B262" s="15" t="s">
        <v>874</v>
      </c>
      <c r="C262" s="44" t="s">
        <v>875</v>
      </c>
      <c r="D262" s="45" t="s">
        <v>876</v>
      </c>
      <c r="E262" s="18" t="s">
        <v>33</v>
      </c>
      <c r="F262" s="19" t="s">
        <v>27</v>
      </c>
      <c r="G262" s="18" t="b">
        <v>0</v>
      </c>
      <c r="H262" s="18" t="b">
        <v>0</v>
      </c>
      <c r="I262" s="18" t="b">
        <v>0</v>
      </c>
      <c r="J262" s="18" t="b">
        <v>0</v>
      </c>
      <c r="K262" s="18" t="b">
        <v>0</v>
      </c>
      <c r="L262" s="18" t="b">
        <v>0</v>
      </c>
      <c r="M262" s="18" t="b">
        <v>0</v>
      </c>
      <c r="N262" s="18" t="b">
        <v>0</v>
      </c>
      <c r="O262" s="18" t="b">
        <v>0</v>
      </c>
      <c r="P262" s="18" t="b">
        <v>0</v>
      </c>
      <c r="Q262" s="18" t="b">
        <v>0</v>
      </c>
      <c r="R262" s="18" t="b">
        <v>1</v>
      </c>
    </row>
    <row r="263" spans="1:18" ht="15.75" customHeight="1">
      <c r="A263" s="61" t="s">
        <v>877</v>
      </c>
      <c r="B263" s="51" t="s">
        <v>878</v>
      </c>
      <c r="C263" s="101" t="s">
        <v>879</v>
      </c>
      <c r="D263" s="17" t="s">
        <v>880</v>
      </c>
      <c r="E263" s="18" t="s">
        <v>154</v>
      </c>
      <c r="F263" s="19" t="s">
        <v>27</v>
      </c>
      <c r="G263" s="18" t="b">
        <v>0</v>
      </c>
      <c r="H263" s="18" t="b">
        <v>0</v>
      </c>
      <c r="I263" s="18" t="b">
        <v>1</v>
      </c>
      <c r="J263" s="18" t="b">
        <v>0</v>
      </c>
      <c r="K263" s="18" t="b">
        <v>0</v>
      </c>
      <c r="L263" s="18" t="b">
        <v>0</v>
      </c>
      <c r="M263" s="18" t="b">
        <v>0</v>
      </c>
      <c r="N263" s="18" t="b">
        <v>0</v>
      </c>
      <c r="O263" s="18" t="b">
        <v>0</v>
      </c>
      <c r="P263" s="18" t="b">
        <v>1</v>
      </c>
      <c r="Q263" s="18" t="b">
        <v>1</v>
      </c>
      <c r="R263" s="18" t="b">
        <v>0</v>
      </c>
    </row>
    <row r="264" spans="1:18" ht="15.75" customHeight="1">
      <c r="A264" s="61" t="s">
        <v>881</v>
      </c>
      <c r="B264" s="15" t="s">
        <v>881</v>
      </c>
      <c r="C264" s="18" t="s">
        <v>882</v>
      </c>
      <c r="D264" s="17" t="s">
        <v>883</v>
      </c>
      <c r="E264" s="18" t="s">
        <v>471</v>
      </c>
      <c r="F264" s="19" t="s">
        <v>27</v>
      </c>
      <c r="G264" s="18" t="b">
        <v>0</v>
      </c>
      <c r="H264" s="18" t="b">
        <v>0</v>
      </c>
      <c r="I264" s="18" t="b">
        <v>0</v>
      </c>
      <c r="J264" s="18" t="b">
        <v>0</v>
      </c>
      <c r="K264" s="18" t="b">
        <v>0</v>
      </c>
      <c r="L264" s="18" t="b">
        <v>0</v>
      </c>
      <c r="M264" s="18" t="b">
        <v>0</v>
      </c>
      <c r="N264" s="18" t="b">
        <v>0</v>
      </c>
      <c r="O264" s="18" t="b">
        <v>0</v>
      </c>
      <c r="P264" s="18" t="b">
        <v>0</v>
      </c>
      <c r="Q264" s="18" t="b">
        <v>0</v>
      </c>
      <c r="R264" s="18" t="b">
        <v>1</v>
      </c>
    </row>
    <row r="265" spans="1:18" ht="15.75" customHeight="1">
      <c r="A265" s="61" t="s">
        <v>884</v>
      </c>
      <c r="B265" s="15"/>
      <c r="C265" s="17" t="s">
        <v>885</v>
      </c>
      <c r="D265" s="17" t="s">
        <v>886</v>
      </c>
      <c r="E265" s="18" t="s">
        <v>33</v>
      </c>
      <c r="F265" s="19" t="s">
        <v>27</v>
      </c>
      <c r="G265" s="18" t="b">
        <v>0</v>
      </c>
      <c r="H265" s="18" t="b">
        <v>0</v>
      </c>
      <c r="I265" s="18" t="b">
        <v>0</v>
      </c>
      <c r="J265" s="18" t="b">
        <v>0</v>
      </c>
      <c r="K265" s="18" t="b">
        <v>1</v>
      </c>
      <c r="L265" s="18" t="b">
        <v>0</v>
      </c>
      <c r="M265" s="18" t="b">
        <v>0</v>
      </c>
      <c r="N265" s="18" t="b">
        <v>0</v>
      </c>
      <c r="O265" s="18" t="b">
        <v>0</v>
      </c>
      <c r="P265" s="18" t="b">
        <v>0</v>
      </c>
      <c r="Q265" s="18" t="b">
        <v>0</v>
      </c>
      <c r="R265" s="18" t="b">
        <v>1</v>
      </c>
    </row>
    <row r="266" spans="1:18" ht="15" customHeight="1">
      <c r="A266" s="98" t="s">
        <v>887</v>
      </c>
      <c r="B266" s="15" t="s">
        <v>887</v>
      </c>
      <c r="C266" s="44" t="s">
        <v>888</v>
      </c>
      <c r="D266" s="45" t="s">
        <v>889</v>
      </c>
      <c r="E266" s="18" t="s">
        <v>33</v>
      </c>
      <c r="F266" s="19" t="s">
        <v>27</v>
      </c>
      <c r="G266" s="18" t="b">
        <v>0</v>
      </c>
      <c r="H266" s="18" t="b">
        <v>0</v>
      </c>
      <c r="I266" s="18" t="b">
        <v>0</v>
      </c>
      <c r="J266" s="18" t="b">
        <v>0</v>
      </c>
      <c r="K266" s="18" t="b">
        <v>0</v>
      </c>
      <c r="L266" s="18" t="b">
        <v>0</v>
      </c>
      <c r="M266" s="18" t="b">
        <v>0</v>
      </c>
      <c r="N266" s="18" t="b">
        <v>0</v>
      </c>
      <c r="O266" s="18" t="b">
        <v>0</v>
      </c>
      <c r="P266" s="18" t="b">
        <v>0</v>
      </c>
      <c r="Q266" s="18" t="b">
        <v>0</v>
      </c>
      <c r="R266" s="18" t="b">
        <v>1</v>
      </c>
    </row>
    <row r="267" spans="1:18" ht="15" hidden="1" customHeight="1">
      <c r="A267" s="111" t="s">
        <v>890</v>
      </c>
      <c r="B267" s="15" t="s">
        <v>890</v>
      </c>
      <c r="C267" s="16" t="s">
        <v>891</v>
      </c>
      <c r="D267" s="16" t="s">
        <v>892</v>
      </c>
      <c r="E267" s="16" t="s">
        <v>86</v>
      </c>
      <c r="F267" s="33" t="s">
        <v>34</v>
      </c>
      <c r="G267" s="16" t="b">
        <v>0</v>
      </c>
      <c r="H267" s="16" t="b">
        <v>0</v>
      </c>
      <c r="I267" s="16" t="b">
        <v>1</v>
      </c>
      <c r="J267" s="16" t="b">
        <v>0</v>
      </c>
      <c r="K267" s="16" t="b">
        <v>0</v>
      </c>
      <c r="L267" s="16" t="b">
        <v>0</v>
      </c>
      <c r="M267" s="16" t="b">
        <v>0</v>
      </c>
      <c r="N267" s="16" t="b">
        <v>0</v>
      </c>
      <c r="O267" s="16" t="b">
        <v>0</v>
      </c>
      <c r="P267" s="16" t="b">
        <v>0</v>
      </c>
      <c r="Q267" s="16" t="b">
        <v>0</v>
      </c>
      <c r="R267" s="16" t="b">
        <v>0</v>
      </c>
    </row>
    <row r="268" spans="1:18" ht="15" customHeight="1">
      <c r="A268" s="61" t="s">
        <v>893</v>
      </c>
      <c r="B268" s="93" t="s">
        <v>893</v>
      </c>
      <c r="C268" s="18" t="s">
        <v>894</v>
      </c>
      <c r="D268" s="126" t="s">
        <v>895</v>
      </c>
      <c r="E268" s="18" t="s">
        <v>192</v>
      </c>
      <c r="F268" s="19" t="s">
        <v>27</v>
      </c>
      <c r="G268" s="18" t="b">
        <v>0</v>
      </c>
      <c r="H268" s="18" t="b">
        <v>0</v>
      </c>
      <c r="I268" s="18" t="b">
        <v>0</v>
      </c>
      <c r="J268" s="18" t="b">
        <v>0</v>
      </c>
      <c r="K268" s="18" t="b">
        <v>0</v>
      </c>
      <c r="L268" s="18" t="b">
        <v>0</v>
      </c>
      <c r="M268" s="18" t="b">
        <v>0</v>
      </c>
      <c r="N268" s="18" t="b">
        <v>0</v>
      </c>
      <c r="O268" s="18" t="b">
        <v>0</v>
      </c>
      <c r="P268" s="18" t="b">
        <v>1</v>
      </c>
      <c r="Q268" s="18" t="b">
        <v>1</v>
      </c>
      <c r="R268" s="18" t="b">
        <v>0</v>
      </c>
    </row>
    <row r="269" spans="1:18" ht="15" hidden="1" customHeight="1">
      <c r="A269" s="111" t="s">
        <v>896</v>
      </c>
      <c r="B269" s="15" t="s">
        <v>896</v>
      </c>
      <c r="C269" s="16" t="s">
        <v>897</v>
      </c>
      <c r="D269" s="16" t="s">
        <v>898</v>
      </c>
      <c r="E269" s="16" t="s">
        <v>86</v>
      </c>
      <c r="F269" s="33" t="s">
        <v>38</v>
      </c>
      <c r="G269" s="16" t="b">
        <v>0</v>
      </c>
      <c r="H269" s="16" t="b">
        <v>0</v>
      </c>
      <c r="I269" s="16" t="b">
        <v>1</v>
      </c>
      <c r="J269" s="16" t="b">
        <v>0</v>
      </c>
      <c r="K269" s="16" t="b">
        <v>0</v>
      </c>
      <c r="L269" s="16" t="b">
        <v>0</v>
      </c>
      <c r="M269" s="16" t="b">
        <v>0</v>
      </c>
      <c r="N269" s="16" t="b">
        <v>0</v>
      </c>
      <c r="O269" s="16" t="b">
        <v>0</v>
      </c>
      <c r="P269" s="16" t="b">
        <v>0</v>
      </c>
      <c r="Q269" s="16" t="b">
        <v>0</v>
      </c>
      <c r="R269" s="16" t="b">
        <v>0</v>
      </c>
    </row>
    <row r="270" spans="1:18" ht="15" hidden="1" customHeight="1">
      <c r="A270" s="61" t="s">
        <v>899</v>
      </c>
      <c r="B270" s="15" t="s">
        <v>899</v>
      </c>
      <c r="C270" s="16" t="s">
        <v>900</v>
      </c>
      <c r="D270" s="76" t="s">
        <v>901</v>
      </c>
      <c r="E270" s="16" t="s">
        <v>178</v>
      </c>
      <c r="F270" s="19" t="s">
        <v>38</v>
      </c>
      <c r="G270" s="16" t="b">
        <v>0</v>
      </c>
      <c r="H270" s="16" t="b">
        <v>0</v>
      </c>
      <c r="I270" s="16" t="b">
        <v>0</v>
      </c>
      <c r="J270" s="16" t="b">
        <v>1</v>
      </c>
      <c r="K270" s="16" t="b">
        <v>0</v>
      </c>
      <c r="L270" s="16" t="b">
        <v>0</v>
      </c>
      <c r="M270" s="16" t="b">
        <v>0</v>
      </c>
      <c r="N270" s="16" t="b">
        <v>1</v>
      </c>
      <c r="O270" s="16" t="b">
        <v>0</v>
      </c>
      <c r="P270" s="16" t="b">
        <v>0</v>
      </c>
      <c r="Q270" s="16" t="b">
        <v>0</v>
      </c>
      <c r="R270" s="16" t="b">
        <v>0</v>
      </c>
    </row>
    <row r="271" spans="1:18" ht="15" hidden="1" customHeight="1">
      <c r="A271" s="61" t="s">
        <v>903</v>
      </c>
      <c r="B271" s="15" t="s">
        <v>903</v>
      </c>
      <c r="C271" s="44" t="s">
        <v>904</v>
      </c>
      <c r="D271" s="45" t="s">
        <v>905</v>
      </c>
      <c r="E271" s="18" t="s">
        <v>471</v>
      </c>
      <c r="F271" s="19" t="s">
        <v>38</v>
      </c>
      <c r="G271" s="18" t="b">
        <v>0</v>
      </c>
      <c r="H271" s="18" t="b">
        <v>0</v>
      </c>
      <c r="I271" s="18" t="b">
        <v>0</v>
      </c>
      <c r="J271" s="18" t="b">
        <v>0</v>
      </c>
      <c r="K271" s="18" t="b">
        <v>0</v>
      </c>
      <c r="L271" s="18" t="b">
        <v>0</v>
      </c>
      <c r="M271" s="18" t="b">
        <v>0</v>
      </c>
      <c r="N271" s="18" t="b">
        <v>0</v>
      </c>
      <c r="O271" s="18" t="b">
        <v>0</v>
      </c>
      <c r="P271" s="18" t="b">
        <v>0</v>
      </c>
      <c r="Q271" s="18" t="b">
        <v>0</v>
      </c>
      <c r="R271" s="18" t="b">
        <v>1</v>
      </c>
    </row>
    <row r="272" spans="1:18" ht="15" customHeight="1">
      <c r="A272" s="61" t="s">
        <v>906</v>
      </c>
      <c r="B272" s="15" t="s">
        <v>906</v>
      </c>
      <c r="C272" s="17" t="s">
        <v>907</v>
      </c>
      <c r="D272" s="68" t="s">
        <v>908</v>
      </c>
      <c r="E272" s="16" t="s">
        <v>60</v>
      </c>
      <c r="F272" s="19" t="s">
        <v>27</v>
      </c>
      <c r="G272" s="18" t="b">
        <v>0</v>
      </c>
      <c r="H272" s="18" t="b">
        <v>0</v>
      </c>
      <c r="I272" s="18" t="b">
        <v>0</v>
      </c>
      <c r="J272" s="18" t="b">
        <v>0</v>
      </c>
      <c r="K272" s="18" t="b">
        <v>0</v>
      </c>
      <c r="L272" s="18" t="b">
        <v>0</v>
      </c>
      <c r="M272" s="18" t="b">
        <v>1</v>
      </c>
      <c r="N272" s="18" t="b">
        <v>0</v>
      </c>
      <c r="O272" s="18" t="b">
        <v>0</v>
      </c>
      <c r="P272" s="18" t="b">
        <v>0</v>
      </c>
      <c r="Q272" s="18" t="b">
        <v>0</v>
      </c>
      <c r="R272" s="18" t="b">
        <v>0</v>
      </c>
    </row>
    <row r="273" spans="1:18" ht="15" customHeight="1">
      <c r="A273" s="61" t="s">
        <v>909</v>
      </c>
      <c r="B273" s="51" t="s">
        <v>909</v>
      </c>
      <c r="C273" s="100" t="s">
        <v>910</v>
      </c>
      <c r="D273" s="68" t="s">
        <v>911</v>
      </c>
      <c r="E273" s="18" t="s">
        <v>43</v>
      </c>
      <c r="F273" s="19" t="s">
        <v>27</v>
      </c>
      <c r="G273" s="18" t="b">
        <v>0</v>
      </c>
      <c r="H273" s="18" t="b">
        <v>0</v>
      </c>
      <c r="I273" s="18" t="b">
        <v>0</v>
      </c>
      <c r="J273" s="18" t="b">
        <v>0</v>
      </c>
      <c r="K273" s="18" t="b">
        <v>0</v>
      </c>
      <c r="L273" s="18" t="b">
        <v>0</v>
      </c>
      <c r="M273" s="18" t="b">
        <v>0</v>
      </c>
      <c r="N273" s="18" t="b">
        <v>0</v>
      </c>
      <c r="O273" s="18" t="b">
        <v>0</v>
      </c>
      <c r="P273" s="18" t="b">
        <v>0</v>
      </c>
      <c r="Q273" s="18" t="b">
        <v>0</v>
      </c>
      <c r="R273" s="18" t="b">
        <v>0</v>
      </c>
    </row>
    <row r="274" spans="1:18" ht="15" customHeight="1">
      <c r="A274" s="61" t="s">
        <v>912</v>
      </c>
      <c r="B274" s="81" t="s">
        <v>913</v>
      </c>
      <c r="C274" s="18" t="s">
        <v>914</v>
      </c>
      <c r="D274" s="68" t="s">
        <v>915</v>
      </c>
      <c r="E274" s="18" t="s">
        <v>69</v>
      </c>
      <c r="F274" s="19" t="s">
        <v>27</v>
      </c>
      <c r="G274" s="18" t="b">
        <v>0</v>
      </c>
      <c r="H274" s="18" t="b">
        <v>0</v>
      </c>
      <c r="I274" s="18" t="b">
        <v>0</v>
      </c>
      <c r="J274" s="18" t="b">
        <v>0</v>
      </c>
      <c r="K274" s="18" t="b">
        <v>0</v>
      </c>
      <c r="L274" s="18" t="b">
        <v>0</v>
      </c>
      <c r="M274" s="18" t="b">
        <v>0</v>
      </c>
      <c r="N274" s="18" t="b">
        <v>0</v>
      </c>
      <c r="O274" s="18" t="b">
        <v>1</v>
      </c>
      <c r="P274" s="18" t="b">
        <v>0</v>
      </c>
      <c r="Q274" s="18" t="b">
        <v>0</v>
      </c>
      <c r="R274" s="18" t="b">
        <v>0</v>
      </c>
    </row>
    <row r="275" spans="1:18" ht="15" customHeight="1">
      <c r="A275" s="87" t="s">
        <v>916</v>
      </c>
      <c r="B275" s="72" t="s">
        <v>916</v>
      </c>
      <c r="C275" s="88" t="s">
        <v>917</v>
      </c>
      <c r="D275" s="45" t="s">
        <v>918</v>
      </c>
      <c r="E275" s="18" t="s">
        <v>52</v>
      </c>
      <c r="F275" s="19" t="s">
        <v>27</v>
      </c>
      <c r="G275" s="18" t="b">
        <v>0</v>
      </c>
      <c r="H275" s="18" t="b">
        <v>0</v>
      </c>
      <c r="I275" s="18" t="b">
        <v>1</v>
      </c>
      <c r="J275" s="18" t="b">
        <v>0</v>
      </c>
      <c r="K275" s="18" t="b">
        <v>0</v>
      </c>
      <c r="L275" s="18" t="b">
        <v>0</v>
      </c>
      <c r="M275" s="18" t="b">
        <v>0</v>
      </c>
      <c r="N275" s="18" t="b">
        <v>0</v>
      </c>
      <c r="O275" s="18" t="b">
        <v>0</v>
      </c>
      <c r="P275" s="18" t="b">
        <v>0</v>
      </c>
      <c r="Q275" s="18" t="b">
        <v>0</v>
      </c>
      <c r="R275" s="18" t="b">
        <v>0</v>
      </c>
    </row>
    <row r="276" spans="1:18" ht="15" hidden="1" customHeight="1">
      <c r="A276" s="111" t="s">
        <v>919</v>
      </c>
      <c r="B276" s="15" t="s">
        <v>919</v>
      </c>
      <c r="C276" s="16" t="s">
        <v>920</v>
      </c>
      <c r="D276" s="16" t="s">
        <v>921</v>
      </c>
      <c r="E276" s="16" t="s">
        <v>86</v>
      </c>
      <c r="F276" s="33" t="s">
        <v>38</v>
      </c>
      <c r="G276" s="16" t="b">
        <v>0</v>
      </c>
      <c r="H276" s="16" t="b">
        <v>0</v>
      </c>
      <c r="I276" s="16" t="b">
        <v>1</v>
      </c>
      <c r="J276" s="16" t="b">
        <v>0</v>
      </c>
      <c r="K276" s="16" t="b">
        <v>0</v>
      </c>
      <c r="L276" s="16" t="b">
        <v>0</v>
      </c>
      <c r="M276" s="16" t="b">
        <v>0</v>
      </c>
      <c r="N276" s="16" t="b">
        <v>0</v>
      </c>
      <c r="O276" s="16" t="b">
        <v>0</v>
      </c>
      <c r="P276" s="16" t="b">
        <v>0</v>
      </c>
      <c r="Q276" s="16" t="b">
        <v>0</v>
      </c>
      <c r="R276" s="16" t="b">
        <v>0</v>
      </c>
    </row>
    <row r="277" spans="1:18" ht="15" customHeight="1">
      <c r="A277" s="61" t="s">
        <v>922</v>
      </c>
      <c r="B277" s="15" t="s">
        <v>922</v>
      </c>
      <c r="C277" s="45" t="s">
        <v>923</v>
      </c>
      <c r="D277" s="17" t="s">
        <v>924</v>
      </c>
      <c r="E277" s="18" t="s">
        <v>140</v>
      </c>
      <c r="F277" s="19" t="s">
        <v>27</v>
      </c>
      <c r="G277" s="18" t="b">
        <v>0</v>
      </c>
      <c r="H277" s="18" t="b">
        <v>1</v>
      </c>
      <c r="I277" s="18" t="b">
        <v>0</v>
      </c>
      <c r="J277" s="18" t="b">
        <v>0</v>
      </c>
      <c r="K277" s="18" t="b">
        <v>0</v>
      </c>
      <c r="L277" s="18" t="b">
        <v>0</v>
      </c>
      <c r="M277" s="18" t="b">
        <v>0</v>
      </c>
      <c r="N277" s="18" t="b">
        <v>0</v>
      </c>
      <c r="O277" s="18" t="b">
        <v>0</v>
      </c>
      <c r="P277" s="18" t="b">
        <v>0</v>
      </c>
      <c r="Q277" s="18" t="b">
        <v>0</v>
      </c>
      <c r="R277" s="18" t="b">
        <v>0</v>
      </c>
    </row>
    <row r="278" spans="1:18" ht="15" customHeight="1">
      <c r="A278" s="127" t="s">
        <v>925</v>
      </c>
      <c r="B278" s="15"/>
      <c r="C278" s="18" t="s">
        <v>926</v>
      </c>
      <c r="D278" s="45" t="s">
        <v>927</v>
      </c>
      <c r="E278" s="18" t="s">
        <v>43</v>
      </c>
      <c r="F278" s="19" t="s">
        <v>27</v>
      </c>
      <c r="G278" s="18" t="b">
        <v>1</v>
      </c>
      <c r="H278" s="18" t="b">
        <v>0</v>
      </c>
      <c r="I278" s="18" t="b">
        <v>0</v>
      </c>
      <c r="J278" s="18" t="b">
        <v>0</v>
      </c>
      <c r="K278" s="18" t="b">
        <v>0</v>
      </c>
      <c r="L278" s="18" t="b">
        <v>0</v>
      </c>
      <c r="M278" s="18" t="b">
        <v>0</v>
      </c>
      <c r="N278" s="18" t="b">
        <v>0</v>
      </c>
      <c r="O278" s="18" t="b">
        <v>0</v>
      </c>
      <c r="P278" s="18" t="b">
        <v>0</v>
      </c>
      <c r="Q278" s="18" t="b">
        <v>0</v>
      </c>
      <c r="R278" s="18" t="b">
        <v>0</v>
      </c>
    </row>
    <row r="279" spans="1:18" ht="18">
      <c r="A279" s="61" t="s">
        <v>928</v>
      </c>
      <c r="B279" s="15" t="s">
        <v>928</v>
      </c>
      <c r="C279" s="18" t="s">
        <v>929</v>
      </c>
      <c r="D279" s="17" t="s">
        <v>930</v>
      </c>
      <c r="E279" s="18" t="s">
        <v>154</v>
      </c>
      <c r="F279" s="19" t="s">
        <v>27</v>
      </c>
      <c r="G279" s="18" t="b">
        <v>0</v>
      </c>
      <c r="H279" s="18" t="b">
        <v>0</v>
      </c>
      <c r="I279" s="18" t="b">
        <v>1</v>
      </c>
      <c r="J279" s="18" t="b">
        <v>0</v>
      </c>
      <c r="K279" s="18" t="b">
        <v>0</v>
      </c>
      <c r="L279" s="18" t="b">
        <v>0</v>
      </c>
      <c r="M279" s="18" t="b">
        <v>0</v>
      </c>
      <c r="N279" s="18" t="b">
        <v>0</v>
      </c>
      <c r="O279" s="18" t="b">
        <v>0</v>
      </c>
      <c r="P279" s="18" t="b">
        <v>0</v>
      </c>
      <c r="Q279" s="18" t="b">
        <v>0</v>
      </c>
      <c r="R279" s="18" t="b">
        <v>0</v>
      </c>
    </row>
    <row r="280" spans="1:18" ht="18" hidden="1">
      <c r="A280" s="111" t="s">
        <v>931</v>
      </c>
      <c r="B280" s="15"/>
      <c r="C280" s="16" t="s">
        <v>932</v>
      </c>
      <c r="D280" s="16" t="s">
        <v>933</v>
      </c>
      <c r="E280" s="16" t="s">
        <v>471</v>
      </c>
      <c r="F280" s="33" t="s">
        <v>38</v>
      </c>
      <c r="G280" s="16" t="b">
        <v>0</v>
      </c>
      <c r="H280" s="16" t="b">
        <v>0</v>
      </c>
      <c r="I280" s="16" t="b">
        <v>0</v>
      </c>
      <c r="J280" s="16" t="b">
        <v>0</v>
      </c>
      <c r="K280" s="16" t="b">
        <v>0</v>
      </c>
      <c r="L280" s="16" t="b">
        <v>0</v>
      </c>
      <c r="M280" s="16" t="b">
        <v>0</v>
      </c>
      <c r="N280" s="16" t="b">
        <v>0</v>
      </c>
      <c r="O280" s="16" t="b">
        <v>0</v>
      </c>
      <c r="P280" s="16" t="b">
        <v>0</v>
      </c>
      <c r="Q280" s="16" t="b">
        <v>0</v>
      </c>
      <c r="R280" s="16" t="b">
        <v>1</v>
      </c>
    </row>
    <row r="281" spans="1:18" ht="18">
      <c r="A281" s="61" t="s">
        <v>934</v>
      </c>
      <c r="B281" s="15" t="s">
        <v>935</v>
      </c>
      <c r="C281" s="17" t="s">
        <v>936</v>
      </c>
      <c r="D281" s="68" t="s">
        <v>937</v>
      </c>
      <c r="E281" s="18" t="s">
        <v>154</v>
      </c>
      <c r="F281" s="19" t="s">
        <v>27</v>
      </c>
      <c r="G281" s="18" t="b">
        <v>0</v>
      </c>
      <c r="H281" s="18" t="b">
        <v>0</v>
      </c>
      <c r="I281" s="18" t="b">
        <v>1</v>
      </c>
      <c r="J281" s="18" t="b">
        <v>0</v>
      </c>
      <c r="K281" s="18" t="b">
        <v>0</v>
      </c>
      <c r="L281" s="18" t="b">
        <v>0</v>
      </c>
      <c r="M281" s="18" t="b">
        <v>0</v>
      </c>
      <c r="N281" s="18" t="b">
        <v>0</v>
      </c>
      <c r="O281" s="18" t="b">
        <v>0</v>
      </c>
      <c r="P281" s="18" t="b">
        <v>0</v>
      </c>
      <c r="Q281" s="18" t="b">
        <v>0</v>
      </c>
      <c r="R281" s="18" t="b">
        <v>0</v>
      </c>
    </row>
    <row r="282" spans="1:18" ht="18">
      <c r="A282" s="61" t="s">
        <v>938</v>
      </c>
      <c r="B282" s="15" t="s">
        <v>938</v>
      </c>
      <c r="C282" s="18" t="s">
        <v>939</v>
      </c>
      <c r="D282" s="17" t="s">
        <v>940</v>
      </c>
      <c r="E282" s="18" t="s">
        <v>154</v>
      </c>
      <c r="F282" s="19" t="s">
        <v>27</v>
      </c>
      <c r="G282" s="18" t="b">
        <v>0</v>
      </c>
      <c r="H282" s="18" t="b">
        <v>0</v>
      </c>
      <c r="I282" s="18" t="b">
        <v>1</v>
      </c>
      <c r="J282" s="18" t="b">
        <v>0</v>
      </c>
      <c r="K282" s="18" t="b">
        <v>0</v>
      </c>
      <c r="L282" s="18" t="b">
        <v>0</v>
      </c>
      <c r="M282" s="18" t="b">
        <v>0</v>
      </c>
      <c r="N282" s="18" t="b">
        <v>0</v>
      </c>
      <c r="O282" s="18" t="b">
        <v>0</v>
      </c>
      <c r="P282" s="18" t="b">
        <v>0</v>
      </c>
      <c r="Q282" s="18" t="b">
        <v>0</v>
      </c>
      <c r="R282" s="18" t="b">
        <v>0</v>
      </c>
    </row>
    <row r="283" spans="1:18" ht="18" hidden="1">
      <c r="A283" s="111" t="s">
        <v>941</v>
      </c>
      <c r="B283" s="15" t="s">
        <v>941</v>
      </c>
      <c r="C283" s="16" t="s">
        <v>942</v>
      </c>
      <c r="D283" s="16" t="s">
        <v>943</v>
      </c>
      <c r="E283" s="16" t="s">
        <v>140</v>
      </c>
      <c r="F283" s="33" t="s">
        <v>38</v>
      </c>
      <c r="G283" s="16" t="b">
        <v>0</v>
      </c>
      <c r="H283" s="16" t="b">
        <v>0</v>
      </c>
      <c r="I283" s="16" t="b">
        <v>0</v>
      </c>
      <c r="J283" s="16" t="b">
        <v>1</v>
      </c>
      <c r="K283" s="16" t="b">
        <v>0</v>
      </c>
      <c r="L283" s="16" t="b">
        <v>0</v>
      </c>
      <c r="M283" s="16" t="b">
        <v>0</v>
      </c>
      <c r="N283" s="16" t="b">
        <v>0</v>
      </c>
      <c r="O283" s="16" t="b">
        <v>0</v>
      </c>
      <c r="P283" s="16" t="b">
        <v>0</v>
      </c>
      <c r="Q283" s="16" t="b">
        <v>0</v>
      </c>
      <c r="R283" s="16" t="b">
        <v>0</v>
      </c>
    </row>
    <row r="284" spans="1:18" ht="18">
      <c r="A284" s="61" t="s">
        <v>944</v>
      </c>
      <c r="B284" s="15" t="s">
        <v>944</v>
      </c>
      <c r="C284" s="18" t="s">
        <v>945</v>
      </c>
      <c r="D284" s="17" t="s">
        <v>946</v>
      </c>
      <c r="E284" s="18" t="s">
        <v>52</v>
      </c>
      <c r="F284" s="19" t="s">
        <v>27</v>
      </c>
      <c r="G284" s="18" t="b">
        <v>0</v>
      </c>
      <c r="H284" s="18" t="b">
        <v>0</v>
      </c>
      <c r="I284" s="18" t="b">
        <v>0</v>
      </c>
      <c r="J284" s="18" t="b">
        <v>1</v>
      </c>
      <c r="K284" s="18" t="b">
        <v>0</v>
      </c>
      <c r="L284" s="18" t="b">
        <v>0</v>
      </c>
      <c r="M284" s="18" t="b">
        <v>0</v>
      </c>
      <c r="N284" s="18" t="b">
        <v>0</v>
      </c>
      <c r="O284" s="18" t="b">
        <v>0</v>
      </c>
      <c r="P284" s="18" t="b">
        <v>0</v>
      </c>
      <c r="Q284" s="18" t="b">
        <v>0</v>
      </c>
      <c r="R284" s="18" t="b">
        <v>0</v>
      </c>
    </row>
    <row r="285" spans="1:18" ht="18">
      <c r="A285" s="61" t="s">
        <v>947</v>
      </c>
      <c r="B285" s="15" t="s">
        <v>947</v>
      </c>
      <c r="C285" s="18" t="s">
        <v>948</v>
      </c>
      <c r="D285" s="17" t="s">
        <v>949</v>
      </c>
      <c r="E285" s="18" t="s">
        <v>471</v>
      </c>
      <c r="F285" s="19" t="s">
        <v>27</v>
      </c>
      <c r="G285" s="18" t="b">
        <v>0</v>
      </c>
      <c r="H285" s="18" t="b">
        <v>0</v>
      </c>
      <c r="I285" s="18" t="b">
        <v>0</v>
      </c>
      <c r="J285" s="18" t="b">
        <v>0</v>
      </c>
      <c r="K285" s="18" t="b">
        <v>0</v>
      </c>
      <c r="L285" s="18" t="b">
        <v>0</v>
      </c>
      <c r="M285" s="18" t="b">
        <v>0</v>
      </c>
      <c r="N285" s="18" t="b">
        <v>0</v>
      </c>
      <c r="O285" s="18" t="b">
        <v>0</v>
      </c>
      <c r="P285" s="18" t="b">
        <v>0</v>
      </c>
      <c r="Q285" s="18" t="b">
        <v>0</v>
      </c>
      <c r="R285" s="18" t="b">
        <v>1</v>
      </c>
    </row>
    <row r="286" spans="1:18" ht="18" hidden="1">
      <c r="A286" s="61" t="s">
        <v>950</v>
      </c>
      <c r="B286" s="15" t="s">
        <v>950</v>
      </c>
      <c r="C286" s="18" t="s">
        <v>951</v>
      </c>
      <c r="D286" s="17" t="s">
        <v>952</v>
      </c>
      <c r="E286" s="18" t="s">
        <v>471</v>
      </c>
      <c r="F286" s="19" t="s">
        <v>38</v>
      </c>
      <c r="G286" s="18" t="b">
        <v>0</v>
      </c>
      <c r="H286" s="18" t="b">
        <v>0</v>
      </c>
      <c r="I286" s="18" t="b">
        <v>0</v>
      </c>
      <c r="J286" s="18" t="b">
        <v>0</v>
      </c>
      <c r="K286" s="18" t="b">
        <v>0</v>
      </c>
      <c r="L286" s="18" t="b">
        <v>0</v>
      </c>
      <c r="M286" s="18" t="b">
        <v>0</v>
      </c>
      <c r="N286" s="18" t="b">
        <v>0</v>
      </c>
      <c r="O286" s="18" t="b">
        <v>0</v>
      </c>
      <c r="P286" s="18" t="b">
        <v>0</v>
      </c>
      <c r="Q286" s="18" t="b">
        <v>0</v>
      </c>
      <c r="R286" s="18" t="b">
        <v>1</v>
      </c>
    </row>
    <row r="287" spans="1:18" ht="18">
      <c r="A287" s="61" t="s">
        <v>953</v>
      </c>
      <c r="B287" s="15" t="s">
        <v>953</v>
      </c>
      <c r="C287" s="100" t="s">
        <v>954</v>
      </c>
      <c r="D287" s="100" t="s">
        <v>955</v>
      </c>
      <c r="E287" s="16" t="s">
        <v>60</v>
      </c>
      <c r="F287" s="19" t="s">
        <v>27</v>
      </c>
      <c r="G287" s="18" t="b">
        <v>0</v>
      </c>
      <c r="H287" s="18" t="b">
        <v>0</v>
      </c>
      <c r="I287" s="18" t="b">
        <v>0</v>
      </c>
      <c r="J287" s="18" t="b">
        <v>0</v>
      </c>
      <c r="K287" s="18" t="b">
        <v>0</v>
      </c>
      <c r="L287" s="18" t="b">
        <v>0</v>
      </c>
      <c r="M287" s="18" t="b">
        <v>1</v>
      </c>
      <c r="N287" s="18" t="b">
        <v>0</v>
      </c>
      <c r="O287" s="18" t="b">
        <v>0</v>
      </c>
      <c r="P287" s="18" t="b">
        <v>0</v>
      </c>
      <c r="Q287" s="18" t="b">
        <v>0</v>
      </c>
      <c r="R287" s="18" t="b">
        <v>0</v>
      </c>
    </row>
    <row r="288" spans="1:18" ht="18">
      <c r="A288" s="61" t="s">
        <v>956</v>
      </c>
      <c r="B288" s="106"/>
      <c r="C288" s="17" t="s">
        <v>957</v>
      </c>
      <c r="D288" s="17" t="s">
        <v>958</v>
      </c>
      <c r="E288" s="18" t="s">
        <v>52</v>
      </c>
      <c r="F288" s="19" t="s">
        <v>27</v>
      </c>
      <c r="G288" s="18" t="b">
        <v>0</v>
      </c>
      <c r="H288" s="18" t="b">
        <v>0</v>
      </c>
      <c r="I288" s="18" t="b">
        <v>1</v>
      </c>
      <c r="J288" s="18" t="b">
        <v>0</v>
      </c>
      <c r="K288" s="18" t="b">
        <v>0</v>
      </c>
      <c r="L288" s="18" t="b">
        <v>0</v>
      </c>
      <c r="M288" s="18" t="b">
        <v>0</v>
      </c>
      <c r="N288" s="18" t="b">
        <v>0</v>
      </c>
      <c r="O288" s="18" t="b">
        <v>0</v>
      </c>
      <c r="P288" s="18" t="b">
        <v>0</v>
      </c>
      <c r="Q288" s="18" t="b">
        <v>0</v>
      </c>
      <c r="R288" s="18" t="b">
        <v>0</v>
      </c>
    </row>
    <row r="289" spans="1:18" ht="18">
      <c r="A289" s="61" t="s">
        <v>959</v>
      </c>
      <c r="B289" s="15" t="s">
        <v>959</v>
      </c>
      <c r="C289" s="18" t="s">
        <v>960</v>
      </c>
      <c r="D289" s="17" t="s">
        <v>961</v>
      </c>
      <c r="E289" s="18" t="s">
        <v>471</v>
      </c>
      <c r="F289" s="19" t="s">
        <v>27</v>
      </c>
      <c r="G289" s="18" t="b">
        <v>0</v>
      </c>
      <c r="H289" s="18" t="b">
        <v>0</v>
      </c>
      <c r="I289" s="18" t="b">
        <v>0</v>
      </c>
      <c r="J289" s="18" t="b">
        <v>0</v>
      </c>
      <c r="K289" s="18" t="b">
        <v>0</v>
      </c>
      <c r="L289" s="18" t="b">
        <v>0</v>
      </c>
      <c r="M289" s="18" t="b">
        <v>0</v>
      </c>
      <c r="N289" s="18" t="b">
        <v>0</v>
      </c>
      <c r="O289" s="18" t="b">
        <v>0</v>
      </c>
      <c r="P289" s="18" t="b">
        <v>0</v>
      </c>
      <c r="Q289" s="18" t="b">
        <v>0</v>
      </c>
      <c r="R289" s="18" t="b">
        <v>1</v>
      </c>
    </row>
    <row r="290" spans="1:18" ht="18">
      <c r="A290" s="61" t="s">
        <v>962</v>
      </c>
      <c r="B290" s="81" t="s">
        <v>963</v>
      </c>
      <c r="C290" s="18" t="s">
        <v>964</v>
      </c>
      <c r="D290" s="17" t="s">
        <v>965</v>
      </c>
      <c r="E290" s="18" t="s">
        <v>192</v>
      </c>
      <c r="F290" s="19" t="s">
        <v>27</v>
      </c>
      <c r="G290" s="18" t="b">
        <v>0</v>
      </c>
      <c r="H290" s="18" t="b">
        <v>0</v>
      </c>
      <c r="I290" s="18" t="b">
        <v>0</v>
      </c>
      <c r="J290" s="18" t="b">
        <v>0</v>
      </c>
      <c r="K290" s="18" t="b">
        <v>0</v>
      </c>
      <c r="L290" s="18" t="b">
        <v>0</v>
      </c>
      <c r="M290" s="18" t="b">
        <v>0</v>
      </c>
      <c r="N290" s="18" t="b">
        <v>0</v>
      </c>
      <c r="O290" s="18" t="b">
        <v>0</v>
      </c>
      <c r="P290" s="18" t="b">
        <v>0</v>
      </c>
      <c r="Q290" s="18" t="b">
        <v>1</v>
      </c>
      <c r="R290" s="18" t="b">
        <v>0</v>
      </c>
    </row>
    <row r="291" spans="1:18" ht="18">
      <c r="A291" s="61" t="s">
        <v>966</v>
      </c>
      <c r="B291" s="15"/>
      <c r="C291" s="100" t="s">
        <v>967</v>
      </c>
      <c r="D291" s="68" t="s">
        <v>968</v>
      </c>
      <c r="E291" s="16" t="s">
        <v>60</v>
      </c>
      <c r="F291" s="19" t="s">
        <v>27</v>
      </c>
      <c r="G291" s="18" t="b">
        <v>0</v>
      </c>
      <c r="H291" s="18" t="b">
        <v>0</v>
      </c>
      <c r="I291" s="18" t="b">
        <v>0</v>
      </c>
      <c r="J291" s="18" t="b">
        <v>0</v>
      </c>
      <c r="K291" s="18" t="b">
        <v>0</v>
      </c>
      <c r="L291" s="18" t="b">
        <v>0</v>
      </c>
      <c r="M291" s="18" t="b">
        <v>1</v>
      </c>
      <c r="N291" s="18" t="b">
        <v>0</v>
      </c>
      <c r="O291" s="18" t="b">
        <v>0</v>
      </c>
      <c r="P291" s="18" t="b">
        <v>0</v>
      </c>
      <c r="Q291" s="18" t="b">
        <v>0</v>
      </c>
      <c r="R291" s="18" t="b">
        <v>0</v>
      </c>
    </row>
    <row r="292" spans="1:18" ht="18">
      <c r="A292" s="61" t="s">
        <v>969</v>
      </c>
      <c r="B292" s="15" t="s">
        <v>969</v>
      </c>
      <c r="C292" s="18" t="s">
        <v>970</v>
      </c>
      <c r="D292" s="17" t="s">
        <v>971</v>
      </c>
      <c r="E292" s="18" t="s">
        <v>471</v>
      </c>
      <c r="F292" s="19" t="s">
        <v>27</v>
      </c>
      <c r="G292" s="18" t="b">
        <v>0</v>
      </c>
      <c r="H292" s="18" t="b">
        <v>0</v>
      </c>
      <c r="I292" s="18" t="b">
        <v>0</v>
      </c>
      <c r="J292" s="18" t="b">
        <v>0</v>
      </c>
      <c r="K292" s="18" t="b">
        <v>0</v>
      </c>
      <c r="L292" s="18" t="b">
        <v>0</v>
      </c>
      <c r="M292" s="18" t="b">
        <v>0</v>
      </c>
      <c r="N292" s="18" t="b">
        <v>0</v>
      </c>
      <c r="O292" s="18" t="b">
        <v>0</v>
      </c>
      <c r="P292" s="18" t="b">
        <v>0</v>
      </c>
      <c r="Q292" s="18" t="b">
        <v>0</v>
      </c>
      <c r="R292" s="18" t="b">
        <v>1</v>
      </c>
    </row>
    <row r="293" spans="1:18" ht="18">
      <c r="A293" s="61" t="s">
        <v>972</v>
      </c>
      <c r="B293" s="51" t="s">
        <v>972</v>
      </c>
      <c r="C293" s="17" t="s">
        <v>973</v>
      </c>
      <c r="D293" s="17" t="s">
        <v>974</v>
      </c>
      <c r="E293" s="18" t="s">
        <v>43</v>
      </c>
      <c r="F293" s="19" t="s">
        <v>27</v>
      </c>
      <c r="G293" s="18" t="b">
        <v>1</v>
      </c>
      <c r="H293" s="18" t="b">
        <v>1</v>
      </c>
      <c r="I293" s="18" t="b">
        <v>0</v>
      </c>
      <c r="J293" s="18" t="b">
        <v>0</v>
      </c>
      <c r="K293" s="18" t="b">
        <v>0</v>
      </c>
      <c r="L293" s="18" t="b">
        <v>0</v>
      </c>
      <c r="M293" s="18" t="b">
        <v>0</v>
      </c>
      <c r="N293" s="18" t="b">
        <v>0</v>
      </c>
      <c r="O293" s="18" t="b">
        <v>0</v>
      </c>
      <c r="P293" s="18" t="b">
        <v>0</v>
      </c>
      <c r="Q293" s="18" t="b">
        <v>0</v>
      </c>
      <c r="R293" s="18" t="b">
        <v>0</v>
      </c>
    </row>
    <row r="294" spans="1:18" ht="15" hidden="1">
      <c r="A294" s="18" t="s">
        <v>975</v>
      </c>
      <c r="B294" s="15" t="s">
        <v>975</v>
      </c>
      <c r="C294" s="18" t="s">
        <v>976</v>
      </c>
      <c r="D294" s="48" t="s">
        <v>977</v>
      </c>
      <c r="E294" s="16" t="s">
        <v>60</v>
      </c>
      <c r="F294" s="19" t="s">
        <v>38</v>
      </c>
      <c r="G294" s="18" t="b">
        <v>0</v>
      </c>
      <c r="H294" s="18" t="b">
        <v>0</v>
      </c>
      <c r="I294" s="18" t="b">
        <v>0</v>
      </c>
      <c r="J294" s="18" t="b">
        <v>0</v>
      </c>
      <c r="K294" s="18" t="b">
        <v>0</v>
      </c>
      <c r="L294" s="18" t="b">
        <v>0</v>
      </c>
      <c r="M294" s="18" t="b">
        <v>1</v>
      </c>
      <c r="N294" s="18" t="b">
        <v>0</v>
      </c>
      <c r="O294" s="18" t="b">
        <v>0</v>
      </c>
      <c r="P294" s="18" t="b">
        <v>0</v>
      </c>
      <c r="Q294" s="18" t="b">
        <v>0</v>
      </c>
      <c r="R294" s="18" t="b">
        <v>0</v>
      </c>
    </row>
    <row r="295" spans="1:18" ht="15" hidden="1">
      <c r="A295" s="16" t="s">
        <v>978</v>
      </c>
      <c r="B295" s="15" t="s">
        <v>978</v>
      </c>
      <c r="C295" s="16" t="s">
        <v>979</v>
      </c>
      <c r="D295" s="16" t="s">
        <v>980</v>
      </c>
      <c r="E295" s="16" t="s">
        <v>43</v>
      </c>
      <c r="F295" s="19" t="s">
        <v>38</v>
      </c>
      <c r="G295" s="16" t="b">
        <v>1</v>
      </c>
      <c r="H295" s="16" t="b">
        <v>0</v>
      </c>
      <c r="I295" s="16" t="b">
        <v>0</v>
      </c>
      <c r="J295" s="16" t="b">
        <v>0</v>
      </c>
      <c r="K295" s="16" t="b">
        <v>0</v>
      </c>
      <c r="L295" s="16" t="b">
        <v>0</v>
      </c>
      <c r="M295" s="16" t="b">
        <v>0</v>
      </c>
      <c r="N295" s="16" t="b">
        <v>0</v>
      </c>
      <c r="O295" s="16" t="b">
        <v>0</v>
      </c>
      <c r="P295" s="16" t="b">
        <v>0</v>
      </c>
      <c r="Q295" s="16" t="b">
        <v>0</v>
      </c>
      <c r="R295" s="16" t="b">
        <v>0</v>
      </c>
    </row>
    <row r="296" spans="1:18" ht="18">
      <c r="A296" s="61" t="s">
        <v>981</v>
      </c>
      <c r="B296" s="15" t="s">
        <v>981</v>
      </c>
      <c r="C296" s="18" t="s">
        <v>982</v>
      </c>
      <c r="D296" s="17" t="s">
        <v>983</v>
      </c>
      <c r="E296" s="18" t="s">
        <v>471</v>
      </c>
      <c r="F296" s="19" t="s">
        <v>27</v>
      </c>
      <c r="G296" s="18" t="b">
        <v>0</v>
      </c>
      <c r="H296" s="18" t="b">
        <v>0</v>
      </c>
      <c r="I296" s="18" t="b">
        <v>0</v>
      </c>
      <c r="J296" s="18" t="b">
        <v>0</v>
      </c>
      <c r="K296" s="18" t="b">
        <v>0</v>
      </c>
      <c r="L296" s="18" t="b">
        <v>0</v>
      </c>
      <c r="M296" s="18" t="b">
        <v>0</v>
      </c>
      <c r="N296" s="18" t="b">
        <v>0</v>
      </c>
      <c r="O296" s="18" t="b">
        <v>0</v>
      </c>
      <c r="P296" s="18" t="b">
        <v>0</v>
      </c>
      <c r="Q296" s="18" t="b">
        <v>0</v>
      </c>
      <c r="R296" s="18" t="b">
        <v>1</v>
      </c>
    </row>
    <row r="297" spans="1:18" ht="18">
      <c r="A297" s="61" t="s">
        <v>984</v>
      </c>
      <c r="B297" s="15" t="s">
        <v>984</v>
      </c>
      <c r="C297" s="18" t="s">
        <v>985</v>
      </c>
      <c r="D297" s="17" t="s">
        <v>986</v>
      </c>
      <c r="E297" s="18" t="s">
        <v>33</v>
      </c>
      <c r="F297" s="19" t="s">
        <v>27</v>
      </c>
      <c r="G297" s="18" t="b">
        <v>0</v>
      </c>
      <c r="H297" s="18" t="b">
        <v>0</v>
      </c>
      <c r="I297" s="18" t="b">
        <v>0</v>
      </c>
      <c r="J297" s="18" t="b">
        <v>0</v>
      </c>
      <c r="K297" s="18" t="b">
        <v>0</v>
      </c>
      <c r="L297" s="18" t="b">
        <v>0</v>
      </c>
      <c r="M297" s="18" t="b">
        <v>0</v>
      </c>
      <c r="N297" s="18" t="b">
        <v>0</v>
      </c>
      <c r="O297" s="18" t="b">
        <v>0</v>
      </c>
      <c r="P297" s="18" t="b">
        <v>0</v>
      </c>
      <c r="Q297" s="18" t="b">
        <v>0</v>
      </c>
      <c r="R297" s="18" t="b">
        <v>1</v>
      </c>
    </row>
    <row r="298" spans="1:18" ht="18" hidden="1">
      <c r="A298" s="61" t="s">
        <v>987</v>
      </c>
      <c r="B298" s="15" t="s">
        <v>987</v>
      </c>
      <c r="C298" s="18" t="s">
        <v>988</v>
      </c>
      <c r="D298" s="17" t="s">
        <v>989</v>
      </c>
      <c r="E298" s="16" t="s">
        <v>60</v>
      </c>
      <c r="F298" s="19" t="s">
        <v>38</v>
      </c>
      <c r="G298" s="18" t="b">
        <v>0</v>
      </c>
      <c r="H298" s="18" t="b">
        <v>0</v>
      </c>
      <c r="I298" s="18" t="b">
        <v>0</v>
      </c>
      <c r="J298" s="18" t="b">
        <v>0</v>
      </c>
      <c r="K298" s="18" t="b">
        <v>0</v>
      </c>
      <c r="L298" s="18" t="b">
        <v>0</v>
      </c>
      <c r="M298" s="18" t="b">
        <v>1</v>
      </c>
      <c r="N298" s="18" t="b">
        <v>0</v>
      </c>
      <c r="O298" s="18" t="b">
        <v>0</v>
      </c>
      <c r="P298" s="18" t="b">
        <v>0</v>
      </c>
      <c r="Q298" s="18" t="b">
        <v>0</v>
      </c>
      <c r="R298" s="18" t="b">
        <v>0</v>
      </c>
    </row>
    <row r="299" spans="1:18" ht="18">
      <c r="A299" s="61" t="s">
        <v>990</v>
      </c>
      <c r="B299" s="15" t="s">
        <v>990</v>
      </c>
      <c r="C299" s="18" t="s">
        <v>991</v>
      </c>
      <c r="D299" s="17" t="s">
        <v>992</v>
      </c>
      <c r="E299" s="18" t="s">
        <v>471</v>
      </c>
      <c r="F299" s="19" t="s">
        <v>27</v>
      </c>
      <c r="G299" s="18" t="b">
        <v>0</v>
      </c>
      <c r="H299" s="18" t="b">
        <v>0</v>
      </c>
      <c r="I299" s="18" t="b">
        <v>0</v>
      </c>
      <c r="J299" s="18" t="b">
        <v>0</v>
      </c>
      <c r="K299" s="18" t="b">
        <v>0</v>
      </c>
      <c r="L299" s="18" t="b">
        <v>0</v>
      </c>
      <c r="M299" s="18" t="b">
        <v>0</v>
      </c>
      <c r="N299" s="18" t="b">
        <v>0</v>
      </c>
      <c r="O299" s="18" t="b">
        <v>0</v>
      </c>
      <c r="P299" s="18" t="b">
        <v>0</v>
      </c>
      <c r="Q299" s="18" t="b">
        <v>0</v>
      </c>
      <c r="R299" s="18" t="b">
        <v>1</v>
      </c>
    </row>
    <row r="300" spans="1:18" ht="18">
      <c r="A300" s="61" t="s">
        <v>993</v>
      </c>
      <c r="B300" s="15" t="s">
        <v>993</v>
      </c>
      <c r="C300" s="18" t="s">
        <v>994</v>
      </c>
      <c r="D300" s="17" t="s">
        <v>995</v>
      </c>
      <c r="E300" s="18" t="s">
        <v>471</v>
      </c>
      <c r="F300" s="19" t="s">
        <v>27</v>
      </c>
      <c r="G300" s="18" t="b">
        <v>0</v>
      </c>
      <c r="H300" s="18" t="b">
        <v>0</v>
      </c>
      <c r="I300" s="18" t="b">
        <v>0</v>
      </c>
      <c r="J300" s="18" t="b">
        <v>0</v>
      </c>
      <c r="K300" s="18" t="b">
        <v>0</v>
      </c>
      <c r="L300" s="18" t="b">
        <v>0</v>
      </c>
      <c r="M300" s="18" t="b">
        <v>0</v>
      </c>
      <c r="N300" s="18" t="b">
        <v>0</v>
      </c>
      <c r="O300" s="18" t="b">
        <v>0</v>
      </c>
      <c r="P300" s="18" t="b">
        <v>0</v>
      </c>
      <c r="Q300" s="18" t="b">
        <v>0</v>
      </c>
      <c r="R300" s="18" t="b">
        <v>1</v>
      </c>
    </row>
    <row r="301" spans="1:18" ht="18">
      <c r="A301" s="61" t="s">
        <v>996</v>
      </c>
      <c r="B301" s="15" t="s">
        <v>996</v>
      </c>
      <c r="C301" s="17" t="s">
        <v>997</v>
      </c>
      <c r="D301" s="68" t="s">
        <v>998</v>
      </c>
      <c r="E301" s="18" t="s">
        <v>471</v>
      </c>
      <c r="F301" s="19" t="s">
        <v>27</v>
      </c>
      <c r="G301" s="18" t="b">
        <v>0</v>
      </c>
      <c r="H301" s="18" t="b">
        <v>0</v>
      </c>
      <c r="I301" s="18" t="b">
        <v>0</v>
      </c>
      <c r="J301" s="18" t="b">
        <v>0</v>
      </c>
      <c r="K301" s="18" t="b">
        <v>0</v>
      </c>
      <c r="L301" s="18" t="b">
        <v>0</v>
      </c>
      <c r="M301" s="18" t="b">
        <v>0</v>
      </c>
      <c r="N301" s="18" t="b">
        <v>0</v>
      </c>
      <c r="O301" s="18" t="b">
        <v>0</v>
      </c>
      <c r="P301" s="18" t="b">
        <v>0</v>
      </c>
      <c r="Q301" s="18" t="b">
        <v>0</v>
      </c>
      <c r="R301" s="18" t="b">
        <v>1</v>
      </c>
    </row>
    <row r="302" spans="1:18" ht="18">
      <c r="A302" s="61" t="s">
        <v>999</v>
      </c>
      <c r="B302" s="81" t="s">
        <v>1000</v>
      </c>
      <c r="C302" s="18" t="s">
        <v>1001</v>
      </c>
      <c r="D302" s="17" t="s">
        <v>1002</v>
      </c>
      <c r="E302" s="18" t="s">
        <v>52</v>
      </c>
      <c r="F302" s="19" t="s">
        <v>27</v>
      </c>
      <c r="G302" s="18" t="b">
        <v>0</v>
      </c>
      <c r="H302" s="18" t="b">
        <v>0</v>
      </c>
      <c r="I302" s="18" t="b">
        <v>1</v>
      </c>
      <c r="J302" s="18" t="b">
        <v>0</v>
      </c>
      <c r="K302" s="18" t="b">
        <v>0</v>
      </c>
      <c r="L302" s="18" t="b">
        <v>0</v>
      </c>
      <c r="M302" s="18" t="b">
        <v>0</v>
      </c>
      <c r="N302" s="18" t="b">
        <v>0</v>
      </c>
      <c r="O302" s="18" t="b">
        <v>0</v>
      </c>
      <c r="P302" s="18" t="b">
        <v>0</v>
      </c>
      <c r="Q302" s="18" t="b">
        <v>0</v>
      </c>
      <c r="R302" s="18" t="b">
        <v>0</v>
      </c>
    </row>
    <row r="303" spans="1:18" ht="45.75">
      <c r="A303" s="87" t="s">
        <v>1003</v>
      </c>
      <c r="B303" s="129" t="s">
        <v>1004</v>
      </c>
      <c r="C303" s="102" t="s">
        <v>1005</v>
      </c>
      <c r="D303" s="88" t="s">
        <v>1006</v>
      </c>
      <c r="E303" s="18" t="s">
        <v>192</v>
      </c>
      <c r="F303" s="19" t="s">
        <v>27</v>
      </c>
      <c r="G303" s="18" t="b">
        <v>0</v>
      </c>
      <c r="H303" s="18" t="b">
        <v>0</v>
      </c>
      <c r="I303" s="18" t="b">
        <v>0</v>
      </c>
      <c r="J303" s="18" t="b">
        <v>0</v>
      </c>
      <c r="K303" s="18" t="b">
        <v>0</v>
      </c>
      <c r="L303" s="18" t="b">
        <v>0</v>
      </c>
      <c r="M303" s="18" t="b">
        <v>0</v>
      </c>
      <c r="N303" s="18" t="b">
        <v>0</v>
      </c>
      <c r="O303" s="18" t="b">
        <v>0</v>
      </c>
      <c r="P303" s="18" t="b">
        <v>1</v>
      </c>
      <c r="Q303" s="18" t="b">
        <v>0</v>
      </c>
      <c r="R303" s="18" t="b">
        <v>0</v>
      </c>
    </row>
    <row r="304" spans="1:18" ht="18">
      <c r="A304" s="61" t="s">
        <v>1007</v>
      </c>
      <c r="B304" s="131"/>
      <c r="C304" s="18" t="s">
        <v>1008</v>
      </c>
      <c r="D304" s="17" t="s">
        <v>1009</v>
      </c>
      <c r="E304" s="18" t="s">
        <v>192</v>
      </c>
      <c r="F304" s="19" t="s">
        <v>27</v>
      </c>
      <c r="G304" s="18" t="b">
        <v>0</v>
      </c>
      <c r="H304" s="18" t="b">
        <v>0</v>
      </c>
      <c r="I304" s="18" t="b">
        <v>0</v>
      </c>
      <c r="J304" s="18" t="b">
        <v>0</v>
      </c>
      <c r="K304" s="18" t="b">
        <v>0</v>
      </c>
      <c r="L304" s="18" t="b">
        <v>0</v>
      </c>
      <c r="M304" s="18" t="b">
        <v>0</v>
      </c>
      <c r="N304" s="18" t="b">
        <v>0</v>
      </c>
      <c r="O304" s="18" t="b">
        <v>0</v>
      </c>
      <c r="P304" s="18" t="b">
        <v>1</v>
      </c>
      <c r="Q304" s="18" t="b">
        <v>1</v>
      </c>
      <c r="R304" s="18" t="b">
        <v>0</v>
      </c>
    </row>
    <row r="305" spans="1:18" ht="18">
      <c r="A305" s="61" t="s">
        <v>1010</v>
      </c>
      <c r="B305" s="15" t="s">
        <v>1010</v>
      </c>
      <c r="C305" s="18" t="s">
        <v>1011</v>
      </c>
      <c r="D305" s="17" t="s">
        <v>1012</v>
      </c>
      <c r="E305" s="18" t="s">
        <v>178</v>
      </c>
      <c r="F305" s="19" t="s">
        <v>27</v>
      </c>
      <c r="G305" s="18" t="b">
        <v>0</v>
      </c>
      <c r="H305" s="18" t="b">
        <v>0</v>
      </c>
      <c r="I305" s="18" t="b">
        <v>0</v>
      </c>
      <c r="J305" s="18" t="b">
        <v>0</v>
      </c>
      <c r="K305" s="18" t="b">
        <v>0</v>
      </c>
      <c r="L305" s="18" t="b">
        <v>0</v>
      </c>
      <c r="M305" s="18" t="b">
        <v>0</v>
      </c>
      <c r="N305" s="18" t="b">
        <v>1</v>
      </c>
      <c r="O305" s="18" t="b">
        <v>0</v>
      </c>
      <c r="P305" s="18" t="b">
        <v>0</v>
      </c>
      <c r="Q305" s="18" t="b">
        <v>1</v>
      </c>
      <c r="R305" s="18" t="b">
        <v>0</v>
      </c>
    </row>
    <row r="306" spans="1:18" ht="18">
      <c r="A306" s="61" t="s">
        <v>1013</v>
      </c>
      <c r="B306" s="51" t="s">
        <v>1013</v>
      </c>
      <c r="C306" s="17" t="s">
        <v>1014</v>
      </c>
      <c r="D306" s="17" t="s">
        <v>1015</v>
      </c>
      <c r="E306" s="18" t="s">
        <v>140</v>
      </c>
      <c r="F306" s="19" t="s">
        <v>27</v>
      </c>
      <c r="G306" s="18" t="b">
        <v>1</v>
      </c>
      <c r="H306" s="18" t="b">
        <v>1</v>
      </c>
      <c r="I306" s="18" t="b">
        <v>0</v>
      </c>
      <c r="J306" s="18" t="b">
        <v>0</v>
      </c>
      <c r="K306" s="18" t="b">
        <v>0</v>
      </c>
      <c r="L306" s="18" t="b">
        <v>0</v>
      </c>
      <c r="M306" s="18" t="b">
        <v>0</v>
      </c>
      <c r="N306" s="18" t="b">
        <v>0</v>
      </c>
      <c r="O306" s="18" t="b">
        <v>0</v>
      </c>
      <c r="P306" s="18" t="b">
        <v>0</v>
      </c>
      <c r="Q306" s="18" t="b">
        <v>0</v>
      </c>
      <c r="R306" s="18" t="b">
        <v>0</v>
      </c>
    </row>
    <row r="307" spans="1:18" ht="15" hidden="1">
      <c r="A307" s="16" t="s">
        <v>1016</v>
      </c>
      <c r="B307" s="15"/>
      <c r="C307" s="31" t="s">
        <v>1017</v>
      </c>
      <c r="D307" s="31" t="s">
        <v>1018</v>
      </c>
      <c r="E307" s="16" t="s">
        <v>192</v>
      </c>
      <c r="F307" s="33" t="s">
        <v>38</v>
      </c>
      <c r="G307" s="16" t="b">
        <v>0</v>
      </c>
      <c r="H307" s="16" t="b">
        <v>0</v>
      </c>
      <c r="I307" s="16" t="b">
        <v>0</v>
      </c>
      <c r="J307" s="16" t="b">
        <v>0</v>
      </c>
      <c r="K307" s="16" t="b">
        <v>0</v>
      </c>
      <c r="L307" s="16" t="b">
        <v>0</v>
      </c>
      <c r="M307" s="16" t="b">
        <v>0</v>
      </c>
      <c r="N307" s="16" t="b">
        <v>0</v>
      </c>
      <c r="O307" s="16" t="b">
        <v>0</v>
      </c>
      <c r="P307" s="16" t="b">
        <v>0</v>
      </c>
      <c r="Q307" s="16" t="b">
        <v>1</v>
      </c>
      <c r="R307" s="16" t="b">
        <v>0</v>
      </c>
    </row>
    <row r="308" spans="1:18" ht="18">
      <c r="A308" s="61" t="s">
        <v>1019</v>
      </c>
      <c r="B308" s="15" t="s">
        <v>1019</v>
      </c>
      <c r="C308" s="18" t="s">
        <v>1020</v>
      </c>
      <c r="D308" s="17" t="s">
        <v>1021</v>
      </c>
      <c r="E308" s="18" t="s">
        <v>471</v>
      </c>
      <c r="F308" s="19" t="s">
        <v>27</v>
      </c>
      <c r="G308" s="18" t="b">
        <v>0</v>
      </c>
      <c r="H308" s="18" t="b">
        <v>0</v>
      </c>
      <c r="I308" s="18" t="b">
        <v>0</v>
      </c>
      <c r="J308" s="18" t="b">
        <v>0</v>
      </c>
      <c r="K308" s="18" t="b">
        <v>0</v>
      </c>
      <c r="L308" s="18" t="b">
        <v>0</v>
      </c>
      <c r="M308" s="18" t="b">
        <v>0</v>
      </c>
      <c r="N308" s="18" t="b">
        <v>0</v>
      </c>
      <c r="O308" s="18" t="b">
        <v>0</v>
      </c>
      <c r="P308" s="18" t="b">
        <v>0</v>
      </c>
      <c r="Q308" s="18" t="b">
        <v>0</v>
      </c>
      <c r="R308" s="18" t="b">
        <v>1</v>
      </c>
    </row>
    <row r="309" spans="1:18" ht="18">
      <c r="A309" s="61" t="s">
        <v>1022</v>
      </c>
      <c r="B309" s="15" t="s">
        <v>1022</v>
      </c>
      <c r="C309" s="18" t="s">
        <v>1023</v>
      </c>
      <c r="D309" s="17" t="s">
        <v>1024</v>
      </c>
      <c r="E309" s="18" t="s">
        <v>52</v>
      </c>
      <c r="F309" s="19" t="s">
        <v>27</v>
      </c>
      <c r="G309" s="18" t="b">
        <v>0</v>
      </c>
      <c r="H309" s="18" t="b">
        <v>0</v>
      </c>
      <c r="I309" s="18" t="b">
        <v>1</v>
      </c>
      <c r="J309" s="18" t="b">
        <v>0</v>
      </c>
      <c r="K309" s="18" t="b">
        <v>0</v>
      </c>
      <c r="L309" s="18" t="b">
        <v>0</v>
      </c>
      <c r="M309" s="18" t="b">
        <v>0</v>
      </c>
      <c r="N309" s="18" t="b">
        <v>0</v>
      </c>
      <c r="O309" s="18" t="b">
        <v>0</v>
      </c>
      <c r="P309" s="18" t="b">
        <v>0</v>
      </c>
      <c r="Q309" s="18" t="b">
        <v>0</v>
      </c>
      <c r="R309" s="18" t="b">
        <v>0</v>
      </c>
    </row>
    <row r="310" spans="1:18" ht="15" hidden="1">
      <c r="A310" s="76" t="s">
        <v>1025</v>
      </c>
      <c r="B310" s="15" t="s">
        <v>1025</v>
      </c>
      <c r="C310" s="31" t="s">
        <v>1026</v>
      </c>
      <c r="D310" s="31" t="s">
        <v>1027</v>
      </c>
      <c r="E310" s="16" t="s">
        <v>178</v>
      </c>
      <c r="F310" s="33" t="s">
        <v>34</v>
      </c>
      <c r="G310" s="16" t="b">
        <v>0</v>
      </c>
      <c r="H310" s="16" t="b">
        <v>0</v>
      </c>
      <c r="I310" s="16" t="b">
        <v>0</v>
      </c>
      <c r="J310" s="16" t="b">
        <v>0</v>
      </c>
      <c r="K310" s="16" t="b">
        <v>0</v>
      </c>
      <c r="L310" s="16" t="b">
        <v>0</v>
      </c>
      <c r="M310" s="16" t="b">
        <v>0</v>
      </c>
      <c r="N310" s="16" t="b">
        <v>1</v>
      </c>
      <c r="O310" s="16" t="b">
        <v>0</v>
      </c>
      <c r="P310" s="16" t="b">
        <v>0</v>
      </c>
      <c r="Q310" s="16" t="b">
        <v>0</v>
      </c>
      <c r="R310" s="16" t="b">
        <v>0</v>
      </c>
    </row>
    <row r="311" spans="1:18" ht="15" hidden="1">
      <c r="A311" s="16" t="s">
        <v>1028</v>
      </c>
      <c r="B311" s="15" t="s">
        <v>1028</v>
      </c>
      <c r="C311" s="31" t="s">
        <v>1029</v>
      </c>
      <c r="D311" s="31" t="s">
        <v>1030</v>
      </c>
      <c r="E311" s="16" t="s">
        <v>140</v>
      </c>
      <c r="F311" s="33" t="s">
        <v>38</v>
      </c>
      <c r="G311" s="16" t="b">
        <v>0</v>
      </c>
      <c r="H311" s="16" t="b">
        <v>1</v>
      </c>
      <c r="I311" s="16" t="b">
        <v>0</v>
      </c>
      <c r="J311" s="16" t="b">
        <v>0</v>
      </c>
      <c r="K311" s="16" t="b">
        <v>0</v>
      </c>
      <c r="L311" s="16" t="b">
        <v>0</v>
      </c>
      <c r="M311" s="16" t="b">
        <v>0</v>
      </c>
      <c r="N311" s="16" t="b">
        <v>0</v>
      </c>
      <c r="O311" s="16" t="b">
        <v>0</v>
      </c>
      <c r="P311" s="16" t="b">
        <v>0</v>
      </c>
      <c r="Q311" s="16" t="b">
        <v>0</v>
      </c>
      <c r="R311" s="16" t="b">
        <v>0</v>
      </c>
    </row>
    <row r="312" spans="1:18" ht="18">
      <c r="A312" s="61" t="s">
        <v>1031</v>
      </c>
      <c r="B312" s="51" t="s">
        <v>1031</v>
      </c>
      <c r="C312" s="17" t="s">
        <v>1032</v>
      </c>
      <c r="D312" s="17" t="s">
        <v>1033</v>
      </c>
      <c r="E312" s="18" t="s">
        <v>471</v>
      </c>
      <c r="F312" s="19" t="s">
        <v>27</v>
      </c>
      <c r="G312" s="18" t="b">
        <v>0</v>
      </c>
      <c r="H312" s="18" t="b">
        <v>0</v>
      </c>
      <c r="I312" s="18" t="b">
        <v>0</v>
      </c>
      <c r="J312" s="18" t="b">
        <v>0</v>
      </c>
      <c r="K312" s="18" t="b">
        <v>0</v>
      </c>
      <c r="L312" s="18" t="b">
        <v>0</v>
      </c>
      <c r="M312" s="18" t="b">
        <v>0</v>
      </c>
      <c r="N312" s="18" t="b">
        <v>0</v>
      </c>
      <c r="O312" s="18" t="b">
        <v>0</v>
      </c>
      <c r="P312" s="18" t="b">
        <v>0</v>
      </c>
      <c r="Q312" s="18" t="b">
        <v>0</v>
      </c>
      <c r="R312" s="18" t="b">
        <v>1</v>
      </c>
    </row>
    <row r="313" spans="1:18" ht="18">
      <c r="A313" s="61" t="s">
        <v>1034</v>
      </c>
      <c r="B313" s="15" t="s">
        <v>1034</v>
      </c>
      <c r="C313" s="18" t="s">
        <v>1035</v>
      </c>
      <c r="D313" s="17" t="s">
        <v>1036</v>
      </c>
      <c r="E313" s="18" t="s">
        <v>471</v>
      </c>
      <c r="F313" s="19" t="s">
        <v>27</v>
      </c>
      <c r="G313" s="18" t="b">
        <v>0</v>
      </c>
      <c r="H313" s="18" t="b">
        <v>0</v>
      </c>
      <c r="I313" s="18" t="b">
        <v>0</v>
      </c>
      <c r="J313" s="18" t="b">
        <v>0</v>
      </c>
      <c r="K313" s="18" t="b">
        <v>0</v>
      </c>
      <c r="L313" s="18" t="b">
        <v>0</v>
      </c>
      <c r="M313" s="18" t="b">
        <v>0</v>
      </c>
      <c r="N313" s="18" t="b">
        <v>0</v>
      </c>
      <c r="O313" s="18" t="b">
        <v>0</v>
      </c>
      <c r="P313" s="18" t="b">
        <v>0</v>
      </c>
      <c r="Q313" s="18" t="b">
        <v>0</v>
      </c>
      <c r="R313" s="18" t="b">
        <v>1</v>
      </c>
    </row>
    <row r="314" spans="1:18" ht="18" hidden="1">
      <c r="A314" s="61" t="s">
        <v>1037</v>
      </c>
      <c r="B314" s="15"/>
      <c r="C314" s="18" t="s">
        <v>1038</v>
      </c>
      <c r="D314" s="17" t="s">
        <v>1039</v>
      </c>
      <c r="E314" s="18" t="s">
        <v>52</v>
      </c>
      <c r="F314" s="19" t="s">
        <v>38</v>
      </c>
      <c r="G314" s="18" t="b">
        <v>0</v>
      </c>
      <c r="H314" s="18" t="b">
        <v>0</v>
      </c>
      <c r="I314" s="18" t="b">
        <v>0</v>
      </c>
      <c r="J314" s="18" t="b">
        <v>1</v>
      </c>
      <c r="K314" s="18" t="b">
        <v>0</v>
      </c>
      <c r="L314" s="18" t="b">
        <v>0</v>
      </c>
      <c r="M314" s="18" t="b">
        <v>0</v>
      </c>
      <c r="N314" s="18" t="b">
        <v>0</v>
      </c>
      <c r="O314" s="18" t="b">
        <v>0</v>
      </c>
      <c r="P314" s="18" t="b">
        <v>0</v>
      </c>
      <c r="Q314" s="18" t="b">
        <v>0</v>
      </c>
      <c r="R314" s="18" t="b">
        <v>0</v>
      </c>
    </row>
    <row r="315" spans="1:18" ht="18">
      <c r="A315" s="61" t="s">
        <v>1042</v>
      </c>
      <c r="B315" s="132" t="s">
        <v>1042</v>
      </c>
      <c r="C315" s="18" t="s">
        <v>1043</v>
      </c>
      <c r="D315" s="17" t="s">
        <v>1044</v>
      </c>
      <c r="E315" s="18" t="s">
        <v>471</v>
      </c>
      <c r="F315" s="19" t="s">
        <v>27</v>
      </c>
      <c r="G315" s="18" t="b">
        <v>0</v>
      </c>
      <c r="H315" s="18" t="b">
        <v>0</v>
      </c>
      <c r="I315" s="18" t="b">
        <v>0</v>
      </c>
      <c r="J315" s="18" t="b">
        <v>0</v>
      </c>
      <c r="K315" s="18" t="b">
        <v>0</v>
      </c>
      <c r="L315" s="18" t="b">
        <v>0</v>
      </c>
      <c r="M315" s="18" t="b">
        <v>0</v>
      </c>
      <c r="N315" s="18" t="b">
        <v>0</v>
      </c>
      <c r="O315" s="18" t="b">
        <v>0</v>
      </c>
      <c r="P315" s="18" t="b">
        <v>0</v>
      </c>
      <c r="Q315" s="18" t="b">
        <v>0</v>
      </c>
      <c r="R315" s="18" t="b">
        <v>1</v>
      </c>
    </row>
    <row r="316" spans="1:18" ht="15" hidden="1">
      <c r="A316" s="76" t="s">
        <v>1045</v>
      </c>
      <c r="B316" s="15"/>
      <c r="C316" s="31" t="s">
        <v>1046</v>
      </c>
      <c r="D316" s="31" t="s">
        <v>1047</v>
      </c>
      <c r="E316" s="16" t="s">
        <v>178</v>
      </c>
      <c r="F316" s="33" t="s">
        <v>38</v>
      </c>
      <c r="G316" s="16" t="b">
        <v>0</v>
      </c>
      <c r="H316" s="16" t="b">
        <v>0</v>
      </c>
      <c r="I316" s="16" t="b">
        <v>0</v>
      </c>
      <c r="J316" s="16" t="b">
        <v>0</v>
      </c>
      <c r="K316" s="16" t="b">
        <v>0</v>
      </c>
      <c r="L316" s="16" t="b">
        <v>0</v>
      </c>
      <c r="M316" s="16" t="b">
        <v>0</v>
      </c>
      <c r="N316" s="16" t="b">
        <v>1</v>
      </c>
      <c r="O316" s="16" t="b">
        <v>0</v>
      </c>
      <c r="P316" s="16" t="b">
        <v>0</v>
      </c>
      <c r="Q316" s="16" t="b">
        <v>0</v>
      </c>
      <c r="R316" s="16" t="b">
        <v>0</v>
      </c>
    </row>
    <row r="317" spans="1:18" ht="18">
      <c r="A317" s="61" t="s">
        <v>1048</v>
      </c>
      <c r="B317" s="15" t="s">
        <v>1049</v>
      </c>
      <c r="C317" s="18" t="s">
        <v>1050</v>
      </c>
      <c r="D317" s="17" t="s">
        <v>1051</v>
      </c>
      <c r="E317" s="18" t="s">
        <v>52</v>
      </c>
      <c r="F317" s="19" t="s">
        <v>27</v>
      </c>
      <c r="G317" s="18" t="b">
        <v>0</v>
      </c>
      <c r="H317" s="18" t="b">
        <v>0</v>
      </c>
      <c r="I317" s="18" t="b">
        <v>0</v>
      </c>
      <c r="J317" s="18" t="b">
        <v>1</v>
      </c>
      <c r="K317" s="18" t="b">
        <v>0</v>
      </c>
      <c r="L317" s="18" t="b">
        <v>0</v>
      </c>
      <c r="M317" s="18" t="b">
        <v>0</v>
      </c>
      <c r="N317" s="18" t="b">
        <v>0</v>
      </c>
      <c r="O317" s="18" t="b">
        <v>0</v>
      </c>
      <c r="P317" s="18" t="b">
        <v>0</v>
      </c>
      <c r="Q317" s="18" t="b">
        <v>0</v>
      </c>
      <c r="R317" s="18" t="b">
        <v>0</v>
      </c>
    </row>
    <row r="318" spans="1:18" ht="18">
      <c r="A318" s="61" t="s">
        <v>1052</v>
      </c>
      <c r="B318" s="81" t="s">
        <v>1052</v>
      </c>
      <c r="C318" s="18" t="s">
        <v>1053</v>
      </c>
      <c r="D318" s="68" t="s">
        <v>1054</v>
      </c>
      <c r="E318" s="18" t="s">
        <v>33</v>
      </c>
      <c r="F318" s="19" t="s">
        <v>27</v>
      </c>
      <c r="G318" s="18" t="b">
        <v>0</v>
      </c>
      <c r="H318" s="18" t="b">
        <v>0</v>
      </c>
      <c r="I318" s="18" t="b">
        <v>0</v>
      </c>
      <c r="J318" s="18" t="b">
        <v>0</v>
      </c>
      <c r="K318" s="18" t="b">
        <v>0</v>
      </c>
      <c r="L318" s="18" t="b">
        <v>0</v>
      </c>
      <c r="M318" s="18" t="b">
        <v>0</v>
      </c>
      <c r="N318" s="18" t="b">
        <v>0</v>
      </c>
      <c r="O318" s="18" t="b">
        <v>0</v>
      </c>
      <c r="P318" s="18" t="b">
        <v>0</v>
      </c>
      <c r="Q318" s="18" t="b">
        <v>0</v>
      </c>
      <c r="R318" s="18" t="b">
        <v>1</v>
      </c>
    </row>
    <row r="319" spans="1:18" ht="18">
      <c r="A319" s="61" t="s">
        <v>1055</v>
      </c>
      <c r="B319" s="15" t="s">
        <v>1055</v>
      </c>
      <c r="C319" s="18" t="s">
        <v>1056</v>
      </c>
      <c r="D319" s="17" t="s">
        <v>1057</v>
      </c>
      <c r="E319" s="18" t="s">
        <v>471</v>
      </c>
      <c r="F319" s="19" t="s">
        <v>27</v>
      </c>
      <c r="G319" s="18" t="b">
        <v>0</v>
      </c>
      <c r="H319" s="18" t="b">
        <v>0</v>
      </c>
      <c r="I319" s="18" t="b">
        <v>0</v>
      </c>
      <c r="J319" s="18" t="b">
        <v>0</v>
      </c>
      <c r="K319" s="18" t="b">
        <v>0</v>
      </c>
      <c r="L319" s="18" t="b">
        <v>0</v>
      </c>
      <c r="M319" s="18" t="b">
        <v>0</v>
      </c>
      <c r="N319" s="18" t="b">
        <v>0</v>
      </c>
      <c r="O319" s="18" t="b">
        <v>0</v>
      </c>
      <c r="P319" s="18" t="b">
        <v>0</v>
      </c>
      <c r="Q319" s="18" t="b">
        <v>0</v>
      </c>
      <c r="R319" s="18" t="b">
        <v>1</v>
      </c>
    </row>
    <row r="320" spans="1:18" ht="18">
      <c r="A320" s="61" t="s">
        <v>1058</v>
      </c>
      <c r="B320" s="81" t="s">
        <v>1058</v>
      </c>
      <c r="C320" s="18" t="s">
        <v>1059</v>
      </c>
      <c r="D320" s="17" t="s">
        <v>1060</v>
      </c>
      <c r="E320" s="18" t="s">
        <v>154</v>
      </c>
      <c r="F320" s="19" t="s">
        <v>27</v>
      </c>
      <c r="G320" s="18" t="b">
        <v>0</v>
      </c>
      <c r="H320" s="18" t="b">
        <v>0</v>
      </c>
      <c r="I320" s="18" t="b">
        <v>1</v>
      </c>
      <c r="J320" s="18" t="b">
        <v>0</v>
      </c>
      <c r="K320" s="18" t="b">
        <v>1</v>
      </c>
      <c r="L320" s="18" t="b">
        <v>0</v>
      </c>
      <c r="M320" s="18" t="b">
        <v>0</v>
      </c>
      <c r="N320" s="18" t="b">
        <v>0</v>
      </c>
      <c r="O320" s="18" t="b">
        <v>0</v>
      </c>
      <c r="P320" s="18" t="b">
        <v>0</v>
      </c>
      <c r="Q320" s="18" t="b">
        <v>0</v>
      </c>
      <c r="R320" s="18" t="b">
        <v>0</v>
      </c>
    </row>
    <row r="321" spans="1:18" ht="18">
      <c r="A321" s="61" t="s">
        <v>1061</v>
      </c>
      <c r="B321" s="15" t="s">
        <v>1061</v>
      </c>
      <c r="C321" s="18"/>
      <c r="D321" s="17" t="s">
        <v>1062</v>
      </c>
      <c r="E321" s="18" t="s">
        <v>471</v>
      </c>
      <c r="F321" s="19" t="s">
        <v>27</v>
      </c>
      <c r="G321" s="18" t="b">
        <v>0</v>
      </c>
      <c r="H321" s="18" t="b">
        <v>0</v>
      </c>
      <c r="I321" s="18" t="b">
        <v>0</v>
      </c>
      <c r="J321" s="18" t="b">
        <v>0</v>
      </c>
      <c r="K321" s="18" t="b">
        <v>0</v>
      </c>
      <c r="L321" s="18" t="b">
        <v>0</v>
      </c>
      <c r="M321" s="18" t="b">
        <v>0</v>
      </c>
      <c r="N321" s="18" t="b">
        <v>0</v>
      </c>
      <c r="O321" s="18" t="b">
        <v>0</v>
      </c>
      <c r="P321" s="18" t="b">
        <v>0</v>
      </c>
      <c r="Q321" s="18" t="b">
        <v>0</v>
      </c>
      <c r="R321" s="18" t="b">
        <v>1</v>
      </c>
    </row>
    <row r="322" spans="1:18" ht="18">
      <c r="A322" s="61" t="s">
        <v>1063</v>
      </c>
      <c r="B322" s="15" t="s">
        <v>1063</v>
      </c>
      <c r="C322" s="18" t="s">
        <v>1064</v>
      </c>
      <c r="D322" s="17" t="s">
        <v>1065</v>
      </c>
      <c r="E322" s="18" t="s">
        <v>52</v>
      </c>
      <c r="F322" s="19" t="s">
        <v>27</v>
      </c>
      <c r="G322" s="18" t="b">
        <v>0</v>
      </c>
      <c r="H322" s="18" t="b">
        <v>0</v>
      </c>
      <c r="I322" s="18" t="b">
        <v>1</v>
      </c>
      <c r="J322" s="18" t="b">
        <v>0</v>
      </c>
      <c r="K322" s="18" t="b">
        <v>0</v>
      </c>
      <c r="L322" s="18" t="b">
        <v>0</v>
      </c>
      <c r="M322" s="18" t="b">
        <v>0</v>
      </c>
      <c r="N322" s="18" t="b">
        <v>0</v>
      </c>
      <c r="O322" s="18" t="b">
        <v>0</v>
      </c>
      <c r="P322" s="18" t="b">
        <v>0</v>
      </c>
      <c r="Q322" s="18" t="b">
        <v>0</v>
      </c>
      <c r="R322" s="18" t="b">
        <v>0</v>
      </c>
    </row>
    <row r="323" spans="1:18" ht="18">
      <c r="A323" s="61" t="s">
        <v>1066</v>
      </c>
      <c r="B323" s="15" t="s">
        <v>1066</v>
      </c>
      <c r="C323" s="18" t="s">
        <v>1067</v>
      </c>
      <c r="D323" s="17" t="s">
        <v>1068</v>
      </c>
      <c r="E323" s="18" t="s">
        <v>471</v>
      </c>
      <c r="F323" s="19" t="s">
        <v>27</v>
      </c>
      <c r="G323" s="18" t="b">
        <v>0</v>
      </c>
      <c r="H323" s="18" t="b">
        <v>0</v>
      </c>
      <c r="I323" s="18" t="b">
        <v>0</v>
      </c>
      <c r="J323" s="18" t="b">
        <v>0</v>
      </c>
      <c r="K323" s="18" t="b">
        <v>0</v>
      </c>
      <c r="L323" s="18" t="b">
        <v>0</v>
      </c>
      <c r="M323" s="18" t="b">
        <v>0</v>
      </c>
      <c r="N323" s="18" t="b">
        <v>0</v>
      </c>
      <c r="O323" s="18" t="b">
        <v>0</v>
      </c>
      <c r="P323" s="18" t="b">
        <v>0</v>
      </c>
      <c r="Q323" s="18" t="b">
        <v>0</v>
      </c>
      <c r="R323" s="18" t="b">
        <v>1</v>
      </c>
    </row>
    <row r="324" spans="1:18" ht="18">
      <c r="A324" s="61" t="s">
        <v>1069</v>
      </c>
      <c r="B324" s="15" t="s">
        <v>1069</v>
      </c>
      <c r="C324" s="18" t="s">
        <v>1070</v>
      </c>
      <c r="D324" s="17" t="s">
        <v>1071</v>
      </c>
      <c r="E324" s="18" t="s">
        <v>471</v>
      </c>
      <c r="F324" s="19" t="s">
        <v>27</v>
      </c>
      <c r="G324" s="18" t="b">
        <v>0</v>
      </c>
      <c r="H324" s="18" t="b">
        <v>0</v>
      </c>
      <c r="I324" s="18" t="b">
        <v>0</v>
      </c>
      <c r="J324" s="18" t="b">
        <v>0</v>
      </c>
      <c r="K324" s="18" t="b">
        <v>0</v>
      </c>
      <c r="L324" s="18" t="b">
        <v>0</v>
      </c>
      <c r="M324" s="18" t="b">
        <v>0</v>
      </c>
      <c r="N324" s="18" t="b">
        <v>0</v>
      </c>
      <c r="O324" s="18" t="b">
        <v>0</v>
      </c>
      <c r="P324" s="18" t="b">
        <v>0</v>
      </c>
      <c r="Q324" s="18" t="b">
        <v>0</v>
      </c>
      <c r="R324" s="18" t="b">
        <v>1</v>
      </c>
    </row>
    <row r="325" spans="1:18" ht="15" hidden="1">
      <c r="A325" s="76" t="s">
        <v>1072</v>
      </c>
      <c r="B325" s="15" t="s">
        <v>1073</v>
      </c>
      <c r="C325" s="31" t="s">
        <v>1074</v>
      </c>
      <c r="D325" s="31" t="s">
        <v>1075</v>
      </c>
      <c r="E325" s="16" t="s">
        <v>471</v>
      </c>
      <c r="F325" s="33" t="s">
        <v>38</v>
      </c>
      <c r="G325" s="16" t="b">
        <v>0</v>
      </c>
      <c r="H325" s="16" t="b">
        <v>0</v>
      </c>
      <c r="I325" s="16" t="b">
        <v>0</v>
      </c>
      <c r="J325" s="16" t="b">
        <v>0</v>
      </c>
      <c r="K325" s="16" t="b">
        <v>0</v>
      </c>
      <c r="L325" s="16" t="b">
        <v>0</v>
      </c>
      <c r="M325" s="16" t="b">
        <v>0</v>
      </c>
      <c r="N325" s="16" t="b">
        <v>0</v>
      </c>
      <c r="O325" s="16" t="b">
        <v>0</v>
      </c>
      <c r="P325" s="16" t="b">
        <v>0</v>
      </c>
      <c r="Q325" s="16" t="b">
        <v>0</v>
      </c>
      <c r="R325" s="16" t="b">
        <v>1</v>
      </c>
    </row>
    <row r="326" spans="1:18" ht="18">
      <c r="A326" s="61" t="s">
        <v>1076</v>
      </c>
      <c r="B326" s="92" t="s">
        <v>1076</v>
      </c>
      <c r="C326" s="18" t="s">
        <v>1077</v>
      </c>
      <c r="D326" s="17" t="s">
        <v>1078</v>
      </c>
      <c r="E326" s="18" t="s">
        <v>140</v>
      </c>
      <c r="F326" s="19" t="s">
        <v>27</v>
      </c>
      <c r="G326" s="18" t="b">
        <v>0</v>
      </c>
      <c r="H326" s="18" t="b">
        <v>1</v>
      </c>
      <c r="I326" s="18" t="b">
        <v>0</v>
      </c>
      <c r="J326" s="18" t="b">
        <v>0</v>
      </c>
      <c r="K326" s="18" t="b">
        <v>0</v>
      </c>
      <c r="L326" s="18" t="b">
        <v>0</v>
      </c>
      <c r="M326" s="18" t="b">
        <v>0</v>
      </c>
      <c r="N326" s="18" t="b">
        <v>0</v>
      </c>
      <c r="O326" s="18" t="b">
        <v>0</v>
      </c>
      <c r="P326" s="18" t="b">
        <v>0</v>
      </c>
      <c r="Q326" s="18" t="b">
        <v>0</v>
      </c>
      <c r="R326" s="18" t="b">
        <v>0</v>
      </c>
    </row>
    <row r="327" spans="1:18" ht="18">
      <c r="A327" s="61" t="s">
        <v>1079</v>
      </c>
      <c r="B327" s="106"/>
      <c r="C327" s="17" t="s">
        <v>1080</v>
      </c>
      <c r="D327" s="17" t="s">
        <v>1081</v>
      </c>
      <c r="E327" s="18" t="s">
        <v>60</v>
      </c>
      <c r="F327" s="19" t="s">
        <v>27</v>
      </c>
      <c r="G327" s="18" t="b">
        <v>0</v>
      </c>
      <c r="H327" s="18" t="b">
        <v>0</v>
      </c>
      <c r="I327" s="18" t="b">
        <v>0</v>
      </c>
      <c r="J327" s="18" t="b">
        <v>0</v>
      </c>
      <c r="K327" s="18" t="b">
        <v>0</v>
      </c>
      <c r="L327" s="18" t="b">
        <v>0</v>
      </c>
      <c r="M327" s="18" t="b">
        <v>1</v>
      </c>
      <c r="N327" s="18" t="b">
        <v>0</v>
      </c>
      <c r="O327" s="18" t="b">
        <v>0</v>
      </c>
      <c r="P327" s="18" t="b">
        <v>0</v>
      </c>
      <c r="Q327" s="18" t="b">
        <v>0</v>
      </c>
      <c r="R327" s="18" t="b">
        <v>0</v>
      </c>
    </row>
    <row r="328" spans="1:18" ht="15" hidden="1">
      <c r="A328" s="76" t="s">
        <v>1082</v>
      </c>
      <c r="B328" s="15" t="s">
        <v>1083</v>
      </c>
      <c r="C328" s="31" t="s">
        <v>1084</v>
      </c>
      <c r="D328" s="31" t="s">
        <v>1085</v>
      </c>
      <c r="E328" s="16" t="s">
        <v>86</v>
      </c>
      <c r="F328" s="33" t="s">
        <v>38</v>
      </c>
      <c r="G328" s="16" t="b">
        <v>0</v>
      </c>
      <c r="H328" s="16" t="b">
        <v>0</v>
      </c>
      <c r="I328" s="16" t="b">
        <v>1</v>
      </c>
      <c r="J328" s="16" t="b">
        <v>0</v>
      </c>
      <c r="K328" s="16" t="b">
        <v>0</v>
      </c>
      <c r="L328" s="16" t="b">
        <v>0</v>
      </c>
      <c r="M328" s="16" t="b">
        <v>0</v>
      </c>
      <c r="N328" s="16" t="b">
        <v>0</v>
      </c>
      <c r="O328" s="16" t="b">
        <v>0</v>
      </c>
      <c r="P328" s="16" t="b">
        <v>0</v>
      </c>
      <c r="Q328" s="16" t="b">
        <v>0</v>
      </c>
      <c r="R328" s="16" t="b">
        <v>0</v>
      </c>
    </row>
    <row r="329" spans="1:18" ht="18">
      <c r="A329" s="98" t="s">
        <v>1086</v>
      </c>
      <c r="B329" s="15" t="s">
        <v>1087</v>
      </c>
      <c r="C329" s="44" t="s">
        <v>1088</v>
      </c>
      <c r="D329" s="45" t="s">
        <v>1089</v>
      </c>
      <c r="E329" s="18" t="s">
        <v>33</v>
      </c>
      <c r="F329" s="19" t="s">
        <v>27</v>
      </c>
      <c r="G329" s="18" t="b">
        <v>0</v>
      </c>
      <c r="H329" s="18" t="b">
        <v>0</v>
      </c>
      <c r="I329" s="18" t="b">
        <v>0</v>
      </c>
      <c r="J329" s="18" t="b">
        <v>0</v>
      </c>
      <c r="K329" s="18" t="b">
        <v>0</v>
      </c>
      <c r="L329" s="18" t="b">
        <v>0</v>
      </c>
      <c r="M329" s="18" t="b">
        <v>0</v>
      </c>
      <c r="N329" s="18" t="b">
        <v>0</v>
      </c>
      <c r="O329" s="18" t="b">
        <v>0</v>
      </c>
      <c r="P329" s="18" t="b">
        <v>0</v>
      </c>
      <c r="Q329" s="18" t="b">
        <v>0</v>
      </c>
      <c r="R329" s="18" t="b">
        <v>1</v>
      </c>
    </row>
    <row r="330" spans="1:18" ht="18">
      <c r="A330" s="61" t="s">
        <v>1090</v>
      </c>
      <c r="B330" s="15" t="s">
        <v>1090</v>
      </c>
      <c r="C330" s="18" t="s">
        <v>1091</v>
      </c>
      <c r="D330" s="17" t="s">
        <v>1092</v>
      </c>
      <c r="E330" s="18" t="s">
        <v>471</v>
      </c>
      <c r="F330" s="19" t="s">
        <v>27</v>
      </c>
      <c r="G330" s="18" t="b">
        <v>0</v>
      </c>
      <c r="H330" s="18" t="b">
        <v>0</v>
      </c>
      <c r="I330" s="18" t="b">
        <v>0</v>
      </c>
      <c r="J330" s="18" t="b">
        <v>0</v>
      </c>
      <c r="K330" s="18" t="b">
        <v>0</v>
      </c>
      <c r="L330" s="18" t="b">
        <v>0</v>
      </c>
      <c r="M330" s="18" t="b">
        <v>0</v>
      </c>
      <c r="N330" s="18" t="b">
        <v>0</v>
      </c>
      <c r="O330" s="18" t="b">
        <v>0</v>
      </c>
      <c r="P330" s="18" t="b">
        <v>0</v>
      </c>
      <c r="Q330" s="18" t="b">
        <v>0</v>
      </c>
      <c r="R330" s="18" t="b">
        <v>1</v>
      </c>
    </row>
    <row r="331" spans="1:18" ht="18" hidden="1">
      <c r="A331" s="61" t="s">
        <v>1093</v>
      </c>
      <c r="B331" s="15" t="s">
        <v>1093</v>
      </c>
      <c r="C331" s="44" t="s">
        <v>1094</v>
      </c>
      <c r="D331" s="45" t="s">
        <v>1095</v>
      </c>
      <c r="E331" s="16" t="s">
        <v>60</v>
      </c>
      <c r="F331" s="19" t="s">
        <v>34</v>
      </c>
      <c r="G331" s="18" t="b">
        <v>0</v>
      </c>
      <c r="H331" s="18" t="b">
        <v>0</v>
      </c>
      <c r="I331" s="18" t="b">
        <v>0</v>
      </c>
      <c r="J331" s="18" t="b">
        <v>0</v>
      </c>
      <c r="K331" s="18" t="b">
        <v>0</v>
      </c>
      <c r="L331" s="18" t="b">
        <v>0</v>
      </c>
      <c r="M331" s="18" t="b">
        <v>1</v>
      </c>
      <c r="N331" s="18" t="b">
        <v>0</v>
      </c>
      <c r="O331" s="18" t="b">
        <v>0</v>
      </c>
      <c r="P331" s="18" t="b">
        <v>0</v>
      </c>
      <c r="Q331" s="18" t="b">
        <v>0</v>
      </c>
      <c r="R331" s="18" t="b">
        <v>0</v>
      </c>
    </row>
    <row r="332" spans="1:18" ht="18">
      <c r="A332" s="61" t="s">
        <v>1096</v>
      </c>
      <c r="B332" s="15" t="s">
        <v>1097</v>
      </c>
      <c r="C332" s="17" t="s">
        <v>1098</v>
      </c>
      <c r="D332" s="17" t="s">
        <v>1099</v>
      </c>
      <c r="E332" s="18" t="s">
        <v>69</v>
      </c>
      <c r="F332" s="19" t="s">
        <v>27</v>
      </c>
      <c r="G332" s="18" t="b">
        <v>0</v>
      </c>
      <c r="H332" s="18" t="b">
        <v>0</v>
      </c>
      <c r="I332" s="18" t="b">
        <v>0</v>
      </c>
      <c r="J332" s="18" t="b">
        <v>0</v>
      </c>
      <c r="K332" s="18" t="b">
        <v>0</v>
      </c>
      <c r="L332" s="18" t="b">
        <v>0</v>
      </c>
      <c r="M332" s="18" t="b">
        <v>0</v>
      </c>
      <c r="N332" s="18" t="b">
        <v>0</v>
      </c>
      <c r="O332" s="18" t="b">
        <v>1</v>
      </c>
      <c r="P332" s="18" t="b">
        <v>0</v>
      </c>
      <c r="Q332" s="18" t="b">
        <v>0</v>
      </c>
      <c r="R332" s="18" t="b">
        <v>0</v>
      </c>
    </row>
    <row r="333" spans="1:18" ht="18">
      <c r="A333" s="61" t="s">
        <v>1100</v>
      </c>
      <c r="B333" s="15" t="s">
        <v>1100</v>
      </c>
      <c r="C333" s="18" t="s">
        <v>1101</v>
      </c>
      <c r="D333" s="17" t="s">
        <v>1102</v>
      </c>
      <c r="E333" s="18" t="s">
        <v>154</v>
      </c>
      <c r="F333" s="19" t="s">
        <v>27</v>
      </c>
      <c r="G333" s="18" t="b">
        <v>0</v>
      </c>
      <c r="H333" s="18" t="b">
        <v>0</v>
      </c>
      <c r="I333" s="18" t="b">
        <v>1</v>
      </c>
      <c r="J333" s="18" t="b">
        <v>0</v>
      </c>
      <c r="K333" s="18" t="b">
        <v>0</v>
      </c>
      <c r="L333" s="18" t="b">
        <v>0</v>
      </c>
      <c r="M333" s="18" t="b">
        <v>0</v>
      </c>
      <c r="N333" s="18" t="b">
        <v>0</v>
      </c>
      <c r="O333" s="18" t="b">
        <v>0</v>
      </c>
      <c r="P333" s="18" t="b">
        <v>0</v>
      </c>
      <c r="Q333" s="18" t="b">
        <v>0</v>
      </c>
      <c r="R333" s="18" t="b">
        <v>1</v>
      </c>
    </row>
    <row r="334" spans="1:18" ht="18">
      <c r="A334" s="61" t="s">
        <v>1103</v>
      </c>
      <c r="B334" s="15" t="s">
        <v>1103</v>
      </c>
      <c r="C334" s="18" t="s">
        <v>1104</v>
      </c>
      <c r="D334" s="17" t="s">
        <v>1105</v>
      </c>
      <c r="E334" s="18" t="s">
        <v>178</v>
      </c>
      <c r="F334" s="19" t="s">
        <v>27</v>
      </c>
      <c r="G334" s="18" t="b">
        <v>0</v>
      </c>
      <c r="H334" s="18" t="b">
        <v>0</v>
      </c>
      <c r="I334" s="18" t="b">
        <v>0</v>
      </c>
      <c r="J334" s="18" t="b">
        <v>0</v>
      </c>
      <c r="K334" s="18" t="b">
        <v>0</v>
      </c>
      <c r="L334" s="18" t="b">
        <v>0</v>
      </c>
      <c r="M334" s="18" t="b">
        <v>0</v>
      </c>
      <c r="N334" s="18" t="b">
        <v>1</v>
      </c>
      <c r="O334" s="18" t="b">
        <v>0</v>
      </c>
      <c r="P334" s="18" t="b">
        <v>0</v>
      </c>
      <c r="Q334" s="18" t="b">
        <v>0</v>
      </c>
      <c r="R334" s="18" t="b">
        <v>0</v>
      </c>
    </row>
    <row r="335" spans="1:18" ht="18">
      <c r="A335" s="61" t="s">
        <v>1106</v>
      </c>
      <c r="B335" s="15" t="s">
        <v>1106</v>
      </c>
      <c r="C335" s="18" t="s">
        <v>1107</v>
      </c>
      <c r="D335" s="17" t="s">
        <v>1108</v>
      </c>
      <c r="E335" s="18" t="s">
        <v>26</v>
      </c>
      <c r="F335" s="19" t="s">
        <v>27</v>
      </c>
      <c r="G335" s="18" t="b">
        <v>0</v>
      </c>
      <c r="H335" s="18" t="b">
        <v>0</v>
      </c>
      <c r="I335" s="18" t="b">
        <v>1</v>
      </c>
      <c r="J335" s="18" t="b">
        <v>0</v>
      </c>
      <c r="K335" s="18" t="b">
        <v>0</v>
      </c>
      <c r="L335" s="18" t="b">
        <v>0</v>
      </c>
      <c r="M335" s="18" t="b">
        <v>0</v>
      </c>
      <c r="N335" s="18" t="b">
        <v>0</v>
      </c>
      <c r="O335" s="18" t="b">
        <v>0</v>
      </c>
      <c r="P335" s="18" t="b">
        <v>0</v>
      </c>
      <c r="Q335" s="18" t="b">
        <v>0</v>
      </c>
      <c r="R335" s="18" t="b">
        <v>0</v>
      </c>
    </row>
    <row r="336" spans="1:18" ht="18">
      <c r="A336" s="61" t="s">
        <v>1109</v>
      </c>
      <c r="B336" s="81" t="s">
        <v>1110</v>
      </c>
      <c r="C336" s="18" t="s">
        <v>1111</v>
      </c>
      <c r="D336" s="68" t="s">
        <v>1112</v>
      </c>
      <c r="E336" s="18" t="s">
        <v>33</v>
      </c>
      <c r="F336" s="19" t="s">
        <v>27</v>
      </c>
      <c r="G336" s="18" t="b">
        <v>0</v>
      </c>
      <c r="H336" s="18" t="b">
        <v>0</v>
      </c>
      <c r="I336" s="18" t="b">
        <v>0</v>
      </c>
      <c r="J336" s="18" t="b">
        <v>0</v>
      </c>
      <c r="K336" s="18" t="b">
        <v>0</v>
      </c>
      <c r="L336" s="18" t="b">
        <v>0</v>
      </c>
      <c r="M336" s="18" t="b">
        <v>0</v>
      </c>
      <c r="N336" s="18" t="b">
        <v>0</v>
      </c>
      <c r="O336" s="18" t="b">
        <v>0</v>
      </c>
      <c r="P336" s="18" t="b">
        <v>0</v>
      </c>
      <c r="Q336" s="18" t="b">
        <v>0</v>
      </c>
      <c r="R336" s="18" t="b">
        <v>1</v>
      </c>
    </row>
    <row r="337" spans="1:18" ht="30.75">
      <c r="A337" s="87" t="s">
        <v>1113</v>
      </c>
      <c r="B337" s="72" t="s">
        <v>1113</v>
      </c>
      <c r="C337" s="88" t="s">
        <v>1114</v>
      </c>
      <c r="D337" s="88" t="s">
        <v>1115</v>
      </c>
      <c r="E337" s="18" t="s">
        <v>33</v>
      </c>
      <c r="F337" s="19" t="s">
        <v>27</v>
      </c>
      <c r="G337" s="18" t="b">
        <v>0</v>
      </c>
      <c r="H337" s="18" t="b">
        <v>0</v>
      </c>
      <c r="I337" s="18" t="b">
        <v>0</v>
      </c>
      <c r="J337" s="18" t="b">
        <v>0</v>
      </c>
      <c r="K337" s="18" t="b">
        <v>0</v>
      </c>
      <c r="L337" s="18" t="b">
        <v>0</v>
      </c>
      <c r="M337" s="18" t="b">
        <v>0</v>
      </c>
      <c r="N337" s="18" t="b">
        <v>0</v>
      </c>
      <c r="O337" s="18" t="b">
        <v>0</v>
      </c>
      <c r="P337" s="18" t="b">
        <v>0</v>
      </c>
      <c r="Q337" s="18" t="b">
        <v>0</v>
      </c>
      <c r="R337" s="18" t="b">
        <v>1</v>
      </c>
    </row>
    <row r="338" spans="1:18" ht="18">
      <c r="A338" s="61" t="s">
        <v>1116</v>
      </c>
      <c r="B338" s="81" t="s">
        <v>1116</v>
      </c>
      <c r="C338" s="18" t="s">
        <v>1117</v>
      </c>
      <c r="D338" s="17" t="s">
        <v>1118</v>
      </c>
      <c r="E338" s="18" t="s">
        <v>33</v>
      </c>
      <c r="F338" s="19" t="s">
        <v>27</v>
      </c>
      <c r="G338" s="18" t="b">
        <v>0</v>
      </c>
      <c r="H338" s="18" t="b">
        <v>0</v>
      </c>
      <c r="I338" s="18" t="b">
        <v>0</v>
      </c>
      <c r="J338" s="18" t="b">
        <v>0</v>
      </c>
      <c r="K338" s="18" t="b">
        <v>0</v>
      </c>
      <c r="L338" s="18" t="b">
        <v>0</v>
      </c>
      <c r="M338" s="18" t="b">
        <v>0</v>
      </c>
      <c r="N338" s="18" t="b">
        <v>0</v>
      </c>
      <c r="O338" s="18" t="b">
        <v>0</v>
      </c>
      <c r="P338" s="18" t="b">
        <v>0</v>
      </c>
      <c r="Q338" s="18" t="b">
        <v>0</v>
      </c>
      <c r="R338" s="18" t="b">
        <v>1</v>
      </c>
    </row>
    <row r="339" spans="1:18" ht="18">
      <c r="A339" s="61" t="s">
        <v>1119</v>
      </c>
      <c r="B339" s="15" t="s">
        <v>1119</v>
      </c>
      <c r="C339" s="18" t="s">
        <v>1120</v>
      </c>
      <c r="D339" s="17" t="s">
        <v>1121</v>
      </c>
      <c r="E339" s="18" t="s">
        <v>471</v>
      </c>
      <c r="F339" s="19" t="s">
        <v>27</v>
      </c>
      <c r="G339" s="18" t="b">
        <v>0</v>
      </c>
      <c r="H339" s="18" t="b">
        <v>0</v>
      </c>
      <c r="I339" s="18" t="b">
        <v>0</v>
      </c>
      <c r="J339" s="18" t="b">
        <v>0</v>
      </c>
      <c r="K339" s="18" t="b">
        <v>0</v>
      </c>
      <c r="L339" s="18" t="b">
        <v>0</v>
      </c>
      <c r="M339" s="18" t="b">
        <v>0</v>
      </c>
      <c r="N339" s="18" t="b">
        <v>0</v>
      </c>
      <c r="O339" s="18" t="b">
        <v>0</v>
      </c>
      <c r="P339" s="18" t="b">
        <v>0</v>
      </c>
      <c r="Q339" s="18" t="b">
        <v>0</v>
      </c>
      <c r="R339" s="18" t="b">
        <v>1</v>
      </c>
    </row>
    <row r="340" spans="1:18" ht="15" hidden="1">
      <c r="A340" s="76" t="s">
        <v>1122</v>
      </c>
      <c r="B340" s="15" t="s">
        <v>1122</v>
      </c>
      <c r="C340" s="31" t="s">
        <v>1123</v>
      </c>
      <c r="D340" s="31" t="s">
        <v>1124</v>
      </c>
      <c r="E340" s="16" t="s">
        <v>86</v>
      </c>
      <c r="F340" s="33" t="s">
        <v>38</v>
      </c>
      <c r="G340" s="16" t="b">
        <v>0</v>
      </c>
      <c r="H340" s="16" t="b">
        <v>0</v>
      </c>
      <c r="I340" s="16" t="b">
        <v>1</v>
      </c>
      <c r="J340" s="16" t="b">
        <v>0</v>
      </c>
      <c r="K340" s="16" t="b">
        <v>0</v>
      </c>
      <c r="L340" s="16" t="b">
        <v>0</v>
      </c>
      <c r="M340" s="16" t="b">
        <v>0</v>
      </c>
      <c r="N340" s="16" t="b">
        <v>0</v>
      </c>
      <c r="O340" s="16" t="b">
        <v>0</v>
      </c>
      <c r="P340" s="16" t="b">
        <v>0</v>
      </c>
      <c r="Q340" s="16" t="b">
        <v>0</v>
      </c>
      <c r="R340" s="16" t="b">
        <v>0</v>
      </c>
    </row>
    <row r="341" spans="1:18" ht="18">
      <c r="A341" s="61" t="s">
        <v>1125</v>
      </c>
      <c r="B341" s="15"/>
      <c r="C341" s="18" t="s">
        <v>1126</v>
      </c>
      <c r="D341" s="17" t="s">
        <v>1127</v>
      </c>
      <c r="E341" s="18" t="s">
        <v>192</v>
      </c>
      <c r="F341" s="19" t="s">
        <v>27</v>
      </c>
      <c r="G341" s="18" t="b">
        <v>0</v>
      </c>
      <c r="H341" s="18" t="b">
        <v>0</v>
      </c>
      <c r="I341" s="18" t="b">
        <v>0</v>
      </c>
      <c r="J341" s="18" t="b">
        <v>0</v>
      </c>
      <c r="K341" s="18" t="b">
        <v>0</v>
      </c>
      <c r="L341" s="18" t="b">
        <v>0</v>
      </c>
      <c r="M341" s="18" t="b">
        <v>0</v>
      </c>
      <c r="N341" s="18" t="b">
        <v>0</v>
      </c>
      <c r="O341" s="18" t="b">
        <v>0</v>
      </c>
      <c r="P341" s="18" t="b">
        <v>1</v>
      </c>
      <c r="Q341" s="18" t="b">
        <v>0</v>
      </c>
      <c r="R341" s="18" t="b">
        <v>0</v>
      </c>
    </row>
    <row r="342" spans="1:18" ht="18">
      <c r="A342" s="61" t="s">
        <v>1128</v>
      </c>
      <c r="B342" s="15" t="s">
        <v>1128</v>
      </c>
      <c r="C342" s="18" t="s">
        <v>1129</v>
      </c>
      <c r="D342" s="17" t="s">
        <v>1130</v>
      </c>
      <c r="E342" s="18" t="s">
        <v>471</v>
      </c>
      <c r="F342" s="19" t="s">
        <v>27</v>
      </c>
      <c r="G342" s="18" t="b">
        <v>0</v>
      </c>
      <c r="H342" s="18" t="b">
        <v>0</v>
      </c>
      <c r="I342" s="18" t="b">
        <v>0</v>
      </c>
      <c r="J342" s="18" t="b">
        <v>0</v>
      </c>
      <c r="K342" s="18" t="b">
        <v>0</v>
      </c>
      <c r="L342" s="18" t="b">
        <v>0</v>
      </c>
      <c r="M342" s="18" t="b">
        <v>0</v>
      </c>
      <c r="N342" s="18" t="b">
        <v>0</v>
      </c>
      <c r="O342" s="18" t="b">
        <v>0</v>
      </c>
      <c r="P342" s="18" t="b">
        <v>0</v>
      </c>
      <c r="Q342" s="18" t="b">
        <v>0</v>
      </c>
      <c r="R342" s="18" t="b">
        <v>1</v>
      </c>
    </row>
    <row r="343" spans="1:18" ht="18">
      <c r="A343" s="87" t="s">
        <v>1131</v>
      </c>
      <c r="B343" s="15" t="s">
        <v>1132</v>
      </c>
      <c r="C343" s="44" t="s">
        <v>1133</v>
      </c>
      <c r="D343" s="45" t="s">
        <v>1134</v>
      </c>
      <c r="E343" s="18" t="s">
        <v>52</v>
      </c>
      <c r="F343" s="19" t="s">
        <v>27</v>
      </c>
      <c r="G343" s="18" t="b">
        <v>0</v>
      </c>
      <c r="H343" s="18" t="b">
        <v>0</v>
      </c>
      <c r="I343" s="18" t="b">
        <v>1</v>
      </c>
      <c r="J343" s="18" t="b">
        <v>0</v>
      </c>
      <c r="K343" s="18" t="b">
        <v>0</v>
      </c>
      <c r="L343" s="18" t="b">
        <v>0</v>
      </c>
      <c r="M343" s="18" t="b">
        <v>0</v>
      </c>
      <c r="N343" s="18" t="b">
        <v>0</v>
      </c>
      <c r="O343" s="18" t="b">
        <v>0</v>
      </c>
      <c r="P343" s="18" t="b">
        <v>0</v>
      </c>
      <c r="Q343" s="18" t="b">
        <v>0</v>
      </c>
      <c r="R343" s="18" t="b">
        <v>0</v>
      </c>
    </row>
    <row r="344" spans="1:18" ht="15" hidden="1">
      <c r="A344" s="16" t="s">
        <v>1135</v>
      </c>
      <c r="B344" s="15"/>
      <c r="C344" s="31" t="s">
        <v>1136</v>
      </c>
      <c r="D344" s="31" t="s">
        <v>1137</v>
      </c>
      <c r="E344" s="16" t="s">
        <v>86</v>
      </c>
      <c r="F344" s="33" t="s">
        <v>38</v>
      </c>
      <c r="G344" s="16" t="b">
        <v>0</v>
      </c>
      <c r="H344" s="16" t="b">
        <v>0</v>
      </c>
      <c r="I344" s="16" t="b">
        <v>1</v>
      </c>
      <c r="J344" s="16" t="b">
        <v>0</v>
      </c>
      <c r="K344" s="16" t="b">
        <v>0</v>
      </c>
      <c r="L344" s="16" t="b">
        <v>0</v>
      </c>
      <c r="M344" s="16" t="b">
        <v>0</v>
      </c>
      <c r="N344" s="16" t="b">
        <v>0</v>
      </c>
      <c r="O344" s="16" t="b">
        <v>0</v>
      </c>
      <c r="P344" s="16" t="b">
        <v>0</v>
      </c>
      <c r="Q344" s="16" t="b">
        <v>0</v>
      </c>
      <c r="R344" s="16" t="b">
        <v>0</v>
      </c>
    </row>
    <row r="345" spans="1:18" ht="18">
      <c r="A345" s="61" t="s">
        <v>1138</v>
      </c>
      <c r="B345" s="15" t="s">
        <v>1138</v>
      </c>
      <c r="C345" s="18" t="s">
        <v>1139</v>
      </c>
      <c r="D345" s="17" t="s">
        <v>1140</v>
      </c>
      <c r="E345" s="18" t="s">
        <v>471</v>
      </c>
      <c r="F345" s="19" t="s">
        <v>27</v>
      </c>
      <c r="G345" s="18" t="b">
        <v>0</v>
      </c>
      <c r="H345" s="18" t="b">
        <v>0</v>
      </c>
      <c r="I345" s="18" t="b">
        <v>0</v>
      </c>
      <c r="J345" s="18" t="b">
        <v>0</v>
      </c>
      <c r="K345" s="18" t="b">
        <v>0</v>
      </c>
      <c r="L345" s="18" t="b">
        <v>0</v>
      </c>
      <c r="M345" s="18" t="b">
        <v>0</v>
      </c>
      <c r="N345" s="18" t="b">
        <v>0</v>
      </c>
      <c r="O345" s="18" t="b">
        <v>0</v>
      </c>
      <c r="P345" s="18" t="b">
        <v>0</v>
      </c>
      <c r="Q345" s="18" t="b">
        <v>0</v>
      </c>
      <c r="R345" s="18" t="b">
        <v>1</v>
      </c>
    </row>
    <row r="346" spans="1:18" ht="18">
      <c r="A346" s="61" t="s">
        <v>1141</v>
      </c>
      <c r="B346" s="51" t="s">
        <v>1142</v>
      </c>
      <c r="C346" s="17" t="s">
        <v>1143</v>
      </c>
      <c r="D346" s="17" t="s">
        <v>1144</v>
      </c>
      <c r="E346" s="18" t="s">
        <v>140</v>
      </c>
      <c r="F346" s="19" t="s">
        <v>27</v>
      </c>
      <c r="G346" s="18" t="b">
        <v>0</v>
      </c>
      <c r="H346" s="18" t="b">
        <v>1</v>
      </c>
      <c r="I346" s="18" t="b">
        <v>0</v>
      </c>
      <c r="J346" s="18" t="b">
        <v>0</v>
      </c>
      <c r="K346" s="18" t="b">
        <v>0</v>
      </c>
      <c r="L346" s="18" t="b">
        <v>0</v>
      </c>
      <c r="M346" s="18" t="b">
        <v>0</v>
      </c>
      <c r="N346" s="18" t="b">
        <v>0</v>
      </c>
      <c r="O346" s="18" t="b">
        <v>0</v>
      </c>
      <c r="P346" s="18" t="b">
        <v>0</v>
      </c>
      <c r="Q346" s="18" t="b">
        <v>0</v>
      </c>
      <c r="R346" s="18" t="b">
        <v>0</v>
      </c>
    </row>
    <row r="347" spans="1:18" ht="18" hidden="1">
      <c r="A347" s="61" t="s">
        <v>1145</v>
      </c>
      <c r="B347" s="15" t="s">
        <v>1146</v>
      </c>
      <c r="C347" s="18" t="s">
        <v>1147</v>
      </c>
      <c r="D347" s="17" t="s">
        <v>1148</v>
      </c>
      <c r="E347" s="18" t="s">
        <v>43</v>
      </c>
      <c r="F347" s="19" t="s">
        <v>38</v>
      </c>
      <c r="G347" s="18" t="b">
        <v>1</v>
      </c>
      <c r="H347" s="18" t="b">
        <v>1</v>
      </c>
      <c r="I347" s="18" t="b">
        <v>0</v>
      </c>
      <c r="J347" s="18" t="b">
        <v>0</v>
      </c>
      <c r="K347" s="18" t="b">
        <v>0</v>
      </c>
      <c r="L347" s="18" t="b">
        <v>0</v>
      </c>
      <c r="M347" s="18" t="b">
        <v>0</v>
      </c>
      <c r="N347" s="18" t="b">
        <v>0</v>
      </c>
      <c r="O347" s="18" t="b">
        <v>0</v>
      </c>
      <c r="P347" s="18" t="b">
        <v>0</v>
      </c>
      <c r="Q347" s="18" t="b">
        <v>0</v>
      </c>
      <c r="R347" s="18" t="b">
        <v>0</v>
      </c>
    </row>
    <row r="348" spans="1:18" ht="18">
      <c r="A348" s="61" t="s">
        <v>33</v>
      </c>
      <c r="B348" s="133" t="s">
        <v>1149</v>
      </c>
      <c r="C348" s="101" t="s">
        <v>1150</v>
      </c>
      <c r="D348" s="17" t="s">
        <v>1151</v>
      </c>
      <c r="E348" s="18" t="s">
        <v>33</v>
      </c>
      <c r="F348" s="19" t="s">
        <v>27</v>
      </c>
      <c r="G348" s="18" t="b">
        <v>0</v>
      </c>
      <c r="H348" s="18" t="b">
        <v>0</v>
      </c>
      <c r="I348" s="18" t="b">
        <v>0</v>
      </c>
      <c r="J348" s="18" t="b">
        <v>0</v>
      </c>
      <c r="K348" s="18" t="b">
        <v>0</v>
      </c>
      <c r="L348" s="18" t="b">
        <v>0</v>
      </c>
      <c r="M348" s="18" t="b">
        <v>0</v>
      </c>
      <c r="N348" s="18" t="b">
        <v>0</v>
      </c>
      <c r="O348" s="18" t="b">
        <v>0</v>
      </c>
      <c r="P348" s="18" t="b">
        <v>0</v>
      </c>
      <c r="Q348" s="18" t="b">
        <v>0</v>
      </c>
      <c r="R348" s="18" t="b">
        <v>1</v>
      </c>
    </row>
    <row r="349" spans="1:18" ht="18">
      <c r="A349" s="61" t="s">
        <v>1152</v>
      </c>
      <c r="B349" s="93" t="s">
        <v>1152</v>
      </c>
      <c r="C349" s="18" t="s">
        <v>1153</v>
      </c>
      <c r="D349" s="17" t="s">
        <v>1154</v>
      </c>
      <c r="E349" s="18" t="s">
        <v>471</v>
      </c>
      <c r="F349" s="19" t="s">
        <v>27</v>
      </c>
      <c r="G349" s="18" t="b">
        <v>0</v>
      </c>
      <c r="H349" s="18" t="b">
        <v>0</v>
      </c>
      <c r="I349" s="18" t="b">
        <v>0</v>
      </c>
      <c r="J349" s="18" t="b">
        <v>0</v>
      </c>
      <c r="K349" s="18" t="b">
        <v>0</v>
      </c>
      <c r="L349" s="18" t="b">
        <v>0</v>
      </c>
      <c r="M349" s="18" t="b">
        <v>0</v>
      </c>
      <c r="N349" s="18" t="b">
        <v>0</v>
      </c>
      <c r="O349" s="18" t="b">
        <v>0</v>
      </c>
      <c r="P349" s="18" t="b">
        <v>0</v>
      </c>
      <c r="Q349" s="18" t="b">
        <v>0</v>
      </c>
      <c r="R349" s="18" t="b">
        <v>1</v>
      </c>
    </row>
    <row r="350" spans="1:18" ht="18">
      <c r="A350" s="61" t="s">
        <v>1155</v>
      </c>
      <c r="B350" s="15"/>
      <c r="C350" s="17" t="s">
        <v>1156</v>
      </c>
      <c r="D350" s="17" t="s">
        <v>1157</v>
      </c>
      <c r="E350" s="18" t="s">
        <v>33</v>
      </c>
      <c r="F350" s="19" t="s">
        <v>27</v>
      </c>
      <c r="G350" s="18" t="b">
        <v>0</v>
      </c>
      <c r="H350" s="18" t="b">
        <v>0</v>
      </c>
      <c r="I350" s="18" t="b">
        <v>0</v>
      </c>
      <c r="J350" s="18" t="b">
        <v>0</v>
      </c>
      <c r="K350" s="18" t="b">
        <v>0</v>
      </c>
      <c r="L350" s="18" t="b">
        <v>0</v>
      </c>
      <c r="M350" s="18" t="b">
        <v>0</v>
      </c>
      <c r="N350" s="18" t="b">
        <v>0</v>
      </c>
      <c r="O350" s="18" t="b">
        <v>0</v>
      </c>
      <c r="P350" s="18" t="b">
        <v>0</v>
      </c>
      <c r="Q350" s="18" t="b">
        <v>0</v>
      </c>
      <c r="R350" s="18" t="b">
        <v>1</v>
      </c>
    </row>
    <row r="351" spans="1:18" ht="18">
      <c r="A351" s="61" t="s">
        <v>1158</v>
      </c>
      <c r="B351" s="15" t="s">
        <v>1159</v>
      </c>
      <c r="C351" s="18" t="s">
        <v>1160</v>
      </c>
      <c r="D351" s="17" t="s">
        <v>1161</v>
      </c>
      <c r="E351" s="18" t="s">
        <v>471</v>
      </c>
      <c r="F351" s="19" t="s">
        <v>27</v>
      </c>
      <c r="G351" s="18" t="b">
        <v>0</v>
      </c>
      <c r="H351" s="18" t="b">
        <v>0</v>
      </c>
      <c r="I351" s="18" t="b">
        <v>0</v>
      </c>
      <c r="J351" s="18" t="b">
        <v>0</v>
      </c>
      <c r="K351" s="18" t="b">
        <v>0</v>
      </c>
      <c r="L351" s="18" t="b">
        <v>0</v>
      </c>
      <c r="M351" s="18" t="b">
        <v>0</v>
      </c>
      <c r="N351" s="18" t="b">
        <v>0</v>
      </c>
      <c r="O351" s="18" t="b">
        <v>0</v>
      </c>
      <c r="P351" s="18" t="b">
        <v>0</v>
      </c>
      <c r="Q351" s="18" t="b">
        <v>0</v>
      </c>
      <c r="R351" s="18" t="b">
        <v>1</v>
      </c>
    </row>
    <row r="352" spans="1:18" ht="18">
      <c r="A352" s="87" t="s">
        <v>1162</v>
      </c>
      <c r="B352" s="15" t="s">
        <v>1163</v>
      </c>
      <c r="C352" s="44" t="s">
        <v>1164</v>
      </c>
      <c r="D352" s="45" t="s">
        <v>1165</v>
      </c>
      <c r="E352" s="18" t="s">
        <v>52</v>
      </c>
      <c r="F352" s="19" t="s">
        <v>27</v>
      </c>
      <c r="G352" s="18" t="b">
        <v>0</v>
      </c>
      <c r="H352" s="18" t="b">
        <v>1</v>
      </c>
      <c r="I352" s="18" t="b">
        <v>1</v>
      </c>
      <c r="J352" s="18" t="b">
        <v>0</v>
      </c>
      <c r="K352" s="18" t="b">
        <v>0</v>
      </c>
      <c r="L352" s="18" t="b">
        <v>0</v>
      </c>
      <c r="M352" s="18" t="b">
        <v>0</v>
      </c>
      <c r="N352" s="18" t="b">
        <v>0</v>
      </c>
      <c r="O352" s="18" t="b">
        <v>0</v>
      </c>
      <c r="P352" s="18" t="b">
        <v>0</v>
      </c>
      <c r="Q352" s="18" t="b">
        <v>0</v>
      </c>
      <c r="R352" s="18" t="b">
        <v>0</v>
      </c>
    </row>
    <row r="353" spans="1:18" ht="18">
      <c r="A353" s="61" t="s">
        <v>1166</v>
      </c>
      <c r="B353" s="15" t="s">
        <v>1166</v>
      </c>
      <c r="C353" s="18" t="s">
        <v>1167</v>
      </c>
      <c r="D353" s="17" t="s">
        <v>1168</v>
      </c>
      <c r="E353" s="18" t="s">
        <v>471</v>
      </c>
      <c r="F353" s="19" t="s">
        <v>27</v>
      </c>
      <c r="G353" s="18" t="b">
        <v>0</v>
      </c>
      <c r="H353" s="18" t="b">
        <v>0</v>
      </c>
      <c r="I353" s="18" t="b">
        <v>0</v>
      </c>
      <c r="J353" s="18" t="b">
        <v>0</v>
      </c>
      <c r="K353" s="18" t="b">
        <v>0</v>
      </c>
      <c r="L353" s="18" t="b">
        <v>0</v>
      </c>
      <c r="M353" s="18" t="b">
        <v>0</v>
      </c>
      <c r="N353" s="18" t="b">
        <v>0</v>
      </c>
      <c r="O353" s="18" t="b">
        <v>0</v>
      </c>
      <c r="P353" s="18" t="b">
        <v>0</v>
      </c>
      <c r="Q353" s="18" t="b">
        <v>0</v>
      </c>
      <c r="R353" s="18" t="b">
        <v>1</v>
      </c>
    </row>
    <row r="354" spans="1:18" ht="18">
      <c r="A354" s="61" t="s">
        <v>1169</v>
      </c>
      <c r="B354" s="15" t="s">
        <v>1169</v>
      </c>
      <c r="C354" s="18" t="s">
        <v>1170</v>
      </c>
      <c r="D354" s="17" t="s">
        <v>1171</v>
      </c>
      <c r="E354" s="18" t="s">
        <v>471</v>
      </c>
      <c r="F354" s="19" t="s">
        <v>27</v>
      </c>
      <c r="G354" s="18" t="b">
        <v>0</v>
      </c>
      <c r="H354" s="18" t="b">
        <v>0</v>
      </c>
      <c r="I354" s="18" t="b">
        <v>0</v>
      </c>
      <c r="J354" s="18" t="b">
        <v>0</v>
      </c>
      <c r="K354" s="18" t="b">
        <v>0</v>
      </c>
      <c r="L354" s="18" t="b">
        <v>0</v>
      </c>
      <c r="M354" s="18" t="b">
        <v>0</v>
      </c>
      <c r="N354" s="18" t="b">
        <v>0</v>
      </c>
      <c r="O354" s="18" t="b">
        <v>0</v>
      </c>
      <c r="P354" s="18" t="b">
        <v>0</v>
      </c>
      <c r="Q354" s="18" t="b">
        <v>0</v>
      </c>
      <c r="R354" s="18" t="b">
        <v>1</v>
      </c>
    </row>
    <row r="355" spans="1:18" ht="18">
      <c r="A355" s="61" t="s">
        <v>1172</v>
      </c>
      <c r="B355" s="15" t="s">
        <v>1172</v>
      </c>
      <c r="C355" s="18" t="s">
        <v>1173</v>
      </c>
      <c r="D355" s="17" t="s">
        <v>1174</v>
      </c>
      <c r="E355" s="18" t="s">
        <v>471</v>
      </c>
      <c r="F355" s="19" t="s">
        <v>27</v>
      </c>
      <c r="G355" s="18" t="b">
        <v>0</v>
      </c>
      <c r="H355" s="18" t="b">
        <v>0</v>
      </c>
      <c r="I355" s="18" t="b">
        <v>0</v>
      </c>
      <c r="J355" s="18" t="b">
        <v>0</v>
      </c>
      <c r="K355" s="18" t="b">
        <v>0</v>
      </c>
      <c r="L355" s="18" t="b">
        <v>0</v>
      </c>
      <c r="M355" s="18" t="b">
        <v>0</v>
      </c>
      <c r="N355" s="18" t="b">
        <v>0</v>
      </c>
      <c r="O355" s="18" t="b">
        <v>0</v>
      </c>
      <c r="P355" s="18" t="b">
        <v>0</v>
      </c>
      <c r="Q355" s="18" t="b">
        <v>0</v>
      </c>
      <c r="R355" s="18" t="b">
        <v>1</v>
      </c>
    </row>
    <row r="356" spans="1:18" ht="18">
      <c r="A356" s="61" t="s">
        <v>1175</v>
      </c>
      <c r="B356" s="15" t="s">
        <v>1176</v>
      </c>
      <c r="C356" s="18" t="s">
        <v>1177</v>
      </c>
      <c r="D356" s="17" t="s">
        <v>1178</v>
      </c>
      <c r="E356" s="18" t="s">
        <v>471</v>
      </c>
      <c r="F356" s="19" t="s">
        <v>27</v>
      </c>
      <c r="G356" s="18" t="b">
        <v>0</v>
      </c>
      <c r="H356" s="18" t="b">
        <v>0</v>
      </c>
      <c r="I356" s="18" t="b">
        <v>0</v>
      </c>
      <c r="J356" s="18" t="b">
        <v>0</v>
      </c>
      <c r="K356" s="18" t="b">
        <v>0</v>
      </c>
      <c r="L356" s="18" t="b">
        <v>0</v>
      </c>
      <c r="M356" s="18" t="b">
        <v>0</v>
      </c>
      <c r="N356" s="18" t="b">
        <v>0</v>
      </c>
      <c r="O356" s="18" t="b">
        <v>0</v>
      </c>
      <c r="P356" s="18" t="b">
        <v>0</v>
      </c>
      <c r="Q356" s="18" t="b">
        <v>0</v>
      </c>
      <c r="R356" s="18" t="b">
        <v>1</v>
      </c>
    </row>
    <row r="357" spans="1:18" ht="18">
      <c r="A357" s="61" t="s">
        <v>1179</v>
      </c>
      <c r="B357" s="99" t="s">
        <v>1180</v>
      </c>
      <c r="C357" s="17" t="s">
        <v>1181</v>
      </c>
      <c r="D357" s="17" t="s">
        <v>1182</v>
      </c>
      <c r="E357" s="18" t="s">
        <v>140</v>
      </c>
      <c r="F357" s="19" t="s">
        <v>27</v>
      </c>
      <c r="G357" s="18" t="b">
        <v>1</v>
      </c>
      <c r="H357" s="18" t="b">
        <v>1</v>
      </c>
      <c r="I357" s="18" t="b">
        <v>0</v>
      </c>
      <c r="J357" s="18" t="b">
        <v>0</v>
      </c>
      <c r="K357" s="18" t="b">
        <v>0</v>
      </c>
      <c r="L357" s="18" t="b">
        <v>0</v>
      </c>
      <c r="M357" s="18" t="b">
        <v>0</v>
      </c>
      <c r="N357" s="18" t="b">
        <v>0</v>
      </c>
      <c r="O357" s="18" t="b">
        <v>0</v>
      </c>
      <c r="P357" s="18" t="b">
        <v>0</v>
      </c>
      <c r="Q357" s="18" t="b">
        <v>0</v>
      </c>
      <c r="R357" s="18" t="b">
        <v>0</v>
      </c>
    </row>
    <row r="358" spans="1:18" ht="15" hidden="1">
      <c r="A358" s="90" t="s">
        <v>1183</v>
      </c>
      <c r="B358" s="15"/>
      <c r="C358" s="90" t="s">
        <v>1184</v>
      </c>
      <c r="D358" s="90" t="s">
        <v>1185</v>
      </c>
      <c r="E358" s="16" t="s">
        <v>86</v>
      </c>
      <c r="F358" s="33" t="s">
        <v>38</v>
      </c>
      <c r="G358" s="16" t="b">
        <v>0</v>
      </c>
      <c r="H358" s="16" t="b">
        <v>0</v>
      </c>
      <c r="I358" s="16" t="b">
        <v>1</v>
      </c>
      <c r="J358" s="16" t="b">
        <v>0</v>
      </c>
      <c r="K358" s="16" t="b">
        <v>0</v>
      </c>
      <c r="L358" s="16" t="b">
        <v>0</v>
      </c>
      <c r="M358" s="16" t="b">
        <v>0</v>
      </c>
      <c r="N358" s="16" t="b">
        <v>0</v>
      </c>
      <c r="O358" s="16" t="b">
        <v>0</v>
      </c>
      <c r="P358" s="16" t="b">
        <v>0</v>
      </c>
      <c r="Q358" s="16" t="b">
        <v>0</v>
      </c>
      <c r="R358" s="16" t="b">
        <v>0</v>
      </c>
    </row>
    <row r="359" spans="1:18" ht="15" hidden="1">
      <c r="A359" s="17" t="s">
        <v>1187</v>
      </c>
      <c r="B359" s="15"/>
      <c r="C359" s="18" t="s">
        <v>1188</v>
      </c>
      <c r="D359" s="18" t="s">
        <v>1189</v>
      </c>
      <c r="E359" s="16" t="s">
        <v>60</v>
      </c>
      <c r="F359" s="19" t="s">
        <v>38</v>
      </c>
      <c r="G359" s="18" t="b">
        <v>0</v>
      </c>
      <c r="H359" s="18" t="b">
        <v>0</v>
      </c>
      <c r="I359" s="18" t="b">
        <v>0</v>
      </c>
      <c r="J359" s="18" t="b">
        <v>0</v>
      </c>
      <c r="K359" s="18" t="b">
        <v>0</v>
      </c>
      <c r="L359" s="18" t="b">
        <v>0</v>
      </c>
      <c r="M359" s="18" t="b">
        <v>1</v>
      </c>
      <c r="N359" s="18" t="b">
        <v>0</v>
      </c>
      <c r="O359" s="18" t="b">
        <v>0</v>
      </c>
      <c r="P359" s="18" t="b">
        <v>0</v>
      </c>
      <c r="Q359" s="18" t="b">
        <v>0</v>
      </c>
      <c r="R359" s="18" t="b">
        <v>0</v>
      </c>
    </row>
    <row r="360" spans="1:18" ht="18">
      <c r="A360" s="61" t="s">
        <v>1190</v>
      </c>
      <c r="B360" s="15" t="s">
        <v>1190</v>
      </c>
      <c r="C360" s="44" t="s">
        <v>1191</v>
      </c>
      <c r="D360" s="45" t="s">
        <v>1192</v>
      </c>
      <c r="E360" s="18" t="s">
        <v>471</v>
      </c>
      <c r="F360" s="19" t="s">
        <v>27</v>
      </c>
      <c r="G360" s="18" t="b">
        <v>0</v>
      </c>
      <c r="H360" s="18" t="b">
        <v>0</v>
      </c>
      <c r="I360" s="18" t="b">
        <v>0</v>
      </c>
      <c r="J360" s="18" t="b">
        <v>0</v>
      </c>
      <c r="K360" s="18" t="b">
        <v>0</v>
      </c>
      <c r="L360" s="18" t="b">
        <v>0</v>
      </c>
      <c r="M360" s="18" t="b">
        <v>0</v>
      </c>
      <c r="N360" s="18" t="b">
        <v>0</v>
      </c>
      <c r="O360" s="18" t="b">
        <v>0</v>
      </c>
      <c r="P360" s="18" t="b">
        <v>0</v>
      </c>
      <c r="Q360" s="18" t="b">
        <v>0</v>
      </c>
      <c r="R360" s="18" t="b">
        <v>1</v>
      </c>
    </row>
    <row r="361" spans="1:18" ht="15" hidden="1">
      <c r="A361" s="16" t="s">
        <v>1193</v>
      </c>
      <c r="B361" s="15"/>
      <c r="C361" s="16" t="s">
        <v>1194</v>
      </c>
      <c r="D361" s="16" t="s">
        <v>1195</v>
      </c>
      <c r="E361" s="16" t="s">
        <v>178</v>
      </c>
      <c r="F361" s="33" t="s">
        <v>38</v>
      </c>
      <c r="G361" s="16" t="b">
        <v>0</v>
      </c>
      <c r="H361" s="16" t="b">
        <v>0</v>
      </c>
      <c r="I361" s="16" t="b">
        <v>0</v>
      </c>
      <c r="J361" s="16" t="b">
        <v>0</v>
      </c>
      <c r="K361" s="16" t="b">
        <v>0</v>
      </c>
      <c r="L361" s="16" t="b">
        <v>0</v>
      </c>
      <c r="M361" s="16" t="b">
        <v>0</v>
      </c>
      <c r="N361" s="16" t="b">
        <v>1</v>
      </c>
      <c r="O361" s="16" t="b">
        <v>0</v>
      </c>
      <c r="P361" s="16" t="b">
        <v>0</v>
      </c>
      <c r="Q361" s="16" t="b">
        <v>0</v>
      </c>
      <c r="R361" s="16" t="b">
        <v>0</v>
      </c>
    </row>
    <row r="362" spans="1:18" ht="15" hidden="1">
      <c r="A362" s="18" t="s">
        <v>1196</v>
      </c>
      <c r="B362" s="18"/>
      <c r="C362" s="18" t="s">
        <v>1197</v>
      </c>
      <c r="D362" s="18" t="s">
        <v>1198</v>
      </c>
      <c r="E362" s="18" t="s">
        <v>86</v>
      </c>
      <c r="F362" s="19" t="s">
        <v>38</v>
      </c>
      <c r="G362" s="18" t="b">
        <v>0</v>
      </c>
      <c r="H362" s="18" t="b">
        <v>0</v>
      </c>
      <c r="I362" s="18" t="b">
        <v>1</v>
      </c>
      <c r="J362" s="18" t="b">
        <v>0</v>
      </c>
      <c r="K362" s="18" t="b">
        <v>1</v>
      </c>
      <c r="L362" s="18" t="b">
        <v>0</v>
      </c>
      <c r="M362" s="18" t="b">
        <v>0</v>
      </c>
      <c r="N362" s="18" t="b">
        <v>0</v>
      </c>
      <c r="O362" s="18" t="b">
        <v>0</v>
      </c>
      <c r="P362" s="18" t="b">
        <v>0</v>
      </c>
      <c r="Q362" s="18" t="b">
        <v>0</v>
      </c>
      <c r="R362" s="18" t="b">
        <v>0</v>
      </c>
    </row>
    <row r="363" spans="1:18" ht="15" hidden="1">
      <c r="A363" s="18" t="s">
        <v>1199</v>
      </c>
      <c r="B363" s="15" t="s">
        <v>1199</v>
      </c>
      <c r="C363" s="18" t="s">
        <v>1200</v>
      </c>
      <c r="D363" s="48" t="s">
        <v>1201</v>
      </c>
      <c r="E363" s="18" t="s">
        <v>26</v>
      </c>
      <c r="F363" s="19" t="s">
        <v>34</v>
      </c>
      <c r="G363" s="18" t="b">
        <v>0</v>
      </c>
      <c r="H363" s="18" t="b">
        <v>0</v>
      </c>
      <c r="I363" s="18" t="b">
        <v>1</v>
      </c>
      <c r="J363" s="18" t="b">
        <v>0</v>
      </c>
      <c r="K363" s="18" t="b">
        <v>0</v>
      </c>
      <c r="L363" s="18" t="b">
        <v>0</v>
      </c>
      <c r="M363" s="18" t="b">
        <v>0</v>
      </c>
      <c r="N363" s="18" t="b">
        <v>0</v>
      </c>
      <c r="O363" s="18" t="b">
        <v>0</v>
      </c>
      <c r="P363" s="18" t="b">
        <v>0</v>
      </c>
      <c r="Q363" s="18" t="b">
        <v>1</v>
      </c>
      <c r="R363" s="18" t="b">
        <v>0</v>
      </c>
    </row>
    <row r="364" spans="1:18" ht="18" hidden="1">
      <c r="A364" s="134" t="s">
        <v>1202</v>
      </c>
      <c r="B364" s="15" t="s">
        <v>1202</v>
      </c>
      <c r="C364" s="18" t="s">
        <v>1203</v>
      </c>
      <c r="D364" s="17" t="s">
        <v>1204</v>
      </c>
      <c r="E364" s="18" t="s">
        <v>471</v>
      </c>
      <c r="F364" s="19" t="s">
        <v>38</v>
      </c>
      <c r="G364" s="18" t="b">
        <v>0</v>
      </c>
      <c r="H364" s="18" t="b">
        <v>0</v>
      </c>
      <c r="I364" s="18" t="b">
        <v>0</v>
      </c>
      <c r="J364" s="18" t="b">
        <v>0</v>
      </c>
      <c r="K364" s="18" t="b">
        <v>0</v>
      </c>
      <c r="L364" s="18" t="b">
        <v>0</v>
      </c>
      <c r="M364" s="18" t="b">
        <v>0</v>
      </c>
      <c r="N364" s="18" t="b">
        <v>0</v>
      </c>
      <c r="O364" s="18" t="b">
        <v>0</v>
      </c>
      <c r="P364" s="18" t="b">
        <v>0</v>
      </c>
      <c r="Q364" s="18" t="b">
        <v>0</v>
      </c>
      <c r="R364" s="18" t="b">
        <v>1</v>
      </c>
    </row>
    <row r="365" spans="1:18" ht="18">
      <c r="A365" s="61" t="s">
        <v>1205</v>
      </c>
      <c r="B365" s="51" t="s">
        <v>1206</v>
      </c>
      <c r="C365" s="17" t="s">
        <v>1207</v>
      </c>
      <c r="D365" s="17" t="s">
        <v>1208</v>
      </c>
      <c r="E365" s="18" t="s">
        <v>52</v>
      </c>
      <c r="F365" s="19" t="s">
        <v>27</v>
      </c>
      <c r="G365" s="18" t="b">
        <v>0</v>
      </c>
      <c r="H365" s="18" t="b">
        <v>0</v>
      </c>
      <c r="I365" s="18" t="b">
        <v>0</v>
      </c>
      <c r="J365" s="135" t="b">
        <v>1</v>
      </c>
      <c r="K365" s="18" t="b">
        <v>0</v>
      </c>
      <c r="L365" s="18" t="b">
        <v>0</v>
      </c>
      <c r="M365" s="18" t="b">
        <v>0</v>
      </c>
      <c r="N365" s="18" t="b">
        <v>0</v>
      </c>
      <c r="O365" s="18" t="b">
        <v>0</v>
      </c>
      <c r="P365" s="18" t="b">
        <v>0</v>
      </c>
      <c r="Q365" s="18" t="b">
        <v>0</v>
      </c>
      <c r="R365" s="18" t="b">
        <v>0</v>
      </c>
    </row>
    <row r="366" spans="1:18" ht="18">
      <c r="A366" s="61" t="s">
        <v>1209</v>
      </c>
      <c r="B366" s="15" t="s">
        <v>1209</v>
      </c>
      <c r="C366" s="18" t="s">
        <v>1210</v>
      </c>
      <c r="D366" s="17" t="s">
        <v>1211</v>
      </c>
      <c r="E366" s="18" t="s">
        <v>471</v>
      </c>
      <c r="F366" s="19" t="s">
        <v>27</v>
      </c>
      <c r="G366" s="18" t="b">
        <v>0</v>
      </c>
      <c r="H366" s="18" t="b">
        <v>0</v>
      </c>
      <c r="I366" s="18" t="b">
        <v>0</v>
      </c>
      <c r="J366" s="18" t="b">
        <v>0</v>
      </c>
      <c r="K366" s="18" t="b">
        <v>0</v>
      </c>
      <c r="L366" s="18" t="b">
        <v>0</v>
      </c>
      <c r="M366" s="18" t="b">
        <v>0</v>
      </c>
      <c r="N366" s="18" t="b">
        <v>0</v>
      </c>
      <c r="O366" s="18" t="b">
        <v>0</v>
      </c>
      <c r="P366" s="18" t="b">
        <v>0</v>
      </c>
      <c r="Q366" s="18" t="b">
        <v>0</v>
      </c>
      <c r="R366" s="18" t="b">
        <v>1</v>
      </c>
    </row>
    <row r="367" spans="1:18" ht="18">
      <c r="A367" s="61" t="s">
        <v>1212</v>
      </c>
      <c r="B367" s="81" t="s">
        <v>1213</v>
      </c>
      <c r="C367" s="18" t="s">
        <v>1214</v>
      </c>
      <c r="D367" s="17" t="s">
        <v>1215</v>
      </c>
      <c r="E367" s="18" t="s">
        <v>52</v>
      </c>
      <c r="F367" s="19" t="s">
        <v>27</v>
      </c>
      <c r="G367" s="18" t="b">
        <v>0</v>
      </c>
      <c r="H367" s="18" t="b">
        <v>0</v>
      </c>
      <c r="I367" s="18" t="b">
        <v>1</v>
      </c>
      <c r="J367" s="18" t="b">
        <v>0</v>
      </c>
      <c r="K367" s="18" t="b">
        <v>0</v>
      </c>
      <c r="L367" s="18" t="b">
        <v>0</v>
      </c>
      <c r="M367" s="18" t="b">
        <v>0</v>
      </c>
      <c r="N367" s="18" t="b">
        <v>0</v>
      </c>
      <c r="O367" s="18" t="b">
        <v>0</v>
      </c>
      <c r="P367" s="18" t="b">
        <v>0</v>
      </c>
      <c r="Q367" s="18" t="b">
        <v>0</v>
      </c>
      <c r="R367" s="18" t="b">
        <v>0</v>
      </c>
    </row>
    <row r="368" spans="1:18" ht="18">
      <c r="A368" s="61" t="s">
        <v>1216</v>
      </c>
      <c r="B368" s="15" t="s">
        <v>1216</v>
      </c>
      <c r="C368" s="18" t="s">
        <v>1217</v>
      </c>
      <c r="D368" s="17" t="s">
        <v>1218</v>
      </c>
      <c r="E368" s="16" t="s">
        <v>60</v>
      </c>
      <c r="F368" s="19" t="s">
        <v>27</v>
      </c>
      <c r="G368" s="18" t="b">
        <v>0</v>
      </c>
      <c r="H368" s="18" t="b">
        <v>0</v>
      </c>
      <c r="I368" s="18" t="b">
        <v>0</v>
      </c>
      <c r="J368" s="18" t="b">
        <v>1</v>
      </c>
      <c r="K368" s="18" t="b">
        <v>0</v>
      </c>
      <c r="L368" s="18" t="b">
        <v>0</v>
      </c>
      <c r="M368" s="18" t="b">
        <v>1</v>
      </c>
      <c r="N368" s="18" t="b">
        <v>0</v>
      </c>
      <c r="O368" s="18" t="b">
        <v>0</v>
      </c>
      <c r="P368" s="18" t="b">
        <v>0</v>
      </c>
      <c r="Q368" s="18" t="b">
        <v>0</v>
      </c>
      <c r="R368" s="18" t="b">
        <v>0</v>
      </c>
    </row>
    <row r="369" spans="1:18" ht="18">
      <c r="A369" s="61" t="s">
        <v>1219</v>
      </c>
      <c r="B369" s="15" t="s">
        <v>1219</v>
      </c>
      <c r="C369" s="46" t="s">
        <v>1220</v>
      </c>
      <c r="D369" s="17" t="s">
        <v>1221</v>
      </c>
      <c r="E369" s="18" t="s">
        <v>178</v>
      </c>
      <c r="F369" s="19" t="s">
        <v>27</v>
      </c>
      <c r="G369" s="18" t="b">
        <v>0</v>
      </c>
      <c r="H369" s="18" t="b">
        <v>0</v>
      </c>
      <c r="I369" s="18" t="b">
        <v>0</v>
      </c>
      <c r="J369" s="18" t="b">
        <v>0</v>
      </c>
      <c r="K369" s="18" t="b">
        <v>0</v>
      </c>
      <c r="L369" s="18" t="b">
        <v>0</v>
      </c>
      <c r="M369" s="18" t="b">
        <v>0</v>
      </c>
      <c r="N369" s="18" t="b">
        <v>1</v>
      </c>
      <c r="O369" s="18" t="b">
        <v>0</v>
      </c>
      <c r="P369" s="18" t="b">
        <v>0</v>
      </c>
      <c r="Q369" s="18" t="b">
        <v>0</v>
      </c>
      <c r="R369" s="18" t="b">
        <v>0</v>
      </c>
    </row>
    <row r="370" spans="1:18" ht="18">
      <c r="A370" s="87" t="s">
        <v>1222</v>
      </c>
      <c r="B370" s="15" t="s">
        <v>1222</v>
      </c>
      <c r="C370" s="73" t="s">
        <v>1223</v>
      </c>
      <c r="D370" s="46" t="s">
        <v>1224</v>
      </c>
      <c r="E370" s="18" t="s">
        <v>33</v>
      </c>
      <c r="F370" s="19" t="s">
        <v>27</v>
      </c>
      <c r="G370" s="18" t="b">
        <v>0</v>
      </c>
      <c r="H370" s="18" t="b">
        <v>0</v>
      </c>
      <c r="I370" s="18" t="b">
        <v>0</v>
      </c>
      <c r="J370" s="18" t="b">
        <v>0</v>
      </c>
      <c r="K370" s="18" t="b">
        <v>0</v>
      </c>
      <c r="L370" s="18" t="b">
        <v>0</v>
      </c>
      <c r="M370" s="18" t="b">
        <v>0</v>
      </c>
      <c r="N370" s="18" t="b">
        <v>0</v>
      </c>
      <c r="O370" s="18" t="b">
        <v>0</v>
      </c>
      <c r="P370" s="18" t="b">
        <v>0</v>
      </c>
      <c r="Q370" s="18" t="b">
        <v>0</v>
      </c>
      <c r="R370" s="18" t="b">
        <v>1</v>
      </c>
    </row>
    <row r="371" spans="1:18" ht="18">
      <c r="A371" s="61" t="s">
        <v>1225</v>
      </c>
      <c r="B371" s="15" t="s">
        <v>1225</v>
      </c>
      <c r="C371" s="18" t="s">
        <v>1226</v>
      </c>
      <c r="D371" s="17" t="s">
        <v>1227</v>
      </c>
      <c r="E371" s="18" t="s">
        <v>140</v>
      </c>
      <c r="F371" s="19" t="s">
        <v>27</v>
      </c>
      <c r="G371" s="18" t="b">
        <v>0</v>
      </c>
      <c r="H371" s="18" t="b">
        <v>1</v>
      </c>
      <c r="I371" s="18" t="b">
        <v>0</v>
      </c>
      <c r="J371" s="18" t="b">
        <v>0</v>
      </c>
      <c r="K371" s="18" t="b">
        <v>0</v>
      </c>
      <c r="L371" s="18" t="b">
        <v>0</v>
      </c>
      <c r="M371" s="18" t="b">
        <v>0</v>
      </c>
      <c r="N371" s="18" t="b">
        <v>0</v>
      </c>
      <c r="O371" s="18" t="b">
        <v>0</v>
      </c>
      <c r="P371" s="18" t="b">
        <v>1</v>
      </c>
      <c r="Q371" s="18" t="b">
        <v>0</v>
      </c>
      <c r="R371" s="18" t="b">
        <v>0</v>
      </c>
    </row>
    <row r="372" spans="1:18" ht="18">
      <c r="A372" s="61" t="s">
        <v>1228</v>
      </c>
      <c r="B372" s="15"/>
      <c r="C372" s="18" t="s">
        <v>1229</v>
      </c>
      <c r="D372" s="17" t="s">
        <v>1230</v>
      </c>
      <c r="E372" s="18" t="s">
        <v>471</v>
      </c>
      <c r="F372" s="19" t="s">
        <v>27</v>
      </c>
      <c r="G372" s="18" t="b">
        <v>0</v>
      </c>
      <c r="H372" s="18" t="b">
        <v>0</v>
      </c>
      <c r="I372" s="18" t="b">
        <v>0</v>
      </c>
      <c r="J372" s="18" t="b">
        <v>0</v>
      </c>
      <c r="K372" s="18" t="b">
        <v>0</v>
      </c>
      <c r="L372" s="18" t="b">
        <v>0</v>
      </c>
      <c r="M372" s="18" t="b">
        <v>0</v>
      </c>
      <c r="N372" s="18" t="b">
        <v>0</v>
      </c>
      <c r="O372" s="18" t="b">
        <v>0</v>
      </c>
      <c r="P372" s="18" t="b">
        <v>0</v>
      </c>
      <c r="Q372" s="18" t="b">
        <v>0</v>
      </c>
      <c r="R372" s="18" t="b">
        <v>1</v>
      </c>
    </row>
    <row r="373" spans="1:18" ht="18">
      <c r="A373" s="61" t="s">
        <v>1231</v>
      </c>
      <c r="B373" s="15" t="s">
        <v>1231</v>
      </c>
      <c r="C373" s="18" t="s">
        <v>1232</v>
      </c>
      <c r="D373" s="17" t="s">
        <v>1233</v>
      </c>
      <c r="E373" s="18" t="s">
        <v>154</v>
      </c>
      <c r="F373" s="19" t="s">
        <v>27</v>
      </c>
      <c r="G373" s="18" t="b">
        <v>0</v>
      </c>
      <c r="H373" s="18" t="b">
        <v>0</v>
      </c>
      <c r="I373" s="18" t="b">
        <v>1</v>
      </c>
      <c r="J373" s="18" t="b">
        <v>0</v>
      </c>
      <c r="K373" s="18" t="b">
        <v>0</v>
      </c>
      <c r="L373" s="18" t="b">
        <v>0</v>
      </c>
      <c r="M373" s="18" t="b">
        <v>0</v>
      </c>
      <c r="N373" s="18" t="b">
        <v>0</v>
      </c>
      <c r="O373" s="18" t="b">
        <v>0</v>
      </c>
      <c r="P373" s="18" t="b">
        <v>0</v>
      </c>
      <c r="Q373" s="18" t="b">
        <v>0</v>
      </c>
      <c r="R373" s="18" t="b">
        <v>0</v>
      </c>
    </row>
    <row r="374" spans="1:18" ht="18" hidden="1">
      <c r="A374" s="61" t="s">
        <v>1234</v>
      </c>
      <c r="B374" s="51" t="s">
        <v>1234</v>
      </c>
      <c r="C374" s="17" t="s">
        <v>1235</v>
      </c>
      <c r="D374" s="17" t="s">
        <v>1236</v>
      </c>
      <c r="E374" s="18" t="s">
        <v>178</v>
      </c>
      <c r="F374" s="19" t="s">
        <v>38</v>
      </c>
      <c r="G374" s="18" t="b">
        <v>0</v>
      </c>
      <c r="H374" s="18" t="b">
        <v>0</v>
      </c>
      <c r="I374" s="18" t="b">
        <v>0</v>
      </c>
      <c r="J374" s="18" t="b">
        <v>0</v>
      </c>
      <c r="K374" s="18" t="b">
        <v>0</v>
      </c>
      <c r="L374" s="18" t="b">
        <v>0</v>
      </c>
      <c r="M374" s="18" t="b">
        <v>0</v>
      </c>
      <c r="N374" s="18" t="b">
        <v>1</v>
      </c>
      <c r="O374" s="18" t="b">
        <v>0</v>
      </c>
      <c r="P374" s="18" t="b">
        <v>0</v>
      </c>
      <c r="Q374" s="18" t="b">
        <v>0</v>
      </c>
      <c r="R374" s="18" t="b">
        <v>0</v>
      </c>
    </row>
    <row r="375" spans="1:18" ht="18">
      <c r="A375" s="61" t="s">
        <v>1237</v>
      </c>
      <c r="B375" s="15" t="s">
        <v>1237</v>
      </c>
      <c r="C375" s="18" t="s">
        <v>1238</v>
      </c>
      <c r="D375" s="17" t="s">
        <v>1239</v>
      </c>
      <c r="E375" s="18" t="s">
        <v>471</v>
      </c>
      <c r="F375" s="19" t="s">
        <v>27</v>
      </c>
      <c r="G375" s="18" t="b">
        <v>0</v>
      </c>
      <c r="H375" s="18" t="b">
        <v>0</v>
      </c>
      <c r="I375" s="18" t="b">
        <v>0</v>
      </c>
      <c r="J375" s="18" t="b">
        <v>0</v>
      </c>
      <c r="K375" s="18" t="b">
        <v>0</v>
      </c>
      <c r="L375" s="18" t="b">
        <v>0</v>
      </c>
      <c r="M375" s="18" t="b">
        <v>1</v>
      </c>
      <c r="N375" s="18" t="b">
        <v>0</v>
      </c>
      <c r="O375" s="18" t="b">
        <v>0</v>
      </c>
      <c r="P375" s="18" t="b">
        <v>0</v>
      </c>
      <c r="Q375" s="18" t="b">
        <v>0</v>
      </c>
      <c r="R375" s="18" t="b">
        <v>1</v>
      </c>
    </row>
    <row r="376" spans="1:18" ht="18">
      <c r="A376" s="61" t="s">
        <v>1240</v>
      </c>
      <c r="B376" s="15" t="s">
        <v>1240</v>
      </c>
      <c r="C376" s="18" t="s">
        <v>1241</v>
      </c>
      <c r="D376" s="17" t="s">
        <v>1242</v>
      </c>
      <c r="E376" s="18" t="s">
        <v>471</v>
      </c>
      <c r="F376" s="19" t="s">
        <v>27</v>
      </c>
      <c r="G376" s="18" t="b">
        <v>0</v>
      </c>
      <c r="H376" s="18" t="b">
        <v>0</v>
      </c>
      <c r="I376" s="18" t="b">
        <v>0</v>
      </c>
      <c r="J376" s="18" t="b">
        <v>0</v>
      </c>
      <c r="K376" s="18" t="b">
        <v>0</v>
      </c>
      <c r="L376" s="18" t="b">
        <v>0</v>
      </c>
      <c r="M376" s="18" t="b">
        <v>0</v>
      </c>
      <c r="N376" s="18" t="b">
        <v>0</v>
      </c>
      <c r="O376" s="18" t="b">
        <v>0</v>
      </c>
      <c r="P376" s="18" t="b">
        <v>0</v>
      </c>
      <c r="Q376" s="18" t="b">
        <v>0</v>
      </c>
      <c r="R376" s="18" t="b">
        <v>1</v>
      </c>
    </row>
    <row r="377" spans="1:18" ht="18">
      <c r="A377" s="61" t="s">
        <v>1243</v>
      </c>
      <c r="B377" s="92" t="s">
        <v>1244</v>
      </c>
      <c r="C377" s="18" t="s">
        <v>1245</v>
      </c>
      <c r="D377" s="17" t="s">
        <v>1246</v>
      </c>
      <c r="E377" s="18" t="s">
        <v>154</v>
      </c>
      <c r="F377" s="19" t="s">
        <v>27</v>
      </c>
      <c r="G377" s="18" t="b">
        <v>0</v>
      </c>
      <c r="H377" s="18" t="b">
        <v>0</v>
      </c>
      <c r="I377" s="18" t="b">
        <v>1</v>
      </c>
      <c r="J377" s="18" t="b">
        <v>0</v>
      </c>
      <c r="K377" s="18" t="b">
        <v>0</v>
      </c>
      <c r="L377" s="18" t="b">
        <v>0</v>
      </c>
      <c r="M377" s="18" t="b">
        <v>0</v>
      </c>
      <c r="N377" s="18" t="b">
        <v>0</v>
      </c>
      <c r="O377" s="18" t="b">
        <v>0</v>
      </c>
      <c r="P377" s="18" t="b">
        <v>0</v>
      </c>
      <c r="Q377" s="18" t="b">
        <v>0</v>
      </c>
      <c r="R377" s="18" t="b">
        <v>0</v>
      </c>
    </row>
    <row r="378" spans="1:18" ht="18">
      <c r="A378" s="61" t="s">
        <v>1248</v>
      </c>
      <c r="B378" s="15" t="s">
        <v>1248</v>
      </c>
      <c r="C378" s="44" t="s">
        <v>1249</v>
      </c>
      <c r="D378" s="45" t="s">
        <v>1250</v>
      </c>
      <c r="E378" s="18" t="s">
        <v>471</v>
      </c>
      <c r="F378" s="19" t="s">
        <v>27</v>
      </c>
      <c r="G378" s="18" t="b">
        <v>0</v>
      </c>
      <c r="H378" s="18" t="b">
        <v>0</v>
      </c>
      <c r="I378" s="18" t="b">
        <v>0</v>
      </c>
      <c r="J378" s="18" t="b">
        <v>0</v>
      </c>
      <c r="K378" s="18" t="b">
        <v>0</v>
      </c>
      <c r="L378" s="18" t="b">
        <v>0</v>
      </c>
      <c r="M378" s="18" t="b">
        <v>0</v>
      </c>
      <c r="N378" s="18" t="b">
        <v>0</v>
      </c>
      <c r="O378" s="18" t="b">
        <v>0</v>
      </c>
      <c r="P378" s="18" t="b">
        <v>0</v>
      </c>
      <c r="Q378" s="18" t="b">
        <v>0</v>
      </c>
      <c r="R378" s="18" t="b">
        <v>1</v>
      </c>
    </row>
    <row r="379" spans="1:18" ht="18">
      <c r="A379" s="61" t="s">
        <v>1251</v>
      </c>
      <c r="B379" s="15" t="s">
        <v>1251</v>
      </c>
      <c r="C379" s="18" t="s">
        <v>1252</v>
      </c>
      <c r="D379" s="17" t="s">
        <v>1253</v>
      </c>
      <c r="E379" s="18" t="s">
        <v>471</v>
      </c>
      <c r="F379" s="19" t="s">
        <v>27</v>
      </c>
      <c r="G379" s="18" t="b">
        <v>0</v>
      </c>
      <c r="H379" s="18" t="b">
        <v>0</v>
      </c>
      <c r="I379" s="18" t="b">
        <v>0</v>
      </c>
      <c r="J379" s="18" t="b">
        <v>0</v>
      </c>
      <c r="K379" s="18" t="b">
        <v>0</v>
      </c>
      <c r="L379" s="18" t="b">
        <v>0</v>
      </c>
      <c r="M379" s="18" t="b">
        <v>0</v>
      </c>
      <c r="N379" s="18" t="b">
        <v>0</v>
      </c>
      <c r="O379" s="18" t="b">
        <v>0</v>
      </c>
      <c r="P379" s="18" t="b">
        <v>0</v>
      </c>
      <c r="Q379" s="18" t="b">
        <v>0</v>
      </c>
      <c r="R379" s="18" t="b">
        <v>1</v>
      </c>
    </row>
    <row r="380" spans="1:18" ht="18">
      <c r="A380" s="61" t="s">
        <v>1254</v>
      </c>
      <c r="B380" s="81" t="s">
        <v>1254</v>
      </c>
      <c r="C380" s="18" t="s">
        <v>1255</v>
      </c>
      <c r="D380" s="68" t="s">
        <v>1256</v>
      </c>
      <c r="E380" s="18" t="s">
        <v>192</v>
      </c>
      <c r="F380" s="19" t="s">
        <v>27</v>
      </c>
      <c r="G380" s="18" t="b">
        <v>0</v>
      </c>
      <c r="H380" s="18" t="b">
        <v>0</v>
      </c>
      <c r="I380" s="18" t="b">
        <v>0</v>
      </c>
      <c r="J380" s="18" t="b">
        <v>0</v>
      </c>
      <c r="K380" s="18" t="b">
        <v>0</v>
      </c>
      <c r="L380" s="18" t="b">
        <v>0</v>
      </c>
      <c r="M380" s="18" t="b">
        <v>0</v>
      </c>
      <c r="N380" s="18" t="b">
        <v>0</v>
      </c>
      <c r="O380" s="18" t="b">
        <v>0</v>
      </c>
      <c r="P380" s="18" t="b">
        <v>1</v>
      </c>
      <c r="Q380" s="18" t="b">
        <v>1</v>
      </c>
      <c r="R380" s="18" t="b">
        <v>0</v>
      </c>
    </row>
    <row r="381" spans="1:18" ht="18" hidden="1">
      <c r="A381" s="61" t="s">
        <v>1257</v>
      </c>
      <c r="B381" s="15" t="s">
        <v>1257</v>
      </c>
      <c r="C381" s="18" t="s">
        <v>1258</v>
      </c>
      <c r="D381" s="17" t="s">
        <v>1259</v>
      </c>
      <c r="E381" s="18" t="s">
        <v>471</v>
      </c>
      <c r="F381" s="19" t="s">
        <v>38</v>
      </c>
      <c r="G381" s="18" t="b">
        <v>0</v>
      </c>
      <c r="H381" s="18" t="b">
        <v>0</v>
      </c>
      <c r="I381" s="18" t="b">
        <v>0</v>
      </c>
      <c r="J381" s="18" t="b">
        <v>0</v>
      </c>
      <c r="K381" s="18" t="b">
        <v>0</v>
      </c>
      <c r="L381" s="18" t="b">
        <v>0</v>
      </c>
      <c r="M381" s="18" t="b">
        <v>0</v>
      </c>
      <c r="N381" s="18" t="b">
        <v>0</v>
      </c>
      <c r="O381" s="18" t="b">
        <v>0</v>
      </c>
      <c r="P381" s="18" t="b">
        <v>0</v>
      </c>
      <c r="Q381" s="18" t="b">
        <v>0</v>
      </c>
      <c r="R381" s="18" t="b">
        <v>1</v>
      </c>
    </row>
    <row r="382" spans="1:18" ht="15" hidden="1">
      <c r="A382" s="76" t="s">
        <v>1260</v>
      </c>
      <c r="B382" s="15"/>
      <c r="C382" s="16" t="s">
        <v>1261</v>
      </c>
      <c r="D382" s="16" t="s">
        <v>1262</v>
      </c>
      <c r="E382" s="16" t="s">
        <v>86</v>
      </c>
      <c r="F382" s="33" t="s">
        <v>38</v>
      </c>
      <c r="G382" s="16" t="b">
        <v>0</v>
      </c>
      <c r="H382" s="16" t="b">
        <v>0</v>
      </c>
      <c r="I382" s="16" t="b">
        <v>1</v>
      </c>
      <c r="J382" s="16" t="b">
        <v>0</v>
      </c>
      <c r="K382" s="16" t="b">
        <v>0</v>
      </c>
      <c r="L382" s="16" t="b">
        <v>0</v>
      </c>
      <c r="M382" s="16" t="b">
        <v>0</v>
      </c>
      <c r="N382" s="16" t="b">
        <v>0</v>
      </c>
      <c r="O382" s="16" t="b">
        <v>0</v>
      </c>
      <c r="P382" s="16" t="b">
        <v>0</v>
      </c>
      <c r="Q382" s="16" t="b">
        <v>0</v>
      </c>
      <c r="R382" s="16" t="b">
        <v>0</v>
      </c>
    </row>
    <row r="383" spans="1:18" ht="18">
      <c r="A383" s="61" t="s">
        <v>1263</v>
      </c>
      <c r="B383" s="15"/>
      <c r="C383" s="17" t="s">
        <v>1264</v>
      </c>
      <c r="D383" s="17" t="s">
        <v>1265</v>
      </c>
      <c r="E383" s="18" t="s">
        <v>154</v>
      </c>
      <c r="F383" s="19" t="s">
        <v>27</v>
      </c>
      <c r="G383" s="18" t="b">
        <v>0</v>
      </c>
      <c r="H383" s="18" t="b">
        <v>0</v>
      </c>
      <c r="I383" s="18" t="b">
        <v>1</v>
      </c>
      <c r="J383" s="18" t="b">
        <v>0</v>
      </c>
      <c r="K383" s="18" t="b">
        <v>1</v>
      </c>
      <c r="L383" s="18" t="b">
        <v>0</v>
      </c>
      <c r="M383" s="18" t="b">
        <v>0</v>
      </c>
      <c r="N383" s="18" t="b">
        <v>0</v>
      </c>
      <c r="O383" s="18" t="b">
        <v>0</v>
      </c>
      <c r="P383" s="18" t="b">
        <v>0</v>
      </c>
      <c r="Q383" s="18" t="b">
        <v>0</v>
      </c>
      <c r="R383" s="18" t="b">
        <v>0</v>
      </c>
    </row>
    <row r="384" spans="1:18" ht="18" hidden="1">
      <c r="A384" s="61" t="s">
        <v>1266</v>
      </c>
      <c r="B384" s="15" t="s">
        <v>1266</v>
      </c>
      <c r="C384" s="18" t="s">
        <v>1267</v>
      </c>
      <c r="D384" s="17" t="s">
        <v>1268</v>
      </c>
      <c r="E384" s="18" t="s">
        <v>471</v>
      </c>
      <c r="F384" s="19" t="s">
        <v>38</v>
      </c>
      <c r="G384" s="18" t="b">
        <v>0</v>
      </c>
      <c r="H384" s="18" t="b">
        <v>0</v>
      </c>
      <c r="I384" s="18" t="b">
        <v>0</v>
      </c>
      <c r="J384" s="18" t="b">
        <v>0</v>
      </c>
      <c r="K384" s="18" t="b">
        <v>0</v>
      </c>
      <c r="L384" s="18" t="b">
        <v>0</v>
      </c>
      <c r="M384" s="18" t="b">
        <v>0</v>
      </c>
      <c r="N384" s="18" t="b">
        <v>0</v>
      </c>
      <c r="O384" s="18" t="b">
        <v>0</v>
      </c>
      <c r="P384" s="18" t="b">
        <v>0</v>
      </c>
      <c r="Q384" s="18" t="b">
        <v>0</v>
      </c>
      <c r="R384" s="18" t="b">
        <v>1</v>
      </c>
    </row>
    <row r="385" spans="1:18" ht="18">
      <c r="A385" s="61" t="s">
        <v>1269</v>
      </c>
      <c r="B385" s="51" t="s">
        <v>1269</v>
      </c>
      <c r="C385" s="136" t="s">
        <v>1270</v>
      </c>
      <c r="D385" s="17" t="s">
        <v>1271</v>
      </c>
      <c r="E385" s="18" t="s">
        <v>140</v>
      </c>
      <c r="F385" s="19" t="s">
        <v>27</v>
      </c>
      <c r="G385" s="18" t="b">
        <v>0</v>
      </c>
      <c r="H385" s="18" t="b">
        <v>1</v>
      </c>
      <c r="I385" s="18" t="b">
        <v>0</v>
      </c>
      <c r="J385" s="18" t="b">
        <v>0</v>
      </c>
      <c r="K385" s="18" t="b">
        <v>0</v>
      </c>
      <c r="L385" s="18" t="b">
        <v>0</v>
      </c>
      <c r="M385" s="18" t="b">
        <v>0</v>
      </c>
      <c r="N385" s="18" t="b">
        <v>0</v>
      </c>
      <c r="O385" s="18" t="b">
        <v>1</v>
      </c>
      <c r="P385" s="18" t="b">
        <v>0</v>
      </c>
      <c r="Q385" s="18" t="b">
        <v>0</v>
      </c>
      <c r="R385" s="18" t="b">
        <v>0</v>
      </c>
    </row>
    <row r="386" spans="1:18" ht="18">
      <c r="A386" s="61" t="s">
        <v>1272</v>
      </c>
      <c r="B386" s="15" t="s">
        <v>1272</v>
      </c>
      <c r="C386" s="18" t="s">
        <v>1273</v>
      </c>
      <c r="D386" s="17" t="s">
        <v>1274</v>
      </c>
      <c r="E386" s="18" t="s">
        <v>154</v>
      </c>
      <c r="F386" s="19" t="s">
        <v>27</v>
      </c>
      <c r="G386" s="18" t="b">
        <v>0</v>
      </c>
      <c r="H386" s="18" t="b">
        <v>0</v>
      </c>
      <c r="I386" s="18" t="b">
        <v>1</v>
      </c>
      <c r="J386" s="18" t="b">
        <v>0</v>
      </c>
      <c r="K386" s="18" t="b">
        <v>0</v>
      </c>
      <c r="L386" s="18" t="b">
        <v>0</v>
      </c>
      <c r="M386" s="18" t="b">
        <v>0</v>
      </c>
      <c r="N386" s="18" t="b">
        <v>0</v>
      </c>
      <c r="O386" s="18" t="b">
        <v>0</v>
      </c>
      <c r="P386" s="18" t="b">
        <v>0</v>
      </c>
      <c r="Q386" s="18" t="b">
        <v>0</v>
      </c>
      <c r="R386" s="18" t="b">
        <v>0</v>
      </c>
    </row>
    <row r="387" spans="1:18" ht="18">
      <c r="A387" s="61" t="s">
        <v>1275</v>
      </c>
      <c r="B387" s="15" t="s">
        <v>1276</v>
      </c>
      <c r="C387" s="18" t="s">
        <v>1277</v>
      </c>
      <c r="D387" s="17" t="s">
        <v>1278</v>
      </c>
      <c r="E387" s="18" t="s">
        <v>471</v>
      </c>
      <c r="F387" s="19" t="s">
        <v>27</v>
      </c>
      <c r="G387" s="18" t="b">
        <v>0</v>
      </c>
      <c r="H387" s="18" t="b">
        <v>0</v>
      </c>
      <c r="I387" s="18" t="b">
        <v>0</v>
      </c>
      <c r="J387" s="18" t="b">
        <v>0</v>
      </c>
      <c r="K387" s="18" t="b">
        <v>0</v>
      </c>
      <c r="L387" s="18" t="b">
        <v>0</v>
      </c>
      <c r="M387" s="18" t="b">
        <v>0</v>
      </c>
      <c r="N387" s="18" t="b">
        <v>0</v>
      </c>
      <c r="O387" s="18" t="b">
        <v>0</v>
      </c>
      <c r="P387" s="18" t="b">
        <v>0</v>
      </c>
      <c r="Q387" s="18" t="b">
        <v>0</v>
      </c>
      <c r="R387" s="18" t="b">
        <v>1</v>
      </c>
    </row>
    <row r="388" spans="1:18" ht="18" hidden="1">
      <c r="A388" s="61" t="s">
        <v>1279</v>
      </c>
      <c r="B388" s="15"/>
      <c r="C388" s="17" t="s">
        <v>1280</v>
      </c>
      <c r="D388" s="17" t="s">
        <v>1281</v>
      </c>
      <c r="E388" s="18" t="s">
        <v>43</v>
      </c>
      <c r="F388" s="19" t="s">
        <v>34</v>
      </c>
      <c r="G388" s="18" t="b">
        <v>1</v>
      </c>
      <c r="H388" s="18" t="b">
        <v>0</v>
      </c>
      <c r="I388" s="18" t="b">
        <v>0</v>
      </c>
      <c r="J388" s="18" t="b">
        <v>0</v>
      </c>
      <c r="K388" s="18" t="b">
        <v>0</v>
      </c>
      <c r="L388" s="18" t="b">
        <v>0</v>
      </c>
      <c r="M388" s="18" t="b">
        <v>0</v>
      </c>
      <c r="N388" s="18" t="b">
        <v>0</v>
      </c>
      <c r="O388" s="18" t="b">
        <v>0</v>
      </c>
      <c r="P388" s="18" t="b">
        <v>0</v>
      </c>
      <c r="Q388" s="18" t="b">
        <v>0</v>
      </c>
      <c r="R388" s="18" t="b">
        <v>0</v>
      </c>
    </row>
    <row r="389" spans="1:18" ht="18">
      <c r="A389" s="61" t="s">
        <v>1282</v>
      </c>
      <c r="B389" s="15" t="s">
        <v>1282</v>
      </c>
      <c r="C389" s="18" t="s">
        <v>1283</v>
      </c>
      <c r="D389" s="17" t="s">
        <v>1284</v>
      </c>
      <c r="E389" s="16" t="s">
        <v>60</v>
      </c>
      <c r="F389" s="19" t="s">
        <v>27</v>
      </c>
      <c r="G389" s="18" t="b">
        <v>0</v>
      </c>
      <c r="H389" s="18" t="b">
        <v>0</v>
      </c>
      <c r="I389" s="18" t="b">
        <v>0</v>
      </c>
      <c r="J389" s="18" t="b">
        <v>0</v>
      </c>
      <c r="K389" s="18" t="b">
        <v>0</v>
      </c>
      <c r="L389" s="18" t="b">
        <v>0</v>
      </c>
      <c r="M389" s="18" t="b">
        <v>1</v>
      </c>
      <c r="N389" s="18" t="b">
        <v>0</v>
      </c>
      <c r="O389" s="18" t="b">
        <v>0</v>
      </c>
      <c r="P389" s="18" t="b">
        <v>0</v>
      </c>
      <c r="Q389" s="18" t="b">
        <v>0</v>
      </c>
      <c r="R389" s="18" t="b">
        <v>0</v>
      </c>
    </row>
    <row r="390" spans="1:18" ht="18">
      <c r="A390" s="61" t="s">
        <v>1285</v>
      </c>
      <c r="B390" s="15" t="s">
        <v>1285</v>
      </c>
      <c r="C390" s="18" t="s">
        <v>1286</v>
      </c>
      <c r="D390" s="17" t="s">
        <v>1287</v>
      </c>
      <c r="E390" s="18" t="s">
        <v>154</v>
      </c>
      <c r="F390" s="19" t="s">
        <v>27</v>
      </c>
      <c r="G390" s="18" t="b">
        <v>0</v>
      </c>
      <c r="H390" s="18" t="b">
        <v>0</v>
      </c>
      <c r="I390" s="18" t="b">
        <v>1</v>
      </c>
      <c r="J390" s="18" t="b">
        <v>0</v>
      </c>
      <c r="K390" s="18" t="b">
        <v>0</v>
      </c>
      <c r="L390" s="18" t="b">
        <v>0</v>
      </c>
      <c r="M390" s="18" t="b">
        <v>0</v>
      </c>
      <c r="N390" s="18" t="b">
        <v>0</v>
      </c>
      <c r="O390" s="18" t="b">
        <v>0</v>
      </c>
      <c r="P390" s="18" t="b">
        <v>0</v>
      </c>
      <c r="Q390" s="18" t="b">
        <v>0</v>
      </c>
      <c r="R390" s="18" t="b">
        <v>0</v>
      </c>
    </row>
    <row r="391" spans="1:18" ht="18">
      <c r="A391" s="61" t="s">
        <v>1288</v>
      </c>
      <c r="B391" s="51" t="s">
        <v>1289</v>
      </c>
      <c r="C391" s="101" t="s">
        <v>1290</v>
      </c>
      <c r="D391" s="17" t="s">
        <v>1291</v>
      </c>
      <c r="E391" s="18" t="s">
        <v>33</v>
      </c>
      <c r="F391" s="19" t="s">
        <v>27</v>
      </c>
      <c r="G391" s="18" t="b">
        <v>0</v>
      </c>
      <c r="H391" s="18" t="b">
        <v>0</v>
      </c>
      <c r="I391" s="18" t="b">
        <v>0</v>
      </c>
      <c r="J391" s="18" t="b">
        <v>0</v>
      </c>
      <c r="K391" s="18" t="b">
        <v>0</v>
      </c>
      <c r="L391" s="18" t="b">
        <v>0</v>
      </c>
      <c r="M391" s="18" t="b">
        <v>0</v>
      </c>
      <c r="N391" s="18" t="b">
        <v>0</v>
      </c>
      <c r="O391" s="18" t="b">
        <v>0</v>
      </c>
      <c r="P391" s="18" t="b">
        <v>0</v>
      </c>
      <c r="Q391" s="18" t="b">
        <v>0</v>
      </c>
      <c r="R391" s="18" t="b">
        <v>1</v>
      </c>
    </row>
    <row r="392" spans="1:18" ht="45.75">
      <c r="A392" s="87" t="s">
        <v>1292</v>
      </c>
      <c r="B392" s="72" t="s">
        <v>1292</v>
      </c>
      <c r="C392" s="88" t="s">
        <v>1293</v>
      </c>
      <c r="D392" s="88" t="s">
        <v>1294</v>
      </c>
      <c r="E392" s="18" t="s">
        <v>52</v>
      </c>
      <c r="F392" s="19" t="s">
        <v>27</v>
      </c>
      <c r="G392" s="18" t="b">
        <v>0</v>
      </c>
      <c r="H392" s="18" t="b">
        <v>0</v>
      </c>
      <c r="I392" s="18" t="b">
        <v>1</v>
      </c>
      <c r="J392" s="18" t="b">
        <v>0</v>
      </c>
      <c r="K392" s="18" t="b">
        <v>0</v>
      </c>
      <c r="L392" s="18" t="b">
        <v>0</v>
      </c>
      <c r="M392" s="18" t="b">
        <v>1</v>
      </c>
      <c r="N392" s="18" t="b">
        <v>0</v>
      </c>
      <c r="O392" s="18" t="b">
        <v>0</v>
      </c>
      <c r="P392" s="18" t="b">
        <v>0</v>
      </c>
      <c r="Q392" s="18" t="b">
        <v>0</v>
      </c>
      <c r="R392" s="18" t="b">
        <v>0</v>
      </c>
    </row>
    <row r="393" spans="1:18" ht="18">
      <c r="A393" s="61" t="s">
        <v>1295</v>
      </c>
      <c r="B393" s="137" t="s">
        <v>1296</v>
      </c>
      <c r="C393" s="138" t="s">
        <v>1297</v>
      </c>
      <c r="D393" s="17" t="s">
        <v>1298</v>
      </c>
      <c r="E393" s="18" t="s">
        <v>33</v>
      </c>
      <c r="F393" s="19" t="s">
        <v>27</v>
      </c>
      <c r="G393" s="18" t="b">
        <v>0</v>
      </c>
      <c r="H393" s="18" t="b">
        <v>0</v>
      </c>
      <c r="I393" s="18" t="b">
        <v>0</v>
      </c>
      <c r="J393" s="18" t="b">
        <v>0</v>
      </c>
      <c r="K393" s="18" t="b">
        <v>0</v>
      </c>
      <c r="L393" s="18" t="b">
        <v>0</v>
      </c>
      <c r="M393" s="18" t="b">
        <v>0</v>
      </c>
      <c r="N393" s="18" t="b">
        <v>0</v>
      </c>
      <c r="O393" s="18" t="b">
        <v>0</v>
      </c>
      <c r="P393" s="18" t="b">
        <v>0</v>
      </c>
      <c r="Q393" s="18" t="b">
        <v>0</v>
      </c>
      <c r="R393" s="18" t="b">
        <v>1</v>
      </c>
    </row>
    <row r="394" spans="1:18" ht="15" hidden="1">
      <c r="A394" s="17" t="s">
        <v>1299</v>
      </c>
      <c r="B394" s="139" t="s">
        <v>1299</v>
      </c>
      <c r="C394" s="44" t="s">
        <v>1300</v>
      </c>
      <c r="D394" s="44" t="s">
        <v>1301</v>
      </c>
      <c r="E394" s="18" t="s">
        <v>52</v>
      </c>
      <c r="F394" s="19" t="s">
        <v>38</v>
      </c>
      <c r="G394" s="18" t="b">
        <v>0</v>
      </c>
      <c r="H394" s="18" t="b">
        <v>0</v>
      </c>
      <c r="I394" s="18" t="b">
        <v>0</v>
      </c>
      <c r="J394" s="18" t="b">
        <v>1</v>
      </c>
      <c r="K394" s="18" t="b">
        <v>1</v>
      </c>
      <c r="L394" s="18" t="b">
        <v>0</v>
      </c>
      <c r="M394" s="18" t="b">
        <v>0</v>
      </c>
      <c r="N394" s="18" t="b">
        <v>0</v>
      </c>
      <c r="O394" s="18" t="b">
        <v>0</v>
      </c>
      <c r="P394" s="18" t="b">
        <v>0</v>
      </c>
      <c r="Q394" s="18" t="b">
        <v>0</v>
      </c>
      <c r="R394" s="18" t="b">
        <v>0</v>
      </c>
    </row>
    <row r="395" spans="1:18" ht="18" hidden="1">
      <c r="A395" s="61" t="s">
        <v>1302</v>
      </c>
      <c r="B395" s="15"/>
      <c r="C395" s="17" t="s">
        <v>1303</v>
      </c>
      <c r="D395" s="17" t="s">
        <v>1304</v>
      </c>
      <c r="E395" s="18" t="s">
        <v>69</v>
      </c>
      <c r="F395" s="19" t="s">
        <v>38</v>
      </c>
      <c r="G395" s="18" t="b">
        <v>0</v>
      </c>
      <c r="H395" s="18" t="b">
        <v>0</v>
      </c>
      <c r="I395" s="18" t="b">
        <v>0</v>
      </c>
      <c r="J395" s="18" t="b">
        <v>0</v>
      </c>
      <c r="K395" s="18" t="b">
        <v>0</v>
      </c>
      <c r="L395" s="18" t="b">
        <v>0</v>
      </c>
      <c r="M395" s="18" t="b">
        <v>0</v>
      </c>
      <c r="N395" s="18" t="b">
        <v>0</v>
      </c>
      <c r="O395" s="18" t="b">
        <v>1</v>
      </c>
      <c r="P395" s="18" t="b">
        <v>0</v>
      </c>
      <c r="Q395" s="18" t="b">
        <v>0</v>
      </c>
      <c r="R395" s="18" t="b">
        <v>0</v>
      </c>
    </row>
    <row r="396" spans="1:18" ht="18">
      <c r="A396" s="61" t="s">
        <v>1305</v>
      </c>
      <c r="B396" s="15" t="s">
        <v>1306</v>
      </c>
      <c r="C396" s="18" t="s">
        <v>1307</v>
      </c>
      <c r="D396" s="17" t="s">
        <v>1308</v>
      </c>
      <c r="E396" s="18" t="s">
        <v>471</v>
      </c>
      <c r="F396" s="19" t="s">
        <v>27</v>
      </c>
      <c r="G396" s="18" t="b">
        <v>0</v>
      </c>
      <c r="H396" s="18" t="b">
        <v>0</v>
      </c>
      <c r="I396" s="18" t="b">
        <v>0</v>
      </c>
      <c r="J396" s="18" t="b">
        <v>0</v>
      </c>
      <c r="K396" s="18" t="b">
        <v>0</v>
      </c>
      <c r="L396" s="18" t="b">
        <v>0</v>
      </c>
      <c r="M396" s="18" t="b">
        <v>0</v>
      </c>
      <c r="N396" s="18" t="b">
        <v>0</v>
      </c>
      <c r="O396" s="18" t="b">
        <v>0</v>
      </c>
      <c r="P396" s="18" t="b">
        <v>0</v>
      </c>
      <c r="Q396" s="18" t="b">
        <v>0</v>
      </c>
      <c r="R396" s="18" t="b">
        <v>1</v>
      </c>
    </row>
    <row r="397" spans="1:18" ht="18" hidden="1">
      <c r="A397" s="61" t="s">
        <v>1309</v>
      </c>
      <c r="B397" s="15" t="s">
        <v>1309</v>
      </c>
      <c r="C397" s="18" t="s">
        <v>1310</v>
      </c>
      <c r="D397" s="17" t="s">
        <v>1311</v>
      </c>
      <c r="E397" s="18" t="s">
        <v>471</v>
      </c>
      <c r="F397" s="19" t="s">
        <v>38</v>
      </c>
      <c r="G397" s="18" t="b">
        <v>0</v>
      </c>
      <c r="H397" s="18" t="b">
        <v>0</v>
      </c>
      <c r="I397" s="18" t="b">
        <v>0</v>
      </c>
      <c r="J397" s="18" t="b">
        <v>0</v>
      </c>
      <c r="K397" s="18" t="b">
        <v>0</v>
      </c>
      <c r="L397" s="18" t="b">
        <v>0</v>
      </c>
      <c r="M397" s="18" t="b">
        <v>0</v>
      </c>
      <c r="N397" s="18" t="b">
        <v>0</v>
      </c>
      <c r="O397" s="18" t="b">
        <v>0</v>
      </c>
      <c r="P397" s="18" t="b">
        <v>0</v>
      </c>
      <c r="Q397" s="18" t="b">
        <v>0</v>
      </c>
      <c r="R397" s="18" t="b">
        <v>1</v>
      </c>
    </row>
    <row r="398" spans="1:18" ht="18" hidden="1">
      <c r="A398" s="61" t="s">
        <v>1312</v>
      </c>
      <c r="B398" s="15" t="s">
        <v>1313</v>
      </c>
      <c r="C398" s="18" t="s">
        <v>1314</v>
      </c>
      <c r="D398" s="17" t="s">
        <v>1315</v>
      </c>
      <c r="E398" s="18" t="s">
        <v>471</v>
      </c>
      <c r="F398" s="19" t="s">
        <v>38</v>
      </c>
      <c r="G398" s="18" t="b">
        <v>0</v>
      </c>
      <c r="H398" s="18" t="b">
        <v>0</v>
      </c>
      <c r="I398" s="18" t="b">
        <v>0</v>
      </c>
      <c r="J398" s="18" t="b">
        <v>0</v>
      </c>
      <c r="K398" s="18" t="b">
        <v>0</v>
      </c>
      <c r="L398" s="18" t="b">
        <v>0</v>
      </c>
      <c r="M398" s="18" t="b">
        <v>0</v>
      </c>
      <c r="N398" s="18" t="b">
        <v>0</v>
      </c>
      <c r="O398" s="18" t="b">
        <v>0</v>
      </c>
      <c r="P398" s="18" t="b">
        <v>0</v>
      </c>
      <c r="Q398" s="18" t="b">
        <v>0</v>
      </c>
      <c r="R398" s="18" t="b">
        <v>1</v>
      </c>
    </row>
    <row r="399" spans="1:18" ht="15" hidden="1">
      <c r="A399" s="17" t="s">
        <v>1316</v>
      </c>
      <c r="B399" s="15" t="s">
        <v>1316</v>
      </c>
      <c r="C399" s="18" t="s">
        <v>1317</v>
      </c>
      <c r="D399" s="48" t="s">
        <v>1318</v>
      </c>
      <c r="E399" s="18" t="s">
        <v>86</v>
      </c>
      <c r="F399" s="19" t="s">
        <v>38</v>
      </c>
      <c r="G399" s="18" t="b">
        <v>0</v>
      </c>
      <c r="H399" s="18" t="b">
        <v>0</v>
      </c>
      <c r="I399" s="18" t="b">
        <v>1</v>
      </c>
      <c r="J399" s="18" t="b">
        <v>0</v>
      </c>
      <c r="K399" s="18" t="b">
        <v>1</v>
      </c>
      <c r="L399" s="18" t="b">
        <v>0</v>
      </c>
      <c r="M399" s="18" t="b">
        <v>0</v>
      </c>
      <c r="N399" s="18" t="b">
        <v>0</v>
      </c>
      <c r="O399" s="18" t="b">
        <v>0</v>
      </c>
      <c r="P399" s="18" t="b">
        <v>0</v>
      </c>
      <c r="Q399" s="18" t="b">
        <v>0</v>
      </c>
      <c r="R399" s="18" t="b">
        <v>0</v>
      </c>
    </row>
    <row r="400" spans="1:18" ht="18">
      <c r="A400" s="61" t="s">
        <v>1319</v>
      </c>
      <c r="B400" s="15" t="s">
        <v>1319</v>
      </c>
      <c r="C400" s="18" t="s">
        <v>1320</v>
      </c>
      <c r="D400" s="17" t="s">
        <v>1321</v>
      </c>
      <c r="E400" s="18" t="s">
        <v>471</v>
      </c>
      <c r="F400" s="19" t="s">
        <v>27</v>
      </c>
      <c r="G400" s="18" t="b">
        <v>0</v>
      </c>
      <c r="H400" s="18" t="b">
        <v>0</v>
      </c>
      <c r="I400" s="18" t="b">
        <v>0</v>
      </c>
      <c r="J400" s="18" t="b">
        <v>0</v>
      </c>
      <c r="K400" s="18" t="b">
        <v>0</v>
      </c>
      <c r="L400" s="18" t="b">
        <v>0</v>
      </c>
      <c r="M400" s="18" t="b">
        <v>1</v>
      </c>
      <c r="N400" s="18" t="b">
        <v>0</v>
      </c>
      <c r="O400" s="18" t="b">
        <v>0</v>
      </c>
      <c r="P400" s="18" t="b">
        <v>0</v>
      </c>
      <c r="Q400" s="18" t="b">
        <v>0</v>
      </c>
      <c r="R400" s="18" t="b">
        <v>1</v>
      </c>
    </row>
    <row r="401" spans="1:18" ht="18">
      <c r="A401" s="61" t="s">
        <v>1322</v>
      </c>
      <c r="B401" s="15" t="s">
        <v>1322</v>
      </c>
      <c r="C401" s="18" t="s">
        <v>1323</v>
      </c>
      <c r="D401" s="17" t="s">
        <v>1324</v>
      </c>
      <c r="E401" s="18" t="s">
        <v>471</v>
      </c>
      <c r="F401" s="19" t="s">
        <v>27</v>
      </c>
      <c r="G401" s="18" t="b">
        <v>0</v>
      </c>
      <c r="H401" s="18" t="b">
        <v>0</v>
      </c>
      <c r="I401" s="18" t="b">
        <v>0</v>
      </c>
      <c r="J401" s="18" t="b">
        <v>0</v>
      </c>
      <c r="K401" s="18" t="b">
        <v>0</v>
      </c>
      <c r="L401" s="18" t="b">
        <v>0</v>
      </c>
      <c r="M401" s="18" t="b">
        <v>0</v>
      </c>
      <c r="N401" s="18" t="b">
        <v>0</v>
      </c>
      <c r="O401" s="18" t="b">
        <v>0</v>
      </c>
      <c r="P401" s="18" t="b">
        <v>0</v>
      </c>
      <c r="Q401" s="18" t="b">
        <v>0</v>
      </c>
      <c r="R401" s="18" t="b">
        <v>1</v>
      </c>
    </row>
    <row r="402" spans="1:18" ht="18">
      <c r="A402" s="61" t="s">
        <v>1325</v>
      </c>
      <c r="B402" s="15" t="s">
        <v>1325</v>
      </c>
      <c r="C402" s="18" t="s">
        <v>1326</v>
      </c>
      <c r="D402" s="17" t="s">
        <v>1327</v>
      </c>
      <c r="E402" s="18" t="s">
        <v>471</v>
      </c>
      <c r="F402" s="19" t="s">
        <v>27</v>
      </c>
      <c r="G402" s="18" t="b">
        <v>0</v>
      </c>
      <c r="H402" s="18" t="b">
        <v>0</v>
      </c>
      <c r="I402" s="18" t="b">
        <v>0</v>
      </c>
      <c r="J402" s="18" t="b">
        <v>0</v>
      </c>
      <c r="K402" s="18" t="b">
        <v>0</v>
      </c>
      <c r="L402" s="18" t="b">
        <v>0</v>
      </c>
      <c r="M402" s="18" t="b">
        <v>0</v>
      </c>
      <c r="N402" s="18" t="b">
        <v>0</v>
      </c>
      <c r="O402" s="18" t="b">
        <v>0</v>
      </c>
      <c r="P402" s="18" t="b">
        <v>0</v>
      </c>
      <c r="Q402" s="18" t="b">
        <v>0</v>
      </c>
      <c r="R402" s="18" t="b">
        <v>1</v>
      </c>
    </row>
    <row r="403" spans="1:18" ht="15" hidden="1">
      <c r="A403" s="16" t="s">
        <v>1328</v>
      </c>
      <c r="B403" s="140" t="s">
        <v>1329</v>
      </c>
      <c r="C403" s="16" t="s">
        <v>1330</v>
      </c>
      <c r="D403" s="16" t="s">
        <v>1331</v>
      </c>
      <c r="E403" s="16" t="s">
        <v>86</v>
      </c>
      <c r="F403" s="33" t="s">
        <v>38</v>
      </c>
      <c r="G403" s="16" t="b">
        <v>0</v>
      </c>
      <c r="H403" s="16" t="b">
        <v>0</v>
      </c>
      <c r="I403" s="16" t="b">
        <v>1</v>
      </c>
      <c r="J403" s="16" t="b">
        <v>0</v>
      </c>
      <c r="K403" s="16" t="b">
        <v>0</v>
      </c>
      <c r="L403" s="16" t="b">
        <v>0</v>
      </c>
      <c r="M403" s="16" t="b">
        <v>0</v>
      </c>
      <c r="N403" s="16" t="b">
        <v>0</v>
      </c>
      <c r="O403" s="16" t="b">
        <v>0</v>
      </c>
      <c r="P403" s="16" t="b">
        <v>0</v>
      </c>
      <c r="Q403" s="16" t="b">
        <v>0</v>
      </c>
      <c r="R403" s="16" t="b">
        <v>0</v>
      </c>
    </row>
    <row r="404" spans="1:18" ht="15" hidden="1">
      <c r="A404" s="18" t="s">
        <v>1332</v>
      </c>
      <c r="B404" s="122" t="s">
        <v>1333</v>
      </c>
      <c r="C404" s="18" t="s">
        <v>1334</v>
      </c>
      <c r="D404" s="18" t="s">
        <v>1335</v>
      </c>
      <c r="E404" s="18" t="s">
        <v>471</v>
      </c>
      <c r="F404" s="19" t="s">
        <v>38</v>
      </c>
      <c r="G404" s="18" t="b">
        <v>0</v>
      </c>
      <c r="H404" s="18" t="b">
        <v>0</v>
      </c>
      <c r="I404" s="18" t="b">
        <v>0</v>
      </c>
      <c r="J404" s="18" t="b">
        <v>0</v>
      </c>
      <c r="K404" s="18" t="b">
        <v>0</v>
      </c>
      <c r="L404" s="18" t="b">
        <v>0</v>
      </c>
      <c r="M404" s="18" t="b">
        <v>0</v>
      </c>
      <c r="N404" s="18" t="b">
        <v>0</v>
      </c>
      <c r="O404" s="18" t="b">
        <v>0</v>
      </c>
      <c r="P404" s="18" t="b">
        <v>0</v>
      </c>
      <c r="Q404" s="18" t="b">
        <v>0</v>
      </c>
      <c r="R404" s="18" t="b">
        <v>1</v>
      </c>
    </row>
    <row r="405" spans="1:18" ht="18">
      <c r="A405" s="61" t="s">
        <v>1336</v>
      </c>
      <c r="B405" s="15" t="s">
        <v>1337</v>
      </c>
      <c r="C405" s="44" t="s">
        <v>1338</v>
      </c>
      <c r="D405" s="17" t="s">
        <v>1339</v>
      </c>
      <c r="E405" s="18" t="s">
        <v>178</v>
      </c>
      <c r="F405" s="19" t="s">
        <v>27</v>
      </c>
      <c r="G405" s="18" t="b">
        <v>0</v>
      </c>
      <c r="H405" s="18" t="b">
        <v>0</v>
      </c>
      <c r="I405" s="18" t="b">
        <v>0</v>
      </c>
      <c r="J405" s="18" t="b">
        <v>0</v>
      </c>
      <c r="K405" s="18" t="b">
        <v>0</v>
      </c>
      <c r="L405" s="18" t="b">
        <v>0</v>
      </c>
      <c r="M405" s="18" t="b">
        <v>0</v>
      </c>
      <c r="N405" s="18" t="b">
        <v>1</v>
      </c>
      <c r="O405" s="18" t="b">
        <v>0</v>
      </c>
      <c r="P405" s="18" t="b">
        <v>0</v>
      </c>
      <c r="Q405" s="18" t="b">
        <v>0</v>
      </c>
      <c r="R405" s="18" t="b">
        <v>0</v>
      </c>
    </row>
    <row r="406" spans="1:18" ht="18">
      <c r="A406" s="61" t="s">
        <v>1340</v>
      </c>
      <c r="B406" s="15" t="s">
        <v>1341</v>
      </c>
      <c r="C406" s="18" t="s">
        <v>1342</v>
      </c>
      <c r="D406" s="17" t="s">
        <v>1343</v>
      </c>
      <c r="E406" s="18" t="s">
        <v>154</v>
      </c>
      <c r="F406" s="19" t="s">
        <v>27</v>
      </c>
      <c r="G406" s="18" t="b">
        <v>0</v>
      </c>
      <c r="H406" s="18" t="b">
        <v>0</v>
      </c>
      <c r="I406" s="18" t="b">
        <v>1</v>
      </c>
      <c r="J406" s="18" t="b">
        <v>0</v>
      </c>
      <c r="K406" s="18" t="b">
        <v>0</v>
      </c>
      <c r="L406" s="18" t="b">
        <v>0</v>
      </c>
      <c r="M406" s="18" t="b">
        <v>0</v>
      </c>
      <c r="N406" s="18" t="b">
        <v>0</v>
      </c>
      <c r="O406" s="18" t="b">
        <v>0</v>
      </c>
      <c r="P406" s="18" t="b">
        <v>0</v>
      </c>
      <c r="Q406" s="18" t="b">
        <v>0</v>
      </c>
      <c r="R406" s="18" t="b">
        <v>0</v>
      </c>
    </row>
    <row r="407" spans="1:18" ht="18">
      <c r="A407" s="61" t="s">
        <v>1344</v>
      </c>
      <c r="B407" s="15" t="s">
        <v>1344</v>
      </c>
      <c r="C407" s="18" t="s">
        <v>1345</v>
      </c>
      <c r="D407" s="17" t="s">
        <v>1346</v>
      </c>
      <c r="E407" s="18" t="s">
        <v>178</v>
      </c>
      <c r="F407" s="19" t="s">
        <v>27</v>
      </c>
      <c r="G407" s="18" t="b">
        <v>0</v>
      </c>
      <c r="H407" s="18" t="b">
        <v>0</v>
      </c>
      <c r="I407" s="18" t="b">
        <v>0</v>
      </c>
      <c r="J407" s="18" t="b">
        <v>0</v>
      </c>
      <c r="K407" s="18" t="b">
        <v>0</v>
      </c>
      <c r="L407" s="18" t="b">
        <v>0</v>
      </c>
      <c r="M407" s="18" t="b">
        <v>0</v>
      </c>
      <c r="N407" s="18" t="b">
        <v>1</v>
      </c>
      <c r="O407" s="18" t="b">
        <v>0</v>
      </c>
      <c r="P407" s="18" t="b">
        <v>0</v>
      </c>
      <c r="Q407" s="18" t="b">
        <v>0</v>
      </c>
      <c r="R407" s="18" t="b">
        <v>0</v>
      </c>
    </row>
    <row r="408" spans="1:18" ht="18">
      <c r="A408" s="61" t="s">
        <v>1347</v>
      </c>
      <c r="B408" s="15" t="s">
        <v>1347</v>
      </c>
      <c r="C408" s="18" t="s">
        <v>1348</v>
      </c>
      <c r="D408" s="17" t="s">
        <v>1349</v>
      </c>
      <c r="E408" s="16" t="s">
        <v>60</v>
      </c>
      <c r="F408" s="19" t="s">
        <v>27</v>
      </c>
      <c r="G408" s="18" t="b">
        <v>0</v>
      </c>
      <c r="H408" s="18" t="b">
        <v>0</v>
      </c>
      <c r="I408" s="18" t="b">
        <v>0</v>
      </c>
      <c r="J408" s="18" t="b">
        <v>0</v>
      </c>
      <c r="K408" s="18" t="b">
        <v>0</v>
      </c>
      <c r="L408" s="18" t="b">
        <v>0</v>
      </c>
      <c r="M408" s="18" t="b">
        <v>1</v>
      </c>
      <c r="N408" s="18" t="b">
        <v>0</v>
      </c>
      <c r="O408" s="18" t="b">
        <v>0</v>
      </c>
      <c r="P408" s="18" t="b">
        <v>0</v>
      </c>
      <c r="Q408" s="18" t="b">
        <v>0</v>
      </c>
      <c r="R408" s="18" t="b">
        <v>0</v>
      </c>
    </row>
    <row r="409" spans="1:18" ht="18">
      <c r="A409" s="61" t="s">
        <v>1350</v>
      </c>
      <c r="B409" s="15"/>
      <c r="C409" s="17" t="s">
        <v>1351</v>
      </c>
      <c r="D409" s="68" t="s">
        <v>1352</v>
      </c>
      <c r="E409" s="18" t="s">
        <v>154</v>
      </c>
      <c r="F409" s="19" t="s">
        <v>27</v>
      </c>
      <c r="G409" s="18" t="b">
        <v>0</v>
      </c>
      <c r="H409" s="18" t="b">
        <v>0</v>
      </c>
      <c r="I409" s="18" t="b">
        <v>1</v>
      </c>
      <c r="J409" s="18" t="b">
        <v>0</v>
      </c>
      <c r="K409" s="18" t="b">
        <v>0</v>
      </c>
      <c r="L409" s="18" t="b">
        <v>0</v>
      </c>
      <c r="M409" s="18" t="b">
        <v>0</v>
      </c>
      <c r="N409" s="18" t="b">
        <v>0</v>
      </c>
      <c r="O409" s="18" t="b">
        <v>0</v>
      </c>
      <c r="P409" s="18" t="b">
        <v>0</v>
      </c>
      <c r="Q409" s="18" t="b">
        <v>0</v>
      </c>
      <c r="R409" s="18" t="b">
        <v>0</v>
      </c>
    </row>
    <row r="410" spans="1:18" ht="18">
      <c r="A410" s="61" t="s">
        <v>1353</v>
      </c>
      <c r="B410" s="51" t="s">
        <v>1354</v>
      </c>
      <c r="C410" s="17" t="s">
        <v>1355</v>
      </c>
      <c r="D410" s="68" t="s">
        <v>1356</v>
      </c>
      <c r="E410" s="18" t="s">
        <v>140</v>
      </c>
      <c r="F410" s="19" t="s">
        <v>27</v>
      </c>
      <c r="G410" s="18" t="b">
        <v>0</v>
      </c>
      <c r="H410" s="18" t="b">
        <v>1</v>
      </c>
      <c r="I410" s="18" t="b">
        <v>0</v>
      </c>
      <c r="J410" s="18" t="b">
        <v>0</v>
      </c>
      <c r="K410" s="18" t="b">
        <v>0</v>
      </c>
      <c r="L410" s="18" t="b">
        <v>0</v>
      </c>
      <c r="M410" s="18" t="b">
        <v>0</v>
      </c>
      <c r="N410" s="18" t="b">
        <v>0</v>
      </c>
      <c r="O410" s="18" t="b">
        <v>0</v>
      </c>
      <c r="P410" s="18" t="b">
        <v>0</v>
      </c>
      <c r="Q410" s="18" t="b">
        <v>1</v>
      </c>
      <c r="R410" s="18" t="b">
        <v>0</v>
      </c>
    </row>
    <row r="411" spans="1:18" ht="18">
      <c r="A411" s="61" t="s">
        <v>1357</v>
      </c>
      <c r="B411" s="51" t="s">
        <v>1358</v>
      </c>
      <c r="C411" s="17" t="s">
        <v>1359</v>
      </c>
      <c r="D411" s="17" t="s">
        <v>1360</v>
      </c>
      <c r="E411" s="18" t="s">
        <v>33</v>
      </c>
      <c r="F411" s="19" t="s">
        <v>27</v>
      </c>
      <c r="G411" s="18" t="b">
        <v>0</v>
      </c>
      <c r="H411" s="18" t="b">
        <v>0</v>
      </c>
      <c r="I411" s="18" t="b">
        <v>0</v>
      </c>
      <c r="J411" s="18" t="b">
        <v>0</v>
      </c>
      <c r="K411" s="18" t="b">
        <v>0</v>
      </c>
      <c r="L411" s="18" t="b">
        <v>0</v>
      </c>
      <c r="M411" s="18" t="b">
        <v>0</v>
      </c>
      <c r="N411" s="18" t="b">
        <v>0</v>
      </c>
      <c r="O411" s="18" t="b">
        <v>0</v>
      </c>
      <c r="P411" s="18" t="b">
        <v>0</v>
      </c>
      <c r="Q411" s="18" t="b">
        <v>0</v>
      </c>
      <c r="R411" s="18" t="b">
        <v>1</v>
      </c>
    </row>
    <row r="412" spans="1:18" ht="18">
      <c r="A412" s="14" t="s">
        <v>1361</v>
      </c>
      <c r="B412" s="15"/>
      <c r="C412" s="18" t="s">
        <v>1362</v>
      </c>
      <c r="D412" s="17" t="s">
        <v>1363</v>
      </c>
      <c r="E412" s="18" t="s">
        <v>178</v>
      </c>
      <c r="F412" s="19" t="s">
        <v>27</v>
      </c>
      <c r="G412" s="18" t="b">
        <v>0</v>
      </c>
      <c r="H412" s="18" t="b">
        <v>0</v>
      </c>
      <c r="I412" s="18" t="b">
        <v>0</v>
      </c>
      <c r="J412" s="18" t="b">
        <v>0</v>
      </c>
      <c r="K412" s="18" t="b">
        <v>0</v>
      </c>
      <c r="L412" s="18" t="b">
        <v>0</v>
      </c>
      <c r="M412" s="18" t="b">
        <v>0</v>
      </c>
      <c r="N412" s="18" t="b">
        <v>1</v>
      </c>
      <c r="O412" s="18" t="b">
        <v>0</v>
      </c>
      <c r="P412" s="18" t="b">
        <v>0</v>
      </c>
      <c r="Q412" s="18" t="b">
        <v>0</v>
      </c>
      <c r="R412" s="18" t="b">
        <v>0</v>
      </c>
    </row>
    <row r="413" spans="1:18" ht="18">
      <c r="A413" s="61" t="s">
        <v>1364</v>
      </c>
      <c r="B413" s="15" t="s">
        <v>1365</v>
      </c>
      <c r="C413" s="44" t="s">
        <v>1366</v>
      </c>
      <c r="D413" s="45" t="s">
        <v>1367</v>
      </c>
      <c r="E413" s="18" t="s">
        <v>69</v>
      </c>
      <c r="F413" s="19" t="s">
        <v>27</v>
      </c>
      <c r="G413" s="18" t="b">
        <v>0</v>
      </c>
      <c r="H413" s="18" t="b">
        <v>0</v>
      </c>
      <c r="I413" s="18" t="b">
        <v>0</v>
      </c>
      <c r="J413" s="18" t="b">
        <v>0</v>
      </c>
      <c r="K413" s="18" t="b">
        <v>0</v>
      </c>
      <c r="L413" s="18" t="b">
        <v>0</v>
      </c>
      <c r="M413" s="18" t="b">
        <v>0</v>
      </c>
      <c r="N413" s="18" t="b">
        <v>0</v>
      </c>
      <c r="O413" s="18" t="b">
        <v>1</v>
      </c>
      <c r="P413" s="18" t="b">
        <v>0</v>
      </c>
      <c r="Q413" s="18" t="b">
        <v>0</v>
      </c>
      <c r="R413" s="18" t="b">
        <v>0</v>
      </c>
    </row>
    <row r="414" spans="1:18" ht="30.75">
      <c r="A414" s="61" t="s">
        <v>1368</v>
      </c>
      <c r="B414" s="15" t="s">
        <v>1368</v>
      </c>
      <c r="C414" s="102" t="s">
        <v>1369</v>
      </c>
      <c r="D414" s="121" t="s">
        <v>1370</v>
      </c>
      <c r="E414" s="18" t="s">
        <v>192</v>
      </c>
      <c r="F414" s="19" t="s">
        <v>27</v>
      </c>
      <c r="G414" s="18" t="b">
        <v>0</v>
      </c>
      <c r="H414" s="18" t="b">
        <v>0</v>
      </c>
      <c r="I414" s="18" t="b">
        <v>0</v>
      </c>
      <c r="J414" s="18" t="b">
        <v>0</v>
      </c>
      <c r="K414" s="18" t="b">
        <v>0</v>
      </c>
      <c r="L414" s="18" t="b">
        <v>0</v>
      </c>
      <c r="M414" s="18" t="b">
        <v>0</v>
      </c>
      <c r="N414" s="18" t="b">
        <v>0</v>
      </c>
      <c r="O414" s="18" t="b">
        <v>0</v>
      </c>
      <c r="P414" s="18" t="b">
        <v>1</v>
      </c>
      <c r="Q414" s="18" t="b">
        <v>1</v>
      </c>
      <c r="R414" s="18" t="b">
        <v>0</v>
      </c>
    </row>
    <row r="415" spans="1:18" ht="15" hidden="1">
      <c r="A415" s="18" t="s">
        <v>1371</v>
      </c>
      <c r="B415" s="15" t="s">
        <v>1371</v>
      </c>
      <c r="C415" s="18" t="s">
        <v>1372</v>
      </c>
      <c r="D415" s="17" t="s">
        <v>1373</v>
      </c>
      <c r="E415" s="18" t="s">
        <v>471</v>
      </c>
      <c r="F415" s="19" t="s">
        <v>38</v>
      </c>
      <c r="G415" s="18" t="b">
        <v>0</v>
      </c>
      <c r="H415" s="18" t="b">
        <v>0</v>
      </c>
      <c r="I415" s="18" t="b">
        <v>0</v>
      </c>
      <c r="J415" s="18" t="b">
        <v>0</v>
      </c>
      <c r="K415" s="18" t="b">
        <v>0</v>
      </c>
      <c r="L415" s="18" t="b">
        <v>0</v>
      </c>
      <c r="M415" s="18" t="b">
        <v>0</v>
      </c>
      <c r="N415" s="18" t="b">
        <v>0</v>
      </c>
      <c r="O415" s="18" t="b">
        <v>0</v>
      </c>
      <c r="P415" s="18" t="b">
        <v>0</v>
      </c>
      <c r="Q415" s="18" t="b">
        <v>0</v>
      </c>
      <c r="R415" s="18" t="b">
        <v>1</v>
      </c>
    </row>
    <row r="416" spans="1:18" ht="15" hidden="1">
      <c r="A416" s="17" t="s">
        <v>1375</v>
      </c>
      <c r="B416" s="15" t="s">
        <v>1376</v>
      </c>
      <c r="C416" s="17" t="s">
        <v>1377</v>
      </c>
      <c r="D416" s="141" t="s">
        <v>1378</v>
      </c>
      <c r="E416" s="18" t="s">
        <v>471</v>
      </c>
      <c r="F416" s="19" t="s">
        <v>34</v>
      </c>
      <c r="G416" s="18" t="b">
        <v>0</v>
      </c>
      <c r="H416" s="18" t="b">
        <v>0</v>
      </c>
      <c r="I416" s="18" t="b">
        <v>0</v>
      </c>
      <c r="J416" s="18" t="b">
        <v>0</v>
      </c>
      <c r="K416" s="18" t="b">
        <v>0</v>
      </c>
      <c r="L416" s="18" t="b">
        <v>0</v>
      </c>
      <c r="M416" s="18" t="b">
        <v>0</v>
      </c>
      <c r="N416" s="18" t="b">
        <v>0</v>
      </c>
      <c r="O416" s="18" t="b">
        <v>0</v>
      </c>
      <c r="P416" s="18" t="b">
        <v>0</v>
      </c>
      <c r="Q416" s="18" t="b">
        <v>0</v>
      </c>
      <c r="R416" s="18" t="b">
        <v>1</v>
      </c>
    </row>
    <row r="417" spans="1:18" ht="18">
      <c r="A417" s="61" t="s">
        <v>1379</v>
      </c>
      <c r="B417" s="51" t="s">
        <v>1379</v>
      </c>
      <c r="C417" s="17" t="s">
        <v>1380</v>
      </c>
      <c r="D417" s="17" t="s">
        <v>1381</v>
      </c>
      <c r="E417" s="18" t="s">
        <v>192</v>
      </c>
      <c r="F417" s="19" t="s">
        <v>27</v>
      </c>
      <c r="G417" s="18" t="b">
        <v>0</v>
      </c>
      <c r="H417" s="18" t="b">
        <v>0</v>
      </c>
      <c r="I417" s="18" t="b">
        <v>0</v>
      </c>
      <c r="J417" s="18" t="b">
        <v>0</v>
      </c>
      <c r="K417" s="18" t="b">
        <v>0</v>
      </c>
      <c r="L417" s="18" t="b">
        <v>0</v>
      </c>
      <c r="M417" s="18" t="b">
        <v>0</v>
      </c>
      <c r="N417" s="18" t="b">
        <v>0</v>
      </c>
      <c r="O417" s="18" t="b">
        <v>0</v>
      </c>
      <c r="P417" s="18" t="b">
        <v>0</v>
      </c>
      <c r="Q417" s="18" t="b">
        <v>1</v>
      </c>
      <c r="R417" s="18" t="b">
        <v>0</v>
      </c>
    </row>
    <row r="418" spans="1:18" ht="18">
      <c r="A418" s="61" t="s">
        <v>1382</v>
      </c>
      <c r="B418" s="15" t="s">
        <v>1382</v>
      </c>
      <c r="C418" s="18" t="s">
        <v>1383</v>
      </c>
      <c r="D418" s="17" t="s">
        <v>1384</v>
      </c>
      <c r="E418" s="18" t="s">
        <v>154</v>
      </c>
      <c r="F418" s="19" t="s">
        <v>27</v>
      </c>
      <c r="G418" s="18" t="b">
        <v>0</v>
      </c>
      <c r="H418" s="18" t="b">
        <v>0</v>
      </c>
      <c r="I418" s="18" t="b">
        <v>1</v>
      </c>
      <c r="J418" s="18" t="b">
        <v>0</v>
      </c>
      <c r="K418" s="18" t="b">
        <v>0</v>
      </c>
      <c r="L418" s="18" t="b">
        <v>0</v>
      </c>
      <c r="M418" s="18" t="b">
        <v>0</v>
      </c>
      <c r="N418" s="18" t="b">
        <v>0</v>
      </c>
      <c r="O418" s="18" t="b">
        <v>0</v>
      </c>
      <c r="P418" s="18" t="b">
        <v>0</v>
      </c>
      <c r="Q418" s="18" t="b">
        <v>0</v>
      </c>
      <c r="R418" s="18" t="b">
        <v>0</v>
      </c>
    </row>
    <row r="419" spans="1:18" ht="18">
      <c r="A419" s="61" t="s">
        <v>1385</v>
      </c>
      <c r="B419" s="81" t="s">
        <v>1385</v>
      </c>
      <c r="C419" s="18" t="s">
        <v>1386</v>
      </c>
      <c r="D419" s="17" t="s">
        <v>1387</v>
      </c>
      <c r="E419" s="18" t="s">
        <v>33</v>
      </c>
      <c r="F419" s="19" t="s">
        <v>27</v>
      </c>
      <c r="G419" s="18" t="b">
        <v>0</v>
      </c>
      <c r="H419" s="18" t="b">
        <v>0</v>
      </c>
      <c r="I419" s="18" t="b">
        <v>0</v>
      </c>
      <c r="J419" s="18" t="b">
        <v>0</v>
      </c>
      <c r="K419" s="18" t="b">
        <v>0</v>
      </c>
      <c r="L419" s="18" t="b">
        <v>0</v>
      </c>
      <c r="M419" s="18" t="b">
        <v>0</v>
      </c>
      <c r="N419" s="18" t="b">
        <v>0</v>
      </c>
      <c r="O419" s="18" t="b">
        <v>0</v>
      </c>
      <c r="P419" s="18" t="b">
        <v>0</v>
      </c>
      <c r="Q419" s="18" t="b">
        <v>0</v>
      </c>
      <c r="R419" s="18" t="b">
        <v>1</v>
      </c>
    </row>
    <row r="420" spans="1:18" ht="18">
      <c r="A420" s="61" t="s">
        <v>1388</v>
      </c>
      <c r="B420" s="15" t="s">
        <v>1389</v>
      </c>
      <c r="C420" s="17" t="s">
        <v>1390</v>
      </c>
      <c r="D420" s="17" t="s">
        <v>1391</v>
      </c>
      <c r="E420" s="18" t="s">
        <v>69</v>
      </c>
      <c r="F420" s="19" t="s">
        <v>27</v>
      </c>
      <c r="G420" s="18" t="b">
        <v>1</v>
      </c>
      <c r="H420" s="18" t="b">
        <v>0</v>
      </c>
      <c r="I420" s="18" t="b">
        <v>0</v>
      </c>
      <c r="J420" s="18" t="b">
        <v>0</v>
      </c>
      <c r="K420" s="18" t="b">
        <v>0</v>
      </c>
      <c r="L420" s="18" t="b">
        <v>0</v>
      </c>
      <c r="M420" s="18" t="b">
        <v>0</v>
      </c>
      <c r="N420" s="18" t="b">
        <v>0</v>
      </c>
      <c r="O420" s="18" t="b">
        <v>1</v>
      </c>
      <c r="P420" s="18" t="b">
        <v>0</v>
      </c>
      <c r="Q420" s="18" t="b">
        <v>0</v>
      </c>
      <c r="R420" s="18" t="b">
        <v>0</v>
      </c>
    </row>
    <row r="421" spans="1:18" ht="18">
      <c r="A421" s="61" t="s">
        <v>1392</v>
      </c>
      <c r="B421" s="131"/>
      <c r="C421" s="18" t="s">
        <v>1393</v>
      </c>
      <c r="D421" s="17" t="s">
        <v>1394</v>
      </c>
      <c r="E421" s="18" t="s">
        <v>33</v>
      </c>
      <c r="F421" s="19" t="s">
        <v>27</v>
      </c>
      <c r="G421" s="18" t="b">
        <v>0</v>
      </c>
      <c r="H421" s="18" t="b">
        <v>0</v>
      </c>
      <c r="I421" s="18" t="b">
        <v>0</v>
      </c>
      <c r="J421" s="18" t="b">
        <v>0</v>
      </c>
      <c r="K421" s="18" t="b">
        <v>0</v>
      </c>
      <c r="L421" s="18" t="b">
        <v>0</v>
      </c>
      <c r="M421" s="18" t="b">
        <v>0</v>
      </c>
      <c r="N421" s="18" t="b">
        <v>0</v>
      </c>
      <c r="O421" s="18" t="b">
        <v>0</v>
      </c>
      <c r="P421" s="18" t="b">
        <v>0</v>
      </c>
      <c r="Q421" s="18" t="b">
        <v>0</v>
      </c>
      <c r="R421" s="18" t="b">
        <v>1</v>
      </c>
    </row>
    <row r="422" spans="1:18" ht="18">
      <c r="A422" s="61" t="s">
        <v>1395</v>
      </c>
      <c r="B422" s="15" t="s">
        <v>1395</v>
      </c>
      <c r="C422" s="18" t="s">
        <v>1396</v>
      </c>
      <c r="D422" s="17" t="s">
        <v>1397</v>
      </c>
      <c r="E422" s="18" t="s">
        <v>60</v>
      </c>
      <c r="F422" s="19" t="s">
        <v>27</v>
      </c>
      <c r="G422" s="18" t="b">
        <v>0</v>
      </c>
      <c r="H422" s="18" t="b">
        <v>0</v>
      </c>
      <c r="I422" s="18" t="b">
        <v>0</v>
      </c>
      <c r="J422" s="18" t="b">
        <v>0</v>
      </c>
      <c r="K422" s="18" t="b">
        <v>0</v>
      </c>
      <c r="L422" s="18" t="b">
        <v>0</v>
      </c>
      <c r="M422" s="18" t="b">
        <v>1</v>
      </c>
      <c r="N422" s="18" t="b">
        <v>0</v>
      </c>
      <c r="O422" s="18" t="b">
        <v>0</v>
      </c>
      <c r="P422" s="18" t="b">
        <v>0</v>
      </c>
      <c r="Q422" s="18" t="b">
        <v>0</v>
      </c>
      <c r="R422" s="18" t="b">
        <v>1</v>
      </c>
    </row>
    <row r="423" spans="1:18" ht="18">
      <c r="A423" s="61" t="s">
        <v>1398</v>
      </c>
      <c r="B423" s="15" t="s">
        <v>1398</v>
      </c>
      <c r="C423" s="18" t="s">
        <v>1399</v>
      </c>
      <c r="D423" s="17" t="s">
        <v>1400</v>
      </c>
      <c r="E423" s="18" t="s">
        <v>471</v>
      </c>
      <c r="F423" s="19" t="s">
        <v>27</v>
      </c>
      <c r="G423" s="18" t="b">
        <v>0</v>
      </c>
      <c r="H423" s="18" t="b">
        <v>0</v>
      </c>
      <c r="I423" s="18" t="b">
        <v>0</v>
      </c>
      <c r="J423" s="18" t="b">
        <v>0</v>
      </c>
      <c r="K423" s="18" t="b">
        <v>0</v>
      </c>
      <c r="L423" s="18" t="b">
        <v>0</v>
      </c>
      <c r="M423" s="18" t="b">
        <v>0</v>
      </c>
      <c r="N423" s="18" t="b">
        <v>0</v>
      </c>
      <c r="O423" s="18" t="b">
        <v>0</v>
      </c>
      <c r="P423" s="18" t="b">
        <v>0</v>
      </c>
      <c r="Q423" s="18" t="b">
        <v>0</v>
      </c>
      <c r="R423" s="18" t="b">
        <v>1</v>
      </c>
    </row>
    <row r="424" spans="1:18" ht="18">
      <c r="A424" s="61" t="s">
        <v>1401</v>
      </c>
      <c r="B424" s="15"/>
      <c r="C424" s="17" t="s">
        <v>1402</v>
      </c>
      <c r="D424" s="17" t="s">
        <v>1403</v>
      </c>
      <c r="E424" s="18" t="s">
        <v>69</v>
      </c>
      <c r="F424" s="19" t="s">
        <v>27</v>
      </c>
      <c r="G424" s="18" t="b">
        <v>0</v>
      </c>
      <c r="H424" s="18" t="b">
        <v>0</v>
      </c>
      <c r="I424" s="18" t="b">
        <v>0</v>
      </c>
      <c r="J424" s="18" t="b">
        <v>0</v>
      </c>
      <c r="K424" s="18" t="b">
        <v>0</v>
      </c>
      <c r="L424" s="18" t="b">
        <v>0</v>
      </c>
      <c r="M424" s="18" t="b">
        <v>0</v>
      </c>
      <c r="N424" s="18" t="b">
        <v>0</v>
      </c>
      <c r="O424" s="18" t="b">
        <v>1</v>
      </c>
      <c r="P424" s="18" t="b">
        <v>0</v>
      </c>
      <c r="Q424" s="18" t="b">
        <v>0</v>
      </c>
      <c r="R424" s="18" t="b">
        <v>0</v>
      </c>
    </row>
    <row r="425" spans="1:18" ht="18">
      <c r="A425" s="87" t="s">
        <v>1404</v>
      </c>
      <c r="B425" s="81" t="s">
        <v>1405</v>
      </c>
      <c r="C425" s="142" t="s">
        <v>1406</v>
      </c>
      <c r="D425" s="17" t="s">
        <v>1407</v>
      </c>
      <c r="E425" s="18" t="s">
        <v>33</v>
      </c>
      <c r="F425" s="19" t="s">
        <v>27</v>
      </c>
      <c r="G425" s="18" t="b">
        <v>0</v>
      </c>
      <c r="H425" s="18" t="b">
        <v>0</v>
      </c>
      <c r="I425" s="18" t="b">
        <v>0</v>
      </c>
      <c r="J425" s="18" t="b">
        <v>0</v>
      </c>
      <c r="K425" s="18" t="b">
        <v>0</v>
      </c>
      <c r="L425" s="18" t="b">
        <v>0</v>
      </c>
      <c r="M425" s="18" t="b">
        <v>0</v>
      </c>
      <c r="N425" s="18" t="b">
        <v>0</v>
      </c>
      <c r="O425" s="18" t="b">
        <v>0</v>
      </c>
      <c r="P425" s="18" t="b">
        <v>0</v>
      </c>
      <c r="Q425" s="18" t="b">
        <v>0</v>
      </c>
      <c r="R425" s="18" t="b">
        <v>1</v>
      </c>
    </row>
    <row r="426" spans="1:18" ht="15" hidden="1">
      <c r="A426" s="17" t="s">
        <v>1408</v>
      </c>
      <c r="B426" s="15" t="s">
        <v>1409</v>
      </c>
      <c r="C426" s="44" t="s">
        <v>1410</v>
      </c>
      <c r="D426" s="44" t="s">
        <v>1411</v>
      </c>
      <c r="E426" s="18" t="s">
        <v>471</v>
      </c>
      <c r="F426" s="19" t="s">
        <v>38</v>
      </c>
      <c r="G426" s="18" t="b">
        <v>0</v>
      </c>
      <c r="H426" s="18" t="b">
        <v>0</v>
      </c>
      <c r="I426" s="18" t="b">
        <v>0</v>
      </c>
      <c r="J426" s="18" t="b">
        <v>0</v>
      </c>
      <c r="K426" s="18" t="b">
        <v>0</v>
      </c>
      <c r="L426" s="18" t="b">
        <v>0</v>
      </c>
      <c r="M426" s="18" t="b">
        <v>0</v>
      </c>
      <c r="N426" s="18" t="b">
        <v>0</v>
      </c>
      <c r="O426" s="18" t="b">
        <v>0</v>
      </c>
      <c r="P426" s="18" t="b">
        <v>0</v>
      </c>
      <c r="Q426" s="18" t="b">
        <v>0</v>
      </c>
      <c r="R426" s="18" t="b">
        <v>1</v>
      </c>
    </row>
    <row r="427" spans="1:18" ht="18">
      <c r="A427" s="61" t="s">
        <v>1412</v>
      </c>
      <c r="B427" s="15" t="s">
        <v>1412</v>
      </c>
      <c r="C427" s="18" t="s">
        <v>1413</v>
      </c>
      <c r="D427" s="17" t="s">
        <v>1414</v>
      </c>
      <c r="E427" s="18" t="s">
        <v>471</v>
      </c>
      <c r="F427" s="19" t="s">
        <v>27</v>
      </c>
      <c r="G427" s="18" t="b">
        <v>0</v>
      </c>
      <c r="H427" s="18" t="b">
        <v>0</v>
      </c>
      <c r="I427" s="18" t="b">
        <v>0</v>
      </c>
      <c r="J427" s="18" t="b">
        <v>0</v>
      </c>
      <c r="K427" s="18" t="b">
        <v>0</v>
      </c>
      <c r="L427" s="18" t="b">
        <v>0</v>
      </c>
      <c r="M427" s="18" t="b">
        <v>0</v>
      </c>
      <c r="N427" s="18" t="b">
        <v>0</v>
      </c>
      <c r="O427" s="18" t="b">
        <v>0</v>
      </c>
      <c r="P427" s="18" t="b">
        <v>0</v>
      </c>
      <c r="Q427" s="18" t="b">
        <v>0</v>
      </c>
      <c r="R427" s="18" t="b">
        <v>1</v>
      </c>
    </row>
    <row r="428" spans="1:18" ht="30.75">
      <c r="A428" s="98" t="s">
        <v>1415</v>
      </c>
      <c r="B428" s="15" t="s">
        <v>1415</v>
      </c>
      <c r="C428" s="44" t="s">
        <v>1416</v>
      </c>
      <c r="D428" s="88" t="s">
        <v>1417</v>
      </c>
      <c r="E428" s="18" t="s">
        <v>33</v>
      </c>
      <c r="F428" s="19" t="s">
        <v>27</v>
      </c>
      <c r="G428" s="18" t="b">
        <v>0</v>
      </c>
      <c r="H428" s="18" t="b">
        <v>0</v>
      </c>
      <c r="I428" s="18" t="b">
        <v>0</v>
      </c>
      <c r="J428" s="18" t="b">
        <v>0</v>
      </c>
      <c r="K428" s="18" t="b">
        <v>0</v>
      </c>
      <c r="L428" s="18" t="b">
        <v>0</v>
      </c>
      <c r="M428" s="18" t="b">
        <v>0</v>
      </c>
      <c r="N428" s="18" t="b">
        <v>0</v>
      </c>
      <c r="O428" s="18" t="b">
        <v>0</v>
      </c>
      <c r="P428" s="18" t="b">
        <v>0</v>
      </c>
      <c r="Q428" s="18" t="b">
        <v>0</v>
      </c>
      <c r="R428" s="18" t="b">
        <v>1</v>
      </c>
    </row>
    <row r="429" spans="1:18" ht="15" hidden="1">
      <c r="A429" s="17" t="s">
        <v>1418</v>
      </c>
      <c r="B429" s="15" t="s">
        <v>1419</v>
      </c>
      <c r="C429" s="18" t="s">
        <v>1420</v>
      </c>
      <c r="D429" s="18" t="s">
        <v>1421</v>
      </c>
      <c r="E429" s="16" t="s">
        <v>60</v>
      </c>
      <c r="F429" s="19" t="s">
        <v>38</v>
      </c>
      <c r="G429" s="18" t="b">
        <v>0</v>
      </c>
      <c r="H429" s="18" t="b">
        <v>0</v>
      </c>
      <c r="I429" s="18" t="b">
        <v>0</v>
      </c>
      <c r="J429" s="18" t="b">
        <v>0</v>
      </c>
      <c r="K429" s="18" t="b">
        <v>0</v>
      </c>
      <c r="L429" s="18" t="b">
        <v>0</v>
      </c>
      <c r="M429" s="18" t="b">
        <v>1</v>
      </c>
      <c r="N429" s="18" t="b">
        <v>0</v>
      </c>
      <c r="O429" s="18" t="b">
        <v>0</v>
      </c>
      <c r="P429" s="18" t="b">
        <v>0</v>
      </c>
      <c r="Q429" s="18" t="b">
        <v>0</v>
      </c>
      <c r="R429" s="18" t="b">
        <v>0</v>
      </c>
    </row>
    <row r="430" spans="1:18" ht="18">
      <c r="A430" s="87" t="s">
        <v>1422</v>
      </c>
      <c r="B430" s="15" t="s">
        <v>1423</v>
      </c>
      <c r="C430" s="124" t="s">
        <v>1424</v>
      </c>
      <c r="D430" s="143" t="s">
        <v>1425</v>
      </c>
      <c r="E430" s="18" t="s">
        <v>33</v>
      </c>
      <c r="F430" s="19" t="s">
        <v>27</v>
      </c>
      <c r="G430" s="18" t="b">
        <v>0</v>
      </c>
      <c r="H430" s="18" t="b">
        <v>0</v>
      </c>
      <c r="I430" s="18" t="b">
        <v>0</v>
      </c>
      <c r="J430" s="18" t="b">
        <v>0</v>
      </c>
      <c r="K430" s="18" t="b">
        <v>0</v>
      </c>
      <c r="L430" s="18" t="b">
        <v>0</v>
      </c>
      <c r="M430" s="18" t="b">
        <v>0</v>
      </c>
      <c r="N430" s="18" t="b">
        <v>0</v>
      </c>
      <c r="O430" s="18" t="b">
        <v>0</v>
      </c>
      <c r="P430" s="18" t="b">
        <v>0</v>
      </c>
      <c r="Q430" s="18" t="b">
        <v>0</v>
      </c>
      <c r="R430" s="18" t="b">
        <v>1</v>
      </c>
    </row>
    <row r="431" spans="1:18" ht="18" hidden="1">
      <c r="A431" s="61" t="s">
        <v>1426</v>
      </c>
      <c r="B431" s="51" t="s">
        <v>1426</v>
      </c>
      <c r="C431" s="17" t="s">
        <v>1427</v>
      </c>
      <c r="D431" s="17" t="s">
        <v>1428</v>
      </c>
      <c r="E431" s="18" t="s">
        <v>69</v>
      </c>
      <c r="F431" s="19" t="s">
        <v>34</v>
      </c>
      <c r="G431" s="18" t="b">
        <v>0</v>
      </c>
      <c r="H431" s="18" t="b">
        <v>0</v>
      </c>
      <c r="I431" s="18" t="b">
        <v>0</v>
      </c>
      <c r="J431" s="18" t="b">
        <v>0</v>
      </c>
      <c r="K431" s="18" t="b">
        <v>0</v>
      </c>
      <c r="L431" s="18" t="b">
        <v>0</v>
      </c>
      <c r="M431" s="18" t="b">
        <v>0</v>
      </c>
      <c r="N431" s="18" t="b">
        <v>0</v>
      </c>
      <c r="O431" s="18" t="b">
        <v>1</v>
      </c>
      <c r="P431" s="18" t="b">
        <v>0</v>
      </c>
      <c r="Q431" s="18" t="b">
        <v>0</v>
      </c>
      <c r="R431" s="18" t="b">
        <v>0</v>
      </c>
    </row>
    <row r="432" spans="1:18" ht="18">
      <c r="A432" s="61" t="s">
        <v>1429</v>
      </c>
      <c r="B432" s="81" t="s">
        <v>1430</v>
      </c>
      <c r="C432" s="18" t="s">
        <v>1431</v>
      </c>
      <c r="D432" s="17" t="s">
        <v>1432</v>
      </c>
      <c r="E432" s="18" t="s">
        <v>33</v>
      </c>
      <c r="F432" s="19" t="s">
        <v>27</v>
      </c>
      <c r="G432" s="18" t="b">
        <v>0</v>
      </c>
      <c r="H432" s="18" t="b">
        <v>0</v>
      </c>
      <c r="I432" s="18" t="b">
        <v>0</v>
      </c>
      <c r="J432" s="18" t="b">
        <v>0</v>
      </c>
      <c r="K432" s="18" t="b">
        <v>0</v>
      </c>
      <c r="L432" s="18" t="b">
        <v>0</v>
      </c>
      <c r="M432" s="18" t="b">
        <v>0</v>
      </c>
      <c r="N432" s="18" t="b">
        <v>0</v>
      </c>
      <c r="O432" s="18" t="b">
        <v>0</v>
      </c>
      <c r="P432" s="18" t="b">
        <v>0</v>
      </c>
      <c r="Q432" s="18" t="b">
        <v>0</v>
      </c>
      <c r="R432" s="18" t="b">
        <v>1</v>
      </c>
    </row>
    <row r="433" spans="1:18" ht="15" hidden="1">
      <c r="A433" s="17" t="s">
        <v>1433</v>
      </c>
      <c r="B433" s="15"/>
      <c r="C433" s="18" t="s">
        <v>1434</v>
      </c>
      <c r="D433" s="18" t="s">
        <v>1435</v>
      </c>
      <c r="E433" s="18" t="s">
        <v>178</v>
      </c>
      <c r="F433" s="19" t="s">
        <v>38</v>
      </c>
      <c r="G433" s="18" t="b">
        <v>0</v>
      </c>
      <c r="H433" s="18" t="b">
        <v>0</v>
      </c>
      <c r="I433" s="18" t="b">
        <v>0</v>
      </c>
      <c r="J433" s="18" t="b">
        <v>0</v>
      </c>
      <c r="K433" s="18" t="b">
        <v>0</v>
      </c>
      <c r="L433" s="18" t="b">
        <v>0</v>
      </c>
      <c r="M433" s="18" t="b">
        <v>1</v>
      </c>
      <c r="N433" s="18" t="b">
        <v>1</v>
      </c>
      <c r="O433" s="18" t="b">
        <v>0</v>
      </c>
      <c r="P433" s="18" t="b">
        <v>0</v>
      </c>
      <c r="Q433" s="18" t="b">
        <v>0</v>
      </c>
      <c r="R433" s="18" t="b">
        <v>0</v>
      </c>
    </row>
    <row r="434" spans="1:18" ht="15" hidden="1">
      <c r="A434" s="18" t="s">
        <v>1436</v>
      </c>
      <c r="B434" s="15" t="s">
        <v>1436</v>
      </c>
      <c r="C434" s="18" t="s">
        <v>1437</v>
      </c>
      <c r="D434" s="17" t="s">
        <v>1438</v>
      </c>
      <c r="E434" s="18" t="s">
        <v>52</v>
      </c>
      <c r="F434" s="19" t="s">
        <v>38</v>
      </c>
      <c r="G434" s="18" t="b">
        <v>0</v>
      </c>
      <c r="H434" s="18" t="b">
        <v>0</v>
      </c>
      <c r="I434" s="18" t="b">
        <v>0</v>
      </c>
      <c r="J434" s="18" t="b">
        <v>1</v>
      </c>
      <c r="K434" s="18" t="b">
        <v>1</v>
      </c>
      <c r="L434" s="18" t="b">
        <v>0</v>
      </c>
      <c r="M434" s="18" t="b">
        <v>0</v>
      </c>
      <c r="N434" s="18" t="b">
        <v>0</v>
      </c>
      <c r="O434" s="18" t="b">
        <v>0</v>
      </c>
      <c r="P434" s="18" t="b">
        <v>0</v>
      </c>
      <c r="Q434" s="18" t="b">
        <v>0</v>
      </c>
      <c r="R434" s="18" t="b">
        <v>1</v>
      </c>
    </row>
    <row r="435" spans="1:18" ht="18">
      <c r="A435" s="61" t="s">
        <v>1439</v>
      </c>
      <c r="B435" s="15" t="s">
        <v>1439</v>
      </c>
      <c r="C435" s="18" t="s">
        <v>1440</v>
      </c>
      <c r="D435" s="17" t="s">
        <v>1441</v>
      </c>
      <c r="E435" s="18" t="s">
        <v>471</v>
      </c>
      <c r="F435" s="19" t="s">
        <v>27</v>
      </c>
      <c r="G435" s="18" t="b">
        <v>0</v>
      </c>
      <c r="H435" s="18" t="b">
        <v>0</v>
      </c>
      <c r="I435" s="18" t="b">
        <v>0</v>
      </c>
      <c r="J435" s="18" t="b">
        <v>0</v>
      </c>
      <c r="K435" s="18" t="b">
        <v>0</v>
      </c>
      <c r="L435" s="18" t="b">
        <v>0</v>
      </c>
      <c r="M435" s="18" t="b">
        <v>0</v>
      </c>
      <c r="N435" s="18" t="b">
        <v>0</v>
      </c>
      <c r="O435" s="18" t="b">
        <v>0</v>
      </c>
      <c r="P435" s="18" t="b">
        <v>0</v>
      </c>
      <c r="Q435" s="18" t="b">
        <v>0</v>
      </c>
      <c r="R435" s="18" t="b">
        <v>1</v>
      </c>
    </row>
    <row r="436" spans="1:18" ht="18">
      <c r="A436" s="61" t="s">
        <v>1442</v>
      </c>
      <c r="B436" s="51" t="s">
        <v>1443</v>
      </c>
      <c r="C436" s="17" t="s">
        <v>1444</v>
      </c>
      <c r="D436" s="17" t="s">
        <v>1445</v>
      </c>
      <c r="E436" s="18" t="s">
        <v>33</v>
      </c>
      <c r="F436" s="19" t="s">
        <v>27</v>
      </c>
      <c r="G436" s="18" t="b">
        <v>0</v>
      </c>
      <c r="H436" s="18" t="b">
        <v>0</v>
      </c>
      <c r="I436" s="18" t="b">
        <v>0</v>
      </c>
      <c r="J436" s="18" t="b">
        <v>0</v>
      </c>
      <c r="K436" s="18" t="b">
        <v>0</v>
      </c>
      <c r="L436" s="18" t="b">
        <v>0</v>
      </c>
      <c r="M436" s="18" t="b">
        <v>0</v>
      </c>
      <c r="N436" s="18" t="b">
        <v>0</v>
      </c>
      <c r="O436" s="18" t="b">
        <v>0</v>
      </c>
      <c r="P436" s="18" t="b">
        <v>0</v>
      </c>
      <c r="Q436" s="18" t="b">
        <v>0</v>
      </c>
      <c r="R436" s="18" t="b">
        <v>1</v>
      </c>
    </row>
    <row r="437" spans="1:18" ht="18" hidden="1">
      <c r="A437" s="61" t="s">
        <v>1446</v>
      </c>
      <c r="B437" s="15" t="s">
        <v>1446</v>
      </c>
      <c r="C437" s="18" t="s">
        <v>1447</v>
      </c>
      <c r="D437" s="17" t="s">
        <v>1448</v>
      </c>
      <c r="E437" s="18" t="s">
        <v>990</v>
      </c>
      <c r="F437" s="19" t="s">
        <v>38</v>
      </c>
      <c r="G437" s="18" t="b">
        <v>0</v>
      </c>
      <c r="H437" s="18" t="b">
        <v>0</v>
      </c>
      <c r="I437" s="18" t="b">
        <v>0</v>
      </c>
      <c r="J437" s="18" t="b">
        <v>0</v>
      </c>
      <c r="K437" s="18" t="b">
        <v>0</v>
      </c>
      <c r="L437" s="18" t="b">
        <v>0</v>
      </c>
      <c r="M437" s="18" t="b">
        <v>0</v>
      </c>
      <c r="N437" s="18" t="b">
        <v>0</v>
      </c>
      <c r="O437" s="18" t="b">
        <v>0</v>
      </c>
      <c r="P437" s="18" t="b">
        <v>0</v>
      </c>
      <c r="Q437" s="18" t="b">
        <v>0</v>
      </c>
      <c r="R437" s="18" t="b">
        <v>1</v>
      </c>
    </row>
    <row r="438" spans="1:18" ht="18">
      <c r="A438" s="61" t="s">
        <v>1449</v>
      </c>
      <c r="B438" s="72"/>
      <c r="C438" s="100" t="s">
        <v>1450</v>
      </c>
      <c r="D438" s="17" t="s">
        <v>1451</v>
      </c>
      <c r="E438" s="18" t="s">
        <v>33</v>
      </c>
      <c r="F438" s="19" t="s">
        <v>27</v>
      </c>
      <c r="G438" s="18" t="b">
        <v>0</v>
      </c>
      <c r="H438" s="18" t="b">
        <v>0</v>
      </c>
      <c r="I438" s="18" t="b">
        <v>0</v>
      </c>
      <c r="J438" s="18" t="b">
        <v>0</v>
      </c>
      <c r="K438" s="18" t="b">
        <v>0</v>
      </c>
      <c r="L438" s="18" t="b">
        <v>0</v>
      </c>
      <c r="M438" s="18" t="b">
        <v>0</v>
      </c>
      <c r="N438" s="18" t="b">
        <v>0</v>
      </c>
      <c r="O438" s="18" t="b">
        <v>0</v>
      </c>
      <c r="P438" s="18" t="b">
        <v>0</v>
      </c>
      <c r="Q438" s="18" t="b">
        <v>0</v>
      </c>
      <c r="R438" s="18" t="b">
        <v>1</v>
      </c>
    </row>
    <row r="439" spans="1:18" ht="18">
      <c r="A439" s="61" t="s">
        <v>1452</v>
      </c>
      <c r="B439" s="81" t="s">
        <v>1452</v>
      </c>
      <c r="C439" s="18" t="s">
        <v>1453</v>
      </c>
      <c r="D439" s="17" t="s">
        <v>1454</v>
      </c>
      <c r="E439" s="18" t="s">
        <v>33</v>
      </c>
      <c r="F439" s="19" t="s">
        <v>27</v>
      </c>
      <c r="G439" s="18" t="b">
        <v>0</v>
      </c>
      <c r="H439" s="18" t="b">
        <v>0</v>
      </c>
      <c r="I439" s="18" t="b">
        <v>0</v>
      </c>
      <c r="J439" s="18" t="b">
        <v>0</v>
      </c>
      <c r="K439" s="18" t="b">
        <v>0</v>
      </c>
      <c r="L439" s="18" t="b">
        <v>0</v>
      </c>
      <c r="M439" s="18" t="b">
        <v>0</v>
      </c>
      <c r="N439" s="18" t="b">
        <v>0</v>
      </c>
      <c r="O439" s="18" t="b">
        <v>0</v>
      </c>
      <c r="P439" s="18" t="b">
        <v>0</v>
      </c>
      <c r="Q439" s="18" t="b">
        <v>0</v>
      </c>
      <c r="R439" s="18" t="b">
        <v>1</v>
      </c>
    </row>
    <row r="440" spans="1:18" ht="18">
      <c r="A440" s="61" t="s">
        <v>1455</v>
      </c>
      <c r="B440" s="51" t="s">
        <v>1455</v>
      </c>
      <c r="C440" s="17" t="s">
        <v>1456</v>
      </c>
      <c r="D440" s="17" t="s">
        <v>1457</v>
      </c>
      <c r="E440" s="18" t="s">
        <v>69</v>
      </c>
      <c r="F440" s="19" t="s">
        <v>27</v>
      </c>
      <c r="G440" s="18" t="b">
        <v>0</v>
      </c>
      <c r="H440" s="18" t="b">
        <v>0</v>
      </c>
      <c r="I440" s="18" t="b">
        <v>0</v>
      </c>
      <c r="J440" s="18" t="b">
        <v>0</v>
      </c>
      <c r="K440" s="18" t="b">
        <v>0</v>
      </c>
      <c r="L440" s="18" t="b">
        <v>0</v>
      </c>
      <c r="M440" s="18" t="b">
        <v>0</v>
      </c>
      <c r="N440" s="18" t="b">
        <v>0</v>
      </c>
      <c r="O440" s="18" t="b">
        <v>1</v>
      </c>
      <c r="P440" s="18" t="b">
        <v>0</v>
      </c>
      <c r="Q440" s="18" t="b">
        <v>0</v>
      </c>
      <c r="R440" s="18" t="b">
        <v>0</v>
      </c>
    </row>
    <row r="441" spans="1:18" ht="18">
      <c r="A441" s="14" t="s">
        <v>1458</v>
      </c>
      <c r="B441" s="15"/>
      <c r="C441" s="18" t="s">
        <v>1459</v>
      </c>
      <c r="D441" s="68" t="s">
        <v>1460</v>
      </c>
      <c r="E441" s="18" t="s">
        <v>33</v>
      </c>
      <c r="F441" s="19" t="s">
        <v>27</v>
      </c>
      <c r="G441" s="18" t="b">
        <v>0</v>
      </c>
      <c r="H441" s="18" t="b">
        <v>0</v>
      </c>
      <c r="I441" s="18" t="b">
        <v>0</v>
      </c>
      <c r="J441" s="18" t="b">
        <v>0</v>
      </c>
      <c r="K441" s="18" t="b">
        <v>0</v>
      </c>
      <c r="L441" s="18" t="b">
        <v>0</v>
      </c>
      <c r="M441" s="18" t="b">
        <v>0</v>
      </c>
      <c r="N441" s="18" t="b">
        <v>0</v>
      </c>
      <c r="O441" s="18" t="b">
        <v>0</v>
      </c>
      <c r="P441" s="18" t="b">
        <v>0</v>
      </c>
      <c r="Q441" s="18" t="b">
        <v>0</v>
      </c>
      <c r="R441" s="18" t="b">
        <v>1</v>
      </c>
    </row>
    <row r="442" spans="1:18" ht="18">
      <c r="A442" s="61" t="s">
        <v>1461</v>
      </c>
      <c r="B442" s="15"/>
      <c r="C442" s="18" t="s">
        <v>1462</v>
      </c>
      <c r="D442" s="17" t="s">
        <v>1463</v>
      </c>
      <c r="E442" s="18" t="s">
        <v>154</v>
      </c>
      <c r="F442" s="19" t="s">
        <v>27</v>
      </c>
      <c r="G442" s="18" t="b">
        <v>0</v>
      </c>
      <c r="H442" s="18" t="b">
        <v>0</v>
      </c>
      <c r="I442" s="18" t="b">
        <v>1</v>
      </c>
      <c r="J442" s="18" t="b">
        <v>0</v>
      </c>
      <c r="K442" s="18" t="b">
        <v>0</v>
      </c>
      <c r="L442" s="18" t="b">
        <v>0</v>
      </c>
      <c r="M442" s="18" t="b">
        <v>0</v>
      </c>
      <c r="N442" s="18" t="b">
        <v>0</v>
      </c>
      <c r="O442" s="18" t="b">
        <v>0</v>
      </c>
      <c r="P442" s="18" t="b">
        <v>1</v>
      </c>
      <c r="Q442" s="18" t="b">
        <v>0</v>
      </c>
      <c r="R442" s="18" t="b">
        <v>0</v>
      </c>
    </row>
    <row r="443" spans="1:18" ht="18">
      <c r="A443" s="61" t="s">
        <v>1464</v>
      </c>
      <c r="B443" s="15" t="s">
        <v>1464</v>
      </c>
      <c r="C443" s="18" t="s">
        <v>1465</v>
      </c>
      <c r="D443" s="17" t="s">
        <v>1466</v>
      </c>
      <c r="E443" s="18" t="s">
        <v>471</v>
      </c>
      <c r="F443" s="19" t="s">
        <v>27</v>
      </c>
      <c r="G443" s="18" t="b">
        <v>0</v>
      </c>
      <c r="H443" s="18" t="b">
        <v>0</v>
      </c>
      <c r="I443" s="18" t="b">
        <v>0</v>
      </c>
      <c r="J443" s="18" t="b">
        <v>0</v>
      </c>
      <c r="K443" s="18" t="b">
        <v>0</v>
      </c>
      <c r="L443" s="18" t="b">
        <v>0</v>
      </c>
      <c r="M443" s="18" t="b">
        <v>0</v>
      </c>
      <c r="N443" s="18" t="b">
        <v>0</v>
      </c>
      <c r="O443" s="18" t="b">
        <v>0</v>
      </c>
      <c r="P443" s="18" t="b">
        <v>0</v>
      </c>
      <c r="Q443" s="18" t="b">
        <v>0</v>
      </c>
      <c r="R443" s="18" t="b">
        <v>1</v>
      </c>
    </row>
    <row r="444" spans="1:18" ht="18">
      <c r="A444" s="61" t="s">
        <v>1467</v>
      </c>
      <c r="B444" s="51" t="s">
        <v>1468</v>
      </c>
      <c r="C444" s="17" t="s">
        <v>1469</v>
      </c>
      <c r="D444" s="17" t="s">
        <v>1470</v>
      </c>
      <c r="E444" s="18" t="s">
        <v>52</v>
      </c>
      <c r="F444" s="19" t="s">
        <v>27</v>
      </c>
      <c r="G444" s="18" t="b">
        <v>0</v>
      </c>
      <c r="H444" s="18" t="b">
        <v>0</v>
      </c>
      <c r="I444" s="18" t="b">
        <v>1</v>
      </c>
      <c r="J444" s="18" t="b">
        <v>0</v>
      </c>
      <c r="K444" s="18" t="b">
        <v>0</v>
      </c>
      <c r="L444" s="18" t="b">
        <v>0</v>
      </c>
      <c r="M444" s="18" t="b">
        <v>0</v>
      </c>
      <c r="N444" s="18" t="b">
        <v>0</v>
      </c>
      <c r="O444" s="18" t="b">
        <v>0</v>
      </c>
      <c r="P444" s="18" t="b">
        <v>0</v>
      </c>
      <c r="Q444" s="18" t="b">
        <v>0</v>
      </c>
      <c r="R444" s="18" t="b">
        <v>0</v>
      </c>
    </row>
    <row r="445" spans="1:18" ht="15" hidden="1">
      <c r="A445" s="17" t="s">
        <v>1471</v>
      </c>
      <c r="B445" s="51" t="s">
        <v>1471</v>
      </c>
      <c r="C445" s="17" t="s">
        <v>1472</v>
      </c>
      <c r="D445" s="48" t="s">
        <v>1473</v>
      </c>
      <c r="E445" s="18" t="s">
        <v>140</v>
      </c>
      <c r="F445" s="19" t="s">
        <v>34</v>
      </c>
      <c r="G445" s="18" t="b">
        <v>0</v>
      </c>
      <c r="H445" s="18" t="b">
        <v>1</v>
      </c>
      <c r="I445" s="18" t="b">
        <v>0</v>
      </c>
      <c r="J445" s="18" t="b">
        <v>0</v>
      </c>
      <c r="K445" s="18" t="b">
        <v>0</v>
      </c>
      <c r="L445" s="18" t="b">
        <v>0</v>
      </c>
      <c r="M445" s="18" t="b">
        <v>0</v>
      </c>
      <c r="N445" s="18" t="b">
        <v>0</v>
      </c>
      <c r="O445" s="18" t="b">
        <v>0</v>
      </c>
      <c r="P445" s="18" t="b">
        <v>0</v>
      </c>
      <c r="Q445" s="18" t="b">
        <v>0</v>
      </c>
      <c r="R445" s="18" t="b">
        <v>0</v>
      </c>
    </row>
    <row r="446" spans="1:18" ht="18">
      <c r="A446" s="87" t="s">
        <v>1474</v>
      </c>
      <c r="B446" s="15" t="s">
        <v>1474</v>
      </c>
      <c r="C446" s="44" t="s">
        <v>1475</v>
      </c>
      <c r="D446" s="45" t="s">
        <v>1476</v>
      </c>
      <c r="E446" s="18" t="s">
        <v>33</v>
      </c>
      <c r="F446" s="19" t="s">
        <v>27</v>
      </c>
      <c r="G446" s="18" t="b">
        <v>0</v>
      </c>
      <c r="H446" s="18" t="b">
        <v>0</v>
      </c>
      <c r="I446" s="18" t="b">
        <v>0</v>
      </c>
      <c r="J446" s="18" t="b">
        <v>0</v>
      </c>
      <c r="K446" s="18" t="b">
        <v>0</v>
      </c>
      <c r="L446" s="18" t="b">
        <v>0</v>
      </c>
      <c r="M446" s="18" t="b">
        <v>0</v>
      </c>
      <c r="N446" s="18" t="b">
        <v>0</v>
      </c>
      <c r="O446" s="18" t="b">
        <v>0</v>
      </c>
      <c r="P446" s="18" t="b">
        <v>0</v>
      </c>
      <c r="Q446" s="18" t="b">
        <v>0</v>
      </c>
      <c r="R446" s="18" t="b">
        <v>1</v>
      </c>
    </row>
    <row r="447" spans="1:18" ht="18" hidden="1">
      <c r="A447" s="61" t="s">
        <v>1477</v>
      </c>
      <c r="B447" s="15" t="s">
        <v>1477</v>
      </c>
      <c r="C447" s="18" t="s">
        <v>1478</v>
      </c>
      <c r="D447" s="17" t="s">
        <v>1479</v>
      </c>
      <c r="E447" s="16" t="s">
        <v>60</v>
      </c>
      <c r="F447" s="19" t="s">
        <v>38</v>
      </c>
      <c r="G447" s="18" t="b">
        <v>0</v>
      </c>
      <c r="H447" s="18" t="b">
        <v>0</v>
      </c>
      <c r="I447" s="18" t="b">
        <v>0</v>
      </c>
      <c r="J447" s="18" t="b">
        <v>0</v>
      </c>
      <c r="K447" s="18" t="b">
        <v>0</v>
      </c>
      <c r="L447" s="18" t="b">
        <v>0</v>
      </c>
      <c r="M447" s="18" t="b">
        <v>1</v>
      </c>
      <c r="N447" s="18" t="b">
        <v>0</v>
      </c>
      <c r="O447" s="18" t="b">
        <v>0</v>
      </c>
      <c r="P447" s="18" t="b">
        <v>0</v>
      </c>
      <c r="Q447" s="18" t="b">
        <v>0</v>
      </c>
      <c r="R447" s="18" t="b">
        <v>0</v>
      </c>
    </row>
    <row r="448" spans="1:18" ht="45.75" hidden="1">
      <c r="A448" s="87" t="s">
        <v>1480</v>
      </c>
      <c r="B448" s="15" t="s">
        <v>1480</v>
      </c>
      <c r="C448" s="44" t="s">
        <v>1481</v>
      </c>
      <c r="D448" s="88" t="s">
        <v>1482</v>
      </c>
      <c r="E448" s="18" t="s">
        <v>69</v>
      </c>
      <c r="F448" s="19" t="s">
        <v>34</v>
      </c>
      <c r="G448" s="18" t="b">
        <v>0</v>
      </c>
      <c r="H448" s="18" t="b">
        <v>0</v>
      </c>
      <c r="I448" s="18" t="b">
        <v>0</v>
      </c>
      <c r="J448" s="18" t="b">
        <v>0</v>
      </c>
      <c r="K448" s="18" t="b">
        <v>0</v>
      </c>
      <c r="L448" s="18" t="b">
        <v>0</v>
      </c>
      <c r="M448" s="18" t="b">
        <v>0</v>
      </c>
      <c r="N448" s="18" t="b">
        <v>0</v>
      </c>
      <c r="O448" s="18" t="b">
        <v>1</v>
      </c>
      <c r="P448" s="18" t="b">
        <v>0</v>
      </c>
      <c r="Q448" s="18" t="b">
        <v>0</v>
      </c>
      <c r="R448" s="18" t="b">
        <v>0</v>
      </c>
    </row>
    <row r="449" spans="1:18" ht="18" hidden="1">
      <c r="A449" s="61" t="s">
        <v>1483</v>
      </c>
      <c r="B449" s="99" t="s">
        <v>1483</v>
      </c>
      <c r="C449" s="17" t="s">
        <v>1484</v>
      </c>
      <c r="D449" s="17" t="s">
        <v>1485</v>
      </c>
      <c r="E449" s="18" t="s">
        <v>33</v>
      </c>
      <c r="F449" s="19" t="s">
        <v>34</v>
      </c>
      <c r="G449" s="18" t="b">
        <v>0</v>
      </c>
      <c r="H449" s="18" t="b">
        <v>0</v>
      </c>
      <c r="I449" s="18" t="b">
        <v>0</v>
      </c>
      <c r="J449" s="18" t="b">
        <v>0</v>
      </c>
      <c r="K449" s="18" t="b">
        <v>0</v>
      </c>
      <c r="L449" s="18" t="b">
        <v>0</v>
      </c>
      <c r="M449" s="18" t="b">
        <v>0</v>
      </c>
      <c r="N449" s="18" t="b">
        <v>0</v>
      </c>
      <c r="O449" s="18" t="b">
        <v>1</v>
      </c>
      <c r="P449" s="18" t="b">
        <v>0</v>
      </c>
      <c r="Q449" s="18" t="b">
        <v>0</v>
      </c>
      <c r="R449" s="18" t="b">
        <v>1</v>
      </c>
    </row>
    <row r="450" spans="1:18" ht="18">
      <c r="A450" s="61" t="s">
        <v>1486</v>
      </c>
      <c r="B450" s="15" t="s">
        <v>1487</v>
      </c>
      <c r="C450" s="17" t="s">
        <v>1488</v>
      </c>
      <c r="D450" s="17" t="s">
        <v>1489</v>
      </c>
      <c r="E450" s="18" t="s">
        <v>33</v>
      </c>
      <c r="F450" s="19" t="s">
        <v>27</v>
      </c>
      <c r="G450" s="18" t="b">
        <v>0</v>
      </c>
      <c r="H450" s="18" t="b">
        <v>0</v>
      </c>
      <c r="I450" s="18" t="b">
        <v>0</v>
      </c>
      <c r="J450" s="18" t="b">
        <v>0</v>
      </c>
      <c r="K450" s="18" t="b">
        <v>0</v>
      </c>
      <c r="L450" s="18" t="b">
        <v>0</v>
      </c>
      <c r="M450" s="18" t="b">
        <v>0</v>
      </c>
      <c r="N450" s="18" t="b">
        <v>0</v>
      </c>
      <c r="O450" s="18" t="b">
        <v>0</v>
      </c>
      <c r="P450" s="18" t="b">
        <v>0</v>
      </c>
      <c r="Q450" s="18" t="b">
        <v>0</v>
      </c>
      <c r="R450" s="18" t="b">
        <v>1</v>
      </c>
    </row>
    <row r="451" spans="1:18" ht="18">
      <c r="A451" s="61" t="s">
        <v>1490</v>
      </c>
      <c r="B451" s="93" t="s">
        <v>1490</v>
      </c>
      <c r="C451" s="18" t="s">
        <v>1491</v>
      </c>
      <c r="D451" s="45" t="s">
        <v>1492</v>
      </c>
      <c r="E451" s="18" t="s">
        <v>43</v>
      </c>
      <c r="F451" s="19" t="s">
        <v>27</v>
      </c>
      <c r="G451" s="18" t="b">
        <v>1</v>
      </c>
      <c r="H451" s="18" t="b">
        <v>0</v>
      </c>
      <c r="I451" s="18" t="b">
        <v>0</v>
      </c>
      <c r="J451" s="18" t="b">
        <v>0</v>
      </c>
      <c r="K451" s="18" t="b">
        <v>0</v>
      </c>
      <c r="L451" s="18" t="b">
        <v>0</v>
      </c>
      <c r="M451" s="18" t="b">
        <v>0</v>
      </c>
      <c r="N451" s="18" t="b">
        <v>0</v>
      </c>
      <c r="O451" s="18" t="b">
        <v>0</v>
      </c>
      <c r="P451" s="18" t="b">
        <v>0</v>
      </c>
      <c r="Q451" s="18" t="b">
        <v>0</v>
      </c>
      <c r="R451" s="18" t="b">
        <v>0</v>
      </c>
    </row>
    <row r="452" spans="1:18" ht="15" hidden="1">
      <c r="A452" s="17" t="s">
        <v>1493</v>
      </c>
      <c r="B452" s="81" t="s">
        <v>1494</v>
      </c>
      <c r="C452" s="18" t="s">
        <v>1495</v>
      </c>
      <c r="D452" s="17" t="s">
        <v>1496</v>
      </c>
      <c r="E452" s="18" t="s">
        <v>178</v>
      </c>
      <c r="F452" s="19" t="s">
        <v>34</v>
      </c>
      <c r="G452" s="18" t="b">
        <v>0</v>
      </c>
      <c r="H452" s="18" t="b">
        <v>0</v>
      </c>
      <c r="I452" s="18" t="b">
        <v>0</v>
      </c>
      <c r="J452" s="18" t="b">
        <v>0</v>
      </c>
      <c r="K452" s="18" t="b">
        <v>0</v>
      </c>
      <c r="L452" s="18" t="b">
        <v>0</v>
      </c>
      <c r="M452" s="18" t="b">
        <v>1</v>
      </c>
      <c r="N452" s="18" t="b">
        <v>1</v>
      </c>
      <c r="O452" s="18" t="b">
        <v>0</v>
      </c>
      <c r="P452" s="18" t="b">
        <v>0</v>
      </c>
      <c r="Q452" s="18" t="b">
        <v>0</v>
      </c>
      <c r="R452" s="18" t="b">
        <v>0</v>
      </c>
    </row>
    <row r="453" spans="1:18" ht="15" hidden="1">
      <c r="A453" s="17" t="s">
        <v>1497</v>
      </c>
      <c r="B453" s="51" t="s">
        <v>1498</v>
      </c>
      <c r="C453" s="17" t="s">
        <v>1499</v>
      </c>
      <c r="D453" s="48" t="s">
        <v>1500</v>
      </c>
      <c r="E453" s="18" t="s">
        <v>52</v>
      </c>
      <c r="F453" s="19" t="s">
        <v>38</v>
      </c>
      <c r="G453" s="18" t="b">
        <v>0</v>
      </c>
      <c r="H453" s="18" t="b">
        <v>0</v>
      </c>
      <c r="I453" s="18" t="b">
        <v>1</v>
      </c>
      <c r="J453" s="18" t="b">
        <v>0</v>
      </c>
      <c r="K453" s="18" t="b">
        <v>0</v>
      </c>
      <c r="L453" s="18" t="b">
        <v>0</v>
      </c>
      <c r="M453" s="18" t="b">
        <v>0</v>
      </c>
      <c r="N453" s="18" t="b">
        <v>0</v>
      </c>
      <c r="O453" s="18" t="b">
        <v>0</v>
      </c>
      <c r="P453" s="18" t="b">
        <v>0</v>
      </c>
      <c r="Q453" s="18" t="b">
        <v>0</v>
      </c>
      <c r="R453" s="18" t="b">
        <v>0</v>
      </c>
    </row>
    <row r="454" spans="1:18" ht="18">
      <c r="A454" s="61" t="s">
        <v>1501</v>
      </c>
      <c r="B454" s="51" t="s">
        <v>1501</v>
      </c>
      <c r="C454" s="17" t="s">
        <v>1502</v>
      </c>
      <c r="D454" s="17" t="s">
        <v>1503</v>
      </c>
      <c r="E454" s="16" t="s">
        <v>60</v>
      </c>
      <c r="F454" s="19" t="s">
        <v>27</v>
      </c>
      <c r="G454" s="18" t="b">
        <v>0</v>
      </c>
      <c r="H454" s="18" t="b">
        <v>0</v>
      </c>
      <c r="I454" s="18" t="b">
        <v>0</v>
      </c>
      <c r="J454" s="18" t="b">
        <v>0</v>
      </c>
      <c r="K454" s="18" t="b">
        <v>0</v>
      </c>
      <c r="L454" s="18" t="b">
        <v>0</v>
      </c>
      <c r="M454" s="18" t="b">
        <v>1</v>
      </c>
      <c r="N454" s="18" t="b">
        <v>0</v>
      </c>
      <c r="O454" s="18" t="b">
        <v>0</v>
      </c>
      <c r="P454" s="18" t="b">
        <v>0</v>
      </c>
      <c r="Q454" s="18" t="b">
        <v>0</v>
      </c>
      <c r="R454" s="18" t="b">
        <v>0</v>
      </c>
    </row>
    <row r="455" spans="1:18" ht="18">
      <c r="A455" s="61" t="s">
        <v>1504</v>
      </c>
      <c r="B455" s="15" t="s">
        <v>1505</v>
      </c>
      <c r="C455" s="17" t="s">
        <v>1506</v>
      </c>
      <c r="D455" s="17" t="s">
        <v>1507</v>
      </c>
      <c r="E455" s="18" t="s">
        <v>69</v>
      </c>
      <c r="F455" s="19" t="s">
        <v>27</v>
      </c>
      <c r="G455" s="18" t="b">
        <v>0</v>
      </c>
      <c r="H455" s="18" t="b">
        <v>0</v>
      </c>
      <c r="I455" s="18" t="b">
        <v>0</v>
      </c>
      <c r="J455" s="18" t="b">
        <v>0</v>
      </c>
      <c r="K455" s="18" t="b">
        <v>0</v>
      </c>
      <c r="L455" s="18" t="b">
        <v>0</v>
      </c>
      <c r="M455" s="18" t="b">
        <v>0</v>
      </c>
      <c r="N455" s="18" t="b">
        <v>0</v>
      </c>
      <c r="O455" s="18" t="b">
        <v>1</v>
      </c>
      <c r="P455" s="18" t="b">
        <v>0</v>
      </c>
      <c r="Q455" s="18" t="b">
        <v>0</v>
      </c>
      <c r="R455" s="18" t="b">
        <v>0</v>
      </c>
    </row>
    <row r="456" spans="1:18" ht="18">
      <c r="A456" s="61" t="s">
        <v>1508</v>
      </c>
      <c r="B456" s="15" t="s">
        <v>1508</v>
      </c>
      <c r="C456" s="100" t="s">
        <v>1509</v>
      </c>
      <c r="D456" s="17" t="s">
        <v>1510</v>
      </c>
      <c r="E456" s="16" t="s">
        <v>60</v>
      </c>
      <c r="F456" s="19" t="s">
        <v>27</v>
      </c>
      <c r="G456" s="18" t="b">
        <v>0</v>
      </c>
      <c r="H456" s="18" t="b">
        <v>0</v>
      </c>
      <c r="I456" s="18" t="b">
        <v>0</v>
      </c>
      <c r="J456" s="18" t="b">
        <v>0</v>
      </c>
      <c r="K456" s="18" t="b">
        <v>0</v>
      </c>
      <c r="L456" s="18" t="b">
        <v>0</v>
      </c>
      <c r="M456" s="18" t="b">
        <v>1</v>
      </c>
      <c r="N456" s="18" t="b">
        <v>0</v>
      </c>
      <c r="O456" s="18" t="b">
        <v>0</v>
      </c>
      <c r="P456" s="18" t="b">
        <v>0</v>
      </c>
      <c r="Q456" s="18" t="b">
        <v>0</v>
      </c>
      <c r="R456" s="18" t="b">
        <v>0</v>
      </c>
    </row>
    <row r="457" spans="1:18" ht="15" hidden="1">
      <c r="A457" s="17" t="s">
        <v>1511</v>
      </c>
      <c r="B457" s="15"/>
      <c r="C457" s="44"/>
      <c r="D457" s="44"/>
      <c r="E457" s="18"/>
      <c r="F457" s="19" t="s">
        <v>34</v>
      </c>
      <c r="G457" s="18" t="b">
        <v>0</v>
      </c>
      <c r="H457" s="18" t="b">
        <v>0</v>
      </c>
      <c r="I457" s="18" t="b">
        <v>0</v>
      </c>
      <c r="J457" s="18" t="b">
        <v>0</v>
      </c>
      <c r="K457" s="18" t="b">
        <v>0</v>
      </c>
      <c r="L457" s="18" t="b">
        <v>0</v>
      </c>
      <c r="M457" s="18" t="b">
        <v>0</v>
      </c>
      <c r="N457" s="18" t="b">
        <v>0</v>
      </c>
      <c r="O457" s="18" t="b">
        <v>0</v>
      </c>
      <c r="P457" s="18" t="b">
        <v>0</v>
      </c>
      <c r="Q457" s="18" t="b">
        <v>0</v>
      </c>
      <c r="R457" s="18" t="b">
        <v>1</v>
      </c>
    </row>
    <row r="458" spans="1:18" ht="15" hidden="1">
      <c r="A458" s="76" t="s">
        <v>1512</v>
      </c>
      <c r="B458" s="15"/>
      <c r="C458" s="31" t="s">
        <v>1513</v>
      </c>
      <c r="D458" s="31" t="s">
        <v>1514</v>
      </c>
      <c r="E458" s="16" t="s">
        <v>178</v>
      </c>
      <c r="F458" s="19" t="s">
        <v>38</v>
      </c>
      <c r="G458" s="18" t="b">
        <v>0</v>
      </c>
      <c r="H458" s="18" t="b">
        <v>0</v>
      </c>
      <c r="I458" s="18" t="b">
        <v>0</v>
      </c>
      <c r="J458" s="18" t="b">
        <v>0</v>
      </c>
      <c r="K458" s="18" t="b">
        <v>0</v>
      </c>
      <c r="L458" s="18" t="b">
        <v>0</v>
      </c>
      <c r="M458" s="18" t="b">
        <v>0</v>
      </c>
      <c r="N458" s="18" t="b">
        <v>1</v>
      </c>
      <c r="O458" s="18" t="b">
        <v>0</v>
      </c>
      <c r="P458" s="18" t="b">
        <v>0</v>
      </c>
      <c r="Q458" s="18" t="b">
        <v>0</v>
      </c>
      <c r="R458" s="18" t="b">
        <v>0</v>
      </c>
    </row>
    <row r="459" spans="1:18" ht="18">
      <c r="A459" s="61" t="s">
        <v>1515</v>
      </c>
      <c r="B459" s="15" t="s">
        <v>1515</v>
      </c>
      <c r="C459" s="18"/>
      <c r="D459" s="17" t="s">
        <v>1516</v>
      </c>
      <c r="E459" s="18" t="s">
        <v>192</v>
      </c>
      <c r="F459" s="19" t="s">
        <v>27</v>
      </c>
      <c r="G459" s="18" t="b">
        <v>0</v>
      </c>
      <c r="H459" s="18" t="b">
        <v>0</v>
      </c>
      <c r="I459" s="18" t="b">
        <v>0</v>
      </c>
      <c r="J459" s="18" t="b">
        <v>0</v>
      </c>
      <c r="K459" s="18" t="b">
        <v>0</v>
      </c>
      <c r="L459" s="18" t="b">
        <v>0</v>
      </c>
      <c r="M459" s="18" t="b">
        <v>0</v>
      </c>
      <c r="N459" s="18" t="b">
        <v>0</v>
      </c>
      <c r="O459" s="18" t="b">
        <v>0</v>
      </c>
      <c r="P459" s="18" t="b">
        <v>1</v>
      </c>
      <c r="Q459" s="18" t="b">
        <v>1</v>
      </c>
      <c r="R459" s="18" t="b">
        <v>0</v>
      </c>
    </row>
    <row r="460" spans="1:18" ht="18" hidden="1">
      <c r="A460" s="61" t="s">
        <v>1517</v>
      </c>
      <c r="B460" s="15" t="s">
        <v>1517</v>
      </c>
      <c r="C460" s="18" t="s">
        <v>1518</v>
      </c>
      <c r="D460" s="17" t="s">
        <v>1519</v>
      </c>
      <c r="E460" s="18" t="s">
        <v>154</v>
      </c>
      <c r="F460" s="19" t="s">
        <v>38</v>
      </c>
      <c r="G460" s="18" t="b">
        <v>0</v>
      </c>
      <c r="H460" s="18" t="b">
        <v>0</v>
      </c>
      <c r="I460" s="18" t="b">
        <v>1</v>
      </c>
      <c r="J460" s="18" t="b">
        <v>0</v>
      </c>
      <c r="K460" s="18" t="b">
        <v>0</v>
      </c>
      <c r="L460" s="18" t="b">
        <v>0</v>
      </c>
      <c r="M460" s="18" t="b">
        <v>0</v>
      </c>
      <c r="N460" s="18" t="b">
        <v>0</v>
      </c>
      <c r="O460" s="18" t="b">
        <v>0</v>
      </c>
      <c r="P460" s="18" t="b">
        <v>0</v>
      </c>
      <c r="Q460" s="18" t="b">
        <v>0</v>
      </c>
      <c r="R460" s="18" t="b">
        <v>0</v>
      </c>
    </row>
    <row r="461" spans="1:18" ht="15" hidden="1">
      <c r="A461" s="18" t="s">
        <v>1520</v>
      </c>
      <c r="B461" s="15" t="s">
        <v>1521</v>
      </c>
      <c r="C461" s="18" t="s">
        <v>1522</v>
      </c>
      <c r="D461" s="17" t="s">
        <v>1523</v>
      </c>
      <c r="E461" s="18" t="s">
        <v>86</v>
      </c>
      <c r="F461" s="19" t="s">
        <v>34</v>
      </c>
      <c r="G461" s="18" t="b">
        <v>0</v>
      </c>
      <c r="H461" s="18" t="b">
        <v>0</v>
      </c>
      <c r="I461" s="18" t="b">
        <v>1</v>
      </c>
      <c r="J461" s="18" t="b">
        <v>0</v>
      </c>
      <c r="K461" s="18" t="b">
        <v>0</v>
      </c>
      <c r="L461" s="18" t="b">
        <v>0</v>
      </c>
      <c r="M461" s="18" t="b">
        <v>0</v>
      </c>
      <c r="N461" s="18" t="b">
        <v>0</v>
      </c>
      <c r="O461" s="18" t="b">
        <v>0</v>
      </c>
      <c r="P461" s="18" t="b">
        <v>0</v>
      </c>
      <c r="Q461" s="18" t="b">
        <v>0</v>
      </c>
      <c r="R461" s="18" t="b">
        <v>0</v>
      </c>
    </row>
    <row r="462" spans="1:18" ht="15" hidden="1">
      <c r="A462" s="17" t="s">
        <v>1524</v>
      </c>
      <c r="B462" s="15"/>
      <c r="C462" s="18" t="s">
        <v>1525</v>
      </c>
      <c r="D462" s="48" t="s">
        <v>1526</v>
      </c>
      <c r="E462" s="18" t="s">
        <v>33</v>
      </c>
      <c r="F462" s="19" t="s">
        <v>34</v>
      </c>
      <c r="G462" s="18" t="b">
        <v>0</v>
      </c>
      <c r="H462" s="18" t="b">
        <v>0</v>
      </c>
      <c r="I462" s="18" t="b">
        <v>0</v>
      </c>
      <c r="J462" s="18" t="b">
        <v>0</v>
      </c>
      <c r="K462" s="18" t="b">
        <v>0</v>
      </c>
      <c r="L462" s="18" t="b">
        <v>0</v>
      </c>
      <c r="M462" s="18" t="b">
        <v>0</v>
      </c>
      <c r="N462" s="18" t="b">
        <v>0</v>
      </c>
      <c r="O462" s="18" t="b">
        <v>0</v>
      </c>
      <c r="P462" s="18" t="b">
        <v>0</v>
      </c>
      <c r="Q462" s="18" t="b">
        <v>0</v>
      </c>
      <c r="R462" s="18" t="b">
        <v>1</v>
      </c>
    </row>
    <row r="463" spans="1:18" ht="15" hidden="1">
      <c r="A463" s="17" t="s">
        <v>1527</v>
      </c>
      <c r="B463" s="15" t="s">
        <v>1527</v>
      </c>
      <c r="C463" s="44" t="s">
        <v>1528</v>
      </c>
      <c r="D463" s="74" t="s">
        <v>1529</v>
      </c>
      <c r="E463" s="18" t="s">
        <v>33</v>
      </c>
      <c r="F463" s="19" t="s">
        <v>34</v>
      </c>
      <c r="G463" s="18" t="b">
        <v>0</v>
      </c>
      <c r="H463" s="18" t="b">
        <v>0</v>
      </c>
      <c r="I463" s="18" t="b">
        <v>0</v>
      </c>
      <c r="J463" s="18" t="b">
        <v>0</v>
      </c>
      <c r="K463" s="18" t="b">
        <v>0</v>
      </c>
      <c r="L463" s="18" t="b">
        <v>0</v>
      </c>
      <c r="M463" s="18" t="b">
        <v>0</v>
      </c>
      <c r="N463" s="18" t="b">
        <v>0</v>
      </c>
      <c r="O463" s="18" t="b">
        <v>0</v>
      </c>
      <c r="P463" s="18" t="b">
        <v>0</v>
      </c>
      <c r="Q463" s="18" t="b">
        <v>0</v>
      </c>
      <c r="R463" s="18" t="b">
        <v>1</v>
      </c>
    </row>
    <row r="464" spans="1:18" ht="15.75" hidden="1" customHeight="1">
      <c r="A464" s="144" t="s">
        <v>1530</v>
      </c>
      <c r="B464" s="117"/>
      <c r="C464" s="117" t="s">
        <v>1531</v>
      </c>
      <c r="D464" s="117" t="s">
        <v>1532</v>
      </c>
      <c r="E464" s="36"/>
      <c r="F464" s="40" t="s">
        <v>38</v>
      </c>
      <c r="G464" s="36" t="b">
        <v>0</v>
      </c>
      <c r="H464" s="36" t="b">
        <v>0</v>
      </c>
      <c r="I464" s="36" t="b">
        <v>0</v>
      </c>
      <c r="J464" s="36" t="b">
        <v>0</v>
      </c>
      <c r="M464" s="36" t="b">
        <v>0</v>
      </c>
      <c r="N464" s="36" t="b">
        <v>0</v>
      </c>
      <c r="O464" s="36" t="b">
        <v>0</v>
      </c>
      <c r="P464" s="36" t="b">
        <v>0</v>
      </c>
      <c r="Q464" s="36" t="b">
        <v>0</v>
      </c>
      <c r="R464" s="40" t="b">
        <v>1</v>
      </c>
    </row>
    <row r="465" spans="1:18" ht="15.75" hidden="1" customHeight="1">
      <c r="A465" s="76" t="s">
        <v>1533</v>
      </c>
      <c r="B465" s="15"/>
      <c r="C465" s="76" t="s">
        <v>1534</v>
      </c>
      <c r="D465" s="145" t="s">
        <v>1535</v>
      </c>
      <c r="E465" s="16" t="s">
        <v>33</v>
      </c>
      <c r="F465" s="33" t="s">
        <v>38</v>
      </c>
      <c r="G465" s="16" t="b">
        <v>0</v>
      </c>
      <c r="H465" s="16" t="b">
        <v>0</v>
      </c>
      <c r="I465" s="16" t="b">
        <v>0</v>
      </c>
      <c r="J465" s="16" t="b">
        <v>0</v>
      </c>
      <c r="K465" s="16" t="b">
        <v>0</v>
      </c>
      <c r="L465" s="16" t="b">
        <v>0</v>
      </c>
      <c r="M465" s="16" t="b">
        <v>0</v>
      </c>
      <c r="N465" s="16" t="b">
        <v>0</v>
      </c>
      <c r="O465" s="16" t="b">
        <v>0</v>
      </c>
      <c r="P465" s="16" t="b">
        <v>0</v>
      </c>
      <c r="Q465" s="16" t="b">
        <v>0</v>
      </c>
      <c r="R465" s="33" t="b">
        <v>1</v>
      </c>
    </row>
    <row r="466" spans="1:18" ht="15.75" customHeight="1">
      <c r="A466" s="61" t="s">
        <v>1536</v>
      </c>
      <c r="B466" s="15" t="s">
        <v>1536</v>
      </c>
      <c r="C466" s="44" t="s">
        <v>1537</v>
      </c>
      <c r="D466" s="45" t="s">
        <v>1538</v>
      </c>
      <c r="E466" s="18" t="s">
        <v>52</v>
      </c>
      <c r="F466" s="19" t="s">
        <v>27</v>
      </c>
      <c r="G466" s="18" t="b">
        <v>0</v>
      </c>
      <c r="H466" s="18" t="b">
        <v>0</v>
      </c>
      <c r="I466" s="18" t="b">
        <v>0</v>
      </c>
      <c r="J466" s="18" t="b">
        <v>1</v>
      </c>
      <c r="K466" s="18" t="b">
        <v>0</v>
      </c>
      <c r="L466" s="18" t="b">
        <v>0</v>
      </c>
      <c r="M466" s="18" t="b">
        <v>0</v>
      </c>
      <c r="N466" s="18" t="b">
        <v>0</v>
      </c>
      <c r="O466" s="18" t="b">
        <v>0</v>
      </c>
      <c r="P466" s="18" t="b">
        <v>0</v>
      </c>
      <c r="Q466" s="18" t="b">
        <v>0</v>
      </c>
      <c r="R466" s="19" t="b">
        <v>0</v>
      </c>
    </row>
    <row r="467" spans="1:18" ht="15.75" hidden="1" customHeight="1">
      <c r="A467" s="76" t="s">
        <v>1540</v>
      </c>
      <c r="B467" s="81" t="s">
        <v>1541</v>
      </c>
      <c r="C467" s="16" t="s">
        <v>1542</v>
      </c>
      <c r="D467" s="16" t="s">
        <v>1543</v>
      </c>
      <c r="E467" s="16" t="s">
        <v>140</v>
      </c>
      <c r="F467" s="33" t="s">
        <v>34</v>
      </c>
      <c r="G467" s="16" t="b">
        <v>0</v>
      </c>
      <c r="H467" s="16" t="b">
        <v>0</v>
      </c>
      <c r="I467" s="16" t="b">
        <v>1</v>
      </c>
      <c r="J467" s="16" t="b">
        <v>1</v>
      </c>
      <c r="K467" s="16" t="b">
        <v>0</v>
      </c>
      <c r="L467" s="16" t="b">
        <v>0</v>
      </c>
      <c r="M467" s="16" t="b">
        <v>0</v>
      </c>
      <c r="N467" s="16" t="b">
        <v>0</v>
      </c>
      <c r="O467" s="16" t="b">
        <v>0</v>
      </c>
      <c r="P467" s="16" t="b">
        <v>0</v>
      </c>
      <c r="Q467" s="16" t="b">
        <v>0</v>
      </c>
      <c r="R467" s="33" t="b">
        <v>0</v>
      </c>
    </row>
    <row r="468" spans="1:18" ht="15.75" hidden="1" customHeight="1">
      <c r="A468" s="76" t="s">
        <v>1544</v>
      </c>
      <c r="B468" s="51" t="s">
        <v>1545</v>
      </c>
      <c r="C468" s="76" t="s">
        <v>1546</v>
      </c>
      <c r="D468" s="16" t="s">
        <v>1547</v>
      </c>
      <c r="E468" s="16" t="s">
        <v>230</v>
      </c>
      <c r="F468" s="33" t="s">
        <v>34</v>
      </c>
      <c r="G468" s="16" t="b">
        <v>0</v>
      </c>
      <c r="H468" s="16" t="b">
        <v>1</v>
      </c>
      <c r="I468" s="16" t="b">
        <v>0</v>
      </c>
      <c r="J468" s="16" t="b">
        <v>0</v>
      </c>
      <c r="K468" s="16" t="b">
        <v>0</v>
      </c>
      <c r="L468" s="16" t="b">
        <v>0</v>
      </c>
      <c r="M468" s="16" t="b">
        <v>0</v>
      </c>
      <c r="N468" s="16" t="b">
        <v>0</v>
      </c>
      <c r="O468" s="16" t="b">
        <v>0</v>
      </c>
      <c r="P468" s="16" t="b">
        <v>0</v>
      </c>
      <c r="Q468" s="16" t="b">
        <v>0</v>
      </c>
      <c r="R468" s="33" t="b">
        <v>0</v>
      </c>
    </row>
    <row r="469" spans="1:18" ht="15.75" hidden="1" customHeight="1">
      <c r="A469" s="61" t="s">
        <v>1548</v>
      </c>
      <c r="B469" s="15" t="s">
        <v>1548</v>
      </c>
      <c r="C469" s="44" t="s">
        <v>1549</v>
      </c>
      <c r="D469" s="45" t="s">
        <v>1550</v>
      </c>
      <c r="E469" s="18" t="s">
        <v>52</v>
      </c>
      <c r="F469" s="19" t="s">
        <v>34</v>
      </c>
      <c r="G469" s="18" t="b">
        <v>0</v>
      </c>
      <c r="H469" s="18" t="b">
        <v>0</v>
      </c>
      <c r="I469" s="18" t="b">
        <v>0</v>
      </c>
      <c r="J469" s="18" t="b">
        <v>1</v>
      </c>
      <c r="K469" s="18" t="b">
        <v>1</v>
      </c>
      <c r="L469" s="18" t="b">
        <v>0</v>
      </c>
      <c r="M469" s="18" t="b">
        <v>0</v>
      </c>
      <c r="N469" s="18" t="b">
        <v>0</v>
      </c>
      <c r="O469" s="18" t="b">
        <v>0</v>
      </c>
      <c r="P469" s="18" t="b">
        <v>0</v>
      </c>
      <c r="Q469" s="18" t="b">
        <v>0</v>
      </c>
      <c r="R469" s="19" t="b">
        <v>0</v>
      </c>
    </row>
    <row r="470" spans="1:18" ht="15.75" hidden="1" customHeight="1">
      <c r="A470" s="17" t="s">
        <v>1551</v>
      </c>
      <c r="B470" s="15" t="s">
        <v>1551</v>
      </c>
      <c r="C470" s="44" t="s">
        <v>1552</v>
      </c>
      <c r="D470" s="45" t="s">
        <v>1553</v>
      </c>
      <c r="E470" s="18" t="s">
        <v>86</v>
      </c>
      <c r="F470" s="19" t="s">
        <v>38</v>
      </c>
      <c r="G470" s="18" t="b">
        <v>0</v>
      </c>
      <c r="H470" s="18" t="b">
        <v>0</v>
      </c>
      <c r="I470" s="18" t="b">
        <v>1</v>
      </c>
      <c r="J470" s="18" t="b">
        <v>0</v>
      </c>
      <c r="K470" s="18" t="b">
        <v>0</v>
      </c>
      <c r="L470" s="18" t="b">
        <v>0</v>
      </c>
      <c r="M470" s="18" t="b">
        <v>0</v>
      </c>
      <c r="N470" s="18" t="b">
        <v>0</v>
      </c>
      <c r="O470" s="18" t="b">
        <v>0</v>
      </c>
      <c r="P470" s="18" t="b">
        <v>0</v>
      </c>
      <c r="Q470" s="18" t="b">
        <v>0</v>
      </c>
      <c r="R470" s="19" t="b">
        <v>0</v>
      </c>
    </row>
    <row r="471" spans="1:18" ht="15.75" customHeight="1">
      <c r="A471" s="61" t="s">
        <v>1554</v>
      </c>
      <c r="B471" s="15" t="s">
        <v>1554</v>
      </c>
      <c r="C471" s="44" t="s">
        <v>1555</v>
      </c>
      <c r="D471" s="45" t="s">
        <v>1556</v>
      </c>
      <c r="E471" s="18" t="s">
        <v>52</v>
      </c>
      <c r="F471" s="19" t="s">
        <v>27</v>
      </c>
      <c r="G471" s="18" t="b">
        <v>0</v>
      </c>
      <c r="H471" s="18" t="b">
        <v>0</v>
      </c>
      <c r="I471" s="18" t="b">
        <v>0</v>
      </c>
      <c r="J471" s="18" t="b">
        <v>1</v>
      </c>
      <c r="K471" s="18" t="b">
        <v>0</v>
      </c>
      <c r="L471" s="18" t="b">
        <v>0</v>
      </c>
      <c r="M471" s="18" t="b">
        <v>0</v>
      </c>
      <c r="N471" s="18" t="b">
        <v>1</v>
      </c>
      <c r="O471" s="18" t="b">
        <v>0</v>
      </c>
      <c r="P471" s="18" t="b">
        <v>0</v>
      </c>
      <c r="Q471" s="18" t="b">
        <v>0</v>
      </c>
      <c r="R471" s="19" t="b">
        <v>0</v>
      </c>
    </row>
    <row r="472" spans="1:18" ht="15.75" customHeight="1">
      <c r="A472" s="61" t="s">
        <v>1557</v>
      </c>
      <c r="B472" s="15" t="s">
        <v>1557</v>
      </c>
      <c r="C472" s="44" t="s">
        <v>1558</v>
      </c>
      <c r="D472" s="45" t="s">
        <v>1559</v>
      </c>
      <c r="E472" s="18" t="s">
        <v>52</v>
      </c>
      <c r="F472" s="19" t="s">
        <v>27</v>
      </c>
      <c r="G472" s="18" t="b">
        <v>0</v>
      </c>
      <c r="H472" s="18" t="b">
        <v>0</v>
      </c>
      <c r="I472" s="18" t="b">
        <v>0</v>
      </c>
      <c r="J472" s="18" t="b">
        <v>1</v>
      </c>
      <c r="K472" s="18" t="b">
        <v>0</v>
      </c>
      <c r="L472" s="18" t="b">
        <v>0</v>
      </c>
      <c r="M472" s="18" t="b">
        <v>0</v>
      </c>
      <c r="N472" s="18" t="b">
        <v>0</v>
      </c>
      <c r="O472" s="18" t="b">
        <v>0</v>
      </c>
      <c r="P472" s="18" t="b">
        <v>0</v>
      </c>
      <c r="Q472" s="18" t="b">
        <v>0</v>
      </c>
      <c r="R472" s="19" t="b">
        <v>0</v>
      </c>
    </row>
    <row r="473" spans="1:18" ht="15.75" hidden="1" customHeight="1">
      <c r="A473" s="17" t="s">
        <v>1560</v>
      </c>
      <c r="B473" s="15" t="s">
        <v>1560</v>
      </c>
      <c r="C473" s="44" t="s">
        <v>1561</v>
      </c>
      <c r="D473" s="45" t="s">
        <v>1562</v>
      </c>
      <c r="E473" s="18" t="s">
        <v>69</v>
      </c>
      <c r="F473" s="19" t="s">
        <v>38</v>
      </c>
      <c r="G473" s="18" t="b">
        <v>0</v>
      </c>
      <c r="H473" s="18" t="b">
        <v>0</v>
      </c>
      <c r="I473" s="18" t="b">
        <v>0</v>
      </c>
      <c r="J473" s="18" t="b">
        <v>0</v>
      </c>
      <c r="K473" s="18" t="b">
        <v>0</v>
      </c>
      <c r="L473" s="18" t="b">
        <v>0</v>
      </c>
      <c r="M473" s="18" t="b">
        <v>0</v>
      </c>
      <c r="N473" s="18" t="b">
        <v>0</v>
      </c>
      <c r="O473" s="18" t="b">
        <v>1</v>
      </c>
      <c r="P473" s="18" t="b">
        <v>0</v>
      </c>
      <c r="Q473" s="18" t="b">
        <v>0</v>
      </c>
      <c r="R473" s="19" t="b">
        <v>0</v>
      </c>
    </row>
    <row r="474" spans="1:18" ht="15.75" hidden="1" customHeight="1">
      <c r="A474" s="117" t="s">
        <v>1563</v>
      </c>
      <c r="B474" s="116"/>
      <c r="C474" s="116" t="s">
        <v>1564</v>
      </c>
      <c r="D474" s="116" t="s">
        <v>1565</v>
      </c>
      <c r="E474" s="36"/>
      <c r="F474" s="40" t="s">
        <v>38</v>
      </c>
      <c r="G474" s="36" t="b">
        <v>1</v>
      </c>
      <c r="H474" s="36" t="b">
        <v>0</v>
      </c>
      <c r="I474" s="36" t="b">
        <v>0</v>
      </c>
      <c r="J474" s="36" t="b">
        <v>0</v>
      </c>
      <c r="K474" s="36"/>
      <c r="L474" s="36"/>
      <c r="M474" s="36" t="b">
        <v>0</v>
      </c>
      <c r="N474" s="36" t="b">
        <v>0</v>
      </c>
      <c r="O474" s="36" t="b">
        <v>0</v>
      </c>
      <c r="P474" s="36" t="b">
        <v>0</v>
      </c>
      <c r="Q474" s="36" t="b">
        <v>0</v>
      </c>
      <c r="R474" s="40" t="b">
        <v>0</v>
      </c>
    </row>
    <row r="475" spans="1:18" ht="15.75" hidden="1" customHeight="1">
      <c r="A475" s="61" t="s">
        <v>1566</v>
      </c>
      <c r="B475" s="15"/>
      <c r="C475" s="18" t="s">
        <v>1567</v>
      </c>
      <c r="D475" s="17" t="s">
        <v>1568</v>
      </c>
      <c r="E475" s="18" t="s">
        <v>192</v>
      </c>
      <c r="F475" s="19" t="s">
        <v>34</v>
      </c>
      <c r="G475" s="18" t="b">
        <v>0</v>
      </c>
      <c r="H475" s="18" t="b">
        <v>0</v>
      </c>
      <c r="I475" s="18" t="b">
        <v>0</v>
      </c>
      <c r="J475" s="18" t="b">
        <v>0</v>
      </c>
      <c r="K475" s="18" t="b">
        <v>0</v>
      </c>
      <c r="L475" s="18" t="b">
        <v>0</v>
      </c>
      <c r="M475" s="18" t="b">
        <v>0</v>
      </c>
      <c r="N475" s="18" t="b">
        <v>0</v>
      </c>
      <c r="O475" s="18" t="b">
        <v>0</v>
      </c>
      <c r="P475" s="18" t="b">
        <v>0</v>
      </c>
      <c r="Q475" s="18" t="b">
        <v>1</v>
      </c>
      <c r="R475" s="19" t="b">
        <v>0</v>
      </c>
    </row>
    <row r="476" spans="1:18" ht="15.75" customHeight="1">
      <c r="A476" s="61" t="s">
        <v>1569</v>
      </c>
      <c r="B476" s="15" t="s">
        <v>1569</v>
      </c>
      <c r="C476" s="44" t="s">
        <v>1570</v>
      </c>
      <c r="D476" s="45" t="s">
        <v>1571</v>
      </c>
      <c r="E476" s="18" t="s">
        <v>154</v>
      </c>
      <c r="F476" s="19" t="s">
        <v>27</v>
      </c>
      <c r="G476" s="18" t="b">
        <v>0</v>
      </c>
      <c r="H476" s="18" t="b">
        <v>0</v>
      </c>
      <c r="I476" s="18" t="b">
        <v>1</v>
      </c>
      <c r="J476" s="18" t="b">
        <v>0</v>
      </c>
      <c r="K476" s="18" t="b">
        <v>0</v>
      </c>
      <c r="L476" s="18" t="b">
        <v>0</v>
      </c>
      <c r="M476" s="18" t="b">
        <v>0</v>
      </c>
      <c r="N476" s="18" t="b">
        <v>0</v>
      </c>
      <c r="O476" s="18" t="b">
        <v>0</v>
      </c>
      <c r="P476" s="18" t="b">
        <v>0</v>
      </c>
      <c r="Q476" s="18" t="b">
        <v>0</v>
      </c>
      <c r="R476" s="19" t="b">
        <v>0</v>
      </c>
    </row>
    <row r="477" spans="1:18" ht="15.75" hidden="1" customHeight="1">
      <c r="A477" s="146" t="s">
        <v>622</v>
      </c>
      <c r="B477" s="116"/>
      <c r="C477" s="116" t="s">
        <v>623</v>
      </c>
      <c r="D477" s="116" t="s">
        <v>624</v>
      </c>
      <c r="E477" s="36"/>
      <c r="F477" s="40" t="s">
        <v>34</v>
      </c>
      <c r="G477" s="36" t="b">
        <v>0</v>
      </c>
      <c r="H477" s="36" t="b">
        <v>0</v>
      </c>
      <c r="I477" s="36" t="b">
        <v>0</v>
      </c>
      <c r="J477" s="36" t="b">
        <v>0</v>
      </c>
      <c r="K477" s="36" t="b">
        <v>0</v>
      </c>
      <c r="L477" s="36" t="b">
        <v>0</v>
      </c>
      <c r="M477" s="36" t="b">
        <v>0</v>
      </c>
      <c r="N477" s="36" t="b">
        <v>1</v>
      </c>
      <c r="O477" s="36" t="b">
        <v>0</v>
      </c>
      <c r="P477" s="36" t="b">
        <v>0</v>
      </c>
      <c r="Q477" s="36" t="b">
        <v>0</v>
      </c>
      <c r="R477" s="40" t="b">
        <v>0</v>
      </c>
    </row>
    <row r="478" spans="1:18" ht="15.75" customHeight="1">
      <c r="A478" s="61" t="s">
        <v>1572</v>
      </c>
      <c r="B478" s="15" t="s">
        <v>1572</v>
      </c>
      <c r="C478" s="44" t="s">
        <v>1573</v>
      </c>
      <c r="D478" s="45" t="s">
        <v>1574</v>
      </c>
      <c r="E478" s="16" t="s">
        <v>60</v>
      </c>
      <c r="F478" s="19" t="s">
        <v>27</v>
      </c>
      <c r="G478" s="18" t="b">
        <v>0</v>
      </c>
      <c r="H478" s="18" t="b">
        <v>0</v>
      </c>
      <c r="I478" s="18" t="b">
        <v>0</v>
      </c>
      <c r="J478" s="18" t="b">
        <v>0</v>
      </c>
      <c r="K478" s="18" t="b">
        <v>0</v>
      </c>
      <c r="L478" s="18" t="b">
        <v>0</v>
      </c>
      <c r="M478" s="18" t="b">
        <v>1</v>
      </c>
      <c r="N478" s="18" t="b">
        <v>0</v>
      </c>
      <c r="O478" s="18" t="b">
        <v>0</v>
      </c>
      <c r="P478" s="18" t="b">
        <v>0</v>
      </c>
      <c r="Q478" s="18" t="b">
        <v>0</v>
      </c>
      <c r="R478" s="19" t="b">
        <v>0</v>
      </c>
    </row>
    <row r="479" spans="1:18" ht="15.75" hidden="1" customHeight="1">
      <c r="A479" s="147" t="s">
        <v>1575</v>
      </c>
      <c r="B479" s="131"/>
      <c r="C479" s="16" t="s">
        <v>1576</v>
      </c>
      <c r="D479" s="16" t="s">
        <v>1577</v>
      </c>
      <c r="E479" s="16" t="s">
        <v>69</v>
      </c>
      <c r="F479" s="19" t="s">
        <v>38</v>
      </c>
      <c r="G479" s="16" t="b">
        <v>0</v>
      </c>
      <c r="H479" s="16" t="b">
        <v>0</v>
      </c>
      <c r="I479" s="16" t="b">
        <v>0</v>
      </c>
      <c r="J479" s="16" t="b">
        <v>0</v>
      </c>
      <c r="K479" s="16" t="b">
        <v>0</v>
      </c>
      <c r="L479" s="16" t="b">
        <v>0</v>
      </c>
      <c r="M479" s="16" t="b">
        <v>0</v>
      </c>
      <c r="N479" s="16" t="b">
        <v>0</v>
      </c>
      <c r="O479" s="16" t="b">
        <v>1</v>
      </c>
      <c r="P479" s="16" t="b">
        <v>0</v>
      </c>
      <c r="Q479" s="16" t="b">
        <v>0</v>
      </c>
      <c r="R479" s="33" t="b">
        <v>0</v>
      </c>
    </row>
    <row r="480" spans="1:18" ht="15.75" hidden="1" customHeight="1">
      <c r="A480" s="76" t="s">
        <v>1578</v>
      </c>
      <c r="B480" s="51" t="s">
        <v>1579</v>
      </c>
      <c r="C480" s="76" t="s">
        <v>1580</v>
      </c>
      <c r="D480" s="76" t="s">
        <v>1581</v>
      </c>
      <c r="E480" s="16"/>
      <c r="F480" s="33" t="s">
        <v>34</v>
      </c>
      <c r="G480" s="16" t="b">
        <v>0</v>
      </c>
      <c r="H480" s="16" t="b">
        <v>0</v>
      </c>
      <c r="I480" s="16" t="b">
        <v>0</v>
      </c>
      <c r="J480" s="16" t="b">
        <v>0</v>
      </c>
      <c r="K480" s="16" t="b">
        <v>0</v>
      </c>
      <c r="L480" s="16" t="b">
        <v>0</v>
      </c>
      <c r="M480" s="16" t="b">
        <v>0</v>
      </c>
      <c r="N480" s="16" t="b">
        <v>0</v>
      </c>
      <c r="O480" s="16" t="b">
        <v>0</v>
      </c>
      <c r="P480" s="16" t="b">
        <v>0</v>
      </c>
      <c r="Q480" s="16" t="b">
        <v>1</v>
      </c>
      <c r="R480" s="33" t="b">
        <v>0</v>
      </c>
    </row>
    <row r="481" spans="1:18" ht="15.75" customHeight="1">
      <c r="A481" s="61" t="s">
        <v>1582</v>
      </c>
      <c r="B481" s="15" t="s">
        <v>1582</v>
      </c>
      <c r="C481" s="44" t="s">
        <v>1583</v>
      </c>
      <c r="D481" s="45" t="s">
        <v>1584</v>
      </c>
      <c r="E481" s="18" t="s">
        <v>26</v>
      </c>
      <c r="F481" s="19" t="s">
        <v>27</v>
      </c>
      <c r="G481" s="18" t="b">
        <v>0</v>
      </c>
      <c r="H481" s="18" t="b">
        <v>0</v>
      </c>
      <c r="I481" s="18" t="b">
        <v>1</v>
      </c>
      <c r="J481" s="18" t="b">
        <v>0</v>
      </c>
      <c r="K481" s="18" t="b">
        <v>0</v>
      </c>
      <c r="L481" s="18" t="b">
        <v>0</v>
      </c>
      <c r="M481" s="18" t="b">
        <v>0</v>
      </c>
      <c r="N481" s="18" t="b">
        <v>0</v>
      </c>
      <c r="O481" s="18" t="b">
        <v>0</v>
      </c>
      <c r="P481" s="18" t="b">
        <v>0</v>
      </c>
      <c r="Q481" s="18" t="b">
        <v>0</v>
      </c>
      <c r="R481" s="19" t="b">
        <v>0</v>
      </c>
    </row>
    <row r="482" spans="1:18" ht="15.75" customHeight="1">
      <c r="A482" s="61" t="s">
        <v>1585</v>
      </c>
      <c r="B482" s="15" t="s">
        <v>1585</v>
      </c>
      <c r="C482" s="44" t="s">
        <v>1586</v>
      </c>
      <c r="D482" s="45" t="s">
        <v>1587</v>
      </c>
      <c r="E482" s="18" t="s">
        <v>69</v>
      </c>
      <c r="F482" s="19" t="s">
        <v>27</v>
      </c>
      <c r="G482" s="18" t="b">
        <v>0</v>
      </c>
      <c r="H482" s="18" t="b">
        <v>0</v>
      </c>
      <c r="I482" s="18" t="b">
        <v>0</v>
      </c>
      <c r="J482" s="18" t="b">
        <v>0</v>
      </c>
      <c r="K482" s="18" t="b">
        <v>0</v>
      </c>
      <c r="L482" s="18" t="b">
        <v>0</v>
      </c>
      <c r="M482" s="18" t="b">
        <v>0</v>
      </c>
      <c r="N482" s="18" t="b">
        <v>0</v>
      </c>
      <c r="O482" s="18" t="b">
        <v>1</v>
      </c>
      <c r="P482" s="18" t="b">
        <v>0</v>
      </c>
      <c r="Q482" s="18" t="b">
        <v>0</v>
      </c>
      <c r="R482" s="19" t="b">
        <v>0</v>
      </c>
    </row>
    <row r="483" spans="1:18" ht="15.75" hidden="1" customHeight="1">
      <c r="A483" s="76" t="s">
        <v>1588</v>
      </c>
      <c r="B483" s="131"/>
      <c r="C483" s="16" t="s">
        <v>1589</v>
      </c>
      <c r="D483" s="16" t="s">
        <v>1590</v>
      </c>
      <c r="E483" s="16" t="s">
        <v>140</v>
      </c>
      <c r="F483" s="33" t="s">
        <v>34</v>
      </c>
      <c r="G483" s="16" t="b">
        <v>0</v>
      </c>
      <c r="H483" s="16" t="b">
        <v>0</v>
      </c>
      <c r="I483" s="16" t="b">
        <v>1</v>
      </c>
      <c r="J483" s="16" t="b">
        <v>1</v>
      </c>
      <c r="K483" s="16" t="b">
        <v>0</v>
      </c>
      <c r="L483" s="16" t="b">
        <v>0</v>
      </c>
      <c r="M483" s="16" t="b">
        <v>0</v>
      </c>
      <c r="N483" s="16" t="b">
        <v>0</v>
      </c>
      <c r="O483" s="16" t="b">
        <v>0</v>
      </c>
      <c r="P483" s="16" t="b">
        <v>0</v>
      </c>
      <c r="Q483" s="16" t="b">
        <v>0</v>
      </c>
      <c r="R483" s="33" t="b">
        <v>0</v>
      </c>
    </row>
    <row r="484" spans="1:18" ht="15.75" hidden="1" customHeight="1">
      <c r="A484" s="46" t="s">
        <v>1591</v>
      </c>
      <c r="B484" s="15" t="s">
        <v>1592</v>
      </c>
      <c r="C484" s="44" t="s">
        <v>1593</v>
      </c>
      <c r="D484" s="88" t="s">
        <v>1594</v>
      </c>
      <c r="E484" s="18" t="s">
        <v>33</v>
      </c>
      <c r="F484" s="19" t="s">
        <v>34</v>
      </c>
      <c r="G484" s="18" t="b">
        <v>0</v>
      </c>
      <c r="H484" s="18" t="b">
        <v>0</v>
      </c>
      <c r="I484" s="18" t="b">
        <v>0</v>
      </c>
      <c r="J484" s="18" t="b">
        <v>0</v>
      </c>
      <c r="K484" s="18" t="b">
        <v>0</v>
      </c>
      <c r="L484" s="18" t="b">
        <v>0</v>
      </c>
      <c r="M484" s="18" t="b">
        <v>0</v>
      </c>
      <c r="N484" s="18" t="b">
        <v>0</v>
      </c>
      <c r="O484" s="18" t="b">
        <v>0</v>
      </c>
      <c r="P484" s="18" t="b">
        <v>0</v>
      </c>
      <c r="Q484" s="18" t="b">
        <v>0</v>
      </c>
      <c r="R484" s="19" t="b">
        <v>1</v>
      </c>
    </row>
    <row r="485" spans="1:18" ht="15.75" customHeight="1">
      <c r="A485" s="61" t="s">
        <v>1595</v>
      </c>
      <c r="B485" s="15" t="s">
        <v>1595</v>
      </c>
      <c r="C485" s="44" t="s">
        <v>1596</v>
      </c>
      <c r="D485" s="45" t="s">
        <v>1597</v>
      </c>
      <c r="E485" s="18" t="s">
        <v>154</v>
      </c>
      <c r="F485" s="19" t="s">
        <v>27</v>
      </c>
      <c r="G485" s="18" t="b">
        <v>0</v>
      </c>
      <c r="H485" s="18" t="b">
        <v>0</v>
      </c>
      <c r="I485" s="18" t="b">
        <v>1</v>
      </c>
      <c r="J485" s="18" t="b">
        <v>0</v>
      </c>
      <c r="K485" s="18" t="b">
        <v>0</v>
      </c>
      <c r="L485" s="18" t="b">
        <v>0</v>
      </c>
      <c r="M485" s="18" t="b">
        <v>0</v>
      </c>
      <c r="N485" s="18" t="b">
        <v>0</v>
      </c>
      <c r="O485" s="18" t="b">
        <v>0</v>
      </c>
      <c r="P485" s="18" t="b">
        <v>0</v>
      </c>
      <c r="Q485" s="18" t="b">
        <v>0</v>
      </c>
      <c r="R485" s="19" t="b">
        <v>0</v>
      </c>
    </row>
    <row r="486" spans="1:18" ht="15.75" customHeight="1">
      <c r="A486" s="61" t="s">
        <v>1598</v>
      </c>
      <c r="B486" s="15" t="s">
        <v>1598</v>
      </c>
      <c r="C486" s="44" t="s">
        <v>1599</v>
      </c>
      <c r="D486" s="45" t="s">
        <v>1600</v>
      </c>
      <c r="E486" s="18" t="s">
        <v>69</v>
      </c>
      <c r="F486" s="19" t="s">
        <v>27</v>
      </c>
      <c r="G486" s="18" t="b">
        <v>0</v>
      </c>
      <c r="H486" s="18" t="b">
        <v>0</v>
      </c>
      <c r="I486" s="18" t="b">
        <v>1</v>
      </c>
      <c r="J486" s="18" t="b">
        <v>0</v>
      </c>
      <c r="K486" s="18" t="b">
        <v>0</v>
      </c>
      <c r="L486" s="18" t="b">
        <v>0</v>
      </c>
      <c r="M486" s="18" t="b">
        <v>0</v>
      </c>
      <c r="N486" s="18" t="b">
        <v>0</v>
      </c>
      <c r="O486" s="18" t="b">
        <v>1</v>
      </c>
      <c r="P486" s="18" t="b">
        <v>0</v>
      </c>
      <c r="Q486" s="18" t="b">
        <v>0</v>
      </c>
      <c r="R486" s="19" t="b">
        <v>0</v>
      </c>
    </row>
    <row r="487" spans="1:18" ht="15.75" hidden="1" customHeight="1">
      <c r="A487" s="61" t="s">
        <v>1601</v>
      </c>
      <c r="B487" s="81" t="s">
        <v>1602</v>
      </c>
      <c r="C487" s="16" t="s">
        <v>1603</v>
      </c>
      <c r="D487" s="148" t="s">
        <v>1604</v>
      </c>
      <c r="E487" s="16" t="s">
        <v>140</v>
      </c>
      <c r="F487" s="33" t="s">
        <v>38</v>
      </c>
      <c r="G487" s="16" t="b">
        <v>0</v>
      </c>
      <c r="H487" s="16" t="b">
        <v>1</v>
      </c>
      <c r="I487" s="16" t="b">
        <v>0</v>
      </c>
      <c r="J487" s="16" t="b">
        <v>0</v>
      </c>
      <c r="K487" s="16" t="b">
        <v>0</v>
      </c>
      <c r="L487" s="16" t="b">
        <v>0</v>
      </c>
      <c r="M487" s="16" t="b">
        <v>0</v>
      </c>
      <c r="N487" s="16" t="b">
        <v>0</v>
      </c>
      <c r="O487" s="16" t="b">
        <v>0</v>
      </c>
      <c r="P487" s="16" t="b">
        <v>0</v>
      </c>
      <c r="Q487" s="16" t="b">
        <v>0</v>
      </c>
      <c r="R487" s="33" t="b">
        <v>0</v>
      </c>
    </row>
    <row r="488" spans="1:18" ht="15.75" customHeight="1">
      <c r="A488" s="61" t="s">
        <v>1605</v>
      </c>
      <c r="B488" s="15" t="s">
        <v>1605</v>
      </c>
      <c r="C488" s="44" t="s">
        <v>1606</v>
      </c>
      <c r="D488" s="45" t="s">
        <v>1607</v>
      </c>
      <c r="E488" s="18" t="s">
        <v>69</v>
      </c>
      <c r="F488" s="19" t="s">
        <v>27</v>
      </c>
      <c r="G488" s="18" t="b">
        <v>0</v>
      </c>
      <c r="H488" s="18" t="b">
        <v>0</v>
      </c>
      <c r="I488" s="18" t="b">
        <v>0</v>
      </c>
      <c r="J488" s="18" t="b">
        <v>0</v>
      </c>
      <c r="K488" s="18" t="b">
        <v>0</v>
      </c>
      <c r="L488" s="18" t="b">
        <v>0</v>
      </c>
      <c r="M488" s="18" t="b">
        <v>0</v>
      </c>
      <c r="N488" s="18" t="b">
        <v>0</v>
      </c>
      <c r="O488" s="18" t="b">
        <v>1</v>
      </c>
      <c r="P488" s="18" t="b">
        <v>0</v>
      </c>
      <c r="Q488" s="18" t="b">
        <v>0</v>
      </c>
      <c r="R488" s="19" t="b">
        <v>0</v>
      </c>
    </row>
    <row r="489" spans="1:18" ht="15.75" customHeight="1">
      <c r="A489" s="61" t="s">
        <v>1608</v>
      </c>
      <c r="B489" s="15"/>
      <c r="C489" s="18" t="s">
        <v>1609</v>
      </c>
      <c r="D489" s="17" t="s">
        <v>1610</v>
      </c>
      <c r="E489" s="16" t="s">
        <v>60</v>
      </c>
      <c r="F489" s="19" t="s">
        <v>27</v>
      </c>
      <c r="G489" s="18" t="b">
        <v>0</v>
      </c>
      <c r="H489" s="18" t="b">
        <v>0</v>
      </c>
      <c r="I489" s="18" t="b">
        <v>0</v>
      </c>
      <c r="J489" s="18" t="b">
        <v>0</v>
      </c>
      <c r="K489" s="18" t="b">
        <v>0</v>
      </c>
      <c r="L489" s="18" t="b">
        <v>0</v>
      </c>
      <c r="M489" s="18" t="b">
        <v>1</v>
      </c>
      <c r="N489" s="18" t="b">
        <v>0</v>
      </c>
      <c r="O489" s="18" t="b">
        <v>0</v>
      </c>
      <c r="P489" s="18" t="b">
        <v>0</v>
      </c>
      <c r="Q489" s="18" t="b">
        <v>0</v>
      </c>
      <c r="R489" s="19" t="b">
        <v>0</v>
      </c>
    </row>
    <row r="490" spans="1:18" ht="15.75" customHeight="1">
      <c r="A490" s="61" t="s">
        <v>1611</v>
      </c>
      <c r="B490" s="15" t="s">
        <v>1611</v>
      </c>
      <c r="C490" s="44" t="s">
        <v>1612</v>
      </c>
      <c r="D490" s="45" t="s">
        <v>1613</v>
      </c>
      <c r="E490" s="18" t="s">
        <v>154</v>
      </c>
      <c r="F490" s="19" t="s">
        <v>27</v>
      </c>
      <c r="G490" s="18" t="b">
        <v>0</v>
      </c>
      <c r="H490" s="18" t="b">
        <v>0</v>
      </c>
      <c r="I490" s="18" t="b">
        <v>1</v>
      </c>
      <c r="J490" s="18" t="b">
        <v>1</v>
      </c>
      <c r="K490" s="18" t="b">
        <v>1</v>
      </c>
      <c r="L490" s="18" t="b">
        <v>0</v>
      </c>
      <c r="M490" s="18" t="b">
        <v>0</v>
      </c>
      <c r="N490" s="18" t="b">
        <v>0</v>
      </c>
      <c r="O490" s="18" t="b">
        <v>0</v>
      </c>
      <c r="P490" s="18" t="b">
        <v>0</v>
      </c>
      <c r="Q490" s="18" t="b">
        <v>0</v>
      </c>
      <c r="R490" s="19" t="b">
        <v>0</v>
      </c>
    </row>
    <row r="491" spans="1:18" ht="15.75" hidden="1" customHeight="1">
      <c r="A491" s="149" t="s">
        <v>1614</v>
      </c>
      <c r="B491" s="150"/>
      <c r="C491" s="150" t="s">
        <v>1615</v>
      </c>
      <c r="D491" s="144" t="s">
        <v>1616</v>
      </c>
      <c r="E491" s="36"/>
      <c r="F491" s="40" t="s">
        <v>38</v>
      </c>
      <c r="G491" s="36" t="b">
        <v>0</v>
      </c>
      <c r="H491" s="36" t="b">
        <v>0</v>
      </c>
      <c r="I491" s="36" t="b">
        <v>0</v>
      </c>
      <c r="J491" s="36" t="b">
        <v>0</v>
      </c>
      <c r="K491" s="36"/>
      <c r="L491" s="36"/>
      <c r="M491" s="36" t="b">
        <v>1</v>
      </c>
      <c r="N491" s="36" t="b">
        <v>0</v>
      </c>
      <c r="O491" s="36" t="b">
        <v>0</v>
      </c>
      <c r="P491" s="36" t="b">
        <v>0</v>
      </c>
      <c r="Q491" s="36" t="b">
        <v>0</v>
      </c>
      <c r="R491" s="40" t="b">
        <v>0</v>
      </c>
    </row>
    <row r="492" spans="1:18" ht="16.5" hidden="1" customHeight="1">
      <c r="A492" s="61" t="s">
        <v>1617</v>
      </c>
      <c r="B492" s="15" t="s">
        <v>1617</v>
      </c>
      <c r="C492" s="18" t="s">
        <v>1618</v>
      </c>
      <c r="D492" s="17" t="s">
        <v>1619</v>
      </c>
      <c r="E492" s="18" t="s">
        <v>69</v>
      </c>
      <c r="F492" s="19" t="s">
        <v>38</v>
      </c>
      <c r="G492" s="18" t="b">
        <v>0</v>
      </c>
      <c r="H492" s="18" t="b">
        <v>0</v>
      </c>
      <c r="I492" s="18" t="b">
        <v>0</v>
      </c>
      <c r="J492" s="18" t="b">
        <v>0</v>
      </c>
      <c r="K492" s="18" t="b">
        <v>0</v>
      </c>
      <c r="L492" s="18" t="b">
        <v>0</v>
      </c>
      <c r="M492" s="18" t="b">
        <v>0</v>
      </c>
      <c r="N492" s="18" t="b">
        <v>0</v>
      </c>
      <c r="O492" s="18" t="b">
        <v>1</v>
      </c>
      <c r="P492" s="18" t="b">
        <v>0</v>
      </c>
      <c r="Q492" s="18" t="b">
        <v>0</v>
      </c>
      <c r="R492" s="19" t="b">
        <v>0</v>
      </c>
    </row>
    <row r="493" spans="1:18" ht="15.75" customHeight="1">
      <c r="A493" s="61" t="s">
        <v>1620</v>
      </c>
      <c r="B493" s="15" t="s">
        <v>1620</v>
      </c>
      <c r="C493" s="44" t="s">
        <v>1621</v>
      </c>
      <c r="D493" s="45" t="s">
        <v>1622</v>
      </c>
      <c r="E493" s="18" t="s">
        <v>52</v>
      </c>
      <c r="F493" s="19" t="s">
        <v>27</v>
      </c>
      <c r="G493" s="18" t="b">
        <v>0</v>
      </c>
      <c r="H493" s="18" t="b">
        <v>0</v>
      </c>
      <c r="I493" s="18" t="b">
        <v>0</v>
      </c>
      <c r="J493" s="18" t="b">
        <v>1</v>
      </c>
      <c r="K493" s="18" t="b">
        <v>1</v>
      </c>
      <c r="L493" s="18" t="b">
        <v>0</v>
      </c>
      <c r="M493" s="18" t="b">
        <v>0</v>
      </c>
      <c r="N493" s="18" t="b">
        <v>0</v>
      </c>
      <c r="O493" s="18" t="b">
        <v>0</v>
      </c>
      <c r="P493" s="18" t="b">
        <v>0</v>
      </c>
      <c r="Q493" s="18" t="b">
        <v>0</v>
      </c>
      <c r="R493" s="19" t="b">
        <v>0</v>
      </c>
    </row>
    <row r="494" spans="1:18" ht="15.75" hidden="1" customHeight="1">
      <c r="A494" s="151" t="s">
        <v>1623</v>
      </c>
      <c r="B494" s="51" t="s">
        <v>1624</v>
      </c>
      <c r="C494" s="110" t="s">
        <v>1625</v>
      </c>
      <c r="D494" s="17" t="s">
        <v>1626</v>
      </c>
      <c r="E494" s="16" t="s">
        <v>60</v>
      </c>
      <c r="F494" s="19" t="s">
        <v>38</v>
      </c>
      <c r="G494" s="18" t="b">
        <v>0</v>
      </c>
      <c r="H494" s="18" t="b">
        <v>0</v>
      </c>
      <c r="I494" s="18" t="b">
        <v>0</v>
      </c>
      <c r="J494" s="18" t="b">
        <v>0</v>
      </c>
      <c r="K494" s="18" t="b">
        <v>0</v>
      </c>
      <c r="L494" s="18" t="b">
        <v>0</v>
      </c>
      <c r="M494" s="18" t="b">
        <v>1</v>
      </c>
      <c r="N494" s="18" t="b">
        <v>0</v>
      </c>
      <c r="O494" s="18" t="b">
        <v>0</v>
      </c>
      <c r="P494" s="18" t="b">
        <v>0</v>
      </c>
      <c r="Q494" s="18" t="b">
        <v>0</v>
      </c>
      <c r="R494" s="19" t="b">
        <v>0</v>
      </c>
    </row>
    <row r="495" spans="1:18" ht="15.75" customHeight="1">
      <c r="A495" s="61" t="s">
        <v>1627</v>
      </c>
      <c r="B495" s="15" t="s">
        <v>1627</v>
      </c>
      <c r="C495" s="44" t="s">
        <v>1628</v>
      </c>
      <c r="D495" s="45" t="s">
        <v>1629</v>
      </c>
      <c r="E495" s="18" t="s">
        <v>192</v>
      </c>
      <c r="F495" s="19" t="s">
        <v>27</v>
      </c>
      <c r="G495" s="18" t="b">
        <v>0</v>
      </c>
      <c r="H495" s="18" t="b">
        <v>0</v>
      </c>
      <c r="I495" s="18" t="b">
        <v>0</v>
      </c>
      <c r="J495" s="18" t="b">
        <v>0</v>
      </c>
      <c r="K495" s="18" t="b">
        <v>0</v>
      </c>
      <c r="L495" s="18" t="b">
        <v>0</v>
      </c>
      <c r="M495" s="18" t="b">
        <v>0</v>
      </c>
      <c r="N495" s="18" t="b">
        <v>0</v>
      </c>
      <c r="O495" s="18" t="b">
        <v>0</v>
      </c>
      <c r="P495" s="18" t="b">
        <v>0</v>
      </c>
      <c r="Q495" s="18" t="b">
        <v>1</v>
      </c>
      <c r="R495" s="19" t="b">
        <v>1</v>
      </c>
    </row>
    <row r="496" spans="1:18" ht="15.75" customHeight="1">
      <c r="A496" s="61" t="s">
        <v>1630</v>
      </c>
      <c r="B496" s="15" t="s">
        <v>1630</v>
      </c>
      <c r="C496" s="44" t="s">
        <v>1631</v>
      </c>
      <c r="D496" s="45" t="s">
        <v>1632</v>
      </c>
      <c r="E496" s="18" t="s">
        <v>154</v>
      </c>
      <c r="F496" s="19" t="s">
        <v>27</v>
      </c>
      <c r="G496" s="18" t="b">
        <v>0</v>
      </c>
      <c r="H496" s="18" t="b">
        <v>0</v>
      </c>
      <c r="I496" s="18" t="b">
        <v>1</v>
      </c>
      <c r="J496" s="18" t="b">
        <v>0</v>
      </c>
      <c r="K496" s="18" t="b">
        <v>0</v>
      </c>
      <c r="L496" s="18" t="b">
        <v>0</v>
      </c>
      <c r="M496" s="18" t="b">
        <v>0</v>
      </c>
      <c r="N496" s="18" t="b">
        <v>0</v>
      </c>
      <c r="O496" s="18" t="b">
        <v>0</v>
      </c>
      <c r="P496" s="18" t="b">
        <v>0</v>
      </c>
      <c r="Q496" s="18" t="b">
        <v>0</v>
      </c>
      <c r="R496" s="19" t="b">
        <v>0</v>
      </c>
    </row>
    <row r="497" spans="1:18" ht="15.75" hidden="1" customHeight="1">
      <c r="A497" s="17" t="s">
        <v>1633</v>
      </c>
      <c r="B497" s="51" t="s">
        <v>1634</v>
      </c>
      <c r="C497" s="17" t="s">
        <v>1635</v>
      </c>
      <c r="D497" s="17" t="s">
        <v>1636</v>
      </c>
      <c r="E497" s="16" t="s">
        <v>69</v>
      </c>
      <c r="F497" s="19" t="s">
        <v>34</v>
      </c>
      <c r="G497" s="16" t="b">
        <v>0</v>
      </c>
      <c r="H497" s="16" t="b">
        <v>0</v>
      </c>
      <c r="I497" s="16" t="b">
        <v>0</v>
      </c>
      <c r="J497" s="16" t="b">
        <v>0</v>
      </c>
      <c r="K497" s="16" t="b">
        <v>0</v>
      </c>
      <c r="L497" s="16" t="b">
        <v>0</v>
      </c>
      <c r="M497" s="16" t="b">
        <v>0</v>
      </c>
      <c r="N497" s="16" t="b">
        <v>0</v>
      </c>
      <c r="O497" s="16" t="b">
        <v>1</v>
      </c>
      <c r="P497" s="16" t="b">
        <v>0</v>
      </c>
      <c r="Q497" s="16" t="b">
        <v>0</v>
      </c>
      <c r="R497" s="33" t="b">
        <v>0</v>
      </c>
    </row>
    <row r="498" spans="1:18" ht="15.75" customHeight="1">
      <c r="A498" s="61" t="s">
        <v>1637</v>
      </c>
      <c r="B498" s="15" t="s">
        <v>1638</v>
      </c>
      <c r="C498" s="44" t="s">
        <v>1639</v>
      </c>
      <c r="D498" s="45" t="s">
        <v>1640</v>
      </c>
      <c r="E498" s="18" t="s">
        <v>154</v>
      </c>
      <c r="F498" s="19" t="s">
        <v>27</v>
      </c>
      <c r="G498" s="18" t="b">
        <v>0</v>
      </c>
      <c r="H498" s="18" t="b">
        <v>0</v>
      </c>
      <c r="I498" s="18" t="b">
        <v>1</v>
      </c>
      <c r="J498" s="18" t="b">
        <v>0</v>
      </c>
      <c r="K498" s="18" t="b">
        <v>0</v>
      </c>
      <c r="L498" s="18" t="b">
        <v>0</v>
      </c>
      <c r="M498" s="18" t="b">
        <v>0</v>
      </c>
      <c r="N498" s="18" t="b">
        <v>0</v>
      </c>
      <c r="O498" s="18" t="b">
        <v>0</v>
      </c>
      <c r="P498" s="18" t="b">
        <v>0</v>
      </c>
      <c r="Q498" s="18" t="b">
        <v>0</v>
      </c>
      <c r="R498" s="19" t="b">
        <v>0</v>
      </c>
    </row>
    <row r="499" spans="1:18" ht="15.75" customHeight="1">
      <c r="A499" s="61" t="s">
        <v>1641</v>
      </c>
      <c r="B499" s="15" t="s">
        <v>1641</v>
      </c>
      <c r="C499" s="44" t="s">
        <v>1642</v>
      </c>
      <c r="D499" s="45" t="s">
        <v>1643</v>
      </c>
      <c r="E499" s="18" t="s">
        <v>154</v>
      </c>
      <c r="F499" s="19" t="s">
        <v>27</v>
      </c>
      <c r="G499" s="18" t="b">
        <v>0</v>
      </c>
      <c r="H499" s="18" t="b">
        <v>0</v>
      </c>
      <c r="I499" s="18" t="b">
        <v>1</v>
      </c>
      <c r="J499" s="18" t="b">
        <v>0</v>
      </c>
      <c r="K499" s="18" t="b">
        <v>0</v>
      </c>
      <c r="L499" s="18" t="b">
        <v>0</v>
      </c>
      <c r="M499" s="18" t="b">
        <v>0</v>
      </c>
      <c r="N499" s="18" t="b">
        <v>0</v>
      </c>
      <c r="O499" s="18" t="b">
        <v>1</v>
      </c>
      <c r="P499" s="18" t="b">
        <v>0</v>
      </c>
      <c r="Q499" s="18" t="b">
        <v>0</v>
      </c>
      <c r="R499" s="19" t="b">
        <v>0</v>
      </c>
    </row>
    <row r="500" spans="1:18" ht="15.75" customHeight="1">
      <c r="A500" s="61" t="s">
        <v>1644</v>
      </c>
      <c r="B500" s="15"/>
      <c r="C500" s="44" t="s">
        <v>1645</v>
      </c>
      <c r="D500" s="45" t="s">
        <v>1646</v>
      </c>
      <c r="E500" s="18" t="s">
        <v>471</v>
      </c>
      <c r="F500" s="19" t="s">
        <v>27</v>
      </c>
      <c r="G500" s="18" t="b">
        <v>0</v>
      </c>
      <c r="H500" s="18" t="b">
        <v>0</v>
      </c>
      <c r="I500" s="18" t="b">
        <v>0</v>
      </c>
      <c r="J500" s="18" t="b">
        <v>0</v>
      </c>
      <c r="K500" s="18" t="b">
        <v>0</v>
      </c>
      <c r="L500" s="18" t="b">
        <v>0</v>
      </c>
      <c r="M500" s="18" t="b">
        <v>0</v>
      </c>
      <c r="N500" s="18" t="b">
        <v>0</v>
      </c>
      <c r="O500" s="18" t="b">
        <v>0</v>
      </c>
      <c r="P500" s="18" t="b">
        <v>0</v>
      </c>
      <c r="Q500" s="18" t="b">
        <v>0</v>
      </c>
      <c r="R500" s="19" t="b">
        <v>1</v>
      </c>
    </row>
    <row r="501" spans="1:18" ht="15.75" hidden="1" customHeight="1">
      <c r="A501" s="17" t="s">
        <v>1647</v>
      </c>
      <c r="B501" s="52"/>
      <c r="C501" s="48" t="s">
        <v>1648</v>
      </c>
      <c r="D501" s="17" t="s">
        <v>1649</v>
      </c>
      <c r="E501" s="16"/>
      <c r="F501" s="33" t="s">
        <v>38</v>
      </c>
      <c r="G501" s="16" t="b">
        <v>0</v>
      </c>
      <c r="H501" s="16" t="b">
        <v>0</v>
      </c>
      <c r="I501" s="16" t="b">
        <v>0</v>
      </c>
      <c r="J501" s="16" t="b">
        <v>0</v>
      </c>
      <c r="K501" s="16"/>
      <c r="L501" s="16"/>
      <c r="M501" s="16" t="b">
        <v>0</v>
      </c>
      <c r="N501" s="16" t="b">
        <v>0</v>
      </c>
      <c r="O501" s="16" t="b">
        <v>0</v>
      </c>
      <c r="P501" s="16" t="b">
        <v>0</v>
      </c>
      <c r="Q501" s="16" t="b">
        <v>1</v>
      </c>
      <c r="R501" s="33" t="b">
        <v>0</v>
      </c>
    </row>
    <row r="502" spans="1:18" ht="15.75" hidden="1" customHeight="1">
      <c r="A502" s="17" t="s">
        <v>1650</v>
      </c>
      <c r="B502" s="46"/>
      <c r="C502" s="17" t="s">
        <v>1651</v>
      </c>
      <c r="D502" s="17" t="s">
        <v>1652</v>
      </c>
      <c r="E502" s="18" t="s">
        <v>178</v>
      </c>
      <c r="F502" s="19" t="s">
        <v>38</v>
      </c>
      <c r="G502" s="18" t="b">
        <v>0</v>
      </c>
      <c r="H502" s="18" t="b">
        <v>0</v>
      </c>
      <c r="I502" s="18" t="b">
        <v>0</v>
      </c>
      <c r="J502" s="18" t="b">
        <v>0</v>
      </c>
      <c r="K502" s="18" t="b">
        <v>0</v>
      </c>
      <c r="L502" s="18" t="b">
        <v>0</v>
      </c>
      <c r="M502" s="18" t="b">
        <v>0</v>
      </c>
      <c r="N502" s="18" t="b">
        <v>1</v>
      </c>
      <c r="O502" s="18" t="b">
        <v>0</v>
      </c>
      <c r="P502" s="18" t="b">
        <v>0</v>
      </c>
      <c r="Q502" s="18" t="b">
        <v>0</v>
      </c>
      <c r="R502" s="19" t="b">
        <v>0</v>
      </c>
    </row>
    <row r="503" spans="1:18" ht="15.75" customHeight="1">
      <c r="A503" s="61" t="s">
        <v>1653</v>
      </c>
      <c r="B503" s="15" t="s">
        <v>1654</v>
      </c>
      <c r="C503" s="44" t="s">
        <v>1655</v>
      </c>
      <c r="D503" s="45" t="s">
        <v>1656</v>
      </c>
      <c r="E503" s="18" t="s">
        <v>52</v>
      </c>
      <c r="F503" s="19" t="s">
        <v>27</v>
      </c>
      <c r="G503" s="18" t="b">
        <v>0</v>
      </c>
      <c r="H503" s="18" t="b">
        <v>0</v>
      </c>
      <c r="I503" s="18" t="b">
        <v>0</v>
      </c>
      <c r="J503" s="18" t="b">
        <v>1</v>
      </c>
      <c r="K503" s="18" t="b">
        <v>1</v>
      </c>
      <c r="L503" s="18" t="b">
        <v>0</v>
      </c>
      <c r="M503" s="18" t="b">
        <v>0</v>
      </c>
      <c r="N503" s="18" t="b">
        <v>0</v>
      </c>
      <c r="O503" s="18" t="b">
        <v>0</v>
      </c>
      <c r="P503" s="18" t="b">
        <v>0</v>
      </c>
      <c r="Q503" s="18" t="b">
        <v>0</v>
      </c>
      <c r="R503" s="19" t="b">
        <v>0</v>
      </c>
    </row>
    <row r="504" spans="1:18" ht="15.75" hidden="1" customHeight="1">
      <c r="A504" s="76" t="s">
        <v>1657</v>
      </c>
      <c r="B504" s="106"/>
      <c r="C504" s="76" t="s">
        <v>1658</v>
      </c>
      <c r="D504" s="152" t="s">
        <v>1659</v>
      </c>
      <c r="E504" s="16"/>
      <c r="F504" s="33" t="s">
        <v>38</v>
      </c>
      <c r="G504" s="16" t="b">
        <v>0</v>
      </c>
      <c r="H504" s="16" t="b">
        <v>0</v>
      </c>
      <c r="I504" s="16" t="b">
        <v>0</v>
      </c>
      <c r="J504" s="16" t="b">
        <v>0</v>
      </c>
      <c r="K504" s="16"/>
      <c r="L504" s="16"/>
      <c r="M504" s="16" t="b">
        <v>0</v>
      </c>
      <c r="N504" s="16" t="b">
        <v>0</v>
      </c>
      <c r="O504" s="16" t="b">
        <v>0</v>
      </c>
      <c r="P504" s="16" t="b">
        <v>0</v>
      </c>
      <c r="Q504" s="16" t="b">
        <v>0</v>
      </c>
      <c r="R504" s="33" t="b">
        <v>1</v>
      </c>
    </row>
    <row r="505" spans="1:18" ht="15.75" hidden="1" customHeight="1">
      <c r="A505" s="111" t="s">
        <v>1660</v>
      </c>
      <c r="B505" s="15"/>
      <c r="C505" s="153" t="s">
        <v>1661</v>
      </c>
      <c r="D505" s="16" t="s">
        <v>1662</v>
      </c>
      <c r="E505" s="16" t="s">
        <v>471</v>
      </c>
      <c r="F505" s="33" t="s">
        <v>34</v>
      </c>
      <c r="G505" s="16" t="b">
        <v>0</v>
      </c>
      <c r="H505" s="16" t="b">
        <v>0</v>
      </c>
      <c r="I505" s="16" t="b">
        <v>0</v>
      </c>
      <c r="J505" s="16" t="b">
        <v>0</v>
      </c>
      <c r="K505" s="16" t="b">
        <v>0</v>
      </c>
      <c r="L505" s="16" t="b">
        <v>0</v>
      </c>
      <c r="M505" s="16" t="b">
        <v>0</v>
      </c>
      <c r="N505" s="16" t="b">
        <v>0</v>
      </c>
      <c r="O505" s="16" t="b">
        <v>0</v>
      </c>
      <c r="P505" s="16" t="b">
        <v>0</v>
      </c>
      <c r="Q505" s="16" t="b">
        <v>0</v>
      </c>
      <c r="R505" s="33" t="b">
        <v>1</v>
      </c>
    </row>
    <row r="506" spans="1:18" ht="15.75" customHeight="1">
      <c r="A506" s="61" t="s">
        <v>1663</v>
      </c>
      <c r="B506" s="15" t="s">
        <v>1663</v>
      </c>
      <c r="C506" s="44" t="s">
        <v>1664</v>
      </c>
      <c r="D506" s="45" t="s">
        <v>1665</v>
      </c>
      <c r="E506" s="18" t="s">
        <v>26</v>
      </c>
      <c r="F506" s="19" t="s">
        <v>27</v>
      </c>
      <c r="G506" s="18" t="b">
        <v>0</v>
      </c>
      <c r="H506" s="18" t="b">
        <v>0</v>
      </c>
      <c r="I506" s="18" t="b">
        <v>1</v>
      </c>
      <c r="J506" s="18" t="b">
        <v>0</v>
      </c>
      <c r="K506" s="18" t="b">
        <v>0</v>
      </c>
      <c r="L506" s="18" t="b">
        <v>0</v>
      </c>
      <c r="M506" s="18" t="b">
        <v>1</v>
      </c>
      <c r="N506" s="18" t="b">
        <v>0</v>
      </c>
      <c r="O506" s="18" t="b">
        <v>0</v>
      </c>
      <c r="P506" s="18" t="b">
        <v>0</v>
      </c>
      <c r="Q506" s="18" t="b">
        <v>0</v>
      </c>
      <c r="R506" s="19" t="b">
        <v>0</v>
      </c>
    </row>
    <row r="507" spans="1:18" ht="15.75" customHeight="1">
      <c r="A507" s="61" t="s">
        <v>1666</v>
      </c>
      <c r="B507" s="15" t="s">
        <v>1666</v>
      </c>
      <c r="C507" s="44" t="s">
        <v>1667</v>
      </c>
      <c r="D507" s="45" t="s">
        <v>1668</v>
      </c>
      <c r="E507" s="18" t="s">
        <v>471</v>
      </c>
      <c r="F507" s="19" t="s">
        <v>27</v>
      </c>
      <c r="G507" s="18" t="b">
        <v>0</v>
      </c>
      <c r="H507" s="18" t="b">
        <v>0</v>
      </c>
      <c r="I507" s="18" t="b">
        <v>0</v>
      </c>
      <c r="J507" s="18" t="b">
        <v>0</v>
      </c>
      <c r="K507" s="18" t="b">
        <v>0</v>
      </c>
      <c r="L507" s="18" t="b">
        <v>0</v>
      </c>
      <c r="M507" s="18" t="b">
        <v>0</v>
      </c>
      <c r="N507" s="18" t="b">
        <v>0</v>
      </c>
      <c r="O507" s="18" t="b">
        <v>0</v>
      </c>
      <c r="P507" s="18" t="b">
        <v>0</v>
      </c>
      <c r="Q507" s="18" t="b">
        <v>0</v>
      </c>
      <c r="R507" s="19" t="b">
        <v>1</v>
      </c>
    </row>
    <row r="508" spans="1:18" ht="15.75" customHeight="1">
      <c r="A508" s="61" t="s">
        <v>1669</v>
      </c>
      <c r="B508" s="15" t="s">
        <v>1669</v>
      </c>
      <c r="C508" s="44" t="s">
        <v>1670</v>
      </c>
      <c r="D508" s="45" t="s">
        <v>1671</v>
      </c>
      <c r="E508" s="18" t="s">
        <v>154</v>
      </c>
      <c r="F508" s="19" t="s">
        <v>27</v>
      </c>
      <c r="G508" s="18" t="b">
        <v>0</v>
      </c>
      <c r="H508" s="18" t="b">
        <v>0</v>
      </c>
      <c r="I508" s="18" t="b">
        <v>1</v>
      </c>
      <c r="J508" s="18" t="b">
        <v>0</v>
      </c>
      <c r="K508" s="18" t="b">
        <v>0</v>
      </c>
      <c r="L508" s="18" t="b">
        <v>0</v>
      </c>
      <c r="M508" s="18" t="b">
        <v>0</v>
      </c>
      <c r="N508" s="18" t="b">
        <v>0</v>
      </c>
      <c r="O508" s="18" t="b">
        <v>0</v>
      </c>
      <c r="P508" s="18" t="b">
        <v>0</v>
      </c>
      <c r="Q508" s="18" t="b">
        <v>0</v>
      </c>
      <c r="R508" s="19" t="b">
        <v>0</v>
      </c>
    </row>
    <row r="509" spans="1:18" ht="15.75" customHeight="1">
      <c r="A509" s="61" t="s">
        <v>1672</v>
      </c>
      <c r="B509" s="15" t="s">
        <v>1672</v>
      </c>
      <c r="C509" s="44" t="s">
        <v>1673</v>
      </c>
      <c r="D509" s="45" t="s">
        <v>1674</v>
      </c>
      <c r="E509" s="18" t="s">
        <v>140</v>
      </c>
      <c r="F509" s="19" t="s">
        <v>27</v>
      </c>
      <c r="G509" s="18" t="b">
        <v>0</v>
      </c>
      <c r="H509" s="18" t="b">
        <v>1</v>
      </c>
      <c r="I509" s="18" t="b">
        <v>0</v>
      </c>
      <c r="J509" s="18" t="b">
        <v>0</v>
      </c>
      <c r="K509" s="18" t="b">
        <v>0</v>
      </c>
      <c r="L509" s="18" t="b">
        <v>0</v>
      </c>
      <c r="M509" s="18" t="b">
        <v>0</v>
      </c>
      <c r="N509" s="18" t="b">
        <v>0</v>
      </c>
      <c r="O509" s="18" t="b">
        <v>0</v>
      </c>
      <c r="P509" s="18" t="b">
        <v>0</v>
      </c>
      <c r="Q509" s="18" t="b">
        <v>0</v>
      </c>
      <c r="R509" s="19" t="b">
        <v>0</v>
      </c>
    </row>
    <row r="510" spans="1:18" ht="15.75" hidden="1" customHeight="1">
      <c r="A510" s="154" t="s">
        <v>1675</v>
      </c>
      <c r="B510" s="155"/>
      <c r="C510" s="155">
        <v>380930479640</v>
      </c>
      <c r="D510" s="16" t="s">
        <v>1676</v>
      </c>
      <c r="E510" s="36"/>
      <c r="F510" s="40" t="s">
        <v>38</v>
      </c>
      <c r="G510" s="116" t="b">
        <v>0</v>
      </c>
      <c r="H510" s="116" t="b">
        <v>0</v>
      </c>
      <c r="I510" s="116" t="b">
        <v>0</v>
      </c>
      <c r="J510" s="116" t="b">
        <v>0</v>
      </c>
      <c r="K510" s="116"/>
      <c r="L510" s="116"/>
      <c r="M510" s="116" t="b">
        <v>0</v>
      </c>
      <c r="N510" s="116" t="b">
        <v>0</v>
      </c>
      <c r="O510" s="116" t="b">
        <v>1</v>
      </c>
      <c r="P510" s="116" t="b">
        <v>0</v>
      </c>
      <c r="Q510" s="116" t="b">
        <v>0</v>
      </c>
      <c r="R510" s="156" t="b">
        <v>0</v>
      </c>
    </row>
    <row r="511" spans="1:18" ht="15.75" customHeight="1">
      <c r="A511" s="61" t="s">
        <v>1677</v>
      </c>
      <c r="B511" s="15"/>
      <c r="C511" s="18" t="s">
        <v>1678</v>
      </c>
      <c r="D511" s="17" t="s">
        <v>1679</v>
      </c>
      <c r="E511" s="18" t="s">
        <v>52</v>
      </c>
      <c r="F511" s="19" t="s">
        <v>27</v>
      </c>
      <c r="G511" s="18" t="b">
        <v>0</v>
      </c>
      <c r="H511" s="18" t="b">
        <v>0</v>
      </c>
      <c r="I511" s="18" t="b">
        <v>0</v>
      </c>
      <c r="J511" s="18" t="b">
        <v>1</v>
      </c>
      <c r="K511" s="18" t="b">
        <v>1</v>
      </c>
      <c r="L511" s="18" t="b">
        <v>0</v>
      </c>
      <c r="M511" s="18" t="b">
        <v>0</v>
      </c>
      <c r="N511" s="18" t="b">
        <v>0</v>
      </c>
      <c r="O511" s="18" t="b">
        <v>0</v>
      </c>
      <c r="P511" s="18" t="b">
        <v>0</v>
      </c>
      <c r="Q511" s="18" t="b">
        <v>0</v>
      </c>
      <c r="R511" s="19" t="b">
        <v>0</v>
      </c>
    </row>
    <row r="512" spans="1:18" ht="15.75" hidden="1" customHeight="1">
      <c r="A512" s="61" t="s">
        <v>1680</v>
      </c>
      <c r="B512" s="15" t="s">
        <v>1681</v>
      </c>
      <c r="C512" s="44" t="s">
        <v>1682</v>
      </c>
      <c r="D512" s="45" t="s">
        <v>1683</v>
      </c>
      <c r="E512" s="18" t="s">
        <v>471</v>
      </c>
      <c r="F512" s="19" t="s">
        <v>38</v>
      </c>
      <c r="G512" s="18" t="b">
        <v>0</v>
      </c>
      <c r="H512" s="18" t="b">
        <v>0</v>
      </c>
      <c r="I512" s="18" t="b">
        <v>0</v>
      </c>
      <c r="J512" s="18" t="b">
        <v>0</v>
      </c>
      <c r="K512" s="18" t="b">
        <v>0</v>
      </c>
      <c r="L512" s="18" t="b">
        <v>0</v>
      </c>
      <c r="M512" s="18" t="b">
        <v>0</v>
      </c>
      <c r="N512" s="18" t="b">
        <v>0</v>
      </c>
      <c r="O512" s="18" t="b">
        <v>0</v>
      </c>
      <c r="P512" s="18" t="b">
        <v>0</v>
      </c>
      <c r="Q512" s="18" t="b">
        <v>0</v>
      </c>
      <c r="R512" s="19" t="b">
        <v>1</v>
      </c>
    </row>
    <row r="513" spans="1:18" ht="15.75" customHeight="1">
      <c r="A513" s="61" t="s">
        <v>1684</v>
      </c>
      <c r="B513" s="15" t="s">
        <v>1684</v>
      </c>
      <c r="C513" s="44" t="s">
        <v>1685</v>
      </c>
      <c r="D513" s="45" t="s">
        <v>1686</v>
      </c>
      <c r="E513" s="18" t="s">
        <v>26</v>
      </c>
      <c r="F513" s="19" t="s">
        <v>27</v>
      </c>
      <c r="G513" s="18" t="b">
        <v>0</v>
      </c>
      <c r="H513" s="18" t="b">
        <v>0</v>
      </c>
      <c r="I513" s="18" t="b">
        <v>1</v>
      </c>
      <c r="J513" s="18" t="b">
        <v>0</v>
      </c>
      <c r="K513" s="18" t="b">
        <v>0</v>
      </c>
      <c r="L513" s="18" t="b">
        <v>0</v>
      </c>
      <c r="M513" s="18" t="b">
        <v>0</v>
      </c>
      <c r="N513" s="18" t="b">
        <v>0</v>
      </c>
      <c r="O513" s="18" t="b">
        <v>0</v>
      </c>
      <c r="P513" s="18" t="b">
        <v>0</v>
      </c>
      <c r="Q513" s="18" t="b">
        <v>0</v>
      </c>
      <c r="R513" s="19" t="b">
        <v>0</v>
      </c>
    </row>
    <row r="514" spans="1:18" ht="15.75" hidden="1" customHeight="1">
      <c r="A514" s="80" t="s">
        <v>1687</v>
      </c>
      <c r="B514" s="157"/>
      <c r="C514" s="158" t="s">
        <v>1688</v>
      </c>
      <c r="D514" s="16" t="s">
        <v>1689</v>
      </c>
      <c r="E514" s="16"/>
      <c r="F514" s="33" t="s">
        <v>38</v>
      </c>
      <c r="G514" s="16" t="b">
        <v>0</v>
      </c>
      <c r="H514" s="16" t="b">
        <v>0</v>
      </c>
      <c r="I514" s="16" t="b">
        <v>0</v>
      </c>
      <c r="J514" s="16" t="b">
        <v>0</v>
      </c>
      <c r="K514" s="16"/>
      <c r="L514" s="16"/>
      <c r="M514" s="16" t="b">
        <v>1</v>
      </c>
      <c r="N514" s="16" t="b">
        <v>0</v>
      </c>
      <c r="O514" s="16" t="b">
        <v>0</v>
      </c>
      <c r="P514" s="16" t="b">
        <v>0</v>
      </c>
      <c r="Q514" s="16" t="b">
        <v>0</v>
      </c>
      <c r="R514" s="33" t="b">
        <v>0</v>
      </c>
    </row>
    <row r="515" spans="1:18" ht="15.75" hidden="1" customHeight="1">
      <c r="A515" s="18" t="s">
        <v>1690</v>
      </c>
      <c r="B515" s="15" t="s">
        <v>1690</v>
      </c>
      <c r="C515" s="44" t="s">
        <v>1691</v>
      </c>
      <c r="D515" s="74" t="s">
        <v>1692</v>
      </c>
      <c r="E515" s="18" t="s">
        <v>471</v>
      </c>
      <c r="F515" s="19" t="s">
        <v>38</v>
      </c>
      <c r="G515" s="18" t="b">
        <v>0</v>
      </c>
      <c r="H515" s="18" t="b">
        <v>0</v>
      </c>
      <c r="I515" s="18" t="b">
        <v>0</v>
      </c>
      <c r="J515" s="18" t="b">
        <v>0</v>
      </c>
      <c r="K515" s="18" t="b">
        <v>0</v>
      </c>
      <c r="L515" s="18" t="b">
        <v>0</v>
      </c>
      <c r="M515" s="18" t="b">
        <v>0</v>
      </c>
      <c r="N515" s="18" t="b">
        <v>0</v>
      </c>
      <c r="O515" s="18" t="b">
        <v>0</v>
      </c>
      <c r="P515" s="18" t="b">
        <v>0</v>
      </c>
      <c r="Q515" s="18" t="b">
        <v>0</v>
      </c>
      <c r="R515" s="19" t="b">
        <v>1</v>
      </c>
    </row>
    <row r="516" spans="1:18" ht="15.75" customHeight="1">
      <c r="A516" s="61" t="s">
        <v>1693</v>
      </c>
      <c r="B516" s="15" t="s">
        <v>1693</v>
      </c>
      <c r="C516" s="44" t="s">
        <v>1694</v>
      </c>
      <c r="D516" s="45" t="s">
        <v>1695</v>
      </c>
      <c r="E516" s="18" t="s">
        <v>26</v>
      </c>
      <c r="F516" s="19" t="s">
        <v>27</v>
      </c>
      <c r="G516" s="18" t="b">
        <v>0</v>
      </c>
      <c r="H516" s="18" t="b">
        <v>0</v>
      </c>
      <c r="I516" s="18" t="b">
        <v>1</v>
      </c>
      <c r="J516" s="18" t="b">
        <v>0</v>
      </c>
      <c r="K516" s="18" t="b">
        <v>0</v>
      </c>
      <c r="L516" s="18" t="b">
        <v>0</v>
      </c>
      <c r="M516" s="18" t="b">
        <v>0</v>
      </c>
      <c r="N516" s="18" t="b">
        <v>0</v>
      </c>
      <c r="O516" s="18" t="b">
        <v>0</v>
      </c>
      <c r="P516" s="18" t="b">
        <v>0</v>
      </c>
      <c r="Q516" s="18" t="b">
        <v>0</v>
      </c>
      <c r="R516" s="19" t="b">
        <v>0</v>
      </c>
    </row>
    <row r="517" spans="1:18" ht="15.75" customHeight="1">
      <c r="A517" s="61" t="s">
        <v>1696</v>
      </c>
      <c r="B517" s="15" t="s">
        <v>1696</v>
      </c>
      <c r="C517" s="44" t="s">
        <v>1697</v>
      </c>
      <c r="D517" s="45" t="s">
        <v>1698</v>
      </c>
      <c r="E517" s="18" t="s">
        <v>154</v>
      </c>
      <c r="F517" s="19" t="s">
        <v>27</v>
      </c>
      <c r="G517" s="18" t="b">
        <v>0</v>
      </c>
      <c r="H517" s="18" t="b">
        <v>0</v>
      </c>
      <c r="I517" s="18" t="b">
        <v>1</v>
      </c>
      <c r="J517" s="18" t="b">
        <v>0</v>
      </c>
      <c r="K517" s="18" t="b">
        <v>0</v>
      </c>
      <c r="L517" s="18" t="b">
        <v>0</v>
      </c>
      <c r="M517" s="18" t="b">
        <v>0</v>
      </c>
      <c r="N517" s="18" t="b">
        <v>0</v>
      </c>
      <c r="O517" s="18" t="b">
        <v>0</v>
      </c>
      <c r="P517" s="18" t="b">
        <v>0</v>
      </c>
      <c r="Q517" s="18" t="b">
        <v>0</v>
      </c>
      <c r="R517" s="19" t="b">
        <v>0</v>
      </c>
    </row>
    <row r="518" spans="1:18" ht="18" hidden="1">
      <c r="A518" s="61" t="s">
        <v>1699</v>
      </c>
      <c r="B518" s="15"/>
      <c r="C518" s="18" t="s">
        <v>1700</v>
      </c>
      <c r="D518" s="17" t="s">
        <v>1701</v>
      </c>
      <c r="E518" s="18" t="s">
        <v>26</v>
      </c>
      <c r="F518" s="19" t="s">
        <v>38</v>
      </c>
      <c r="G518" s="18" t="b">
        <v>0</v>
      </c>
      <c r="H518" s="18" t="b">
        <v>0</v>
      </c>
      <c r="I518" s="18" t="b">
        <v>1</v>
      </c>
      <c r="J518" s="18" t="b">
        <v>0</v>
      </c>
      <c r="K518" s="18" t="b">
        <v>0</v>
      </c>
      <c r="L518" s="18" t="b">
        <v>0</v>
      </c>
      <c r="M518" s="18" t="b">
        <v>0</v>
      </c>
      <c r="N518" s="18" t="b">
        <v>0</v>
      </c>
      <c r="O518" s="18" t="b">
        <v>0</v>
      </c>
      <c r="P518" s="18" t="b">
        <v>0</v>
      </c>
      <c r="Q518" s="18" t="b">
        <v>0</v>
      </c>
      <c r="R518" s="18" t="b">
        <v>0</v>
      </c>
    </row>
    <row r="519" spans="1:18" ht="15.75" customHeight="1">
      <c r="A519" s="159" t="s">
        <v>1702</v>
      </c>
      <c r="B519" s="15"/>
      <c r="C519" s="44" t="s">
        <v>1703</v>
      </c>
      <c r="D519" s="160" t="s">
        <v>1704</v>
      </c>
      <c r="E519" s="18" t="s">
        <v>26</v>
      </c>
      <c r="F519" s="19" t="s">
        <v>27</v>
      </c>
      <c r="G519" s="18" t="b">
        <v>0</v>
      </c>
      <c r="H519" s="18" t="b">
        <v>0</v>
      </c>
      <c r="I519" s="18" t="b">
        <v>1</v>
      </c>
      <c r="J519" s="18" t="b">
        <v>0</v>
      </c>
      <c r="K519" s="18" t="b">
        <v>0</v>
      </c>
      <c r="L519" s="18" t="b">
        <v>0</v>
      </c>
      <c r="M519" s="18" t="b">
        <v>0</v>
      </c>
      <c r="N519" s="18" t="b">
        <v>0</v>
      </c>
      <c r="O519" s="18" t="b">
        <v>0</v>
      </c>
      <c r="P519" s="18" t="b">
        <v>0</v>
      </c>
      <c r="Q519" s="18" t="b">
        <v>0</v>
      </c>
      <c r="R519" s="19" t="b">
        <v>0</v>
      </c>
    </row>
    <row r="520" spans="1:18" ht="15.75" hidden="1" customHeight="1">
      <c r="A520" s="76" t="s">
        <v>1705</v>
      </c>
      <c r="B520" s="76"/>
      <c r="C520" s="76" t="s">
        <v>1706</v>
      </c>
      <c r="D520" s="14" t="s">
        <v>1707</v>
      </c>
      <c r="E520" s="36"/>
      <c r="F520" s="40" t="s">
        <v>38</v>
      </c>
      <c r="G520" s="116" t="b">
        <v>0</v>
      </c>
      <c r="H520" s="116" t="b">
        <v>0</v>
      </c>
      <c r="I520" s="116" t="b">
        <v>0</v>
      </c>
      <c r="J520" s="116" t="b">
        <v>0</v>
      </c>
      <c r="K520" s="116"/>
      <c r="L520" s="116"/>
      <c r="M520" s="116" t="b">
        <v>0</v>
      </c>
      <c r="N520" s="116" t="b">
        <v>0</v>
      </c>
      <c r="O520" s="116" t="b">
        <v>0</v>
      </c>
      <c r="P520" s="116" t="b">
        <v>0</v>
      </c>
      <c r="Q520" s="116" t="b">
        <v>0</v>
      </c>
      <c r="R520" s="156" t="b">
        <v>1</v>
      </c>
    </row>
    <row r="521" spans="1:18" ht="15.75" customHeight="1">
      <c r="A521" s="61" t="s">
        <v>1708</v>
      </c>
      <c r="B521" s="15" t="s">
        <v>1708</v>
      </c>
      <c r="C521" s="18" t="s">
        <v>1709</v>
      </c>
      <c r="D521" s="17" t="s">
        <v>1710</v>
      </c>
      <c r="E521" s="18" t="s">
        <v>52</v>
      </c>
      <c r="F521" s="19" t="s">
        <v>27</v>
      </c>
      <c r="G521" s="18" t="b">
        <v>0</v>
      </c>
      <c r="H521" s="18" t="b">
        <v>0</v>
      </c>
      <c r="I521" s="18" t="b">
        <v>0</v>
      </c>
      <c r="J521" s="18" t="b">
        <v>1</v>
      </c>
      <c r="K521" s="18" t="b">
        <v>1</v>
      </c>
      <c r="L521" s="18" t="b">
        <v>0</v>
      </c>
      <c r="M521" s="18" t="b">
        <v>0</v>
      </c>
      <c r="N521" s="18" t="b">
        <v>0</v>
      </c>
      <c r="O521" s="18" t="b">
        <v>0</v>
      </c>
      <c r="P521" s="18" t="b">
        <v>0</v>
      </c>
      <c r="Q521" s="18" t="b">
        <v>0</v>
      </c>
      <c r="R521" s="19" t="b">
        <v>0</v>
      </c>
    </row>
    <row r="522" spans="1:18" ht="15.75" customHeight="1">
      <c r="A522" s="61" t="s">
        <v>1711</v>
      </c>
      <c r="B522" s="15"/>
      <c r="C522" s="18" t="s">
        <v>1712</v>
      </c>
      <c r="D522" s="17" t="s">
        <v>1713</v>
      </c>
      <c r="E522" s="18" t="s">
        <v>52</v>
      </c>
      <c r="F522" s="19" t="s">
        <v>27</v>
      </c>
      <c r="G522" s="18" t="b">
        <v>0</v>
      </c>
      <c r="H522" s="18" t="b">
        <v>0</v>
      </c>
      <c r="I522" s="18" t="b">
        <v>0</v>
      </c>
      <c r="J522" s="18" t="b">
        <v>1</v>
      </c>
      <c r="K522" s="18" t="b">
        <v>1</v>
      </c>
      <c r="L522" s="18" t="b">
        <v>0</v>
      </c>
      <c r="M522" s="18" t="b">
        <v>0</v>
      </c>
      <c r="N522" s="18" t="b">
        <v>0</v>
      </c>
      <c r="O522" s="18" t="b">
        <v>0</v>
      </c>
      <c r="P522" s="18" t="b">
        <v>0</v>
      </c>
      <c r="Q522" s="18" t="b">
        <v>0</v>
      </c>
      <c r="R522" s="19" t="b">
        <v>0</v>
      </c>
    </row>
    <row r="523" spans="1:18" ht="15.75" hidden="1" customHeight="1">
      <c r="A523" s="80" t="s">
        <v>1714</v>
      </c>
      <c r="B523" s="131"/>
      <c r="C523" s="16" t="s">
        <v>1715</v>
      </c>
      <c r="D523" s="14" t="s">
        <v>1716</v>
      </c>
      <c r="E523" s="16"/>
      <c r="F523" s="33" t="s">
        <v>34</v>
      </c>
      <c r="G523" s="16" t="b">
        <v>0</v>
      </c>
      <c r="H523" s="16" t="b">
        <v>0</v>
      </c>
      <c r="I523" s="16" t="b">
        <v>0</v>
      </c>
      <c r="J523" s="16" t="b">
        <v>0</v>
      </c>
      <c r="K523" s="16" t="b">
        <v>0</v>
      </c>
      <c r="L523" s="16" t="b">
        <v>0</v>
      </c>
      <c r="M523" s="16" t="b">
        <v>0</v>
      </c>
      <c r="N523" s="16" t="b">
        <v>0</v>
      </c>
      <c r="O523" s="16" t="b">
        <v>0</v>
      </c>
      <c r="P523" s="16" t="b">
        <v>0</v>
      </c>
      <c r="Q523" s="16" t="b">
        <v>0</v>
      </c>
      <c r="R523" s="33" t="b">
        <v>1</v>
      </c>
    </row>
    <row r="524" spans="1:18" ht="15.75" hidden="1" customHeight="1">
      <c r="A524" s="61" t="s">
        <v>1717</v>
      </c>
      <c r="B524" s="72" t="s">
        <v>1717</v>
      </c>
      <c r="C524" s="90" t="s">
        <v>1718</v>
      </c>
      <c r="D524" s="90" t="s">
        <v>1719</v>
      </c>
      <c r="E524" s="16" t="s">
        <v>33</v>
      </c>
      <c r="F524" s="33" t="s">
        <v>34</v>
      </c>
      <c r="G524" s="16" t="b">
        <v>0</v>
      </c>
      <c r="H524" s="16" t="b">
        <v>0</v>
      </c>
      <c r="I524" s="16" t="b">
        <v>0</v>
      </c>
      <c r="J524" s="16" t="b">
        <v>0</v>
      </c>
      <c r="K524" s="16" t="b">
        <v>0</v>
      </c>
      <c r="L524" s="16" t="b">
        <v>0</v>
      </c>
      <c r="M524" s="16" t="b">
        <v>0</v>
      </c>
      <c r="N524" s="16" t="b">
        <v>0</v>
      </c>
      <c r="O524" s="16" t="b">
        <v>0</v>
      </c>
      <c r="P524" s="16" t="b">
        <v>0</v>
      </c>
      <c r="Q524" s="16" t="b">
        <v>0</v>
      </c>
      <c r="R524" s="33" t="b">
        <v>1</v>
      </c>
    </row>
    <row r="525" spans="1:18" ht="15.75" hidden="1" customHeight="1">
      <c r="A525" s="76" t="s">
        <v>1720</v>
      </c>
      <c r="B525" s="81" t="s">
        <v>1720</v>
      </c>
      <c r="C525" s="16" t="s">
        <v>1721</v>
      </c>
      <c r="D525" s="16" t="s">
        <v>1722</v>
      </c>
      <c r="E525" s="16" t="s">
        <v>60</v>
      </c>
      <c r="F525" s="33" t="s">
        <v>34</v>
      </c>
      <c r="G525" s="16" t="b">
        <v>0</v>
      </c>
      <c r="H525" s="16" t="b">
        <v>0</v>
      </c>
      <c r="I525" s="16" t="b">
        <v>0</v>
      </c>
      <c r="J525" s="16" t="b">
        <v>0</v>
      </c>
      <c r="K525" s="16" t="b">
        <v>0</v>
      </c>
      <c r="L525" s="16" t="b">
        <v>0</v>
      </c>
      <c r="M525" s="16" t="b">
        <v>1</v>
      </c>
      <c r="N525" s="16" t="b">
        <v>0</v>
      </c>
      <c r="O525" s="16" t="b">
        <v>0</v>
      </c>
      <c r="P525" s="16" t="b">
        <v>0</v>
      </c>
      <c r="Q525" s="16" t="b">
        <v>0</v>
      </c>
      <c r="R525" s="33" t="b">
        <v>0</v>
      </c>
    </row>
    <row r="526" spans="1:18" ht="15.75" customHeight="1">
      <c r="A526" s="61" t="s">
        <v>1723</v>
      </c>
      <c r="B526" s="15" t="s">
        <v>1723</v>
      </c>
      <c r="C526" s="44" t="s">
        <v>1724</v>
      </c>
      <c r="D526" s="45" t="s">
        <v>1725</v>
      </c>
      <c r="E526" s="18" t="s">
        <v>52</v>
      </c>
      <c r="F526" s="19" t="s">
        <v>27</v>
      </c>
      <c r="G526" s="18" t="b">
        <v>0</v>
      </c>
      <c r="H526" s="18" t="b">
        <v>0</v>
      </c>
      <c r="I526" s="18" t="b">
        <v>0</v>
      </c>
      <c r="J526" s="18" t="b">
        <v>1</v>
      </c>
      <c r="K526" s="18" t="b">
        <v>1</v>
      </c>
      <c r="L526" s="18" t="b">
        <v>0</v>
      </c>
      <c r="M526" s="18" t="b">
        <v>0</v>
      </c>
      <c r="N526" s="18" t="b">
        <v>0</v>
      </c>
      <c r="O526" s="18" t="b">
        <v>0</v>
      </c>
      <c r="P526" s="18" t="b">
        <v>0</v>
      </c>
      <c r="Q526" s="18" t="b">
        <v>0</v>
      </c>
      <c r="R526" s="19" t="b">
        <v>0</v>
      </c>
    </row>
    <row r="527" spans="1:18" ht="15.75" hidden="1" customHeight="1">
      <c r="A527" s="154" t="s">
        <v>1726</v>
      </c>
      <c r="B527" s="16"/>
      <c r="C527" s="16" t="s">
        <v>1727</v>
      </c>
      <c r="D527" s="14" t="s">
        <v>1728</v>
      </c>
      <c r="E527" s="36"/>
      <c r="F527" s="40" t="s">
        <v>38</v>
      </c>
      <c r="G527" s="116" t="b">
        <v>0</v>
      </c>
      <c r="H527" s="116" t="b">
        <v>0</v>
      </c>
      <c r="I527" s="116" t="b">
        <v>0</v>
      </c>
      <c r="J527" s="116" t="b">
        <v>0</v>
      </c>
      <c r="K527" s="116"/>
      <c r="L527" s="116"/>
      <c r="M527" s="116" t="b">
        <v>0</v>
      </c>
      <c r="N527" s="116" t="b">
        <v>0</v>
      </c>
      <c r="O527" s="116" t="b">
        <v>0</v>
      </c>
      <c r="P527" s="116" t="b">
        <v>0</v>
      </c>
      <c r="Q527" s="116" t="b">
        <v>0</v>
      </c>
      <c r="R527" s="156" t="b">
        <v>1</v>
      </c>
    </row>
    <row r="528" spans="1:18" ht="15.75" hidden="1" customHeight="1">
      <c r="A528" s="80" t="s">
        <v>1729</v>
      </c>
      <c r="B528" s="131"/>
      <c r="C528" s="16" t="s">
        <v>1730</v>
      </c>
      <c r="D528" s="16" t="s">
        <v>1731</v>
      </c>
      <c r="E528" s="16"/>
      <c r="F528" s="33" t="s">
        <v>38</v>
      </c>
      <c r="G528" s="16" t="b">
        <v>0</v>
      </c>
      <c r="H528" s="16" t="b">
        <v>0</v>
      </c>
      <c r="I528" s="16" t="b">
        <v>0</v>
      </c>
      <c r="J528" s="16" t="b">
        <v>0</v>
      </c>
      <c r="K528" s="16"/>
      <c r="L528" s="16"/>
      <c r="M528" s="16" t="b">
        <v>0</v>
      </c>
      <c r="N528" s="16" t="b">
        <v>0</v>
      </c>
      <c r="O528" s="16" t="b">
        <v>0</v>
      </c>
      <c r="P528" s="16" t="b">
        <v>0</v>
      </c>
      <c r="Q528" s="16" t="b">
        <v>0</v>
      </c>
      <c r="R528" s="33" t="b">
        <v>1</v>
      </c>
    </row>
    <row r="529" spans="1:18" ht="15.75" customHeight="1">
      <c r="A529" s="61" t="s">
        <v>1732</v>
      </c>
      <c r="B529" s="15" t="s">
        <v>1732</v>
      </c>
      <c r="C529" s="44" t="s">
        <v>1733</v>
      </c>
      <c r="D529" s="45" t="s">
        <v>1734</v>
      </c>
      <c r="E529" s="18" t="s">
        <v>52</v>
      </c>
      <c r="F529" s="19" t="s">
        <v>27</v>
      </c>
      <c r="G529" s="18" t="b">
        <v>0</v>
      </c>
      <c r="H529" s="18" t="b">
        <v>0</v>
      </c>
      <c r="I529" s="18" t="b">
        <v>0</v>
      </c>
      <c r="J529" s="18" t="b">
        <v>1</v>
      </c>
      <c r="K529" s="18" t="b">
        <v>1</v>
      </c>
      <c r="L529" s="18" t="b">
        <v>0</v>
      </c>
      <c r="M529" s="18" t="b">
        <v>0</v>
      </c>
      <c r="N529" s="18" t="b">
        <v>0</v>
      </c>
      <c r="O529" s="18" t="b">
        <v>0</v>
      </c>
      <c r="P529" s="18" t="b">
        <v>0</v>
      </c>
      <c r="Q529" s="18" t="b">
        <v>0</v>
      </c>
      <c r="R529" s="19" t="b">
        <v>0</v>
      </c>
    </row>
    <row r="530" spans="1:18" ht="15.75" hidden="1" customHeight="1">
      <c r="A530" s="80" t="s">
        <v>1735</v>
      </c>
      <c r="B530" s="81" t="s">
        <v>1736</v>
      </c>
      <c r="C530" s="16" t="s">
        <v>1737</v>
      </c>
      <c r="D530" s="16" t="s">
        <v>1738</v>
      </c>
      <c r="E530" s="16"/>
      <c r="F530" s="33" t="s">
        <v>34</v>
      </c>
      <c r="G530" s="16" t="b">
        <v>0</v>
      </c>
      <c r="H530" s="16" t="b">
        <v>0</v>
      </c>
      <c r="I530" s="16" t="b">
        <v>0</v>
      </c>
      <c r="J530" s="16" t="b">
        <v>0</v>
      </c>
      <c r="K530" s="16" t="b">
        <v>0</v>
      </c>
      <c r="L530" s="16" t="b">
        <v>0</v>
      </c>
      <c r="M530" s="16" t="b">
        <v>0</v>
      </c>
      <c r="N530" s="16" t="b">
        <v>0</v>
      </c>
      <c r="O530" s="16" t="b">
        <v>0</v>
      </c>
      <c r="P530" s="16" t="b">
        <v>0</v>
      </c>
      <c r="Q530" s="16" t="b">
        <v>0</v>
      </c>
      <c r="R530" s="33" t="b">
        <v>1</v>
      </c>
    </row>
    <row r="531" spans="1:18" ht="15.75" customHeight="1">
      <c r="A531" s="61" t="s">
        <v>1739</v>
      </c>
      <c r="B531" s="15"/>
      <c r="C531" s="18" t="s">
        <v>1740</v>
      </c>
      <c r="D531" s="17" t="s">
        <v>1741</v>
      </c>
      <c r="E531" s="18" t="s">
        <v>192</v>
      </c>
      <c r="F531" s="19" t="s">
        <v>27</v>
      </c>
      <c r="G531" s="18" t="b">
        <v>1</v>
      </c>
      <c r="H531" s="18" t="b">
        <v>0</v>
      </c>
      <c r="I531" s="18" t="b">
        <v>0</v>
      </c>
      <c r="J531" s="18" t="b">
        <v>1</v>
      </c>
      <c r="K531" s="18" t="b">
        <v>0</v>
      </c>
      <c r="L531" s="18" t="b">
        <v>0</v>
      </c>
      <c r="M531" s="18" t="b">
        <v>0</v>
      </c>
      <c r="N531" s="18" t="b">
        <v>0</v>
      </c>
      <c r="O531" s="18" t="b">
        <v>0</v>
      </c>
      <c r="P531" s="18" t="b">
        <v>1</v>
      </c>
      <c r="Q531" s="18" t="b">
        <v>1</v>
      </c>
      <c r="R531" s="19" t="b">
        <v>0</v>
      </c>
    </row>
    <row r="532" spans="1:18" ht="15.75" hidden="1" customHeight="1">
      <c r="A532" s="80" t="s">
        <v>1742</v>
      </c>
      <c r="B532" s="81" t="s">
        <v>1742</v>
      </c>
      <c r="C532" s="16" t="s">
        <v>1743</v>
      </c>
      <c r="D532" s="140" t="s">
        <v>1744</v>
      </c>
      <c r="E532" s="16"/>
      <c r="F532" s="33" t="s">
        <v>34</v>
      </c>
      <c r="G532" s="16" t="b">
        <v>0</v>
      </c>
      <c r="H532" s="16" t="b">
        <v>0</v>
      </c>
      <c r="I532" s="16" t="b">
        <v>0</v>
      </c>
      <c r="J532" s="16" t="b">
        <v>0</v>
      </c>
      <c r="K532" s="16" t="b">
        <v>0</v>
      </c>
      <c r="L532" s="16" t="b">
        <v>0</v>
      </c>
      <c r="M532" s="16" t="b">
        <v>0</v>
      </c>
      <c r="N532" s="16" t="b">
        <v>0</v>
      </c>
      <c r="O532" s="16" t="b">
        <v>0</v>
      </c>
      <c r="P532" s="16" t="b">
        <v>0</v>
      </c>
      <c r="Q532" s="16" t="b">
        <v>0</v>
      </c>
      <c r="R532" s="33" t="b">
        <v>1</v>
      </c>
    </row>
    <row r="533" spans="1:18" ht="15.75" customHeight="1">
      <c r="A533" s="61" t="s">
        <v>1745</v>
      </c>
      <c r="B533" s="15" t="s">
        <v>1745</v>
      </c>
      <c r="C533" s="18" t="s">
        <v>1746</v>
      </c>
      <c r="D533" s="17" t="s">
        <v>1747</v>
      </c>
      <c r="E533" s="18" t="s">
        <v>52</v>
      </c>
      <c r="F533" s="19" t="s">
        <v>27</v>
      </c>
      <c r="G533" s="18" t="b">
        <v>0</v>
      </c>
      <c r="H533" s="18" t="b">
        <v>0</v>
      </c>
      <c r="I533" s="18" t="b">
        <v>0</v>
      </c>
      <c r="J533" s="18" t="b">
        <v>1</v>
      </c>
      <c r="K533" s="18" t="b">
        <v>0</v>
      </c>
      <c r="L533" s="18" t="b">
        <v>0</v>
      </c>
      <c r="M533" s="18" t="b">
        <v>0</v>
      </c>
      <c r="N533" s="18" t="b">
        <v>0</v>
      </c>
      <c r="O533" s="18" t="b">
        <v>0</v>
      </c>
      <c r="P533" s="18" t="b">
        <v>0</v>
      </c>
      <c r="Q533" s="18" t="b">
        <v>0</v>
      </c>
      <c r="R533" s="19" t="b">
        <v>0</v>
      </c>
    </row>
    <row r="534" spans="1:18" ht="15.75" hidden="1" customHeight="1">
      <c r="A534" s="17" t="s">
        <v>1748</v>
      </c>
      <c r="B534" s="72" t="s">
        <v>1749</v>
      </c>
      <c r="C534" s="32" t="s">
        <v>1750</v>
      </c>
      <c r="D534" s="32" t="s">
        <v>1751</v>
      </c>
      <c r="E534" s="16" t="s">
        <v>69</v>
      </c>
      <c r="F534" s="19" t="s">
        <v>38</v>
      </c>
      <c r="G534" s="16" t="b">
        <v>0</v>
      </c>
      <c r="H534" s="16" t="b">
        <v>0</v>
      </c>
      <c r="I534" s="16" t="b">
        <v>0</v>
      </c>
      <c r="J534" s="16" t="b">
        <v>0</v>
      </c>
      <c r="K534" s="16" t="b">
        <v>0</v>
      </c>
      <c r="L534" s="16" t="b">
        <v>0</v>
      </c>
      <c r="M534" s="16" t="b">
        <v>0</v>
      </c>
      <c r="N534" s="16" t="b">
        <v>0</v>
      </c>
      <c r="O534" s="16" t="b">
        <v>1</v>
      </c>
      <c r="P534" s="16" t="b">
        <v>0</v>
      </c>
      <c r="Q534" s="16" t="b">
        <v>0</v>
      </c>
      <c r="R534" s="33" t="b">
        <v>0</v>
      </c>
    </row>
    <row r="535" spans="1:18" ht="15.75" hidden="1" customHeight="1">
      <c r="A535" s="80" t="s">
        <v>1752</v>
      </c>
      <c r="B535" s="131"/>
      <c r="C535" s="161" t="s">
        <v>1753</v>
      </c>
      <c r="D535" s="16" t="s">
        <v>1754</v>
      </c>
      <c r="E535" s="16"/>
      <c r="F535" s="33" t="s">
        <v>38</v>
      </c>
      <c r="G535" s="16" t="b">
        <v>1</v>
      </c>
      <c r="H535" s="16" t="b">
        <v>0</v>
      </c>
      <c r="I535" s="16" t="b">
        <v>0</v>
      </c>
      <c r="J535" s="16" t="b">
        <v>0</v>
      </c>
      <c r="K535" s="16"/>
      <c r="L535" s="16"/>
      <c r="M535" s="16" t="b">
        <v>0</v>
      </c>
      <c r="N535" s="16" t="b">
        <v>0</v>
      </c>
      <c r="O535" s="16" t="b">
        <v>0</v>
      </c>
      <c r="P535" s="16" t="b">
        <v>0</v>
      </c>
      <c r="Q535" s="16" t="b">
        <v>0</v>
      </c>
      <c r="R535" s="33" t="b">
        <v>0</v>
      </c>
    </row>
    <row r="536" spans="1:18" ht="15.75" hidden="1" customHeight="1">
      <c r="A536" s="61" t="s">
        <v>1755</v>
      </c>
      <c r="B536" s="15" t="s">
        <v>1755</v>
      </c>
      <c r="C536" s="18" t="s">
        <v>1756</v>
      </c>
      <c r="D536" s="17" t="s">
        <v>1757</v>
      </c>
      <c r="E536" s="16" t="s">
        <v>60</v>
      </c>
      <c r="F536" s="19" t="s">
        <v>34</v>
      </c>
      <c r="G536" s="18" t="b">
        <v>0</v>
      </c>
      <c r="H536" s="18" t="b">
        <v>0</v>
      </c>
      <c r="I536" s="18" t="b">
        <v>0</v>
      </c>
      <c r="J536" s="18" t="b">
        <v>0</v>
      </c>
      <c r="K536" s="18" t="b">
        <v>0</v>
      </c>
      <c r="L536" s="18" t="b">
        <v>0</v>
      </c>
      <c r="M536" s="18" t="b">
        <v>1</v>
      </c>
      <c r="N536" s="18" t="b">
        <v>0</v>
      </c>
      <c r="O536" s="18" t="b">
        <v>0</v>
      </c>
      <c r="P536" s="18" t="b">
        <v>0</v>
      </c>
      <c r="Q536" s="18" t="b">
        <v>0</v>
      </c>
      <c r="R536" s="19" t="b">
        <v>0</v>
      </c>
    </row>
    <row r="537" spans="1:18" ht="15.75" hidden="1" customHeight="1">
      <c r="A537" s="80" t="s">
        <v>1758</v>
      </c>
      <c r="B537" s="131"/>
      <c r="C537" s="162" t="s">
        <v>1759</v>
      </c>
      <c r="D537" s="16" t="s">
        <v>1760</v>
      </c>
      <c r="E537" s="16"/>
      <c r="F537" s="33" t="s">
        <v>34</v>
      </c>
      <c r="G537" s="16" t="b">
        <v>0</v>
      </c>
      <c r="H537" s="16" t="b">
        <v>0</v>
      </c>
      <c r="I537" s="16" t="b">
        <v>0</v>
      </c>
      <c r="J537" s="16" t="b">
        <v>0</v>
      </c>
      <c r="K537" s="16" t="b">
        <v>0</v>
      </c>
      <c r="L537" s="16" t="b">
        <v>0</v>
      </c>
      <c r="M537" s="16" t="b">
        <v>0</v>
      </c>
      <c r="N537" s="16" t="b">
        <v>0</v>
      </c>
      <c r="O537" s="16" t="b">
        <v>0</v>
      </c>
      <c r="P537" s="16" t="b">
        <v>0</v>
      </c>
      <c r="Q537" s="16" t="b">
        <v>1</v>
      </c>
      <c r="R537" s="33" t="b">
        <v>0</v>
      </c>
    </row>
    <row r="538" spans="1:18" ht="15.75" hidden="1" customHeight="1">
      <c r="A538" s="76" t="s">
        <v>1761</v>
      </c>
      <c r="B538" s="131"/>
      <c r="C538" s="16" t="s">
        <v>1762</v>
      </c>
      <c r="D538" s="16" t="s">
        <v>1763</v>
      </c>
      <c r="E538" s="16"/>
      <c r="F538" s="33" t="s">
        <v>38</v>
      </c>
      <c r="G538" s="16" t="b">
        <v>0</v>
      </c>
      <c r="H538" s="16" t="b">
        <v>0</v>
      </c>
      <c r="I538" s="16" t="b">
        <v>0</v>
      </c>
      <c r="J538" s="16" t="b">
        <v>0</v>
      </c>
      <c r="K538" s="16"/>
      <c r="L538" s="16"/>
      <c r="M538" s="16" t="b">
        <v>0</v>
      </c>
      <c r="N538" s="16" t="b">
        <v>0</v>
      </c>
      <c r="O538" s="16" t="b">
        <v>0</v>
      </c>
      <c r="P538" s="16" t="b">
        <v>0</v>
      </c>
      <c r="Q538" s="16" t="b">
        <v>1</v>
      </c>
      <c r="R538" s="33" t="b">
        <v>0</v>
      </c>
    </row>
    <row r="539" spans="1:18" ht="15.75" hidden="1" customHeight="1">
      <c r="A539" s="80" t="s">
        <v>1764</v>
      </c>
      <c r="B539" s="81" t="s">
        <v>1765</v>
      </c>
      <c r="C539" s="16" t="s">
        <v>1766</v>
      </c>
      <c r="D539" s="16" t="s">
        <v>1767</v>
      </c>
      <c r="E539" s="16"/>
      <c r="F539" s="33" t="s">
        <v>34</v>
      </c>
      <c r="G539" s="16" t="b">
        <v>0</v>
      </c>
      <c r="H539" s="16" t="b">
        <v>0</v>
      </c>
      <c r="I539" s="16" t="b">
        <v>0</v>
      </c>
      <c r="J539" s="16" t="b">
        <v>0</v>
      </c>
      <c r="K539" s="16" t="b">
        <v>0</v>
      </c>
      <c r="L539" s="16" t="b">
        <v>0</v>
      </c>
      <c r="M539" s="16" t="b">
        <v>0</v>
      </c>
      <c r="N539" s="16" t="b">
        <v>0</v>
      </c>
      <c r="O539" s="16" t="b">
        <v>0</v>
      </c>
      <c r="P539" s="16" t="b">
        <v>0</v>
      </c>
      <c r="Q539" s="16" t="b">
        <v>1</v>
      </c>
      <c r="R539" s="33" t="b">
        <v>0</v>
      </c>
    </row>
    <row r="540" spans="1:18" ht="15.75" customHeight="1">
      <c r="A540" s="61" t="s">
        <v>1768</v>
      </c>
      <c r="B540" s="15" t="s">
        <v>1768</v>
      </c>
      <c r="C540" s="18" t="s">
        <v>1769</v>
      </c>
      <c r="D540" s="17" t="s">
        <v>1770</v>
      </c>
      <c r="E540" s="18" t="s">
        <v>69</v>
      </c>
      <c r="F540" s="19" t="s">
        <v>27</v>
      </c>
      <c r="G540" s="18" t="b">
        <v>0</v>
      </c>
      <c r="H540" s="18" t="b">
        <v>0</v>
      </c>
      <c r="I540" s="18" t="b">
        <v>0</v>
      </c>
      <c r="J540" s="18" t="b">
        <v>0</v>
      </c>
      <c r="K540" s="18" t="b">
        <v>0</v>
      </c>
      <c r="L540" s="18" t="b">
        <v>0</v>
      </c>
      <c r="M540" s="18" t="b">
        <v>0</v>
      </c>
      <c r="N540" s="18" t="b">
        <v>0</v>
      </c>
      <c r="O540" s="18" t="b">
        <v>1</v>
      </c>
      <c r="P540" s="18" t="b">
        <v>0</v>
      </c>
      <c r="Q540" s="18" t="b">
        <v>0</v>
      </c>
      <c r="R540" s="19" t="b">
        <v>0</v>
      </c>
    </row>
    <row r="541" spans="1:18" ht="15.75" customHeight="1">
      <c r="A541" s="61" t="s">
        <v>1771</v>
      </c>
      <c r="B541" s="92" t="s">
        <v>1771</v>
      </c>
      <c r="C541" s="44" t="s">
        <v>1772</v>
      </c>
      <c r="D541" s="45" t="s">
        <v>1773</v>
      </c>
      <c r="E541" s="18" t="s">
        <v>26</v>
      </c>
      <c r="F541" s="19" t="s">
        <v>27</v>
      </c>
      <c r="G541" s="18" t="b">
        <v>0</v>
      </c>
      <c r="H541" s="18" t="b">
        <v>0</v>
      </c>
      <c r="I541" s="18" t="b">
        <v>1</v>
      </c>
      <c r="J541" s="18" t="b">
        <v>0</v>
      </c>
      <c r="K541" s="18" t="b">
        <v>0</v>
      </c>
      <c r="L541" s="18" t="b">
        <v>0</v>
      </c>
      <c r="M541" s="18" t="b">
        <v>0</v>
      </c>
      <c r="N541" s="18" t="b">
        <v>0</v>
      </c>
      <c r="O541" s="18" t="b">
        <v>0</v>
      </c>
      <c r="P541" s="18" t="b">
        <v>0</v>
      </c>
      <c r="Q541" s="18" t="b">
        <v>0</v>
      </c>
      <c r="R541" s="19" t="b">
        <v>0</v>
      </c>
    </row>
    <row r="542" spans="1:18" ht="15.75" hidden="1" customHeight="1">
      <c r="A542" s="76" t="s">
        <v>1774</v>
      </c>
      <c r="B542" s="93" t="s">
        <v>1775</v>
      </c>
      <c r="C542" s="16" t="s">
        <v>1776</v>
      </c>
      <c r="D542" s="16" t="s">
        <v>1777</v>
      </c>
      <c r="E542" s="16"/>
      <c r="F542" s="33" t="s">
        <v>38</v>
      </c>
      <c r="G542" s="16" t="b">
        <v>0</v>
      </c>
      <c r="H542" s="16" t="b">
        <v>0</v>
      </c>
      <c r="I542" s="16" t="b">
        <v>0</v>
      </c>
      <c r="J542" s="16" t="b">
        <v>1</v>
      </c>
      <c r="K542" s="16"/>
      <c r="L542" s="16"/>
      <c r="M542" s="16" t="b">
        <v>0</v>
      </c>
      <c r="N542" s="16" t="b">
        <v>0</v>
      </c>
      <c r="O542" s="16" t="b">
        <v>0</v>
      </c>
      <c r="P542" s="16" t="b">
        <v>0</v>
      </c>
      <c r="Q542" s="16" t="b">
        <v>0</v>
      </c>
      <c r="R542" s="33" t="b">
        <v>0</v>
      </c>
    </row>
    <row r="543" spans="1:18" ht="15.75" customHeight="1">
      <c r="A543" s="61" t="s">
        <v>1778</v>
      </c>
      <c r="B543" s="93" t="s">
        <v>1778</v>
      </c>
      <c r="C543" s="44" t="s">
        <v>1779</v>
      </c>
      <c r="D543" s="45" t="s">
        <v>1780</v>
      </c>
      <c r="E543" s="18" t="s">
        <v>140</v>
      </c>
      <c r="F543" s="19" t="s">
        <v>27</v>
      </c>
      <c r="G543" s="18" t="b">
        <v>0</v>
      </c>
      <c r="H543" s="18" t="b">
        <v>1</v>
      </c>
      <c r="I543" s="18" t="b">
        <v>0</v>
      </c>
      <c r="J543" s="18" t="b">
        <v>0</v>
      </c>
      <c r="K543" s="18" t="b">
        <v>0</v>
      </c>
      <c r="L543" s="18" t="b">
        <v>0</v>
      </c>
      <c r="M543" s="18" t="b">
        <v>0</v>
      </c>
      <c r="N543" s="18" t="b">
        <v>0</v>
      </c>
      <c r="O543" s="18" t="b">
        <v>0</v>
      </c>
      <c r="P543" s="18" t="b">
        <v>0</v>
      </c>
      <c r="Q543" s="18" t="b">
        <v>0</v>
      </c>
      <c r="R543" s="19" t="b">
        <v>0</v>
      </c>
    </row>
    <row r="544" spans="1:18" ht="15.75" customHeight="1">
      <c r="A544" s="61" t="s">
        <v>1781</v>
      </c>
      <c r="B544" s="131"/>
      <c r="C544" s="44" t="s">
        <v>1782</v>
      </c>
      <c r="D544" s="45" t="s">
        <v>1783</v>
      </c>
      <c r="E544" s="18" t="s">
        <v>192</v>
      </c>
      <c r="F544" s="19" t="s">
        <v>27</v>
      </c>
      <c r="G544" s="18" t="b">
        <v>0</v>
      </c>
      <c r="H544" s="18" t="b">
        <v>0</v>
      </c>
      <c r="I544" s="18" t="b">
        <v>0</v>
      </c>
      <c r="J544" s="18" t="b">
        <v>0</v>
      </c>
      <c r="K544" s="18" t="b">
        <v>0</v>
      </c>
      <c r="L544" s="18" t="b">
        <v>0</v>
      </c>
      <c r="M544" s="18" t="b">
        <v>0</v>
      </c>
      <c r="N544" s="18" t="b">
        <v>0</v>
      </c>
      <c r="O544" s="18" t="b">
        <v>0</v>
      </c>
      <c r="P544" s="18" t="b">
        <v>0</v>
      </c>
      <c r="Q544" s="18" t="b">
        <v>1</v>
      </c>
      <c r="R544" s="19" t="b">
        <v>0</v>
      </c>
    </row>
    <row r="545" spans="1:18" ht="15.75" hidden="1" customHeight="1">
      <c r="A545" s="61" t="s">
        <v>1784</v>
      </c>
      <c r="B545" s="93" t="s">
        <v>1784</v>
      </c>
      <c r="C545" s="44" t="s">
        <v>1785</v>
      </c>
      <c r="D545" s="45" t="s">
        <v>1786</v>
      </c>
      <c r="E545" s="18" t="s">
        <v>192</v>
      </c>
      <c r="F545" s="19" t="s">
        <v>34</v>
      </c>
      <c r="G545" s="18" t="b">
        <v>0</v>
      </c>
      <c r="H545" s="18" t="b">
        <v>0</v>
      </c>
      <c r="I545" s="18" t="b">
        <v>0</v>
      </c>
      <c r="J545" s="18" t="b">
        <v>0</v>
      </c>
      <c r="K545" s="18" t="b">
        <v>0</v>
      </c>
      <c r="L545" s="18" t="b">
        <v>0</v>
      </c>
      <c r="M545" s="18" t="b">
        <v>0</v>
      </c>
      <c r="N545" s="18" t="b">
        <v>0</v>
      </c>
      <c r="O545" s="18" t="b">
        <v>0</v>
      </c>
      <c r="P545" s="18" t="b">
        <v>1</v>
      </c>
      <c r="Q545" s="18" t="b">
        <v>0</v>
      </c>
      <c r="R545" s="19" t="b">
        <v>0</v>
      </c>
    </row>
    <row r="546" spans="1:18" ht="15.75" hidden="1" customHeight="1">
      <c r="A546" s="76" t="s">
        <v>1787</v>
      </c>
      <c r="B546" s="157"/>
      <c r="C546" s="85" t="s">
        <v>1788</v>
      </c>
      <c r="D546" s="76" t="s">
        <v>1789</v>
      </c>
      <c r="E546" s="16"/>
      <c r="F546" s="33" t="s">
        <v>38</v>
      </c>
      <c r="G546" s="16" t="b">
        <v>0</v>
      </c>
      <c r="H546" s="16" t="b">
        <v>1</v>
      </c>
      <c r="I546" s="16" t="b">
        <v>0</v>
      </c>
      <c r="J546" s="16" t="b">
        <v>0</v>
      </c>
      <c r="K546" s="16"/>
      <c r="L546" s="16"/>
      <c r="M546" s="16" t="b">
        <v>0</v>
      </c>
      <c r="N546" s="16" t="b">
        <v>0</v>
      </c>
      <c r="O546" s="16" t="b">
        <v>0</v>
      </c>
      <c r="P546" s="16" t="b">
        <v>0</v>
      </c>
      <c r="Q546" s="16" t="b">
        <v>0</v>
      </c>
      <c r="R546" s="33" t="b">
        <v>0</v>
      </c>
    </row>
    <row r="547" spans="1:18" ht="15.75" customHeight="1">
      <c r="A547" s="61" t="s">
        <v>1790</v>
      </c>
      <c r="B547" s="15" t="s">
        <v>1790</v>
      </c>
      <c r="C547" s="18" t="s">
        <v>1791</v>
      </c>
      <c r="D547" s="17" t="s">
        <v>1792</v>
      </c>
      <c r="E547" s="18" t="s">
        <v>192</v>
      </c>
      <c r="F547" s="19" t="s">
        <v>27</v>
      </c>
      <c r="G547" s="18" t="b">
        <v>0</v>
      </c>
      <c r="H547" s="18" t="b">
        <v>0</v>
      </c>
      <c r="I547" s="18" t="b">
        <v>0</v>
      </c>
      <c r="J547" s="18" t="b">
        <v>0</v>
      </c>
      <c r="K547" s="18" t="b">
        <v>0</v>
      </c>
      <c r="L547" s="18" t="b">
        <v>0</v>
      </c>
      <c r="M547" s="18" t="b">
        <v>0</v>
      </c>
      <c r="N547" s="18" t="b">
        <v>0</v>
      </c>
      <c r="O547" s="18" t="b">
        <v>0</v>
      </c>
      <c r="P547" s="18" t="b">
        <v>0</v>
      </c>
      <c r="Q547" s="18" t="b">
        <v>1</v>
      </c>
      <c r="R547" s="19" t="b">
        <v>0</v>
      </c>
    </row>
    <row r="548" spans="1:18" ht="15.75" hidden="1" customHeight="1">
      <c r="A548" s="76" t="s">
        <v>1793</v>
      </c>
      <c r="B548" s="51" t="s">
        <v>1793</v>
      </c>
      <c r="C548" s="76" t="s">
        <v>1794</v>
      </c>
      <c r="D548" s="14" t="s">
        <v>1795</v>
      </c>
      <c r="E548" s="16" t="s">
        <v>192</v>
      </c>
      <c r="F548" s="33" t="s">
        <v>34</v>
      </c>
      <c r="G548" s="16" t="b">
        <v>0</v>
      </c>
      <c r="H548" s="16" t="b">
        <v>0</v>
      </c>
      <c r="I548" s="16" t="b">
        <v>0</v>
      </c>
      <c r="J548" s="16" t="b">
        <v>0</v>
      </c>
      <c r="K548" s="16" t="b">
        <v>0</v>
      </c>
      <c r="L548" s="16" t="b">
        <v>0</v>
      </c>
      <c r="M548" s="16" t="b">
        <v>0</v>
      </c>
      <c r="N548" s="16" t="b">
        <v>0</v>
      </c>
      <c r="O548" s="16" t="b">
        <v>0</v>
      </c>
      <c r="P548" s="16" t="b">
        <v>0</v>
      </c>
      <c r="Q548" s="16" t="b">
        <v>1</v>
      </c>
      <c r="R548" s="33" t="b">
        <v>0</v>
      </c>
    </row>
    <row r="549" spans="1:18" ht="15.75" customHeight="1">
      <c r="A549" s="61" t="s">
        <v>1796</v>
      </c>
      <c r="B549" s="15" t="s">
        <v>1796</v>
      </c>
      <c r="C549" s="44" t="s">
        <v>1797</v>
      </c>
      <c r="D549" s="45" t="s">
        <v>1798</v>
      </c>
      <c r="E549" s="16" t="s">
        <v>60</v>
      </c>
      <c r="F549" s="19" t="s">
        <v>27</v>
      </c>
      <c r="G549" s="18" t="b">
        <v>0</v>
      </c>
      <c r="H549" s="18" t="b">
        <v>0</v>
      </c>
      <c r="I549" s="18" t="b">
        <v>0</v>
      </c>
      <c r="J549" s="18" t="b">
        <v>0</v>
      </c>
      <c r="K549" s="18" t="b">
        <v>0</v>
      </c>
      <c r="L549" s="18" t="b">
        <v>0</v>
      </c>
      <c r="M549" s="18" t="b">
        <v>1</v>
      </c>
      <c r="N549" s="18" t="b">
        <v>0</v>
      </c>
      <c r="O549" s="18" t="b">
        <v>0</v>
      </c>
      <c r="P549" s="18" t="b">
        <v>0</v>
      </c>
      <c r="Q549" s="18" t="b">
        <v>0</v>
      </c>
      <c r="R549" s="19" t="b">
        <v>0</v>
      </c>
    </row>
    <row r="550" spans="1:18" ht="15.75" hidden="1" customHeight="1">
      <c r="A550" s="61" t="s">
        <v>1799</v>
      </c>
      <c r="B550" s="51" t="s">
        <v>1799</v>
      </c>
      <c r="C550" s="76" t="s">
        <v>1800</v>
      </c>
      <c r="D550" s="76" t="s">
        <v>1801</v>
      </c>
      <c r="E550" s="16" t="s">
        <v>43</v>
      </c>
      <c r="F550" s="19" t="s">
        <v>38</v>
      </c>
      <c r="G550" s="16" t="b">
        <v>1</v>
      </c>
      <c r="H550" s="16" t="b">
        <v>0</v>
      </c>
      <c r="I550" s="16" t="b">
        <v>0</v>
      </c>
      <c r="J550" s="16" t="b">
        <v>0</v>
      </c>
      <c r="K550" s="16" t="b">
        <v>0</v>
      </c>
      <c r="L550" s="16" t="b">
        <v>0</v>
      </c>
      <c r="M550" s="16" t="b">
        <v>0</v>
      </c>
      <c r="N550" s="16" t="b">
        <v>0</v>
      </c>
      <c r="O550" s="16" t="b">
        <v>0</v>
      </c>
      <c r="P550" s="16" t="b">
        <v>0</v>
      </c>
      <c r="Q550" s="16" t="b">
        <v>0</v>
      </c>
      <c r="R550" s="33" t="b">
        <v>0</v>
      </c>
    </row>
    <row r="551" spans="1:18" ht="15.75" hidden="1" customHeight="1">
      <c r="A551" s="61" t="s">
        <v>1802</v>
      </c>
      <c r="B551" s="51" t="s">
        <v>1802</v>
      </c>
      <c r="C551" s="61" t="s">
        <v>1803</v>
      </c>
      <c r="D551" s="16" t="s">
        <v>1804</v>
      </c>
      <c r="E551" s="16" t="s">
        <v>60</v>
      </c>
      <c r="F551" s="33" t="s">
        <v>38</v>
      </c>
      <c r="G551" s="16" t="b">
        <v>0</v>
      </c>
      <c r="H551" s="16" t="b">
        <v>0</v>
      </c>
      <c r="I551" s="16" t="b">
        <v>0</v>
      </c>
      <c r="J551" s="16" t="b">
        <v>0</v>
      </c>
      <c r="K551" s="16" t="b">
        <v>0</v>
      </c>
      <c r="L551" s="16" t="b">
        <v>0</v>
      </c>
      <c r="M551" s="16" t="b">
        <v>1</v>
      </c>
      <c r="N551" s="16" t="b">
        <v>0</v>
      </c>
      <c r="O551" s="16" t="b">
        <v>0</v>
      </c>
      <c r="P551" s="16" t="b">
        <v>0</v>
      </c>
      <c r="Q551" s="16" t="b">
        <v>0</v>
      </c>
      <c r="R551" s="33" t="b">
        <v>0</v>
      </c>
    </row>
    <row r="552" spans="1:18" ht="15.75" customHeight="1">
      <c r="A552" s="61" t="s">
        <v>1805</v>
      </c>
      <c r="B552" s="81" t="s">
        <v>1805</v>
      </c>
      <c r="C552" s="18" t="s">
        <v>1806</v>
      </c>
      <c r="D552" s="17" t="s">
        <v>1807</v>
      </c>
      <c r="E552" s="18" t="s">
        <v>52</v>
      </c>
      <c r="F552" s="19" t="s">
        <v>27</v>
      </c>
      <c r="G552" s="18" t="b">
        <v>0</v>
      </c>
      <c r="H552" s="18" t="b">
        <v>0</v>
      </c>
      <c r="I552" s="18" t="b">
        <v>0</v>
      </c>
      <c r="J552" s="18" t="b">
        <v>1</v>
      </c>
      <c r="K552" s="18" t="b">
        <v>1</v>
      </c>
      <c r="L552" s="18" t="b">
        <v>0</v>
      </c>
      <c r="M552" s="18" t="b">
        <v>0</v>
      </c>
      <c r="N552" s="18" t="b">
        <v>0</v>
      </c>
      <c r="O552" s="18" t="b">
        <v>0</v>
      </c>
      <c r="P552" s="18" t="b">
        <v>0</v>
      </c>
      <c r="Q552" s="18" t="b">
        <v>0</v>
      </c>
      <c r="R552" s="18" t="b">
        <v>0</v>
      </c>
    </row>
    <row r="553" spans="1:18" ht="15.75" customHeight="1">
      <c r="A553" s="61" t="s">
        <v>1808</v>
      </c>
      <c r="B553" s="81" t="s">
        <v>1808</v>
      </c>
      <c r="C553" s="18" t="s">
        <v>1809</v>
      </c>
      <c r="D553" s="17" t="s">
        <v>1810</v>
      </c>
      <c r="E553" s="18" t="s">
        <v>471</v>
      </c>
      <c r="F553" s="19" t="s">
        <v>27</v>
      </c>
      <c r="G553" s="18" t="b">
        <v>0</v>
      </c>
      <c r="H553" s="18" t="b">
        <v>0</v>
      </c>
      <c r="I553" s="18" t="b">
        <v>0</v>
      </c>
      <c r="J553" s="18" t="b">
        <v>0</v>
      </c>
      <c r="K553" s="18" t="b">
        <v>0</v>
      </c>
      <c r="L553" s="18" t="b">
        <v>0</v>
      </c>
      <c r="M553" s="18" t="b">
        <v>0</v>
      </c>
      <c r="N553" s="18" t="b">
        <v>0</v>
      </c>
      <c r="O553" s="18" t="b">
        <v>0</v>
      </c>
      <c r="P553" s="18" t="b">
        <v>0</v>
      </c>
      <c r="Q553" s="18" t="b">
        <v>0</v>
      </c>
      <c r="R553" s="19" t="b">
        <v>1</v>
      </c>
    </row>
    <row r="554" spans="1:18" ht="15.75" hidden="1" customHeight="1">
      <c r="A554" s="164" t="s">
        <v>1811</v>
      </c>
      <c r="B554" s="16"/>
      <c r="C554" s="16" t="s">
        <v>1812</v>
      </c>
      <c r="D554" s="76" t="s">
        <v>1813</v>
      </c>
      <c r="E554" s="36"/>
      <c r="F554" s="40" t="s">
        <v>38</v>
      </c>
      <c r="G554" s="116" t="b">
        <v>0</v>
      </c>
      <c r="H554" s="116" t="b">
        <v>0</v>
      </c>
      <c r="I554" s="116" t="b">
        <v>1</v>
      </c>
      <c r="J554" s="116" t="b">
        <v>0</v>
      </c>
      <c r="K554" s="116"/>
      <c r="L554" s="116"/>
      <c r="M554" s="116" t="b">
        <v>0</v>
      </c>
      <c r="N554" s="116" t="b">
        <v>0</v>
      </c>
      <c r="O554" s="116" t="b">
        <v>0</v>
      </c>
      <c r="P554" s="116" t="b">
        <v>0</v>
      </c>
      <c r="Q554" s="116" t="b">
        <v>0</v>
      </c>
      <c r="R554" s="156" t="b">
        <v>0</v>
      </c>
    </row>
    <row r="555" spans="1:18" ht="15.75" hidden="1" customHeight="1">
      <c r="A555" s="164" t="s">
        <v>1814</v>
      </c>
      <c r="B555" s="76"/>
      <c r="C555" s="76" t="s">
        <v>1815</v>
      </c>
      <c r="D555" s="76" t="s">
        <v>1816</v>
      </c>
      <c r="E555" s="36"/>
      <c r="F555" s="40" t="s">
        <v>38</v>
      </c>
      <c r="G555" s="116" t="b">
        <v>0</v>
      </c>
      <c r="H555" s="116" t="b">
        <v>0</v>
      </c>
      <c r="I555" s="116" t="b">
        <v>1</v>
      </c>
      <c r="J555" s="116" t="b">
        <v>0</v>
      </c>
      <c r="K555" s="116"/>
      <c r="L555" s="116"/>
      <c r="M555" s="116" t="b">
        <v>0</v>
      </c>
      <c r="N555" s="116" t="b">
        <v>0</v>
      </c>
      <c r="O555" s="116" t="b">
        <v>0</v>
      </c>
      <c r="P555" s="116" t="b">
        <v>0</v>
      </c>
      <c r="Q555" s="116" t="b">
        <v>0</v>
      </c>
      <c r="R555" s="156" t="b">
        <v>0</v>
      </c>
    </row>
    <row r="556" spans="1:18" ht="15.75" customHeight="1">
      <c r="A556" s="61" t="s">
        <v>1817</v>
      </c>
      <c r="B556" s="81" t="s">
        <v>1817</v>
      </c>
      <c r="C556" s="18" t="s">
        <v>1818</v>
      </c>
      <c r="D556" s="17" t="s">
        <v>1819</v>
      </c>
      <c r="E556" s="18" t="s">
        <v>52</v>
      </c>
      <c r="F556" s="19" t="s">
        <v>27</v>
      </c>
      <c r="G556" s="18" t="b">
        <v>0</v>
      </c>
      <c r="H556" s="18" t="b">
        <v>0</v>
      </c>
      <c r="I556" s="18" t="b">
        <v>0</v>
      </c>
      <c r="J556" s="18" t="b">
        <v>1</v>
      </c>
      <c r="K556" s="18" t="b">
        <v>1</v>
      </c>
      <c r="L556" s="18" t="b">
        <v>0</v>
      </c>
      <c r="M556" s="18" t="b">
        <v>0</v>
      </c>
      <c r="N556" s="18" t="b">
        <v>0</v>
      </c>
      <c r="O556" s="18" t="b">
        <v>1</v>
      </c>
      <c r="P556" s="18" t="b">
        <v>0</v>
      </c>
      <c r="Q556" s="18" t="b">
        <v>0</v>
      </c>
      <c r="R556" s="19" t="b">
        <v>0</v>
      </c>
    </row>
    <row r="557" spans="1:18" ht="15.75" hidden="1" customHeight="1">
      <c r="A557" s="17" t="s">
        <v>1820</v>
      </c>
      <c r="B557" s="15" t="s">
        <v>1820</v>
      </c>
      <c r="C557" s="44" t="s">
        <v>1821</v>
      </c>
      <c r="D557" s="45" t="s">
        <v>1822</v>
      </c>
      <c r="E557" s="18" t="s">
        <v>52</v>
      </c>
      <c r="F557" s="19" t="s">
        <v>38</v>
      </c>
      <c r="G557" s="18" t="b">
        <v>0</v>
      </c>
      <c r="H557" s="18" t="b">
        <v>0</v>
      </c>
      <c r="I557" s="18" t="b">
        <v>0</v>
      </c>
      <c r="J557" s="18" t="b">
        <v>1</v>
      </c>
      <c r="K557" s="18" t="b">
        <v>0</v>
      </c>
      <c r="L557" s="18" t="b">
        <v>0</v>
      </c>
      <c r="M557" s="18" t="b">
        <v>0</v>
      </c>
      <c r="N557" s="18" t="b">
        <v>0</v>
      </c>
      <c r="O557" s="18" t="b">
        <v>0</v>
      </c>
      <c r="P557" s="18" t="b">
        <v>0</v>
      </c>
      <c r="Q557" s="18" t="b">
        <v>0</v>
      </c>
      <c r="R557" s="19" t="b">
        <v>0</v>
      </c>
    </row>
    <row r="558" spans="1:18" ht="15.75" customHeight="1">
      <c r="A558" s="61" t="s">
        <v>1823</v>
      </c>
      <c r="B558" s="15" t="s">
        <v>1823</v>
      </c>
      <c r="C558" s="18" t="s">
        <v>1824</v>
      </c>
      <c r="D558" s="17" t="s">
        <v>1825</v>
      </c>
      <c r="E558" s="18" t="s">
        <v>178</v>
      </c>
      <c r="F558" s="19" t="s">
        <v>27</v>
      </c>
      <c r="G558" s="18" t="b">
        <v>0</v>
      </c>
      <c r="H558" s="18" t="b">
        <v>0</v>
      </c>
      <c r="I558" s="18" t="b">
        <v>0</v>
      </c>
      <c r="J558" s="18" t="b">
        <v>0</v>
      </c>
      <c r="K558" s="18" t="b">
        <v>0</v>
      </c>
      <c r="L558" s="18" t="b">
        <v>0</v>
      </c>
      <c r="M558" s="18" t="b">
        <v>0</v>
      </c>
      <c r="N558" s="18" t="b">
        <v>1</v>
      </c>
      <c r="O558" s="18" t="b">
        <v>0</v>
      </c>
      <c r="P558" s="18" t="b">
        <v>0</v>
      </c>
      <c r="Q558" s="18" t="b">
        <v>0</v>
      </c>
      <c r="R558" s="19" t="b">
        <v>0</v>
      </c>
    </row>
    <row r="559" spans="1:18" ht="15.75" customHeight="1">
      <c r="A559" s="61" t="s">
        <v>1826</v>
      </c>
      <c r="B559" s="15" t="s">
        <v>1827</v>
      </c>
      <c r="C559" s="18" t="s">
        <v>1828</v>
      </c>
      <c r="D559" s="17" t="s">
        <v>1829</v>
      </c>
      <c r="E559" s="16" t="s">
        <v>60</v>
      </c>
      <c r="F559" s="19" t="s">
        <v>27</v>
      </c>
      <c r="G559" s="18" t="b">
        <v>0</v>
      </c>
      <c r="H559" s="18" t="b">
        <v>0</v>
      </c>
      <c r="I559" s="18" t="b">
        <v>0</v>
      </c>
      <c r="J559" s="18" t="b">
        <v>0</v>
      </c>
      <c r="K559" s="18" t="b">
        <v>0</v>
      </c>
      <c r="L559" s="18" t="b">
        <v>0</v>
      </c>
      <c r="M559" s="18" t="b">
        <v>1</v>
      </c>
      <c r="N559" s="18" t="b">
        <v>0</v>
      </c>
      <c r="O559" s="18" t="b">
        <v>0</v>
      </c>
      <c r="P559" s="18" t="b">
        <v>0</v>
      </c>
      <c r="Q559" s="18" t="b">
        <v>0</v>
      </c>
      <c r="R559" s="19" t="b">
        <v>0</v>
      </c>
    </row>
    <row r="560" spans="1:18" ht="15.75" hidden="1" customHeight="1">
      <c r="A560" s="80" t="s">
        <v>1830</v>
      </c>
      <c r="B560" s="106"/>
      <c r="C560" s="165" t="s">
        <v>1831</v>
      </c>
      <c r="D560" s="76" t="s">
        <v>1832</v>
      </c>
      <c r="E560" s="16" t="s">
        <v>140</v>
      </c>
      <c r="F560" s="33" t="s">
        <v>38</v>
      </c>
      <c r="G560" s="16" t="b">
        <v>0</v>
      </c>
      <c r="H560" s="16" t="b">
        <v>0</v>
      </c>
      <c r="I560" s="16" t="b">
        <v>1</v>
      </c>
      <c r="J560" s="16" t="b">
        <v>0</v>
      </c>
      <c r="K560" s="16" t="b">
        <v>0</v>
      </c>
      <c r="L560" s="16" t="b">
        <v>0</v>
      </c>
      <c r="M560" s="16" t="b">
        <v>0</v>
      </c>
      <c r="N560" s="16" t="b">
        <v>0</v>
      </c>
      <c r="O560" s="16" t="b">
        <v>0</v>
      </c>
      <c r="P560" s="16" t="b">
        <v>0</v>
      </c>
      <c r="Q560" s="16" t="b">
        <v>0</v>
      </c>
      <c r="R560" s="33" t="b">
        <v>0</v>
      </c>
    </row>
    <row r="561" spans="1:18" ht="15.75" customHeight="1">
      <c r="A561" s="61" t="s">
        <v>1833</v>
      </c>
      <c r="B561" s="15" t="s">
        <v>1833</v>
      </c>
      <c r="C561" s="44" t="s">
        <v>1834</v>
      </c>
      <c r="D561" s="151" t="s">
        <v>1835</v>
      </c>
      <c r="E561" s="16" t="s">
        <v>60</v>
      </c>
      <c r="F561" s="19" t="s">
        <v>27</v>
      </c>
      <c r="G561" s="18" t="b">
        <v>0</v>
      </c>
      <c r="H561" s="18" t="b">
        <v>0</v>
      </c>
      <c r="I561" s="18" t="b">
        <v>0</v>
      </c>
      <c r="J561" s="18" t="b">
        <v>0</v>
      </c>
      <c r="K561" s="18" t="b">
        <v>0</v>
      </c>
      <c r="L561" s="18" t="b">
        <v>0</v>
      </c>
      <c r="M561" s="18" t="b">
        <v>1</v>
      </c>
      <c r="N561" s="18" t="b">
        <v>0</v>
      </c>
      <c r="O561" s="18" t="b">
        <v>0</v>
      </c>
      <c r="P561" s="18" t="b">
        <v>0</v>
      </c>
      <c r="Q561" s="18" t="b">
        <v>0</v>
      </c>
      <c r="R561" s="19" t="b">
        <v>0</v>
      </c>
    </row>
    <row r="562" spans="1:18" ht="15.75" customHeight="1">
      <c r="A562" s="61" t="s">
        <v>1836</v>
      </c>
      <c r="B562" s="93" t="s">
        <v>1836</v>
      </c>
      <c r="C562" s="44" t="s">
        <v>1837</v>
      </c>
      <c r="D562" s="45" t="s">
        <v>1838</v>
      </c>
      <c r="E562" s="18" t="s">
        <v>52</v>
      </c>
      <c r="F562" s="19" t="s">
        <v>27</v>
      </c>
      <c r="G562" s="18" t="b">
        <v>0</v>
      </c>
      <c r="H562" s="18" t="b">
        <v>0</v>
      </c>
      <c r="I562" s="18" t="b">
        <v>0</v>
      </c>
      <c r="J562" s="18" t="b">
        <v>1</v>
      </c>
      <c r="K562" s="18" t="b">
        <v>1</v>
      </c>
      <c r="L562" s="18" t="b">
        <v>0</v>
      </c>
      <c r="M562" s="18" t="b">
        <v>0</v>
      </c>
      <c r="N562" s="18" t="b">
        <v>0</v>
      </c>
      <c r="O562" s="18" t="b">
        <v>0</v>
      </c>
      <c r="P562" s="18" t="b">
        <v>0</v>
      </c>
      <c r="Q562" s="18" t="b">
        <v>0</v>
      </c>
      <c r="R562" s="19" t="b">
        <v>0</v>
      </c>
    </row>
    <row r="563" spans="1:18" ht="15.75" customHeight="1">
      <c r="A563" s="61" t="s">
        <v>1839</v>
      </c>
      <c r="B563" s="15"/>
      <c r="C563" s="18" t="s">
        <v>1840</v>
      </c>
      <c r="D563" s="17" t="s">
        <v>1841</v>
      </c>
      <c r="E563" s="18" t="s">
        <v>154</v>
      </c>
      <c r="F563" s="19" t="s">
        <v>27</v>
      </c>
      <c r="G563" s="18" t="b">
        <v>0</v>
      </c>
      <c r="H563" s="18" t="b">
        <v>0</v>
      </c>
      <c r="I563" s="18" t="b">
        <v>0</v>
      </c>
      <c r="J563" s="18" t="b">
        <v>0</v>
      </c>
      <c r="K563" s="18" t="b">
        <v>1</v>
      </c>
      <c r="L563" s="18" t="b">
        <v>0</v>
      </c>
      <c r="M563" s="18" t="b">
        <v>0</v>
      </c>
      <c r="N563" s="18" t="b">
        <v>0</v>
      </c>
      <c r="O563" s="18" t="b">
        <v>0</v>
      </c>
      <c r="P563" s="18" t="b">
        <v>0</v>
      </c>
      <c r="Q563" s="18" t="b">
        <v>0</v>
      </c>
      <c r="R563" s="19" t="b">
        <v>0</v>
      </c>
    </row>
    <row r="564" spans="1:18" ht="15.75" hidden="1" customHeight="1">
      <c r="A564" s="17" t="s">
        <v>1842</v>
      </c>
      <c r="B564" s="139" t="s">
        <v>1842</v>
      </c>
      <c r="C564" s="44" t="s">
        <v>1843</v>
      </c>
      <c r="D564" s="45" t="s">
        <v>1844</v>
      </c>
      <c r="E564" s="18" t="s">
        <v>69</v>
      </c>
      <c r="F564" s="19" t="s">
        <v>38</v>
      </c>
      <c r="G564" s="18" t="b">
        <v>0</v>
      </c>
      <c r="H564" s="18" t="b">
        <v>0</v>
      </c>
      <c r="I564" s="18" t="b">
        <v>0</v>
      </c>
      <c r="J564" s="18" t="b">
        <v>0</v>
      </c>
      <c r="K564" s="18" t="b">
        <v>0</v>
      </c>
      <c r="L564" s="18" t="b">
        <v>0</v>
      </c>
      <c r="M564" s="18" t="b">
        <v>0</v>
      </c>
      <c r="N564" s="18" t="b">
        <v>0</v>
      </c>
      <c r="O564" s="18" t="b">
        <v>1</v>
      </c>
      <c r="P564" s="18" t="b">
        <v>0</v>
      </c>
      <c r="Q564" s="18" t="b">
        <v>0</v>
      </c>
      <c r="R564" s="19" t="b">
        <v>0</v>
      </c>
    </row>
    <row r="565" spans="1:18" ht="15.75" hidden="1" customHeight="1">
      <c r="A565" s="76" t="s">
        <v>1845</v>
      </c>
      <c r="B565" s="106"/>
      <c r="C565" s="76" t="s">
        <v>1846</v>
      </c>
      <c r="D565" s="76" t="s">
        <v>1847</v>
      </c>
      <c r="E565" s="16"/>
      <c r="F565" s="33" t="s">
        <v>38</v>
      </c>
      <c r="G565" s="16" t="b">
        <v>0</v>
      </c>
      <c r="H565" s="16" t="b">
        <v>0</v>
      </c>
      <c r="I565" s="16" t="b">
        <v>1</v>
      </c>
      <c r="J565" s="16" t="b">
        <v>0</v>
      </c>
      <c r="K565" s="16"/>
      <c r="L565" s="16"/>
      <c r="M565" s="16" t="b">
        <v>0</v>
      </c>
      <c r="N565" s="16" t="b">
        <v>0</v>
      </c>
      <c r="O565" s="16" t="b">
        <v>0</v>
      </c>
      <c r="P565" s="16" t="b">
        <v>0</v>
      </c>
      <c r="Q565" s="16" t="b">
        <v>0</v>
      </c>
      <c r="R565" s="33" t="b">
        <v>0</v>
      </c>
    </row>
    <row r="566" spans="1:18" ht="15.75" customHeight="1">
      <c r="A566" s="61" t="s">
        <v>1848</v>
      </c>
      <c r="B566" s="15" t="s">
        <v>1848</v>
      </c>
      <c r="C566" s="44" t="s">
        <v>1849</v>
      </c>
      <c r="D566" s="17" t="s">
        <v>1850</v>
      </c>
      <c r="E566" s="18" t="s">
        <v>178</v>
      </c>
      <c r="F566" s="19" t="s">
        <v>27</v>
      </c>
      <c r="G566" s="18" t="b">
        <v>0</v>
      </c>
      <c r="H566" s="18" t="b">
        <v>0</v>
      </c>
      <c r="I566" s="18" t="b">
        <v>0</v>
      </c>
      <c r="J566" s="18" t="b">
        <v>0</v>
      </c>
      <c r="K566" s="18" t="b">
        <v>0</v>
      </c>
      <c r="L566" s="18" t="b">
        <v>0</v>
      </c>
      <c r="M566" s="18" t="b">
        <v>0</v>
      </c>
      <c r="N566" s="18" t="b">
        <v>1</v>
      </c>
      <c r="O566" s="18" t="b">
        <v>0</v>
      </c>
      <c r="P566" s="18" t="b">
        <v>0</v>
      </c>
      <c r="Q566" s="18" t="b">
        <v>0</v>
      </c>
      <c r="R566" s="19" t="b">
        <v>0</v>
      </c>
    </row>
    <row r="567" spans="1:18" ht="15.75" customHeight="1">
      <c r="A567" s="61" t="s">
        <v>1851</v>
      </c>
      <c r="B567" s="15" t="s">
        <v>1851</v>
      </c>
      <c r="C567" s="44" t="s">
        <v>1852</v>
      </c>
      <c r="D567" s="45" t="s">
        <v>1853</v>
      </c>
      <c r="E567" s="18" t="s">
        <v>52</v>
      </c>
      <c r="F567" s="19" t="s">
        <v>27</v>
      </c>
      <c r="G567" s="18" t="b">
        <v>0</v>
      </c>
      <c r="H567" s="18" t="b">
        <v>0</v>
      </c>
      <c r="I567" s="18" t="b">
        <v>0</v>
      </c>
      <c r="J567" s="18" t="b">
        <v>1</v>
      </c>
      <c r="K567" s="18" t="b">
        <v>1</v>
      </c>
      <c r="L567" s="18" t="b">
        <v>0</v>
      </c>
      <c r="M567" s="18" t="b">
        <v>0</v>
      </c>
      <c r="N567" s="18" t="b">
        <v>0</v>
      </c>
      <c r="O567" s="18" t="b">
        <v>0</v>
      </c>
      <c r="P567" s="18" t="b">
        <v>0</v>
      </c>
      <c r="Q567" s="18" t="b">
        <v>0</v>
      </c>
      <c r="R567" s="19" t="b">
        <v>0</v>
      </c>
    </row>
    <row r="568" spans="1:18" ht="15.75" hidden="1" customHeight="1">
      <c r="A568" s="80" t="s">
        <v>1854</v>
      </c>
      <c r="B568" s="15"/>
      <c r="C568" s="31" t="s">
        <v>1855</v>
      </c>
      <c r="D568" s="46" t="s">
        <v>1856</v>
      </c>
      <c r="E568" s="16" t="s">
        <v>140</v>
      </c>
      <c r="F568" s="33" t="s">
        <v>38</v>
      </c>
      <c r="G568" s="16" t="b">
        <v>0</v>
      </c>
      <c r="H568" s="16" t="b">
        <v>0</v>
      </c>
      <c r="I568" s="16" t="b">
        <v>1</v>
      </c>
      <c r="J568" s="16" t="b">
        <v>0</v>
      </c>
      <c r="K568" s="16" t="b">
        <v>0</v>
      </c>
      <c r="L568" s="16" t="b">
        <v>0</v>
      </c>
      <c r="M568" s="16" t="b">
        <v>0</v>
      </c>
      <c r="N568" s="16" t="b">
        <v>0</v>
      </c>
      <c r="O568" s="16" t="b">
        <v>0</v>
      </c>
      <c r="P568" s="16" t="b">
        <v>0</v>
      </c>
      <c r="Q568" s="16" t="b">
        <v>0</v>
      </c>
      <c r="R568" s="33" t="b">
        <v>0</v>
      </c>
    </row>
    <row r="569" spans="1:18" ht="15.75" hidden="1" customHeight="1">
      <c r="A569" s="61" t="s">
        <v>1857</v>
      </c>
      <c r="B569" s="51" t="s">
        <v>1857</v>
      </c>
      <c r="C569" s="76" t="s">
        <v>1858</v>
      </c>
      <c r="D569" s="17" t="s">
        <v>1859</v>
      </c>
      <c r="E569" s="16" t="s">
        <v>140</v>
      </c>
      <c r="F569" s="33" t="s">
        <v>38</v>
      </c>
      <c r="G569" s="16" t="b">
        <v>0</v>
      </c>
      <c r="H569" s="16" t="b">
        <v>1</v>
      </c>
      <c r="I569" s="16" t="b">
        <v>0</v>
      </c>
      <c r="J569" s="16" t="b">
        <v>0</v>
      </c>
      <c r="K569" s="16" t="b">
        <v>0</v>
      </c>
      <c r="L569" s="16" t="b">
        <v>0</v>
      </c>
      <c r="M569" s="16" t="b">
        <v>0</v>
      </c>
      <c r="N569" s="16" t="b">
        <v>0</v>
      </c>
      <c r="O569" s="16" t="b">
        <v>0</v>
      </c>
      <c r="P569" s="16" t="b">
        <v>0</v>
      </c>
      <c r="Q569" s="16" t="b">
        <v>0</v>
      </c>
      <c r="R569" s="33" t="b">
        <v>0</v>
      </c>
    </row>
    <row r="570" spans="1:18" ht="15.75" hidden="1" customHeight="1">
      <c r="A570" s="76" t="s">
        <v>1860</v>
      </c>
      <c r="B570" s="51" t="s">
        <v>1861</v>
      </c>
      <c r="C570" s="61" t="s">
        <v>1862</v>
      </c>
      <c r="D570" s="17" t="s">
        <v>1863</v>
      </c>
      <c r="E570" s="16" t="s">
        <v>230</v>
      </c>
      <c r="F570" s="33" t="s">
        <v>38</v>
      </c>
      <c r="G570" s="16" t="b">
        <v>0</v>
      </c>
      <c r="H570" s="16" t="b">
        <v>1</v>
      </c>
      <c r="I570" s="16" t="b">
        <v>0</v>
      </c>
      <c r="J570" s="16" t="b">
        <v>0</v>
      </c>
      <c r="K570" s="16" t="b">
        <v>0</v>
      </c>
      <c r="L570" s="16" t="b">
        <v>0</v>
      </c>
      <c r="M570" s="16" t="b">
        <v>0</v>
      </c>
      <c r="N570" s="16" t="b">
        <v>0</v>
      </c>
      <c r="O570" s="16" t="b">
        <v>0</v>
      </c>
      <c r="P570" s="16" t="b">
        <v>0</v>
      </c>
      <c r="Q570" s="16" t="b">
        <v>0</v>
      </c>
      <c r="R570" s="33" t="b">
        <v>0</v>
      </c>
    </row>
    <row r="571" spans="1:18" ht="15.75" customHeight="1">
      <c r="A571" s="61" t="s">
        <v>1864</v>
      </c>
      <c r="B571" s="15" t="s">
        <v>1864</v>
      </c>
      <c r="C571" s="18" t="s">
        <v>1865</v>
      </c>
      <c r="D571" s="17" t="s">
        <v>1866</v>
      </c>
      <c r="E571" s="18" t="s">
        <v>52</v>
      </c>
      <c r="F571" s="19" t="s">
        <v>27</v>
      </c>
      <c r="G571" s="18" t="b">
        <v>0</v>
      </c>
      <c r="H571" s="18" t="b">
        <v>0</v>
      </c>
      <c r="I571" s="18" t="b">
        <v>0</v>
      </c>
      <c r="J571" s="18" t="b">
        <v>1</v>
      </c>
      <c r="K571" s="18" t="b">
        <v>1</v>
      </c>
      <c r="L571" s="18" t="b">
        <v>0</v>
      </c>
      <c r="M571" s="18" t="b">
        <v>0</v>
      </c>
      <c r="N571" s="18" t="b">
        <v>0</v>
      </c>
      <c r="O571" s="18" t="b">
        <v>0</v>
      </c>
      <c r="P571" s="18" t="b">
        <v>0</v>
      </c>
      <c r="Q571" s="18" t="b">
        <v>0</v>
      </c>
      <c r="R571" s="19" t="b">
        <v>0</v>
      </c>
    </row>
    <row r="572" spans="1:18" ht="15.75" customHeight="1">
      <c r="A572" s="61" t="s">
        <v>1867</v>
      </c>
      <c r="B572" s="15" t="s">
        <v>1867</v>
      </c>
      <c r="C572" s="101" t="s">
        <v>1868</v>
      </c>
      <c r="D572" s="45" t="s">
        <v>1869</v>
      </c>
      <c r="E572" s="18" t="s">
        <v>154</v>
      </c>
      <c r="F572" s="19" t="s">
        <v>27</v>
      </c>
      <c r="G572" s="18" t="b">
        <v>0</v>
      </c>
      <c r="H572" s="18" t="b">
        <v>0</v>
      </c>
      <c r="I572" s="18" t="b">
        <v>0</v>
      </c>
      <c r="J572" s="18" t="b">
        <v>0</v>
      </c>
      <c r="K572" s="18" t="b">
        <v>1</v>
      </c>
      <c r="L572" s="18" t="b">
        <v>0</v>
      </c>
      <c r="M572" s="18" t="b">
        <v>0</v>
      </c>
      <c r="N572" s="18" t="b">
        <v>0</v>
      </c>
      <c r="O572" s="18" t="b">
        <v>0</v>
      </c>
      <c r="P572" s="18" t="b">
        <v>0</v>
      </c>
      <c r="Q572" s="18" t="b">
        <v>0</v>
      </c>
      <c r="R572" s="19" t="b">
        <v>0</v>
      </c>
    </row>
    <row r="573" spans="1:18" ht="15.75" customHeight="1">
      <c r="A573" s="61" t="s">
        <v>1870</v>
      </c>
      <c r="B573" s="15" t="s">
        <v>1870</v>
      </c>
      <c r="C573" s="18" t="s">
        <v>1871</v>
      </c>
      <c r="D573" s="17" t="s">
        <v>1872</v>
      </c>
      <c r="E573" s="18" t="s">
        <v>178</v>
      </c>
      <c r="F573" s="19" t="s">
        <v>27</v>
      </c>
      <c r="G573" s="18" t="b">
        <v>0</v>
      </c>
      <c r="H573" s="18" t="b">
        <v>0</v>
      </c>
      <c r="I573" s="18" t="b">
        <v>0</v>
      </c>
      <c r="J573" s="18" t="b">
        <v>0</v>
      </c>
      <c r="K573" s="18" t="b">
        <v>0</v>
      </c>
      <c r="L573" s="18" t="b">
        <v>0</v>
      </c>
      <c r="M573" s="18" t="b">
        <v>1</v>
      </c>
      <c r="N573" s="18" t="b">
        <v>1</v>
      </c>
      <c r="O573" s="18" t="b">
        <v>0</v>
      </c>
      <c r="P573" s="18" t="b">
        <v>0</v>
      </c>
      <c r="Q573" s="18" t="b">
        <v>0</v>
      </c>
      <c r="R573" s="19" t="b">
        <v>0</v>
      </c>
    </row>
    <row r="574" spans="1:18" ht="15.75" hidden="1" customHeight="1">
      <c r="A574" s="76" t="s">
        <v>1873</v>
      </c>
      <c r="B574" s="106"/>
      <c r="C574" s="76" t="s">
        <v>1874</v>
      </c>
      <c r="D574" s="17" t="s">
        <v>1875</v>
      </c>
      <c r="E574" s="16" t="s">
        <v>192</v>
      </c>
      <c r="F574" s="33" t="s">
        <v>38</v>
      </c>
      <c r="G574" s="16" t="b">
        <v>0</v>
      </c>
      <c r="H574" s="16" t="b">
        <v>0</v>
      </c>
      <c r="I574" s="16" t="b">
        <v>0</v>
      </c>
      <c r="J574" s="16" t="b">
        <v>0</v>
      </c>
      <c r="K574" s="16" t="b">
        <v>0</v>
      </c>
      <c r="L574" s="16" t="b">
        <v>0</v>
      </c>
      <c r="M574" s="16" t="b">
        <v>0</v>
      </c>
      <c r="N574" s="16" t="b">
        <v>0</v>
      </c>
      <c r="O574" s="16" t="b">
        <v>0</v>
      </c>
      <c r="P574" s="16" t="b">
        <v>0</v>
      </c>
      <c r="Q574" s="16" t="b">
        <v>1</v>
      </c>
      <c r="R574" s="33" t="b">
        <v>0</v>
      </c>
    </row>
    <row r="575" spans="1:18" ht="15.75" hidden="1" customHeight="1">
      <c r="A575" s="80" t="s">
        <v>1876</v>
      </c>
      <c r="B575" s="166"/>
      <c r="C575" s="167">
        <v>380673769474</v>
      </c>
      <c r="D575" s="17" t="s">
        <v>1877</v>
      </c>
      <c r="E575" s="16"/>
      <c r="F575" s="33" t="s">
        <v>34</v>
      </c>
      <c r="G575" s="16" t="b">
        <v>0</v>
      </c>
      <c r="H575" s="16" t="b">
        <v>0</v>
      </c>
      <c r="I575" s="16" t="b">
        <v>0</v>
      </c>
      <c r="J575" s="16" t="b">
        <v>0</v>
      </c>
      <c r="K575" s="16" t="b">
        <v>0</v>
      </c>
      <c r="L575" s="16" t="b">
        <v>0</v>
      </c>
      <c r="M575" s="16" t="b">
        <v>0</v>
      </c>
      <c r="N575" s="16" t="b">
        <v>0</v>
      </c>
      <c r="O575" s="16" t="b">
        <v>0</v>
      </c>
      <c r="P575" s="16" t="b">
        <v>0</v>
      </c>
      <c r="Q575" s="16" t="b">
        <v>0</v>
      </c>
      <c r="R575" s="33" t="b">
        <v>1</v>
      </c>
    </row>
    <row r="576" spans="1:18" ht="15.75" customHeight="1">
      <c r="A576" s="61" t="s">
        <v>1878</v>
      </c>
      <c r="B576" s="15"/>
      <c r="C576" s="44" t="s">
        <v>1879</v>
      </c>
      <c r="D576" s="45" t="s">
        <v>1880</v>
      </c>
      <c r="E576" s="18" t="s">
        <v>471</v>
      </c>
      <c r="F576" s="19" t="s">
        <v>27</v>
      </c>
      <c r="G576" s="18" t="b">
        <v>0</v>
      </c>
      <c r="H576" s="18" t="b">
        <v>0</v>
      </c>
      <c r="I576" s="18" t="b">
        <v>0</v>
      </c>
      <c r="J576" s="18" t="b">
        <v>0</v>
      </c>
      <c r="K576" s="18" t="b">
        <v>0</v>
      </c>
      <c r="L576" s="18" t="b">
        <v>0</v>
      </c>
      <c r="M576" s="18" t="b">
        <v>0</v>
      </c>
      <c r="N576" s="18" t="b">
        <v>0</v>
      </c>
      <c r="O576" s="18" t="b">
        <v>0</v>
      </c>
      <c r="P576" s="18" t="b">
        <v>0</v>
      </c>
      <c r="Q576" s="18" t="b">
        <v>0</v>
      </c>
      <c r="R576" s="19" t="b">
        <v>1</v>
      </c>
    </row>
    <row r="577" spans="1:18" ht="15.75" customHeight="1">
      <c r="A577" s="61" t="s">
        <v>1881</v>
      </c>
      <c r="B577" s="15" t="s">
        <v>1881</v>
      </c>
      <c r="C577" s="44" t="s">
        <v>1882</v>
      </c>
      <c r="D577" s="17" t="s">
        <v>1883</v>
      </c>
      <c r="E577" s="18" t="s">
        <v>178</v>
      </c>
      <c r="F577" s="19" t="s">
        <v>27</v>
      </c>
      <c r="G577" s="18" t="b">
        <v>0</v>
      </c>
      <c r="H577" s="18" t="b">
        <v>0</v>
      </c>
      <c r="I577" s="18" t="b">
        <v>0</v>
      </c>
      <c r="J577" s="18" t="b">
        <v>0</v>
      </c>
      <c r="K577" s="18" t="b">
        <v>0</v>
      </c>
      <c r="L577" s="18" t="b">
        <v>0</v>
      </c>
      <c r="M577" s="18" t="b">
        <v>0</v>
      </c>
      <c r="N577" s="18" t="b">
        <v>1</v>
      </c>
      <c r="O577" s="18" t="b">
        <v>0</v>
      </c>
      <c r="P577" s="18" t="b">
        <v>0</v>
      </c>
      <c r="Q577" s="18" t="b">
        <v>0</v>
      </c>
      <c r="R577" s="19" t="b">
        <v>0</v>
      </c>
    </row>
    <row r="578" spans="1:18" ht="15.75" hidden="1" customHeight="1">
      <c r="A578" s="76" t="s">
        <v>1884</v>
      </c>
      <c r="B578" s="106"/>
      <c r="C578" s="76" t="s">
        <v>1885</v>
      </c>
      <c r="D578" s="17" t="s">
        <v>1886</v>
      </c>
      <c r="E578" s="16" t="s">
        <v>140</v>
      </c>
      <c r="F578" s="33" t="s">
        <v>38</v>
      </c>
      <c r="G578" s="16" t="b">
        <v>0</v>
      </c>
      <c r="H578" s="16" t="b">
        <v>0</v>
      </c>
      <c r="I578" s="16" t="b">
        <v>1</v>
      </c>
      <c r="J578" s="16" t="b">
        <v>0</v>
      </c>
      <c r="K578" s="16" t="b">
        <v>0</v>
      </c>
      <c r="L578" s="16" t="b">
        <v>0</v>
      </c>
      <c r="M578" s="16" t="b">
        <v>0</v>
      </c>
      <c r="N578" s="16" t="b">
        <v>0</v>
      </c>
      <c r="O578" s="16" t="b">
        <v>0</v>
      </c>
      <c r="P578" s="16" t="b">
        <v>0</v>
      </c>
      <c r="Q578" s="16" t="b">
        <v>0</v>
      </c>
      <c r="R578" s="33" t="b">
        <v>0</v>
      </c>
    </row>
    <row r="579" spans="1:18" ht="15.75" customHeight="1">
      <c r="A579" s="159" t="s">
        <v>1887</v>
      </c>
      <c r="B579" s="15"/>
      <c r="C579" s="44" t="s">
        <v>1888</v>
      </c>
      <c r="D579" s="160" t="s">
        <v>1889</v>
      </c>
      <c r="E579" s="18" t="s">
        <v>52</v>
      </c>
      <c r="F579" s="19" t="s">
        <v>27</v>
      </c>
      <c r="G579" s="18" t="b">
        <v>0</v>
      </c>
      <c r="H579" s="18" t="b">
        <v>0</v>
      </c>
      <c r="I579" s="18" t="b">
        <v>0</v>
      </c>
      <c r="J579" s="18" t="b">
        <v>1</v>
      </c>
      <c r="K579" s="18" t="b">
        <v>1</v>
      </c>
      <c r="L579" s="18" t="b">
        <v>0</v>
      </c>
      <c r="M579" s="18" t="b">
        <v>0</v>
      </c>
      <c r="N579" s="18" t="b">
        <v>0</v>
      </c>
      <c r="O579" s="18" t="b">
        <v>0</v>
      </c>
      <c r="P579" s="18" t="b">
        <v>0</v>
      </c>
      <c r="Q579" s="18" t="b">
        <v>0</v>
      </c>
      <c r="R579" s="19" t="b">
        <v>0</v>
      </c>
    </row>
    <row r="580" spans="1:18" ht="15.75" customHeight="1">
      <c r="A580" s="61" t="s">
        <v>1890</v>
      </c>
      <c r="B580" s="15" t="s">
        <v>1891</v>
      </c>
      <c r="C580" s="44" t="s">
        <v>1892</v>
      </c>
      <c r="D580" s="45" t="s">
        <v>1893</v>
      </c>
      <c r="E580" s="16" t="s">
        <v>60</v>
      </c>
      <c r="F580" s="19" t="s">
        <v>27</v>
      </c>
      <c r="G580" s="18" t="b">
        <v>0</v>
      </c>
      <c r="H580" s="18" t="b">
        <v>0</v>
      </c>
      <c r="I580" s="18" t="b">
        <v>0</v>
      </c>
      <c r="J580" s="18" t="b">
        <v>0</v>
      </c>
      <c r="K580" s="18" t="b">
        <v>0</v>
      </c>
      <c r="L580" s="18" t="b">
        <v>0</v>
      </c>
      <c r="M580" s="18" t="b">
        <v>1</v>
      </c>
      <c r="N580" s="18" t="b">
        <v>0</v>
      </c>
      <c r="O580" s="18" t="b">
        <v>0</v>
      </c>
      <c r="P580" s="18" t="b">
        <v>0</v>
      </c>
      <c r="Q580" s="18" t="b">
        <v>0</v>
      </c>
      <c r="R580" s="19" t="b">
        <v>0</v>
      </c>
    </row>
    <row r="581" spans="1:18" ht="15.75" customHeight="1">
      <c r="A581" s="61" t="s">
        <v>1894</v>
      </c>
      <c r="B581" s="15"/>
      <c r="C581" s="18" t="s">
        <v>1895</v>
      </c>
      <c r="D581" s="17" t="s">
        <v>1896</v>
      </c>
      <c r="E581" s="18" t="s">
        <v>52</v>
      </c>
      <c r="F581" s="19" t="s">
        <v>27</v>
      </c>
      <c r="G581" s="18" t="b">
        <v>0</v>
      </c>
      <c r="H581" s="18" t="b">
        <v>0</v>
      </c>
      <c r="I581" s="18" t="b">
        <v>0</v>
      </c>
      <c r="J581" s="18" t="b">
        <v>1</v>
      </c>
      <c r="K581" s="18" t="b">
        <v>1</v>
      </c>
      <c r="L581" s="18" t="b">
        <v>0</v>
      </c>
      <c r="M581" s="18" t="b">
        <v>0</v>
      </c>
      <c r="N581" s="18" t="b">
        <v>0</v>
      </c>
      <c r="O581" s="18" t="b">
        <v>0</v>
      </c>
      <c r="P581" s="18" t="b">
        <v>0</v>
      </c>
      <c r="Q581" s="18" t="b">
        <v>0</v>
      </c>
      <c r="R581" s="19" t="b">
        <v>0</v>
      </c>
    </row>
    <row r="582" spans="1:18" ht="15.75" customHeight="1">
      <c r="A582" s="159" t="s">
        <v>1897</v>
      </c>
      <c r="B582" s="15"/>
      <c r="C582" s="44" t="s">
        <v>1898</v>
      </c>
      <c r="D582" s="45" t="s">
        <v>1899</v>
      </c>
      <c r="E582" s="18" t="s">
        <v>52</v>
      </c>
      <c r="F582" s="19" t="s">
        <v>27</v>
      </c>
      <c r="G582" s="18" t="b">
        <v>0</v>
      </c>
      <c r="H582" s="18" t="b">
        <v>0</v>
      </c>
      <c r="I582" s="18" t="b">
        <v>0</v>
      </c>
      <c r="J582" s="18" t="b">
        <v>1</v>
      </c>
      <c r="K582" s="18" t="b">
        <v>1</v>
      </c>
      <c r="L582" s="18" t="b">
        <v>0</v>
      </c>
      <c r="M582" s="18" t="b">
        <v>0</v>
      </c>
      <c r="N582" s="18" t="b">
        <v>0</v>
      </c>
      <c r="O582" s="18" t="b">
        <v>0</v>
      </c>
      <c r="P582" s="18" t="b">
        <v>0</v>
      </c>
      <c r="Q582" s="18" t="b">
        <v>0</v>
      </c>
      <c r="R582" s="19" t="b">
        <v>0</v>
      </c>
    </row>
    <row r="583" spans="1:18" ht="15.75" customHeight="1">
      <c r="A583" s="159" t="s">
        <v>1900</v>
      </c>
      <c r="B583" s="15" t="s">
        <v>1901</v>
      </c>
      <c r="C583" s="44" t="s">
        <v>1902</v>
      </c>
      <c r="D583" s="160" t="s">
        <v>1903</v>
      </c>
      <c r="E583" s="18" t="s">
        <v>140</v>
      </c>
      <c r="F583" s="19" t="s">
        <v>27</v>
      </c>
      <c r="G583" s="18" t="b">
        <v>0</v>
      </c>
      <c r="H583" s="18" t="b">
        <v>1</v>
      </c>
      <c r="I583" s="18" t="b">
        <v>0</v>
      </c>
      <c r="J583" s="18" t="b">
        <v>0</v>
      </c>
      <c r="K583" s="18" t="b">
        <v>0</v>
      </c>
      <c r="L583" s="18" t="b">
        <v>0</v>
      </c>
      <c r="M583" s="18" t="b">
        <v>0</v>
      </c>
      <c r="N583" s="18" t="b">
        <v>0</v>
      </c>
      <c r="O583" s="18" t="b">
        <v>0</v>
      </c>
      <c r="P583" s="18" t="b">
        <v>0</v>
      </c>
      <c r="Q583" s="18" t="b">
        <v>0</v>
      </c>
      <c r="R583" s="19" t="b">
        <v>0</v>
      </c>
    </row>
    <row r="584" spans="1:18" ht="15.75" hidden="1" customHeight="1">
      <c r="A584" s="17" t="s">
        <v>1904</v>
      </c>
      <c r="B584" s="51" t="s">
        <v>1904</v>
      </c>
      <c r="C584" s="17" t="s">
        <v>1905</v>
      </c>
      <c r="D584" s="17" t="s">
        <v>1906</v>
      </c>
      <c r="E584" s="18" t="s">
        <v>140</v>
      </c>
      <c r="F584" s="19" t="s">
        <v>34</v>
      </c>
      <c r="G584" s="18" t="b">
        <v>0</v>
      </c>
      <c r="H584" s="18" t="b">
        <v>1</v>
      </c>
      <c r="I584" s="18" t="b">
        <v>0</v>
      </c>
      <c r="J584" s="18" t="b">
        <v>0</v>
      </c>
      <c r="K584" s="18" t="b">
        <v>0</v>
      </c>
      <c r="L584" s="18" t="b">
        <v>0</v>
      </c>
      <c r="M584" s="18" t="b">
        <v>0</v>
      </c>
      <c r="N584" s="18" t="b">
        <v>0</v>
      </c>
      <c r="O584" s="18" t="b">
        <v>0</v>
      </c>
      <c r="P584" s="18" t="b">
        <v>0</v>
      </c>
      <c r="Q584" s="18" t="b">
        <v>0</v>
      </c>
      <c r="R584" s="19" t="b">
        <v>0</v>
      </c>
    </row>
    <row r="585" spans="1:18" ht="15.75" customHeight="1">
      <c r="A585" s="61" t="s">
        <v>1907</v>
      </c>
      <c r="B585" s="93" t="s">
        <v>1907</v>
      </c>
      <c r="C585" s="44" t="s">
        <v>1908</v>
      </c>
      <c r="D585" s="45" t="s">
        <v>1909</v>
      </c>
      <c r="E585" s="18" t="s">
        <v>471</v>
      </c>
      <c r="F585" s="19" t="s">
        <v>27</v>
      </c>
      <c r="G585" s="18" t="b">
        <v>0</v>
      </c>
      <c r="H585" s="18" t="b">
        <v>0</v>
      </c>
      <c r="I585" s="18" t="b">
        <v>0</v>
      </c>
      <c r="J585" s="18" t="b">
        <v>0</v>
      </c>
      <c r="K585" s="18" t="b">
        <v>0</v>
      </c>
      <c r="L585" s="18" t="b">
        <v>0</v>
      </c>
      <c r="M585" s="18" t="b">
        <v>0</v>
      </c>
      <c r="N585" s="18" t="b">
        <v>0</v>
      </c>
      <c r="O585" s="18" t="b">
        <v>0</v>
      </c>
      <c r="P585" s="18" t="b">
        <v>0</v>
      </c>
      <c r="Q585" s="18" t="b">
        <v>0</v>
      </c>
      <c r="R585" s="19" t="b">
        <v>1</v>
      </c>
    </row>
    <row r="586" spans="1:18" ht="15.75" hidden="1" customHeight="1">
      <c r="A586" s="80" t="s">
        <v>1910</v>
      </c>
      <c r="B586" s="51" t="s">
        <v>1911</v>
      </c>
      <c r="C586" s="76" t="s">
        <v>1912</v>
      </c>
      <c r="D586" s="17" t="s">
        <v>1913</v>
      </c>
      <c r="E586" s="16"/>
      <c r="F586" s="33" t="s">
        <v>38</v>
      </c>
      <c r="G586" s="16" t="b">
        <v>0</v>
      </c>
      <c r="H586" s="16" t="b">
        <v>0</v>
      </c>
      <c r="I586" s="16" t="b">
        <v>1</v>
      </c>
      <c r="J586" s="16" t="b">
        <v>0</v>
      </c>
      <c r="K586" s="16"/>
      <c r="L586" s="16"/>
      <c r="M586" s="16" t="b">
        <v>0</v>
      </c>
      <c r="N586" s="16" t="b">
        <v>0</v>
      </c>
      <c r="O586" s="16" t="b">
        <v>0</v>
      </c>
      <c r="P586" s="16" t="b">
        <v>0</v>
      </c>
      <c r="Q586" s="16" t="b">
        <v>0</v>
      </c>
      <c r="R586" s="33" t="b">
        <v>0</v>
      </c>
    </row>
    <row r="587" spans="1:18" ht="15.75" customHeight="1">
      <c r="A587" s="61" t="s">
        <v>1914</v>
      </c>
      <c r="B587" s="15"/>
      <c r="C587" s="18" t="s">
        <v>1915</v>
      </c>
      <c r="D587" s="17" t="s">
        <v>1916</v>
      </c>
      <c r="E587" s="18" t="s">
        <v>154</v>
      </c>
      <c r="F587" s="19" t="s">
        <v>27</v>
      </c>
      <c r="G587" s="18" t="b">
        <v>0</v>
      </c>
      <c r="H587" s="18" t="b">
        <v>0</v>
      </c>
      <c r="I587" s="18" t="b">
        <v>1</v>
      </c>
      <c r="J587" s="18" t="b">
        <v>0</v>
      </c>
      <c r="K587" s="18" t="b">
        <v>0</v>
      </c>
      <c r="L587" s="18" t="b">
        <v>0</v>
      </c>
      <c r="M587" s="18" t="b">
        <v>0</v>
      </c>
      <c r="N587" s="18" t="b">
        <v>0</v>
      </c>
      <c r="O587" s="18" t="b">
        <v>1</v>
      </c>
      <c r="P587" s="18" t="b">
        <v>0</v>
      </c>
      <c r="Q587" s="18" t="b">
        <v>0</v>
      </c>
      <c r="R587" s="19" t="b">
        <v>0</v>
      </c>
    </row>
    <row r="588" spans="1:18" ht="15.75" hidden="1" customHeight="1">
      <c r="A588" s="18" t="s">
        <v>1917</v>
      </c>
      <c r="B588" s="122" t="s">
        <v>1917</v>
      </c>
      <c r="C588" s="18" t="s">
        <v>1918</v>
      </c>
      <c r="D588" s="17" t="s">
        <v>1919</v>
      </c>
      <c r="E588" s="16" t="s">
        <v>60</v>
      </c>
      <c r="F588" s="19" t="s">
        <v>34</v>
      </c>
      <c r="G588" s="18" t="b">
        <v>0</v>
      </c>
      <c r="H588" s="18" t="b">
        <v>0</v>
      </c>
      <c r="I588" s="18" t="b">
        <v>0</v>
      </c>
      <c r="J588" s="18" t="b">
        <v>0</v>
      </c>
      <c r="K588" s="18" t="b">
        <v>0</v>
      </c>
      <c r="L588" s="18" t="b">
        <v>0</v>
      </c>
      <c r="M588" s="18" t="b">
        <v>1</v>
      </c>
      <c r="N588" s="18" t="b">
        <v>0</v>
      </c>
      <c r="O588" s="18" t="b">
        <v>0</v>
      </c>
      <c r="P588" s="18" t="b">
        <v>0</v>
      </c>
      <c r="Q588" s="18" t="b">
        <v>0</v>
      </c>
      <c r="R588" s="19" t="b">
        <v>0</v>
      </c>
    </row>
    <row r="589" spans="1:18" ht="15.75" hidden="1" customHeight="1">
      <c r="A589" s="76" t="s">
        <v>1920</v>
      </c>
      <c r="B589" s="76"/>
      <c r="C589" s="76" t="s">
        <v>1921</v>
      </c>
      <c r="D589" s="76" t="s">
        <v>1922</v>
      </c>
      <c r="E589" s="36"/>
      <c r="F589" s="40" t="s">
        <v>38</v>
      </c>
      <c r="G589" s="116" t="b">
        <v>0</v>
      </c>
      <c r="H589" s="116" t="b">
        <v>0</v>
      </c>
      <c r="I589" s="116" t="b">
        <v>1</v>
      </c>
      <c r="J589" s="116" t="b">
        <v>0</v>
      </c>
      <c r="K589" s="116"/>
      <c r="L589" s="116"/>
      <c r="M589" s="116" t="b">
        <v>0</v>
      </c>
      <c r="N589" s="116" t="b">
        <v>0</v>
      </c>
      <c r="O589" s="116" t="b">
        <v>0</v>
      </c>
      <c r="P589" s="116" t="b">
        <v>0</v>
      </c>
      <c r="Q589" s="116" t="b">
        <v>0</v>
      </c>
      <c r="R589" s="156" t="b">
        <v>0</v>
      </c>
    </row>
    <row r="590" spans="1:18" ht="15.75" hidden="1" customHeight="1">
      <c r="A590" s="76" t="s">
        <v>1923</v>
      </c>
      <c r="B590" s="106"/>
      <c r="C590" s="76" t="s">
        <v>1924</v>
      </c>
      <c r="D590" s="17" t="s">
        <v>1925</v>
      </c>
      <c r="E590" s="16" t="s">
        <v>86</v>
      </c>
      <c r="F590" s="33" t="s">
        <v>38</v>
      </c>
      <c r="G590" s="16" t="b">
        <v>0</v>
      </c>
      <c r="H590" s="16" t="b">
        <v>0</v>
      </c>
      <c r="I590" s="16" t="b">
        <v>1</v>
      </c>
      <c r="J590" s="16" t="b">
        <v>0</v>
      </c>
      <c r="K590" s="16" t="b">
        <v>0</v>
      </c>
      <c r="L590" s="16" t="b">
        <v>0</v>
      </c>
      <c r="M590" s="16" t="b">
        <v>0</v>
      </c>
      <c r="N590" s="16" t="b">
        <v>0</v>
      </c>
      <c r="O590" s="16" t="b">
        <v>0</v>
      </c>
      <c r="P590" s="16" t="b">
        <v>0</v>
      </c>
      <c r="Q590" s="16" t="b">
        <v>0</v>
      </c>
      <c r="R590" s="33" t="b">
        <v>0</v>
      </c>
    </row>
    <row r="591" spans="1:18" ht="15.75" customHeight="1">
      <c r="A591" s="159" t="s">
        <v>1926</v>
      </c>
      <c r="B591" s="15"/>
      <c r="C591" s="168" t="s">
        <v>1927</v>
      </c>
      <c r="D591" s="45" t="s">
        <v>1928</v>
      </c>
      <c r="E591" s="18" t="s">
        <v>26</v>
      </c>
      <c r="F591" s="19" t="s">
        <v>27</v>
      </c>
      <c r="G591" s="18" t="b">
        <v>0</v>
      </c>
      <c r="H591" s="18" t="b">
        <v>0</v>
      </c>
      <c r="I591" s="18" t="b">
        <v>1</v>
      </c>
      <c r="J591" s="18" t="b">
        <v>0</v>
      </c>
      <c r="K591" s="18" t="b">
        <v>0</v>
      </c>
      <c r="L591" s="18" t="b">
        <v>0</v>
      </c>
      <c r="M591" s="18" t="b">
        <v>0</v>
      </c>
      <c r="N591" s="18" t="b">
        <v>0</v>
      </c>
      <c r="O591" s="18" t="b">
        <v>0</v>
      </c>
      <c r="P591" s="18" t="b">
        <v>0</v>
      </c>
      <c r="Q591" s="18" t="b">
        <v>0</v>
      </c>
      <c r="R591" s="19" t="b">
        <v>0</v>
      </c>
    </row>
    <row r="592" spans="1:18" ht="15.75" customHeight="1">
      <c r="A592" s="61" t="s">
        <v>1929</v>
      </c>
      <c r="B592" s="93" t="s">
        <v>1929</v>
      </c>
      <c r="C592" s="44" t="s">
        <v>1930</v>
      </c>
      <c r="D592" s="45" t="s">
        <v>1931</v>
      </c>
      <c r="E592" s="18" t="s">
        <v>52</v>
      </c>
      <c r="F592" s="19" t="s">
        <v>27</v>
      </c>
      <c r="G592" s="18" t="b">
        <v>0</v>
      </c>
      <c r="H592" s="18" t="b">
        <v>0</v>
      </c>
      <c r="I592" s="18" t="b">
        <v>0</v>
      </c>
      <c r="J592" s="18" t="b">
        <v>1</v>
      </c>
      <c r="K592" s="18" t="b">
        <v>1</v>
      </c>
      <c r="L592" s="18" t="b">
        <v>0</v>
      </c>
      <c r="M592" s="18" t="b">
        <v>0</v>
      </c>
      <c r="N592" s="18" t="b">
        <v>0</v>
      </c>
      <c r="O592" s="18" t="b">
        <v>0</v>
      </c>
      <c r="P592" s="18" t="b">
        <v>0</v>
      </c>
      <c r="Q592" s="18" t="b">
        <v>0</v>
      </c>
      <c r="R592" s="19" t="b">
        <v>0</v>
      </c>
    </row>
    <row r="593" spans="1:18" ht="15.75" customHeight="1">
      <c r="A593" s="61" t="s">
        <v>1932</v>
      </c>
      <c r="B593" s="15" t="s">
        <v>1932</v>
      </c>
      <c r="C593" s="44" t="s">
        <v>1933</v>
      </c>
      <c r="D593" s="45" t="s">
        <v>1934</v>
      </c>
      <c r="E593" s="18" t="s">
        <v>52</v>
      </c>
      <c r="F593" s="19" t="s">
        <v>27</v>
      </c>
      <c r="G593" s="18" t="b">
        <v>0</v>
      </c>
      <c r="H593" s="18" t="b">
        <v>0</v>
      </c>
      <c r="I593" s="18" t="b">
        <v>0</v>
      </c>
      <c r="J593" s="18" t="b">
        <v>1</v>
      </c>
      <c r="K593" s="18" t="b">
        <v>1</v>
      </c>
      <c r="L593" s="18" t="b">
        <v>0</v>
      </c>
      <c r="M593" s="18" t="b">
        <v>0</v>
      </c>
      <c r="N593" s="18" t="b">
        <v>0</v>
      </c>
      <c r="O593" s="18" t="b">
        <v>0</v>
      </c>
      <c r="P593" s="18" t="b">
        <v>0</v>
      </c>
      <c r="Q593" s="18" t="b">
        <v>0</v>
      </c>
      <c r="R593" s="19" t="b">
        <v>0</v>
      </c>
    </row>
    <row r="594" spans="1:18" ht="15.75" customHeight="1">
      <c r="A594" s="61" t="s">
        <v>1935</v>
      </c>
      <c r="B594" s="15" t="s">
        <v>1935</v>
      </c>
      <c r="C594" s="169" t="s">
        <v>1936</v>
      </c>
      <c r="D594" s="17" t="s">
        <v>1937</v>
      </c>
      <c r="E594" s="18" t="s">
        <v>154</v>
      </c>
      <c r="F594" s="19" t="s">
        <v>27</v>
      </c>
      <c r="G594" s="18" t="b">
        <v>0</v>
      </c>
      <c r="H594" s="18" t="b">
        <v>0</v>
      </c>
      <c r="I594" s="18" t="b">
        <v>1</v>
      </c>
      <c r="J594" s="18" t="b">
        <v>0</v>
      </c>
      <c r="K594" s="18" t="b">
        <v>0</v>
      </c>
      <c r="L594" s="18" t="b">
        <v>0</v>
      </c>
      <c r="M594" s="18" t="b">
        <v>0</v>
      </c>
      <c r="N594" s="18" t="b">
        <v>0</v>
      </c>
      <c r="O594" s="18" t="b">
        <v>0</v>
      </c>
      <c r="P594" s="18" t="b">
        <v>0</v>
      </c>
      <c r="Q594" s="18" t="b">
        <v>0</v>
      </c>
      <c r="R594" s="19" t="b">
        <v>0</v>
      </c>
    </row>
    <row r="595" spans="1:18" ht="15.75" hidden="1" customHeight="1">
      <c r="A595" s="76" t="s">
        <v>1938</v>
      </c>
      <c r="B595" s="51" t="s">
        <v>1938</v>
      </c>
      <c r="C595" s="76" t="s">
        <v>1939</v>
      </c>
      <c r="D595" s="17" t="s">
        <v>1940</v>
      </c>
      <c r="E595" s="16"/>
      <c r="F595" s="33" t="s">
        <v>34</v>
      </c>
      <c r="G595" s="16" t="b">
        <v>0</v>
      </c>
      <c r="H595" s="16" t="b">
        <v>0</v>
      </c>
      <c r="I595" s="16" t="b">
        <v>1</v>
      </c>
      <c r="J595" s="16" t="b">
        <v>0</v>
      </c>
      <c r="K595" s="16" t="b">
        <v>0</v>
      </c>
      <c r="L595" s="16" t="b">
        <v>0</v>
      </c>
      <c r="M595" s="16" t="b">
        <v>0</v>
      </c>
      <c r="N595" s="16" t="b">
        <v>0</v>
      </c>
      <c r="O595" s="16" t="b">
        <v>0</v>
      </c>
      <c r="P595" s="16" t="b">
        <v>0</v>
      </c>
      <c r="Q595" s="16" t="b">
        <v>0</v>
      </c>
      <c r="R595" s="33" t="b">
        <v>0</v>
      </c>
    </row>
    <row r="596" spans="1:18" ht="15.75" hidden="1" customHeight="1">
      <c r="A596" s="80" t="s">
        <v>1941</v>
      </c>
      <c r="B596" s="51" t="s">
        <v>1942</v>
      </c>
      <c r="C596" s="165" t="s">
        <v>1943</v>
      </c>
      <c r="D596" s="17" t="s">
        <v>1944</v>
      </c>
      <c r="E596" s="16"/>
      <c r="F596" s="33" t="s">
        <v>38</v>
      </c>
      <c r="G596" s="16" t="b">
        <v>0</v>
      </c>
      <c r="H596" s="16" t="b">
        <v>0</v>
      </c>
      <c r="I596" s="16" t="b">
        <v>0</v>
      </c>
      <c r="J596" s="16" t="b">
        <v>0</v>
      </c>
      <c r="K596" s="16"/>
      <c r="L596" s="16"/>
      <c r="M596" s="16" t="b">
        <v>1</v>
      </c>
      <c r="N596" s="16" t="b">
        <v>1</v>
      </c>
      <c r="O596" s="16" t="b">
        <v>0</v>
      </c>
      <c r="P596" s="16" t="b">
        <v>0</v>
      </c>
      <c r="Q596" s="16" t="b">
        <v>0</v>
      </c>
      <c r="R596" s="33" t="b">
        <v>0</v>
      </c>
    </row>
    <row r="597" spans="1:18" ht="15.75" customHeight="1">
      <c r="A597" s="61" t="s">
        <v>1945</v>
      </c>
      <c r="B597" s="15" t="s">
        <v>1945</v>
      </c>
      <c r="C597" s="44" t="s">
        <v>1946</v>
      </c>
      <c r="D597" s="45" t="s">
        <v>1947</v>
      </c>
      <c r="E597" s="18" t="s">
        <v>471</v>
      </c>
      <c r="F597" s="19" t="s">
        <v>27</v>
      </c>
      <c r="G597" s="18" t="b">
        <v>0</v>
      </c>
      <c r="H597" s="18" t="b">
        <v>0</v>
      </c>
      <c r="I597" s="18" t="b">
        <v>0</v>
      </c>
      <c r="J597" s="18" t="b">
        <v>0</v>
      </c>
      <c r="K597" s="18" t="b">
        <v>0</v>
      </c>
      <c r="L597" s="18" t="b">
        <v>0</v>
      </c>
      <c r="M597" s="18" t="b">
        <v>0</v>
      </c>
      <c r="N597" s="18" t="b">
        <v>0</v>
      </c>
      <c r="O597" s="18" t="b">
        <v>0</v>
      </c>
      <c r="P597" s="18" t="b">
        <v>0</v>
      </c>
      <c r="Q597" s="18" t="b">
        <v>0</v>
      </c>
      <c r="R597" s="19" t="b">
        <v>1</v>
      </c>
    </row>
    <row r="598" spans="1:18" ht="15.75" hidden="1" customHeight="1">
      <c r="A598" s="17" t="s">
        <v>1948</v>
      </c>
      <c r="B598" s="81" t="s">
        <v>1948</v>
      </c>
      <c r="C598" s="170" t="s">
        <v>1949</v>
      </c>
      <c r="D598" s="171" t="s">
        <v>1950</v>
      </c>
      <c r="E598" s="16" t="s">
        <v>60</v>
      </c>
      <c r="F598" s="19" t="s">
        <v>34</v>
      </c>
      <c r="G598" s="18" t="b">
        <v>0</v>
      </c>
      <c r="H598" s="18" t="b">
        <v>0</v>
      </c>
      <c r="I598" s="18" t="b">
        <v>0</v>
      </c>
      <c r="J598" s="18" t="b">
        <v>0</v>
      </c>
      <c r="K598" s="18" t="b">
        <v>0</v>
      </c>
      <c r="L598" s="18" t="b">
        <v>0</v>
      </c>
      <c r="M598" s="18" t="b">
        <v>1</v>
      </c>
      <c r="N598" s="18" t="b">
        <v>0</v>
      </c>
      <c r="O598" s="18" t="b">
        <v>0</v>
      </c>
      <c r="P598" s="18" t="b">
        <v>0</v>
      </c>
      <c r="Q598" s="18" t="b">
        <v>0</v>
      </c>
      <c r="R598" s="19" t="b">
        <v>0</v>
      </c>
    </row>
    <row r="599" spans="1:18" ht="15.75" hidden="1" customHeight="1">
      <c r="A599" s="16" t="s">
        <v>1951</v>
      </c>
      <c r="B599" s="15" t="s">
        <v>1952</v>
      </c>
      <c r="C599" s="16" t="s">
        <v>1953</v>
      </c>
      <c r="D599" s="16" t="s">
        <v>1954</v>
      </c>
      <c r="E599" s="16" t="s">
        <v>471</v>
      </c>
      <c r="F599" s="33" t="s">
        <v>38</v>
      </c>
      <c r="G599" s="16" t="b">
        <v>0</v>
      </c>
      <c r="H599" s="16" t="b">
        <v>0</v>
      </c>
      <c r="I599" s="16" t="b">
        <v>0</v>
      </c>
      <c r="J599" s="16" t="b">
        <v>0</v>
      </c>
      <c r="K599" s="16" t="b">
        <v>0</v>
      </c>
      <c r="L599" s="16" t="b">
        <v>0</v>
      </c>
      <c r="M599" s="16" t="b">
        <v>0</v>
      </c>
      <c r="N599" s="16" t="b">
        <v>0</v>
      </c>
      <c r="O599" s="16" t="b">
        <v>0</v>
      </c>
      <c r="P599" s="16" t="b">
        <v>0</v>
      </c>
      <c r="Q599" s="16" t="b">
        <v>0</v>
      </c>
      <c r="R599" s="33" t="b">
        <v>1</v>
      </c>
    </row>
    <row r="600" spans="1:18" ht="15.75" customHeight="1">
      <c r="A600" s="61" t="s">
        <v>1955</v>
      </c>
      <c r="B600" s="15" t="s">
        <v>1955</v>
      </c>
      <c r="C600" s="44" t="s">
        <v>1956</v>
      </c>
      <c r="D600" s="45" t="s">
        <v>1957</v>
      </c>
      <c r="E600" s="18" t="s">
        <v>471</v>
      </c>
      <c r="F600" s="19" t="s">
        <v>27</v>
      </c>
      <c r="G600" s="18" t="b">
        <v>0</v>
      </c>
      <c r="H600" s="18" t="b">
        <v>0</v>
      </c>
      <c r="I600" s="18" t="b">
        <v>0</v>
      </c>
      <c r="J600" s="18" t="b">
        <v>0</v>
      </c>
      <c r="K600" s="18" t="b">
        <v>0</v>
      </c>
      <c r="L600" s="18" t="b">
        <v>0</v>
      </c>
      <c r="M600" s="18" t="b">
        <v>0</v>
      </c>
      <c r="N600" s="18" t="b">
        <v>0</v>
      </c>
      <c r="O600" s="18" t="b">
        <v>0</v>
      </c>
      <c r="P600" s="18" t="b">
        <v>0</v>
      </c>
      <c r="Q600" s="18" t="b">
        <v>0</v>
      </c>
      <c r="R600" s="19" t="b">
        <v>1</v>
      </c>
    </row>
    <row r="601" spans="1:18" ht="15.75" customHeight="1">
      <c r="A601" s="61" t="s">
        <v>1958</v>
      </c>
      <c r="B601" s="81" t="s">
        <v>1958</v>
      </c>
      <c r="C601" s="18" t="s">
        <v>1959</v>
      </c>
      <c r="D601" s="17" t="s">
        <v>1960</v>
      </c>
      <c r="E601" s="18" t="s">
        <v>990</v>
      </c>
      <c r="F601" s="19" t="s">
        <v>27</v>
      </c>
      <c r="G601" s="18" t="b">
        <v>0</v>
      </c>
      <c r="H601" s="18" t="b">
        <v>0</v>
      </c>
      <c r="I601" s="18" t="b">
        <v>0</v>
      </c>
      <c r="J601" s="18" t="b">
        <v>1</v>
      </c>
      <c r="K601" s="18" t="b">
        <v>1</v>
      </c>
      <c r="L601" s="18" t="b">
        <v>0</v>
      </c>
      <c r="M601" s="18" t="b">
        <v>0</v>
      </c>
      <c r="N601" s="18" t="b">
        <v>0</v>
      </c>
      <c r="O601" s="18" t="b">
        <v>0</v>
      </c>
      <c r="P601" s="18" t="b">
        <v>0</v>
      </c>
      <c r="Q601" s="18" t="b">
        <v>0</v>
      </c>
      <c r="R601" s="19" t="b">
        <v>1</v>
      </c>
    </row>
    <row r="602" spans="1:18" ht="15.75" customHeight="1">
      <c r="A602" s="61" t="s">
        <v>1961</v>
      </c>
      <c r="B602" s="15" t="s">
        <v>1961</v>
      </c>
      <c r="C602" s="18" t="s">
        <v>1962</v>
      </c>
      <c r="D602" s="17" t="s">
        <v>1963</v>
      </c>
      <c r="E602" s="18" t="s">
        <v>192</v>
      </c>
      <c r="F602" s="19" t="s">
        <v>27</v>
      </c>
      <c r="G602" s="18" t="b">
        <v>0</v>
      </c>
      <c r="H602" s="18" t="b">
        <v>0</v>
      </c>
      <c r="I602" s="18" t="b">
        <v>0</v>
      </c>
      <c r="J602" s="18" t="b">
        <v>0</v>
      </c>
      <c r="K602" s="18" t="b">
        <v>0</v>
      </c>
      <c r="L602" s="18" t="b">
        <v>0</v>
      </c>
      <c r="M602" s="18" t="b">
        <v>0</v>
      </c>
      <c r="N602" s="18" t="b">
        <v>0</v>
      </c>
      <c r="O602" s="18" t="b">
        <v>0</v>
      </c>
      <c r="P602" s="18" t="b">
        <v>1</v>
      </c>
      <c r="Q602" s="18" t="b">
        <v>1</v>
      </c>
      <c r="R602" s="19" t="b">
        <v>0</v>
      </c>
    </row>
    <row r="603" spans="1:18" ht="15.75" hidden="1" customHeight="1">
      <c r="A603" s="17" t="s">
        <v>1964</v>
      </c>
      <c r="B603" s="15"/>
      <c r="C603" s="18">
        <f>380966849067</f>
        <v>380966849067</v>
      </c>
      <c r="D603" s="18" t="s">
        <v>1965</v>
      </c>
      <c r="E603" s="16" t="s">
        <v>471</v>
      </c>
      <c r="F603" s="33" t="s">
        <v>38</v>
      </c>
      <c r="G603" s="16" t="b">
        <v>0</v>
      </c>
      <c r="H603" s="16" t="b">
        <v>0</v>
      </c>
      <c r="I603" s="16" t="b">
        <v>0</v>
      </c>
      <c r="J603" s="16" t="b">
        <v>0</v>
      </c>
      <c r="K603" s="16" t="b">
        <v>0</v>
      </c>
      <c r="L603" s="16" t="b">
        <v>0</v>
      </c>
      <c r="M603" s="16" t="b">
        <v>0</v>
      </c>
      <c r="N603" s="16" t="b">
        <v>0</v>
      </c>
      <c r="O603" s="16" t="b">
        <v>0</v>
      </c>
      <c r="P603" s="16" t="b">
        <v>0</v>
      </c>
      <c r="Q603" s="16" t="b">
        <v>0</v>
      </c>
      <c r="R603" s="33" t="b">
        <v>1</v>
      </c>
    </row>
    <row r="604" spans="1:18" ht="18" hidden="1">
      <c r="A604" s="61" t="s">
        <v>1966</v>
      </c>
      <c r="B604" s="15" t="s">
        <v>1966</v>
      </c>
      <c r="C604" s="16" t="s">
        <v>1967</v>
      </c>
      <c r="D604" s="76" t="s">
        <v>1968</v>
      </c>
      <c r="E604" s="16" t="s">
        <v>140</v>
      </c>
      <c r="F604" s="19" t="s">
        <v>38</v>
      </c>
      <c r="G604" s="16" t="b">
        <v>0</v>
      </c>
      <c r="H604" s="16" t="b">
        <v>1</v>
      </c>
      <c r="I604" s="16" t="b">
        <v>0</v>
      </c>
      <c r="J604" s="16" t="b">
        <v>0</v>
      </c>
      <c r="K604" s="16" t="b">
        <v>0</v>
      </c>
      <c r="L604" s="16" t="b">
        <v>0</v>
      </c>
      <c r="M604" s="16" t="b">
        <v>0</v>
      </c>
      <c r="N604" s="16" t="b">
        <v>0</v>
      </c>
      <c r="O604" s="16" t="b">
        <v>0</v>
      </c>
      <c r="P604" s="16" t="b">
        <v>0</v>
      </c>
      <c r="Q604" s="16" t="b">
        <v>0</v>
      </c>
      <c r="R604" s="16" t="b">
        <v>0</v>
      </c>
    </row>
    <row r="605" spans="1:18" ht="18">
      <c r="A605" s="61" t="s">
        <v>1969</v>
      </c>
      <c r="B605" s="15" t="s">
        <v>1969</v>
      </c>
      <c r="C605" s="18" t="s">
        <v>1970</v>
      </c>
      <c r="D605" s="17" t="s">
        <v>1971</v>
      </c>
      <c r="E605" s="18" t="s">
        <v>140</v>
      </c>
      <c r="F605" s="19" t="s">
        <v>27</v>
      </c>
      <c r="G605" s="18" t="b">
        <v>0</v>
      </c>
      <c r="H605" s="18" t="b">
        <v>1</v>
      </c>
      <c r="I605" s="18" t="b">
        <v>0</v>
      </c>
      <c r="J605" s="18" t="b">
        <v>0</v>
      </c>
      <c r="K605" s="18" t="b">
        <v>0</v>
      </c>
      <c r="L605" s="18" t="b">
        <v>0</v>
      </c>
      <c r="M605" s="18" t="b">
        <v>0</v>
      </c>
      <c r="N605" s="18" t="b">
        <v>0</v>
      </c>
      <c r="O605" s="18" t="b">
        <v>0</v>
      </c>
      <c r="P605" s="18" t="b">
        <v>0</v>
      </c>
      <c r="Q605" s="18" t="b">
        <v>0</v>
      </c>
      <c r="R605" s="18" t="b">
        <v>0</v>
      </c>
    </row>
    <row r="606" spans="1:18" ht="18">
      <c r="A606" s="61" t="s">
        <v>1972</v>
      </c>
      <c r="B606" s="15"/>
      <c r="C606" s="17" t="s">
        <v>1973</v>
      </c>
      <c r="D606" s="17" t="s">
        <v>1974</v>
      </c>
      <c r="E606" s="18" t="s">
        <v>33</v>
      </c>
      <c r="F606" s="19" t="s">
        <v>27</v>
      </c>
      <c r="G606" s="18" t="b">
        <v>0</v>
      </c>
      <c r="H606" s="18" t="b">
        <v>0</v>
      </c>
      <c r="I606" s="18" t="b">
        <v>0</v>
      </c>
      <c r="J606" s="18" t="b">
        <v>0</v>
      </c>
      <c r="K606" s="18" t="b">
        <v>0</v>
      </c>
      <c r="L606" s="18" t="b">
        <v>0</v>
      </c>
      <c r="M606" s="18" t="b">
        <v>0</v>
      </c>
      <c r="N606" s="18" t="b">
        <v>0</v>
      </c>
      <c r="O606" s="18" t="b">
        <v>0</v>
      </c>
      <c r="P606" s="18" t="b">
        <v>0</v>
      </c>
      <c r="Q606" s="18" t="b">
        <v>0</v>
      </c>
      <c r="R606" s="18" t="b">
        <v>1</v>
      </c>
    </row>
    <row r="607" spans="1:18" ht="18">
      <c r="A607" s="61" t="s">
        <v>1975</v>
      </c>
      <c r="B607" s="106"/>
      <c r="C607" s="17" t="s">
        <v>1976</v>
      </c>
      <c r="D607" s="17" t="s">
        <v>1977</v>
      </c>
      <c r="E607" s="18" t="s">
        <v>33</v>
      </c>
      <c r="F607" s="19" t="s">
        <v>27</v>
      </c>
      <c r="G607" s="18" t="b">
        <v>0</v>
      </c>
      <c r="H607" s="18" t="b">
        <v>0</v>
      </c>
      <c r="I607" s="18" t="b">
        <v>0</v>
      </c>
      <c r="J607" s="18" t="b">
        <v>0</v>
      </c>
      <c r="K607" s="18" t="b">
        <v>0</v>
      </c>
      <c r="L607" s="18" t="b">
        <v>0</v>
      </c>
      <c r="M607" s="18" t="b">
        <v>0</v>
      </c>
      <c r="N607" s="18" t="b">
        <v>0</v>
      </c>
      <c r="O607" s="18" t="b">
        <v>0</v>
      </c>
      <c r="P607" s="18" t="b">
        <v>0</v>
      </c>
      <c r="Q607" s="18" t="b">
        <v>0</v>
      </c>
      <c r="R607" s="18" t="b">
        <v>1</v>
      </c>
    </row>
    <row r="608" spans="1:18" ht="15" customHeight="1">
      <c r="A608" s="61" t="s">
        <v>1978</v>
      </c>
      <c r="B608" s="15" t="s">
        <v>1978</v>
      </c>
      <c r="C608" s="44" t="s">
        <v>1979</v>
      </c>
      <c r="D608" s="45" t="s">
        <v>1980</v>
      </c>
      <c r="E608" s="18" t="s">
        <v>52</v>
      </c>
      <c r="F608" s="19" t="s">
        <v>27</v>
      </c>
      <c r="G608" s="18" t="b">
        <v>0</v>
      </c>
      <c r="H608" s="18" t="b">
        <v>0</v>
      </c>
      <c r="I608" s="18" t="b">
        <v>0</v>
      </c>
      <c r="J608" s="18" t="b">
        <v>1</v>
      </c>
      <c r="K608" s="18" t="b">
        <v>1</v>
      </c>
      <c r="L608" s="18" t="b">
        <v>0</v>
      </c>
      <c r="M608" s="18" t="b">
        <v>0</v>
      </c>
      <c r="N608" s="18" t="b">
        <v>0</v>
      </c>
      <c r="O608" s="18" t="b">
        <v>0</v>
      </c>
      <c r="P608" s="18" t="b">
        <v>0</v>
      </c>
      <c r="Q608" s="18" t="b">
        <v>0</v>
      </c>
      <c r="R608" s="19" t="b">
        <v>0</v>
      </c>
    </row>
    <row r="609" spans="1:18" ht="15.75" customHeight="1">
      <c r="A609" s="61" t="s">
        <v>1981</v>
      </c>
      <c r="B609" s="15" t="s">
        <v>1981</v>
      </c>
      <c r="C609" s="44" t="s">
        <v>1982</v>
      </c>
      <c r="D609" s="45" t="s">
        <v>1983</v>
      </c>
      <c r="E609" s="18" t="s">
        <v>26</v>
      </c>
      <c r="F609" s="19" t="s">
        <v>27</v>
      </c>
      <c r="G609" s="18" t="b">
        <v>0</v>
      </c>
      <c r="H609" s="18" t="b">
        <v>0</v>
      </c>
      <c r="I609" s="18" t="b">
        <v>1</v>
      </c>
      <c r="J609" s="18" t="b">
        <v>0</v>
      </c>
      <c r="K609" s="18" t="b">
        <v>0</v>
      </c>
      <c r="L609" s="18" t="b">
        <v>0</v>
      </c>
      <c r="M609" s="18" t="b">
        <v>0</v>
      </c>
      <c r="N609" s="18" t="b">
        <v>0</v>
      </c>
      <c r="O609" s="18" t="b">
        <v>0</v>
      </c>
      <c r="P609" s="18" t="b">
        <v>0</v>
      </c>
      <c r="Q609" s="18" t="b">
        <v>0</v>
      </c>
      <c r="R609" s="19" t="b">
        <v>0</v>
      </c>
    </row>
    <row r="610" spans="1:18" ht="15.75" hidden="1" customHeight="1">
      <c r="A610" s="30" t="s">
        <v>1984</v>
      </c>
      <c r="B610" s="15"/>
      <c r="C610" s="31" t="s">
        <v>1985</v>
      </c>
      <c r="D610" s="32" t="s">
        <v>1986</v>
      </c>
      <c r="E610" s="16"/>
      <c r="F610" s="33" t="s">
        <v>34</v>
      </c>
      <c r="G610" s="16" t="b">
        <v>0</v>
      </c>
      <c r="H610" s="16" t="b">
        <v>0</v>
      </c>
      <c r="I610" s="16" t="b">
        <v>0</v>
      </c>
      <c r="J610" s="16" t="b">
        <v>0</v>
      </c>
      <c r="K610" s="16" t="b">
        <v>0</v>
      </c>
      <c r="L610" s="16" t="b">
        <v>0</v>
      </c>
      <c r="M610" s="16" t="b">
        <v>1</v>
      </c>
      <c r="N610" s="16" t="b">
        <v>0</v>
      </c>
      <c r="O610" s="16" t="b">
        <v>0</v>
      </c>
      <c r="P610" s="16" t="b">
        <v>0</v>
      </c>
      <c r="Q610" s="16" t="b">
        <v>0</v>
      </c>
      <c r="R610" s="33" t="b">
        <v>0</v>
      </c>
    </row>
    <row r="611" spans="1:18" ht="15.75" customHeight="1">
      <c r="A611" s="61" t="s">
        <v>1987</v>
      </c>
      <c r="B611" s="15" t="s">
        <v>1987</v>
      </c>
      <c r="C611" s="18" t="s">
        <v>1988</v>
      </c>
      <c r="D611" s="17" t="s">
        <v>1989</v>
      </c>
      <c r="E611" s="18" t="s">
        <v>43</v>
      </c>
      <c r="F611" s="19" t="s">
        <v>27</v>
      </c>
      <c r="G611" s="18" t="b">
        <v>1</v>
      </c>
      <c r="H611" s="18" t="b">
        <v>0</v>
      </c>
      <c r="I611" s="18" t="b">
        <v>0</v>
      </c>
      <c r="J611" s="18" t="b">
        <v>0</v>
      </c>
      <c r="K611" s="18" t="b">
        <v>0</v>
      </c>
      <c r="L611" s="18" t="b">
        <v>0</v>
      </c>
      <c r="M611" s="18" t="b">
        <v>0</v>
      </c>
      <c r="N611" s="18" t="b">
        <v>0</v>
      </c>
      <c r="O611" s="18" t="b">
        <v>0</v>
      </c>
      <c r="P611" s="18" t="b">
        <v>0</v>
      </c>
      <c r="Q611" s="18" t="b">
        <v>0</v>
      </c>
      <c r="R611" s="19" t="b">
        <v>0</v>
      </c>
    </row>
    <row r="612" spans="1:18" ht="15.75" hidden="1" customHeight="1">
      <c r="A612" s="37" t="s">
        <v>1990</v>
      </c>
      <c r="B612" s="172"/>
      <c r="C612" s="172" t="s">
        <v>1991</v>
      </c>
      <c r="D612" s="173"/>
      <c r="E612" s="36"/>
      <c r="F612" s="40" t="s">
        <v>34</v>
      </c>
      <c r="G612" s="36" t="b">
        <v>0</v>
      </c>
      <c r="H612" s="36" t="b">
        <v>0</v>
      </c>
      <c r="I612" s="36" t="b">
        <v>0</v>
      </c>
      <c r="J612" s="36" t="b">
        <v>0</v>
      </c>
      <c r="K612" s="36" t="b">
        <v>0</v>
      </c>
      <c r="L612" s="36" t="b">
        <v>0</v>
      </c>
      <c r="M612" s="36" t="b">
        <v>0</v>
      </c>
      <c r="N612" s="36" t="b">
        <v>0</v>
      </c>
      <c r="O612" s="36" t="b">
        <v>0</v>
      </c>
      <c r="P612" s="36" t="b">
        <v>0</v>
      </c>
      <c r="Q612" s="36" t="b">
        <v>1</v>
      </c>
      <c r="R612" s="40" t="b">
        <v>0</v>
      </c>
    </row>
    <row r="613" spans="1:18" ht="15.75" customHeight="1">
      <c r="A613" s="61" t="s">
        <v>1992</v>
      </c>
      <c r="B613" s="15" t="s">
        <v>1992</v>
      </c>
      <c r="C613" s="18" t="s">
        <v>1993</v>
      </c>
      <c r="D613" s="17" t="s">
        <v>1994</v>
      </c>
      <c r="E613" s="18" t="s">
        <v>154</v>
      </c>
      <c r="F613" s="19" t="s">
        <v>27</v>
      </c>
      <c r="G613" s="18" t="b">
        <v>0</v>
      </c>
      <c r="H613" s="18" t="b">
        <v>0</v>
      </c>
      <c r="I613" s="18" t="b">
        <v>1</v>
      </c>
      <c r="J613" s="18" t="b">
        <v>0</v>
      </c>
      <c r="K613" s="18" t="b">
        <v>0</v>
      </c>
      <c r="L613" s="18" t="b">
        <v>0</v>
      </c>
      <c r="M613" s="18" t="b">
        <v>0</v>
      </c>
      <c r="N613" s="18" t="b">
        <v>0</v>
      </c>
      <c r="O613" s="18" t="b">
        <v>0</v>
      </c>
      <c r="P613" s="18" t="b">
        <v>0</v>
      </c>
      <c r="Q613" s="18" t="b">
        <v>0</v>
      </c>
      <c r="R613" s="19" t="b">
        <v>0</v>
      </c>
    </row>
    <row r="614" spans="1:18" ht="15.75" customHeight="1">
      <c r="A614" s="61" t="s">
        <v>1995</v>
      </c>
      <c r="B614" s="15" t="s">
        <v>1996</v>
      </c>
      <c r="C614" s="18" t="s">
        <v>1997</v>
      </c>
      <c r="D614" s="17" t="s">
        <v>1998</v>
      </c>
      <c r="E614" s="18" t="s">
        <v>990</v>
      </c>
      <c r="F614" s="19" t="s">
        <v>27</v>
      </c>
      <c r="G614" s="18" t="b">
        <v>0</v>
      </c>
      <c r="H614" s="18" t="b">
        <v>0</v>
      </c>
      <c r="I614" s="18" t="b">
        <v>0</v>
      </c>
      <c r="J614" s="18" t="b">
        <v>0</v>
      </c>
      <c r="K614" s="18" t="b">
        <v>0</v>
      </c>
      <c r="L614" s="18" t="b">
        <v>0</v>
      </c>
      <c r="M614" s="18" t="b">
        <v>0</v>
      </c>
      <c r="N614" s="18" t="b">
        <v>0</v>
      </c>
      <c r="O614" s="18" t="b">
        <v>0</v>
      </c>
      <c r="P614" s="18" t="b">
        <v>0</v>
      </c>
      <c r="Q614" s="18" t="b">
        <v>0</v>
      </c>
      <c r="R614" s="19" t="b">
        <v>1</v>
      </c>
    </row>
    <row r="615" spans="1:18" ht="15.75" customHeight="1">
      <c r="A615" s="61" t="s">
        <v>1999</v>
      </c>
      <c r="B615" s="15" t="s">
        <v>1999</v>
      </c>
      <c r="C615" s="16" t="s">
        <v>2000</v>
      </c>
      <c r="D615" s="76" t="s">
        <v>2001</v>
      </c>
      <c r="E615" s="18" t="s">
        <v>990</v>
      </c>
      <c r="F615" s="19" t="s">
        <v>27</v>
      </c>
      <c r="G615" s="18" t="b">
        <v>0</v>
      </c>
      <c r="H615" s="18" t="b">
        <v>0</v>
      </c>
      <c r="I615" s="18" t="b">
        <v>0</v>
      </c>
      <c r="J615" s="18" t="b">
        <v>0</v>
      </c>
      <c r="K615" s="18" t="b">
        <v>0</v>
      </c>
      <c r="L615" s="18" t="b">
        <v>0</v>
      </c>
      <c r="M615" s="18" t="b">
        <v>0</v>
      </c>
      <c r="N615" s="18" t="b">
        <v>0</v>
      </c>
      <c r="O615" s="18" t="b">
        <v>0</v>
      </c>
      <c r="P615" s="18" t="b">
        <v>0</v>
      </c>
      <c r="Q615" s="18" t="b">
        <v>0</v>
      </c>
      <c r="R615" s="19" t="b">
        <v>1</v>
      </c>
    </row>
    <row r="616" spans="1:18" ht="15.75" customHeight="1">
      <c r="A616" s="61" t="s">
        <v>2003</v>
      </c>
      <c r="B616" s="15" t="s">
        <v>2004</v>
      </c>
      <c r="C616" s="16" t="s">
        <v>2005</v>
      </c>
      <c r="D616" s="76" t="s">
        <v>2006</v>
      </c>
      <c r="E616" s="18" t="s">
        <v>154</v>
      </c>
      <c r="F616" s="19" t="s">
        <v>27</v>
      </c>
      <c r="G616" s="18" t="b">
        <v>0</v>
      </c>
      <c r="H616" s="18" t="b">
        <v>0</v>
      </c>
      <c r="I616" s="18" t="b">
        <v>0</v>
      </c>
      <c r="J616" s="18" t="b">
        <v>0</v>
      </c>
      <c r="K616" s="18" t="b">
        <v>1</v>
      </c>
      <c r="L616" s="18" t="b">
        <v>0</v>
      </c>
      <c r="M616" s="18" t="b">
        <v>0</v>
      </c>
      <c r="N616" s="18" t="b">
        <v>0</v>
      </c>
      <c r="O616" s="18" t="b">
        <v>0</v>
      </c>
      <c r="P616" s="18" t="b">
        <v>0</v>
      </c>
      <c r="Q616" s="18" t="b">
        <v>0</v>
      </c>
      <c r="R616" s="19" t="b">
        <v>0</v>
      </c>
    </row>
    <row r="617" spans="1:18" ht="15.75" customHeight="1">
      <c r="A617" s="61" t="s">
        <v>2007</v>
      </c>
      <c r="B617" s="15" t="s">
        <v>2007</v>
      </c>
      <c r="C617" s="16" t="s">
        <v>2008</v>
      </c>
      <c r="D617" s="76" t="s">
        <v>2009</v>
      </c>
      <c r="E617" s="18" t="s">
        <v>154</v>
      </c>
      <c r="F617" s="19" t="s">
        <v>27</v>
      </c>
      <c r="G617" s="18" t="b">
        <v>0</v>
      </c>
      <c r="H617" s="18" t="b">
        <v>0</v>
      </c>
      <c r="I617" s="18" t="b">
        <v>0</v>
      </c>
      <c r="J617" s="18" t="b">
        <v>0</v>
      </c>
      <c r="K617" s="18" t="b">
        <v>1</v>
      </c>
      <c r="L617" s="18" t="b">
        <v>0</v>
      </c>
      <c r="M617" s="18" t="b">
        <v>0</v>
      </c>
      <c r="N617" s="18" t="b">
        <v>0</v>
      </c>
      <c r="O617" s="18" t="b">
        <v>0</v>
      </c>
      <c r="P617" s="18" t="b">
        <v>0</v>
      </c>
      <c r="Q617" s="18" t="b">
        <v>0</v>
      </c>
      <c r="R617" s="19" t="b">
        <v>0</v>
      </c>
    </row>
    <row r="618" spans="1:18" ht="15.75" customHeight="1">
      <c r="A618" s="61" t="s">
        <v>2010</v>
      </c>
      <c r="B618" s="15" t="s">
        <v>2010</v>
      </c>
      <c r="C618" s="16" t="s">
        <v>2011</v>
      </c>
      <c r="D618" s="76" t="s">
        <v>2012</v>
      </c>
      <c r="E618" s="18" t="s">
        <v>990</v>
      </c>
      <c r="F618" s="19" t="s">
        <v>27</v>
      </c>
      <c r="G618" s="18" t="b">
        <v>0</v>
      </c>
      <c r="H618" s="18" t="b">
        <v>0</v>
      </c>
      <c r="I618" s="18" t="b">
        <v>0</v>
      </c>
      <c r="J618" s="18" t="b">
        <v>0</v>
      </c>
      <c r="K618" s="18" t="b">
        <v>0</v>
      </c>
      <c r="L618" s="18" t="b">
        <v>0</v>
      </c>
      <c r="M618" s="18" t="b">
        <v>0</v>
      </c>
      <c r="N618" s="18" t="b">
        <v>0</v>
      </c>
      <c r="O618" s="18" t="b">
        <v>0</v>
      </c>
      <c r="P618" s="18" t="b">
        <v>0</v>
      </c>
      <c r="Q618" s="18" t="b">
        <v>0</v>
      </c>
      <c r="R618" s="19" t="b">
        <v>1</v>
      </c>
    </row>
    <row r="619" spans="1:18" ht="15.75" hidden="1" customHeight="1">
      <c r="A619" s="37" t="s">
        <v>1566</v>
      </c>
      <c r="B619" s="172"/>
      <c r="C619" s="172" t="s">
        <v>1567</v>
      </c>
      <c r="D619" s="39" t="s">
        <v>1568</v>
      </c>
      <c r="E619" s="36"/>
      <c r="F619" s="40" t="s">
        <v>34</v>
      </c>
      <c r="G619" s="36" t="b">
        <v>0</v>
      </c>
      <c r="H619" s="36" t="b">
        <v>0</v>
      </c>
      <c r="I619" s="36" t="b">
        <v>0</v>
      </c>
      <c r="J619" s="36" t="b">
        <v>0</v>
      </c>
      <c r="K619" s="36" t="b">
        <v>0</v>
      </c>
      <c r="L619" s="36" t="b">
        <v>0</v>
      </c>
      <c r="M619" s="36" t="b">
        <v>0</v>
      </c>
      <c r="N619" s="36" t="b">
        <v>0</v>
      </c>
      <c r="O619" s="36" t="b">
        <v>0</v>
      </c>
      <c r="P619" s="36" t="b">
        <v>0</v>
      </c>
      <c r="Q619" s="36" t="b">
        <v>1</v>
      </c>
      <c r="R619" s="40" t="b">
        <v>0</v>
      </c>
    </row>
    <row r="620" spans="1:18" ht="15.75" customHeight="1">
      <c r="A620" s="61" t="s">
        <v>2014</v>
      </c>
      <c r="B620" s="15" t="s">
        <v>2015</v>
      </c>
      <c r="C620" s="16" t="s">
        <v>2016</v>
      </c>
      <c r="D620" s="76" t="s">
        <v>2017</v>
      </c>
      <c r="E620" s="16" t="s">
        <v>33</v>
      </c>
      <c r="F620" s="19" t="s">
        <v>27</v>
      </c>
      <c r="G620" s="18" t="b">
        <v>0</v>
      </c>
      <c r="H620" s="18" t="b">
        <v>0</v>
      </c>
      <c r="I620" s="18" t="b">
        <v>0</v>
      </c>
      <c r="J620" s="18" t="b">
        <v>0</v>
      </c>
      <c r="K620" s="18" t="b">
        <v>0</v>
      </c>
      <c r="L620" s="18" t="b">
        <v>0</v>
      </c>
      <c r="M620" s="18" t="b">
        <v>0</v>
      </c>
      <c r="N620" s="18" t="b">
        <v>0</v>
      </c>
      <c r="O620" s="18" t="b">
        <v>0</v>
      </c>
      <c r="P620" s="18" t="b">
        <v>0</v>
      </c>
      <c r="Q620" s="18" t="b">
        <v>0</v>
      </c>
      <c r="R620" s="19" t="b">
        <v>1</v>
      </c>
    </row>
    <row r="621" spans="1:18" ht="15.75" hidden="1" customHeight="1">
      <c r="A621" s="46" t="s">
        <v>2018</v>
      </c>
      <c r="B621" s="72" t="s">
        <v>2019</v>
      </c>
      <c r="C621" s="18" t="s">
        <v>2020</v>
      </c>
      <c r="D621" s="102" t="s">
        <v>2021</v>
      </c>
      <c r="E621" s="18" t="s">
        <v>192</v>
      </c>
      <c r="F621" s="19" t="s">
        <v>34</v>
      </c>
      <c r="G621" s="18" t="b">
        <v>0</v>
      </c>
      <c r="H621" s="18" t="b">
        <v>0</v>
      </c>
      <c r="I621" s="18" t="b">
        <v>0</v>
      </c>
      <c r="J621" s="18" t="b">
        <v>0</v>
      </c>
      <c r="K621" s="18" t="b">
        <v>0</v>
      </c>
      <c r="L621" s="18" t="b">
        <v>0</v>
      </c>
      <c r="M621" s="18" t="b">
        <v>0</v>
      </c>
      <c r="N621" s="18" t="b">
        <v>0</v>
      </c>
      <c r="O621" s="18" t="b">
        <v>0</v>
      </c>
      <c r="P621" s="18" t="b">
        <v>0</v>
      </c>
      <c r="Q621" s="18" t="b">
        <v>1</v>
      </c>
      <c r="R621" s="19" t="b">
        <v>0</v>
      </c>
    </row>
    <row r="622" spans="1:18" ht="15.75" customHeight="1">
      <c r="A622" s="61" t="s">
        <v>2022</v>
      </c>
      <c r="B622" s="15" t="s">
        <v>2022</v>
      </c>
      <c r="C622" s="16" t="s">
        <v>2023</v>
      </c>
      <c r="D622" s="76" t="s">
        <v>2024</v>
      </c>
      <c r="E622" s="16" t="s">
        <v>33</v>
      </c>
      <c r="F622" s="19" t="s">
        <v>27</v>
      </c>
      <c r="G622" s="18" t="b">
        <v>0</v>
      </c>
      <c r="H622" s="18" t="b">
        <v>0</v>
      </c>
      <c r="I622" s="18" t="b">
        <v>0</v>
      </c>
      <c r="J622" s="18" t="b">
        <v>0</v>
      </c>
      <c r="K622" s="18" t="b">
        <v>0</v>
      </c>
      <c r="L622" s="18" t="b">
        <v>0</v>
      </c>
      <c r="M622" s="18" t="b">
        <v>0</v>
      </c>
      <c r="N622" s="18" t="b">
        <v>0</v>
      </c>
      <c r="O622" s="18" t="b">
        <v>0</v>
      </c>
      <c r="P622" s="18" t="b">
        <v>0</v>
      </c>
      <c r="Q622" s="18" t="b">
        <v>0</v>
      </c>
      <c r="R622" s="19" t="b">
        <v>1</v>
      </c>
    </row>
    <row r="623" spans="1:18" ht="15.75" hidden="1" customHeight="1">
      <c r="A623" s="76" t="s">
        <v>2025</v>
      </c>
      <c r="B623" s="15"/>
      <c r="C623" s="31" t="s">
        <v>2026</v>
      </c>
      <c r="D623" s="175" t="s">
        <v>2027</v>
      </c>
      <c r="E623" s="16" t="s">
        <v>33</v>
      </c>
      <c r="F623" s="19" t="s">
        <v>38</v>
      </c>
      <c r="G623" s="18" t="b">
        <v>0</v>
      </c>
      <c r="H623" s="18" t="b">
        <v>0</v>
      </c>
      <c r="I623" s="18" t="b">
        <v>0</v>
      </c>
      <c r="J623" s="18" t="b">
        <v>0</v>
      </c>
      <c r="K623" s="18" t="b">
        <v>0</v>
      </c>
      <c r="L623" s="18" t="b">
        <v>0</v>
      </c>
      <c r="M623" s="18" t="b">
        <v>0</v>
      </c>
      <c r="N623" s="18" t="b">
        <v>0</v>
      </c>
      <c r="O623" s="18" t="b">
        <v>0</v>
      </c>
      <c r="P623" s="18" t="b">
        <v>0</v>
      </c>
      <c r="Q623" s="18" t="b">
        <v>0</v>
      </c>
      <c r="R623" s="19" t="b">
        <v>1</v>
      </c>
    </row>
    <row r="624" spans="1:18" ht="15.75" customHeight="1">
      <c r="A624" s="61" t="s">
        <v>2028</v>
      </c>
      <c r="B624" s="15" t="s">
        <v>2028</v>
      </c>
      <c r="C624" s="31" t="s">
        <v>2029</v>
      </c>
      <c r="D624" s="90" t="s">
        <v>2030</v>
      </c>
      <c r="E624" s="16" t="s">
        <v>60</v>
      </c>
      <c r="F624" s="19" t="s">
        <v>27</v>
      </c>
      <c r="G624" s="18" t="b">
        <v>0</v>
      </c>
      <c r="H624" s="18" t="b">
        <v>0</v>
      </c>
      <c r="I624" s="18" t="b">
        <v>0</v>
      </c>
      <c r="J624" s="18" t="b">
        <v>0</v>
      </c>
      <c r="K624" s="18" t="b">
        <v>0</v>
      </c>
      <c r="L624" s="18" t="b">
        <v>0</v>
      </c>
      <c r="M624" s="18" t="b">
        <v>1</v>
      </c>
      <c r="N624" s="18" t="b">
        <v>0</v>
      </c>
      <c r="O624" s="18" t="b">
        <v>0</v>
      </c>
      <c r="P624" s="18" t="b">
        <v>0</v>
      </c>
      <c r="Q624" s="18" t="b">
        <v>0</v>
      </c>
      <c r="R624" s="19" t="b">
        <v>0</v>
      </c>
    </row>
    <row r="625" spans="1:18" ht="15.75" hidden="1" customHeight="1">
      <c r="A625" s="30" t="s">
        <v>2031</v>
      </c>
      <c r="B625" s="15" t="s">
        <v>2032</v>
      </c>
      <c r="C625" s="31" t="s">
        <v>2033</v>
      </c>
      <c r="D625" s="176" t="s">
        <v>2034</v>
      </c>
      <c r="E625" s="16"/>
      <c r="F625" s="33" t="s">
        <v>38</v>
      </c>
      <c r="G625" s="16" t="b">
        <v>0</v>
      </c>
      <c r="H625" s="16" t="b">
        <v>0</v>
      </c>
      <c r="I625" s="16" t="b">
        <v>0</v>
      </c>
      <c r="J625" s="16" t="b">
        <v>0</v>
      </c>
      <c r="K625" s="16"/>
      <c r="L625" s="16"/>
      <c r="M625" s="16" t="b">
        <v>0</v>
      </c>
      <c r="N625" s="16" t="b">
        <v>0</v>
      </c>
      <c r="O625" s="16" t="b">
        <v>0</v>
      </c>
      <c r="P625" s="16" t="b">
        <v>0</v>
      </c>
      <c r="Q625" s="16" t="b">
        <v>0</v>
      </c>
      <c r="R625" s="33" t="b">
        <v>1</v>
      </c>
    </row>
    <row r="626" spans="1:18" ht="15.75" hidden="1" customHeight="1">
      <c r="A626" s="30" t="s">
        <v>2035</v>
      </c>
      <c r="B626" s="72" t="s">
        <v>2036</v>
      </c>
      <c r="C626" s="32" t="s">
        <v>2037</v>
      </c>
      <c r="D626" s="176" t="s">
        <v>2038</v>
      </c>
      <c r="E626" s="16"/>
      <c r="F626" s="33" t="s">
        <v>38</v>
      </c>
      <c r="G626" s="16" t="b">
        <v>0</v>
      </c>
      <c r="H626" s="16" t="b">
        <v>1</v>
      </c>
      <c r="I626" s="16" t="b">
        <v>0</v>
      </c>
      <c r="J626" s="16" t="b">
        <v>0</v>
      </c>
      <c r="K626" s="16"/>
      <c r="L626" s="16"/>
      <c r="M626" s="16" t="b">
        <v>0</v>
      </c>
      <c r="N626" s="16" t="b">
        <v>0</v>
      </c>
      <c r="O626" s="16" t="b">
        <v>0</v>
      </c>
      <c r="P626" s="16" t="b">
        <v>0</v>
      </c>
      <c r="Q626" s="16" t="b">
        <v>0</v>
      </c>
      <c r="R626" s="33" t="b">
        <v>0</v>
      </c>
    </row>
    <row r="627" spans="1:18" ht="15.75" hidden="1" customHeight="1">
      <c r="A627" s="87" t="s">
        <v>2039</v>
      </c>
      <c r="B627" s="15" t="s">
        <v>2039</v>
      </c>
      <c r="C627" s="176" t="s">
        <v>2040</v>
      </c>
      <c r="D627" s="176" t="s">
        <v>2041</v>
      </c>
      <c r="E627" s="16" t="s">
        <v>43</v>
      </c>
      <c r="F627" s="19" t="s">
        <v>38</v>
      </c>
      <c r="G627" s="16" t="b">
        <v>1</v>
      </c>
      <c r="H627" s="16" t="b">
        <v>0</v>
      </c>
      <c r="I627" s="16" t="b">
        <v>0</v>
      </c>
      <c r="J627" s="16" t="b">
        <v>0</v>
      </c>
      <c r="K627" s="16" t="b">
        <v>0</v>
      </c>
      <c r="L627" s="16" t="b">
        <v>0</v>
      </c>
      <c r="M627" s="16" t="b">
        <v>0</v>
      </c>
      <c r="N627" s="16" t="b">
        <v>0</v>
      </c>
      <c r="O627" s="16" t="b">
        <v>0</v>
      </c>
      <c r="P627" s="16" t="b">
        <v>0</v>
      </c>
      <c r="Q627" s="16" t="b">
        <v>0</v>
      </c>
      <c r="R627" s="33" t="b">
        <v>0</v>
      </c>
    </row>
    <row r="628" spans="1:18" ht="15.75" hidden="1" customHeight="1">
      <c r="A628" s="177" t="s">
        <v>2042</v>
      </c>
      <c r="B628" s="172"/>
      <c r="C628" s="172" t="s">
        <v>2043</v>
      </c>
      <c r="D628" s="172" t="s">
        <v>2044</v>
      </c>
      <c r="E628" s="36"/>
      <c r="F628" s="40" t="s">
        <v>34</v>
      </c>
      <c r="G628" s="36" t="b">
        <v>0</v>
      </c>
      <c r="H628" s="36" t="b">
        <v>0</v>
      </c>
      <c r="I628" s="36" t="b">
        <v>0</v>
      </c>
      <c r="J628" s="36" t="b">
        <v>0</v>
      </c>
      <c r="K628" s="36" t="b">
        <v>0</v>
      </c>
      <c r="L628" s="36" t="b">
        <v>0</v>
      </c>
      <c r="M628" s="36" t="b">
        <v>0</v>
      </c>
      <c r="N628" s="36" t="b">
        <v>0</v>
      </c>
      <c r="O628" s="36" t="b">
        <v>0</v>
      </c>
      <c r="P628" s="36" t="b">
        <v>0</v>
      </c>
      <c r="Q628" s="36" t="b">
        <v>1</v>
      </c>
      <c r="R628" s="40" t="b">
        <v>0</v>
      </c>
    </row>
    <row r="629" spans="1:18" ht="15.75" customHeight="1">
      <c r="A629" s="61" t="s">
        <v>2045</v>
      </c>
      <c r="B629" s="15" t="s">
        <v>2045</v>
      </c>
      <c r="C629" s="31" t="s">
        <v>2046</v>
      </c>
      <c r="D629" s="90" t="s">
        <v>2047</v>
      </c>
      <c r="E629" s="16" t="s">
        <v>33</v>
      </c>
      <c r="F629" s="19" t="s">
        <v>27</v>
      </c>
      <c r="G629" s="18" t="b">
        <v>0</v>
      </c>
      <c r="H629" s="18" t="b">
        <v>0</v>
      </c>
      <c r="I629" s="18" t="b">
        <v>0</v>
      </c>
      <c r="J629" s="18" t="b">
        <v>0</v>
      </c>
      <c r="K629" s="18" t="b">
        <v>0</v>
      </c>
      <c r="L629" s="18" t="b">
        <v>0</v>
      </c>
      <c r="M629" s="18" t="b">
        <v>0</v>
      </c>
      <c r="N629" s="18" t="b">
        <v>0</v>
      </c>
      <c r="O629" s="18" t="b">
        <v>0</v>
      </c>
      <c r="P629" s="18" t="b">
        <v>0</v>
      </c>
      <c r="Q629" s="18" t="b">
        <v>0</v>
      </c>
      <c r="R629" s="19" t="b">
        <v>1</v>
      </c>
    </row>
    <row r="630" spans="1:18" ht="15.75" customHeight="1">
      <c r="A630" s="61" t="s">
        <v>2048</v>
      </c>
      <c r="B630" s="15" t="s">
        <v>2048</v>
      </c>
      <c r="C630" s="31" t="s">
        <v>2049</v>
      </c>
      <c r="D630" s="90" t="s">
        <v>2050</v>
      </c>
      <c r="E630" s="18" t="s">
        <v>154</v>
      </c>
      <c r="F630" s="19" t="s">
        <v>27</v>
      </c>
      <c r="G630" s="18" t="b">
        <v>0</v>
      </c>
      <c r="H630" s="18" t="b">
        <v>0</v>
      </c>
      <c r="I630" s="18" t="b">
        <v>0</v>
      </c>
      <c r="J630" s="18" t="b">
        <v>0</v>
      </c>
      <c r="K630" s="18" t="b">
        <v>1</v>
      </c>
      <c r="L630" s="18" t="b">
        <v>0</v>
      </c>
      <c r="M630" s="18" t="b">
        <v>0</v>
      </c>
      <c r="N630" s="18" t="b">
        <v>0</v>
      </c>
      <c r="O630" s="18" t="b">
        <v>0</v>
      </c>
      <c r="P630" s="18" t="b">
        <v>0</v>
      </c>
      <c r="Q630" s="18" t="b">
        <v>0</v>
      </c>
      <c r="R630" s="19" t="b">
        <v>0</v>
      </c>
    </row>
    <row r="631" spans="1:18" ht="15.75" customHeight="1">
      <c r="A631" s="61" t="s">
        <v>2051</v>
      </c>
      <c r="B631" s="15" t="s">
        <v>2051</v>
      </c>
      <c r="C631" s="31" t="s">
        <v>2052</v>
      </c>
      <c r="D631" s="90" t="s">
        <v>2053</v>
      </c>
      <c r="E631" s="18" t="s">
        <v>154</v>
      </c>
      <c r="F631" s="19" t="s">
        <v>27</v>
      </c>
      <c r="G631" s="18" t="b">
        <v>0</v>
      </c>
      <c r="H631" s="18" t="b">
        <v>0</v>
      </c>
      <c r="I631" s="18" t="b">
        <v>1</v>
      </c>
      <c r="J631" s="18" t="b">
        <v>0</v>
      </c>
      <c r="K631" s="18" t="b">
        <v>0</v>
      </c>
      <c r="L631" s="18" t="b">
        <v>0</v>
      </c>
      <c r="M631" s="18" t="b">
        <v>0</v>
      </c>
      <c r="N631" s="18" t="b">
        <v>0</v>
      </c>
      <c r="O631" s="18" t="b">
        <v>0</v>
      </c>
      <c r="P631" s="18" t="b">
        <v>0</v>
      </c>
      <c r="Q631" s="18" t="b">
        <v>0</v>
      </c>
      <c r="R631" s="19" t="b">
        <v>0</v>
      </c>
    </row>
    <row r="632" spans="1:18" ht="15.75" hidden="1" customHeight="1">
      <c r="A632" s="177" t="s">
        <v>2054</v>
      </c>
      <c r="B632" s="172"/>
      <c r="C632" s="172" t="s">
        <v>2055</v>
      </c>
      <c r="D632" s="172" t="s">
        <v>2056</v>
      </c>
      <c r="E632" s="36"/>
      <c r="F632" s="40" t="s">
        <v>38</v>
      </c>
      <c r="G632" s="36" t="b">
        <v>0</v>
      </c>
      <c r="H632" s="36" t="b">
        <v>0</v>
      </c>
      <c r="I632" s="36" t="b">
        <v>0</v>
      </c>
      <c r="J632" s="36" t="b">
        <v>0</v>
      </c>
      <c r="M632" s="36" t="b">
        <v>0</v>
      </c>
      <c r="N632" s="36" t="b">
        <v>0</v>
      </c>
      <c r="O632" s="36" t="b">
        <v>1</v>
      </c>
      <c r="P632" s="36" t="b">
        <v>0</v>
      </c>
      <c r="Q632" s="36" t="b">
        <v>0</v>
      </c>
      <c r="R632" s="40" t="b">
        <v>0</v>
      </c>
    </row>
    <row r="633" spans="1:18" ht="15.75" hidden="1" customHeight="1">
      <c r="A633" s="177" t="s">
        <v>2057</v>
      </c>
      <c r="B633" s="172"/>
      <c r="C633" s="172" t="s">
        <v>2058</v>
      </c>
      <c r="D633" s="172" t="s">
        <v>2058</v>
      </c>
      <c r="E633" s="36"/>
      <c r="F633" s="40" t="s">
        <v>38</v>
      </c>
      <c r="G633" s="36" t="b">
        <v>0</v>
      </c>
      <c r="H633" s="36" t="b">
        <v>0</v>
      </c>
      <c r="I633" s="36" t="b">
        <v>0</v>
      </c>
      <c r="J633" s="36" t="b">
        <v>0</v>
      </c>
      <c r="K633" s="36"/>
      <c r="L633" s="36"/>
      <c r="M633" s="36" t="b">
        <v>1</v>
      </c>
      <c r="N633" s="36" t="b">
        <v>0</v>
      </c>
      <c r="O633" s="36" t="b">
        <v>0</v>
      </c>
      <c r="P633" s="36" t="b">
        <v>0</v>
      </c>
      <c r="Q633" s="36" t="b">
        <v>0</v>
      </c>
      <c r="R633" s="40" t="b">
        <v>0</v>
      </c>
    </row>
    <row r="634" spans="1:18" ht="15.75" hidden="1" customHeight="1">
      <c r="A634" s="98" t="s">
        <v>2059</v>
      </c>
      <c r="B634" s="91"/>
      <c r="C634" s="32" t="s">
        <v>2060</v>
      </c>
      <c r="D634" s="32" t="s">
        <v>2061</v>
      </c>
      <c r="E634" s="16" t="s">
        <v>192</v>
      </c>
      <c r="F634" s="33" t="s">
        <v>38</v>
      </c>
      <c r="G634" s="16" t="b">
        <v>0</v>
      </c>
      <c r="H634" s="16" t="b">
        <v>0</v>
      </c>
      <c r="I634" s="16" t="b">
        <v>0</v>
      </c>
      <c r="J634" s="16" t="b">
        <v>0</v>
      </c>
      <c r="K634" s="16" t="b">
        <v>0</v>
      </c>
      <c r="L634" s="16" t="b">
        <v>0</v>
      </c>
      <c r="M634" s="16" t="b">
        <v>0</v>
      </c>
      <c r="N634" s="16" t="b">
        <v>0</v>
      </c>
      <c r="O634" s="16" t="b">
        <v>1</v>
      </c>
      <c r="P634" s="16" t="b">
        <v>0</v>
      </c>
      <c r="Q634" s="178" t="b">
        <v>1</v>
      </c>
      <c r="R634" s="33" t="b">
        <v>0</v>
      </c>
    </row>
    <row r="635" spans="1:18" ht="15.75" hidden="1" customHeight="1">
      <c r="A635" s="179" t="s">
        <v>2062</v>
      </c>
      <c r="B635" s="172"/>
      <c r="C635" s="172" t="s">
        <v>2063</v>
      </c>
      <c r="D635" s="173" t="s">
        <v>2064</v>
      </c>
      <c r="E635" s="36"/>
      <c r="F635" s="40" t="s">
        <v>34</v>
      </c>
      <c r="G635" s="36" t="b">
        <v>0</v>
      </c>
      <c r="H635" s="36" t="b">
        <v>0</v>
      </c>
      <c r="I635" s="36" t="b">
        <v>0</v>
      </c>
      <c r="J635" s="36" t="b">
        <v>0</v>
      </c>
      <c r="K635" s="36" t="b">
        <v>0</v>
      </c>
      <c r="L635" s="36" t="b">
        <v>0</v>
      </c>
      <c r="M635" s="36" t="b">
        <v>0</v>
      </c>
      <c r="N635" s="36" t="b">
        <v>0</v>
      </c>
      <c r="O635" s="36" t="b">
        <v>0</v>
      </c>
      <c r="P635" s="36" t="b">
        <v>0</v>
      </c>
      <c r="Q635" s="36" t="b">
        <v>1</v>
      </c>
      <c r="R635" s="40" t="b">
        <v>0</v>
      </c>
    </row>
    <row r="636" spans="1:18" ht="15.75" hidden="1" customHeight="1">
      <c r="A636" s="61" t="s">
        <v>2065</v>
      </c>
      <c r="B636" s="15" t="s">
        <v>2066</v>
      </c>
      <c r="C636" s="31" t="s">
        <v>2067</v>
      </c>
      <c r="D636" s="90" t="s">
        <v>2068</v>
      </c>
      <c r="E636" s="16" t="s">
        <v>60</v>
      </c>
      <c r="F636" s="19" t="s">
        <v>38</v>
      </c>
      <c r="G636" s="18" t="b">
        <v>0</v>
      </c>
      <c r="H636" s="18" t="b">
        <v>0</v>
      </c>
      <c r="I636" s="18" t="b">
        <v>0</v>
      </c>
      <c r="J636" s="18" t="b">
        <v>0</v>
      </c>
      <c r="K636" s="18" t="b">
        <v>0</v>
      </c>
      <c r="L636" s="18" t="b">
        <v>0</v>
      </c>
      <c r="M636" s="18" t="b">
        <v>1</v>
      </c>
      <c r="N636" s="18" t="b">
        <v>0</v>
      </c>
      <c r="O636" s="18" t="b">
        <v>0</v>
      </c>
      <c r="P636" s="18" t="b">
        <v>0</v>
      </c>
      <c r="Q636" s="18" t="b">
        <v>0</v>
      </c>
      <c r="R636" s="19" t="b">
        <v>0</v>
      </c>
    </row>
    <row r="637" spans="1:18" ht="18.75" customHeight="1">
      <c r="A637" s="61" t="s">
        <v>2069</v>
      </c>
      <c r="B637" s="15" t="s">
        <v>2069</v>
      </c>
      <c r="C637" s="31" t="s">
        <v>2070</v>
      </c>
      <c r="D637" s="90" t="s">
        <v>2071</v>
      </c>
      <c r="E637" s="18" t="s">
        <v>154</v>
      </c>
      <c r="F637" s="19" t="s">
        <v>27</v>
      </c>
      <c r="G637" s="18" t="b">
        <v>0</v>
      </c>
      <c r="H637" s="18" t="b">
        <v>0</v>
      </c>
      <c r="I637" s="18" t="b">
        <v>0</v>
      </c>
      <c r="J637" s="18" t="b">
        <v>0</v>
      </c>
      <c r="K637" s="18" t="b">
        <v>1</v>
      </c>
      <c r="L637" s="18" t="b">
        <v>0</v>
      </c>
      <c r="M637" s="18" t="b">
        <v>0</v>
      </c>
      <c r="N637" s="18" t="b">
        <v>0</v>
      </c>
      <c r="O637" s="18" t="b">
        <v>0</v>
      </c>
      <c r="P637" s="18" t="b">
        <v>0</v>
      </c>
      <c r="Q637" s="18" t="b">
        <v>0</v>
      </c>
      <c r="R637" s="19" t="b">
        <v>0</v>
      </c>
    </row>
    <row r="638" spans="1:18" ht="15.75" hidden="1" customHeight="1">
      <c r="A638" s="180" t="s">
        <v>2072</v>
      </c>
      <c r="B638" s="15"/>
      <c r="C638" s="31" t="s">
        <v>2073</v>
      </c>
      <c r="D638" s="31" t="s">
        <v>2074</v>
      </c>
      <c r="E638" s="16"/>
      <c r="F638" s="33" t="s">
        <v>38</v>
      </c>
      <c r="G638" s="16" t="b">
        <v>0</v>
      </c>
      <c r="H638" s="16" t="b">
        <v>1</v>
      </c>
      <c r="I638" s="16" t="b">
        <v>0</v>
      </c>
      <c r="J638" s="16" t="b">
        <v>0</v>
      </c>
      <c r="K638" s="16"/>
      <c r="L638" s="16"/>
      <c r="M638" s="16" t="b">
        <v>0</v>
      </c>
      <c r="N638" s="16" t="b">
        <v>0</v>
      </c>
      <c r="O638" s="16" t="b">
        <v>0</v>
      </c>
      <c r="P638" s="16" t="b">
        <v>0</v>
      </c>
      <c r="Q638" s="16" t="b">
        <v>0</v>
      </c>
      <c r="R638" s="33" t="b">
        <v>0</v>
      </c>
    </row>
    <row r="639" spans="1:18" ht="15.75" hidden="1" customHeight="1">
      <c r="A639" s="181" t="s">
        <v>2075</v>
      </c>
      <c r="B639" s="172"/>
      <c r="C639" s="172" t="s">
        <v>2076</v>
      </c>
      <c r="D639" s="172"/>
      <c r="E639" s="36"/>
      <c r="F639" s="40" t="s">
        <v>34</v>
      </c>
      <c r="G639" s="36" t="b">
        <v>0</v>
      </c>
      <c r="H639" s="36" t="b">
        <v>0</v>
      </c>
      <c r="I639" s="36" t="b">
        <v>1</v>
      </c>
      <c r="J639" s="36" t="b">
        <v>0</v>
      </c>
      <c r="K639" s="36" t="b">
        <v>0</v>
      </c>
      <c r="L639" s="36" t="b">
        <v>0</v>
      </c>
      <c r="M639" s="36" t="b">
        <v>0</v>
      </c>
      <c r="N639" s="36" t="b">
        <v>0</v>
      </c>
      <c r="O639" s="36" t="b">
        <v>0</v>
      </c>
      <c r="P639" s="36" t="b">
        <v>0</v>
      </c>
      <c r="Q639" s="36" t="b">
        <v>0</v>
      </c>
      <c r="R639" s="40" t="b">
        <v>0</v>
      </c>
    </row>
    <row r="640" spans="1:18" ht="15.75" hidden="1" customHeight="1">
      <c r="A640" s="177" t="s">
        <v>2077</v>
      </c>
      <c r="B640" s="182"/>
      <c r="C640" s="182" t="s">
        <v>2078</v>
      </c>
      <c r="D640" s="38" t="s">
        <v>2079</v>
      </c>
      <c r="E640" s="36"/>
      <c r="F640" s="40" t="s">
        <v>38</v>
      </c>
      <c r="G640" s="36" t="b">
        <v>0</v>
      </c>
      <c r="H640" s="36" t="b">
        <v>0</v>
      </c>
      <c r="I640" s="36" t="b">
        <v>0</v>
      </c>
      <c r="J640" s="36" t="b">
        <v>0</v>
      </c>
      <c r="M640" s="36" t="b">
        <v>0</v>
      </c>
      <c r="N640" s="36" t="b">
        <v>0</v>
      </c>
      <c r="O640" s="36" t="b">
        <v>1</v>
      </c>
      <c r="P640" s="36" t="b">
        <v>0</v>
      </c>
      <c r="Q640" s="36" t="b">
        <v>0</v>
      </c>
      <c r="R640" s="40" t="b">
        <v>0</v>
      </c>
    </row>
    <row r="641" spans="1:18" ht="15.75" hidden="1" customHeight="1">
      <c r="A641" s="181" t="s">
        <v>2080</v>
      </c>
      <c r="B641" s="172"/>
      <c r="C641" s="172" t="s">
        <v>2081</v>
      </c>
      <c r="D641" s="172"/>
      <c r="E641" s="36"/>
      <c r="F641" s="40" t="s">
        <v>34</v>
      </c>
      <c r="G641" s="36" t="b">
        <v>0</v>
      </c>
      <c r="H641" s="36" t="b">
        <v>0</v>
      </c>
      <c r="I641" s="36" t="b">
        <v>0</v>
      </c>
      <c r="J641" s="36" t="b">
        <v>0</v>
      </c>
      <c r="K641" s="36" t="b">
        <v>0</v>
      </c>
      <c r="L641" s="36" t="b">
        <v>0</v>
      </c>
      <c r="M641" s="36" t="b">
        <v>1</v>
      </c>
      <c r="N641" s="36" t="b">
        <v>0</v>
      </c>
      <c r="O641" s="36" t="b">
        <v>0</v>
      </c>
      <c r="P641" s="36" t="b">
        <v>0</v>
      </c>
      <c r="Q641" s="36" t="b">
        <v>0</v>
      </c>
      <c r="R641" s="40" t="b">
        <v>0</v>
      </c>
    </row>
    <row r="642" spans="1:18" ht="15.75" hidden="1" customHeight="1">
      <c r="A642" s="76" t="s">
        <v>2082</v>
      </c>
      <c r="B642" s="15" t="s">
        <v>2082</v>
      </c>
      <c r="C642" s="31" t="s">
        <v>2083</v>
      </c>
      <c r="D642" s="90" t="s">
        <v>2084</v>
      </c>
      <c r="E642" s="16" t="s">
        <v>86</v>
      </c>
      <c r="F642" s="19" t="s">
        <v>38</v>
      </c>
      <c r="G642" s="18" t="b">
        <v>0</v>
      </c>
      <c r="H642" s="18" t="b">
        <v>0</v>
      </c>
      <c r="I642" s="18" t="b">
        <v>0</v>
      </c>
      <c r="J642" s="18" t="b">
        <v>0</v>
      </c>
      <c r="K642" s="18" t="b">
        <v>1</v>
      </c>
      <c r="L642" s="18" t="b">
        <v>0</v>
      </c>
      <c r="M642" s="18" t="b">
        <v>0</v>
      </c>
      <c r="N642" s="18" t="b">
        <v>0</v>
      </c>
      <c r="O642" s="18" t="b">
        <v>0</v>
      </c>
      <c r="P642" s="18" t="b">
        <v>0</v>
      </c>
      <c r="Q642" s="18" t="b">
        <v>0</v>
      </c>
      <c r="R642" s="19" t="b">
        <v>0</v>
      </c>
    </row>
    <row r="643" spans="1:18" ht="15.75" hidden="1" customHeight="1">
      <c r="A643" s="37" t="s">
        <v>2085</v>
      </c>
      <c r="B643" s="183"/>
      <c r="C643" s="183" t="s">
        <v>2086</v>
      </c>
      <c r="D643" s="173" t="s">
        <v>2087</v>
      </c>
      <c r="E643" s="36"/>
      <c r="F643" s="40" t="s">
        <v>34</v>
      </c>
      <c r="G643" s="36" t="b">
        <v>0</v>
      </c>
      <c r="H643" s="36" t="b">
        <v>0</v>
      </c>
      <c r="I643" s="36" t="b">
        <v>0</v>
      </c>
      <c r="J643" s="36" t="b">
        <v>0</v>
      </c>
      <c r="K643" s="36" t="b">
        <v>0</v>
      </c>
      <c r="L643" s="36" t="b">
        <v>0</v>
      </c>
      <c r="M643" s="36" t="b">
        <v>0</v>
      </c>
      <c r="N643" s="36" t="b">
        <v>0</v>
      </c>
      <c r="O643" s="36" t="b">
        <v>0</v>
      </c>
      <c r="P643" s="36" t="b">
        <v>0</v>
      </c>
      <c r="Q643" s="36" t="b">
        <v>1</v>
      </c>
      <c r="R643" s="40" t="b">
        <v>0</v>
      </c>
    </row>
    <row r="644" spans="1:18" ht="15.75" customHeight="1">
      <c r="A644" s="61" t="s">
        <v>2088</v>
      </c>
      <c r="B644" s="15" t="s">
        <v>2088</v>
      </c>
      <c r="C644" s="44" t="s">
        <v>2089</v>
      </c>
      <c r="D644" s="45" t="s">
        <v>2090</v>
      </c>
      <c r="E644" s="16" t="s">
        <v>60</v>
      </c>
      <c r="F644" s="19" t="s">
        <v>27</v>
      </c>
      <c r="G644" s="18" t="b">
        <v>0</v>
      </c>
      <c r="H644" s="18" t="b">
        <v>0</v>
      </c>
      <c r="I644" s="18" t="b">
        <v>0</v>
      </c>
      <c r="J644" s="18" t="b">
        <v>0</v>
      </c>
      <c r="K644" s="18" t="b">
        <v>0</v>
      </c>
      <c r="L644" s="18" t="b">
        <v>0</v>
      </c>
      <c r="M644" s="18" t="b">
        <v>1</v>
      </c>
      <c r="N644" s="18" t="b">
        <v>0</v>
      </c>
      <c r="O644" s="18" t="b">
        <v>0</v>
      </c>
      <c r="P644" s="18" t="b">
        <v>0</v>
      </c>
      <c r="Q644" s="18" t="b">
        <v>0</v>
      </c>
      <c r="R644" s="19" t="b">
        <v>0</v>
      </c>
    </row>
    <row r="645" spans="1:18" ht="15.75" customHeight="1">
      <c r="A645" s="61" t="s">
        <v>2091</v>
      </c>
      <c r="B645" s="15" t="s">
        <v>2092</v>
      </c>
      <c r="C645" s="31" t="s">
        <v>2093</v>
      </c>
      <c r="D645" s="90" t="s">
        <v>2094</v>
      </c>
      <c r="E645" s="18" t="s">
        <v>154</v>
      </c>
      <c r="F645" s="19" t="s">
        <v>27</v>
      </c>
      <c r="G645" s="18" t="b">
        <v>0</v>
      </c>
      <c r="H645" s="18" t="b">
        <v>0</v>
      </c>
      <c r="I645" s="18" t="b">
        <v>1</v>
      </c>
      <c r="J645" s="18" t="b">
        <v>0</v>
      </c>
      <c r="K645" s="18" t="b">
        <v>1</v>
      </c>
      <c r="L645" s="18" t="b">
        <v>0</v>
      </c>
      <c r="M645" s="18" t="b">
        <v>0</v>
      </c>
      <c r="N645" s="18" t="b">
        <v>0</v>
      </c>
      <c r="O645" s="18" t="b">
        <v>0</v>
      </c>
      <c r="P645" s="18" t="b">
        <v>0</v>
      </c>
      <c r="Q645" s="18" t="b">
        <v>0</v>
      </c>
      <c r="R645" s="19" t="b">
        <v>0</v>
      </c>
    </row>
    <row r="646" spans="1:18" ht="15.75" hidden="1" customHeight="1">
      <c r="A646" s="177" t="s">
        <v>2095</v>
      </c>
      <c r="B646" s="38"/>
      <c r="C646" s="38" t="s">
        <v>2096</v>
      </c>
      <c r="D646" s="38" t="s">
        <v>2097</v>
      </c>
      <c r="E646" s="36"/>
      <c r="F646" s="40" t="s">
        <v>34</v>
      </c>
      <c r="G646" s="36" t="b">
        <v>0</v>
      </c>
      <c r="H646" s="36" t="b">
        <v>1</v>
      </c>
      <c r="I646" s="36" t="b">
        <v>0</v>
      </c>
      <c r="J646" s="36" t="b">
        <v>0</v>
      </c>
      <c r="K646" s="36" t="b">
        <v>0</v>
      </c>
      <c r="L646" s="36" t="b">
        <v>0</v>
      </c>
      <c r="M646" s="36" t="b">
        <v>0</v>
      </c>
      <c r="N646" s="36" t="b">
        <v>0</v>
      </c>
      <c r="O646" s="36" t="b">
        <v>0</v>
      </c>
      <c r="P646" s="36" t="b">
        <v>0</v>
      </c>
      <c r="Q646" s="36" t="b">
        <v>0</v>
      </c>
      <c r="R646" s="40" t="b">
        <v>0</v>
      </c>
    </row>
    <row r="647" spans="1:18" ht="15.75" customHeight="1">
      <c r="A647" s="61" t="s">
        <v>2098</v>
      </c>
      <c r="B647" s="15" t="s">
        <v>2098</v>
      </c>
      <c r="C647" s="31" t="s">
        <v>2099</v>
      </c>
      <c r="D647" s="17" t="s">
        <v>2100</v>
      </c>
      <c r="E647" s="18" t="s">
        <v>178</v>
      </c>
      <c r="F647" s="19" t="s">
        <v>27</v>
      </c>
      <c r="G647" s="18" t="b">
        <v>0</v>
      </c>
      <c r="H647" s="18" t="b">
        <v>0</v>
      </c>
      <c r="I647" s="18" t="b">
        <v>0</v>
      </c>
      <c r="J647" s="18" t="b">
        <v>0</v>
      </c>
      <c r="K647" s="18" t="b">
        <v>0</v>
      </c>
      <c r="L647" s="18" t="b">
        <v>0</v>
      </c>
      <c r="M647" s="18" t="b">
        <v>0</v>
      </c>
      <c r="N647" s="18" t="b">
        <v>1</v>
      </c>
      <c r="O647" s="18" t="b">
        <v>0</v>
      </c>
      <c r="P647" s="18" t="b">
        <v>0</v>
      </c>
      <c r="Q647" s="18" t="b">
        <v>0</v>
      </c>
      <c r="R647" s="19" t="b">
        <v>0</v>
      </c>
    </row>
    <row r="648" spans="1:18" ht="15.75" hidden="1" customHeight="1">
      <c r="A648" s="17" t="s">
        <v>2101</v>
      </c>
      <c r="B648" s="51" t="s">
        <v>2102</v>
      </c>
      <c r="C648" s="17" t="s">
        <v>2103</v>
      </c>
      <c r="D648" s="17" t="s">
        <v>2104</v>
      </c>
      <c r="E648" s="18" t="s">
        <v>33</v>
      </c>
      <c r="F648" s="19" t="s">
        <v>34</v>
      </c>
      <c r="G648" s="18" t="b">
        <v>0</v>
      </c>
      <c r="H648" s="18" t="b">
        <v>0</v>
      </c>
      <c r="I648" s="18" t="b">
        <v>0</v>
      </c>
      <c r="J648" s="18" t="b">
        <v>0</v>
      </c>
      <c r="K648" s="18" t="b">
        <v>0</v>
      </c>
      <c r="L648" s="18" t="b">
        <v>0</v>
      </c>
      <c r="M648" s="18" t="b">
        <v>0</v>
      </c>
      <c r="N648" s="18" t="b">
        <v>0</v>
      </c>
      <c r="O648" s="18" t="b">
        <v>0</v>
      </c>
      <c r="P648" s="18" t="b">
        <v>0</v>
      </c>
      <c r="Q648" s="18" t="b">
        <v>0</v>
      </c>
      <c r="R648" s="19" t="b">
        <v>1</v>
      </c>
    </row>
    <row r="649" spans="1:18" ht="15.75" customHeight="1">
      <c r="A649" s="61" t="s">
        <v>2105</v>
      </c>
      <c r="B649" s="15" t="s">
        <v>2105</v>
      </c>
      <c r="C649" s="101" t="s">
        <v>2106</v>
      </c>
      <c r="D649" s="90" t="s">
        <v>2107</v>
      </c>
      <c r="E649" s="16" t="s">
        <v>60</v>
      </c>
      <c r="F649" s="19" t="s">
        <v>27</v>
      </c>
      <c r="G649" s="18" t="b">
        <v>0</v>
      </c>
      <c r="H649" s="18" t="b">
        <v>0</v>
      </c>
      <c r="I649" s="18" t="b">
        <v>0</v>
      </c>
      <c r="J649" s="18" t="b">
        <v>0</v>
      </c>
      <c r="K649" s="18" t="b">
        <v>0</v>
      </c>
      <c r="L649" s="18" t="b">
        <v>0</v>
      </c>
      <c r="M649" s="18" t="b">
        <v>1</v>
      </c>
      <c r="N649" s="18" t="b">
        <v>0</v>
      </c>
      <c r="O649" s="18" t="b">
        <v>0</v>
      </c>
      <c r="P649" s="18" t="b">
        <v>0</v>
      </c>
      <c r="Q649" s="18" t="b">
        <v>0</v>
      </c>
      <c r="R649" s="19" t="b">
        <v>0</v>
      </c>
    </row>
    <row r="650" spans="1:18" ht="15.75" hidden="1" customHeight="1">
      <c r="A650" s="17" t="s">
        <v>2108</v>
      </c>
      <c r="B650" s="15" t="s">
        <v>2109</v>
      </c>
      <c r="C650" s="44" t="s">
        <v>2110</v>
      </c>
      <c r="D650" s="74" t="s">
        <v>2111</v>
      </c>
      <c r="E650" s="18" t="s">
        <v>86</v>
      </c>
      <c r="F650" s="19" t="s">
        <v>38</v>
      </c>
      <c r="G650" s="18" t="b">
        <v>0</v>
      </c>
      <c r="H650" s="18" t="b">
        <v>0</v>
      </c>
      <c r="I650" s="18" t="b">
        <v>0</v>
      </c>
      <c r="J650" s="18" t="b">
        <v>0</v>
      </c>
      <c r="K650" s="18" t="b">
        <v>1</v>
      </c>
      <c r="L650" s="18" t="b">
        <v>0</v>
      </c>
      <c r="M650" s="18" t="b">
        <v>0</v>
      </c>
      <c r="N650" s="18" t="b">
        <v>0</v>
      </c>
      <c r="O650" s="18" t="b">
        <v>0</v>
      </c>
      <c r="P650" s="18" t="b">
        <v>0</v>
      </c>
      <c r="Q650" s="18" t="b">
        <v>0</v>
      </c>
      <c r="R650" s="19" t="b">
        <v>0</v>
      </c>
    </row>
    <row r="651" spans="1:18" ht="15.75" customHeight="1">
      <c r="A651" s="61" t="s">
        <v>2112</v>
      </c>
      <c r="B651" s="15" t="s">
        <v>2112</v>
      </c>
      <c r="C651" s="44" t="s">
        <v>2113</v>
      </c>
      <c r="D651" s="17" t="s">
        <v>2114</v>
      </c>
      <c r="E651" s="18" t="s">
        <v>178</v>
      </c>
      <c r="F651" s="19" t="s">
        <v>27</v>
      </c>
      <c r="G651" s="18" t="b">
        <v>0</v>
      </c>
      <c r="H651" s="18" t="b">
        <v>0</v>
      </c>
      <c r="I651" s="18" t="b">
        <v>0</v>
      </c>
      <c r="J651" s="18" t="b">
        <v>0</v>
      </c>
      <c r="K651" s="18" t="b">
        <v>0</v>
      </c>
      <c r="L651" s="18" t="b">
        <v>0</v>
      </c>
      <c r="M651" s="18" t="b">
        <v>0</v>
      </c>
      <c r="N651" s="18" t="b">
        <v>1</v>
      </c>
      <c r="O651" s="18" t="b">
        <v>0</v>
      </c>
      <c r="P651" s="18" t="b">
        <v>0</v>
      </c>
      <c r="Q651" s="18" t="b">
        <v>0</v>
      </c>
      <c r="R651" s="19" t="b">
        <v>0</v>
      </c>
    </row>
    <row r="652" spans="1:18" ht="15.75" customHeight="1">
      <c r="A652" s="61" t="s">
        <v>2115</v>
      </c>
      <c r="B652" s="15" t="s">
        <v>2115</v>
      </c>
      <c r="C652" s="44" t="s">
        <v>2116</v>
      </c>
      <c r="D652" s="45" t="s">
        <v>2117</v>
      </c>
      <c r="E652" s="18" t="s">
        <v>33</v>
      </c>
      <c r="F652" s="19" t="s">
        <v>27</v>
      </c>
      <c r="G652" s="18" t="b">
        <v>0</v>
      </c>
      <c r="H652" s="18" t="b">
        <v>0</v>
      </c>
      <c r="I652" s="18" t="b">
        <v>0</v>
      </c>
      <c r="J652" s="18" t="b">
        <v>0</v>
      </c>
      <c r="K652" s="18" t="b">
        <v>0</v>
      </c>
      <c r="L652" s="18" t="b">
        <v>0</v>
      </c>
      <c r="M652" s="18" t="b">
        <v>0</v>
      </c>
      <c r="N652" s="18" t="b">
        <v>0</v>
      </c>
      <c r="O652" s="18" t="b">
        <v>0</v>
      </c>
      <c r="P652" s="18" t="b">
        <v>0</v>
      </c>
      <c r="Q652" s="18" t="b">
        <v>0</v>
      </c>
      <c r="R652" s="19" t="b">
        <v>1</v>
      </c>
    </row>
    <row r="653" spans="1:18" ht="15.75" hidden="1" customHeight="1">
      <c r="A653" s="17" t="s">
        <v>2118</v>
      </c>
      <c r="B653" s="15" t="s">
        <v>2118</v>
      </c>
      <c r="C653" s="44" t="s">
        <v>2119</v>
      </c>
      <c r="D653" s="45" t="s">
        <v>2120</v>
      </c>
      <c r="E653" s="18" t="s">
        <v>192</v>
      </c>
      <c r="F653" s="19" t="s">
        <v>34</v>
      </c>
      <c r="G653" s="18" t="b">
        <v>0</v>
      </c>
      <c r="H653" s="18" t="b">
        <v>0</v>
      </c>
      <c r="I653" s="18" t="b">
        <v>0</v>
      </c>
      <c r="J653" s="18" t="b">
        <v>0</v>
      </c>
      <c r="K653" s="18" t="b">
        <v>0</v>
      </c>
      <c r="L653" s="18" t="b">
        <v>0</v>
      </c>
      <c r="M653" s="18" t="b">
        <v>0</v>
      </c>
      <c r="N653" s="18" t="b">
        <v>0</v>
      </c>
      <c r="O653" s="18" t="b">
        <v>0</v>
      </c>
      <c r="P653" s="18" t="b">
        <v>0</v>
      </c>
      <c r="Q653" s="18" t="b">
        <v>1</v>
      </c>
      <c r="R653" s="19" t="b">
        <v>0</v>
      </c>
    </row>
    <row r="654" spans="1:18" ht="15.75" hidden="1" customHeight="1">
      <c r="A654" s="87" t="s">
        <v>2121</v>
      </c>
      <c r="B654" s="91"/>
      <c r="C654" s="32" t="s">
        <v>2122</v>
      </c>
      <c r="D654" s="32" t="s">
        <v>2123</v>
      </c>
      <c r="E654" s="16" t="s">
        <v>140</v>
      </c>
      <c r="F654" s="33" t="s">
        <v>38</v>
      </c>
      <c r="G654" s="16" t="b">
        <v>0</v>
      </c>
      <c r="H654" s="16" t="b">
        <v>1</v>
      </c>
      <c r="I654" s="16" t="b">
        <v>0</v>
      </c>
      <c r="J654" s="16" t="b">
        <v>0</v>
      </c>
      <c r="K654" s="16" t="b">
        <v>0</v>
      </c>
      <c r="L654" s="16" t="b">
        <v>0</v>
      </c>
      <c r="M654" s="16" t="b">
        <v>0</v>
      </c>
      <c r="N654" s="16" t="b">
        <v>0</v>
      </c>
      <c r="O654" s="184" t="b">
        <v>1</v>
      </c>
      <c r="P654" s="16" t="b">
        <v>0</v>
      </c>
      <c r="Q654" s="16" t="b">
        <v>0</v>
      </c>
      <c r="R654" s="33" t="b">
        <v>0</v>
      </c>
    </row>
    <row r="655" spans="1:18" ht="15.75" hidden="1" customHeight="1">
      <c r="A655" s="17" t="s">
        <v>2124</v>
      </c>
      <c r="B655" s="15" t="s">
        <v>2125</v>
      </c>
      <c r="C655" s="44" t="s">
        <v>2126</v>
      </c>
      <c r="D655" s="74" t="s">
        <v>2127</v>
      </c>
      <c r="E655" s="18" t="s">
        <v>86</v>
      </c>
      <c r="F655" s="19" t="s">
        <v>38</v>
      </c>
      <c r="G655" s="18" t="b">
        <v>0</v>
      </c>
      <c r="H655" s="18" t="b">
        <v>0</v>
      </c>
      <c r="I655" s="18" t="b">
        <v>0</v>
      </c>
      <c r="J655" s="18" t="b">
        <v>0</v>
      </c>
      <c r="K655" s="18" t="b">
        <v>1</v>
      </c>
      <c r="L655" s="18" t="b">
        <v>0</v>
      </c>
      <c r="M655" s="18" t="b">
        <v>0</v>
      </c>
      <c r="N655" s="18" t="b">
        <v>0</v>
      </c>
      <c r="O655" s="18" t="b">
        <v>0</v>
      </c>
      <c r="P655" s="18" t="b">
        <v>0</v>
      </c>
      <c r="Q655" s="18" t="b">
        <v>0</v>
      </c>
      <c r="R655" s="19" t="b">
        <v>0</v>
      </c>
    </row>
    <row r="656" spans="1:18" ht="15.75" customHeight="1">
      <c r="A656" s="61" t="s">
        <v>2128</v>
      </c>
      <c r="B656" s="15" t="s">
        <v>2129</v>
      </c>
      <c r="C656" s="31" t="s">
        <v>2130</v>
      </c>
      <c r="D656" s="90" t="s">
        <v>2131</v>
      </c>
      <c r="E656" s="16" t="s">
        <v>33</v>
      </c>
      <c r="F656" s="19" t="s">
        <v>27</v>
      </c>
      <c r="G656" s="18" t="b">
        <v>0</v>
      </c>
      <c r="H656" s="18" t="b">
        <v>0</v>
      </c>
      <c r="I656" s="18" t="b">
        <v>0</v>
      </c>
      <c r="J656" s="18" t="b">
        <v>0</v>
      </c>
      <c r="K656" s="18" t="b">
        <v>0</v>
      </c>
      <c r="L656" s="18" t="b">
        <v>0</v>
      </c>
      <c r="M656" s="18" t="b">
        <v>0</v>
      </c>
      <c r="N656" s="18" t="b">
        <v>0</v>
      </c>
      <c r="O656" s="18" t="b">
        <v>0</v>
      </c>
      <c r="P656" s="18" t="b">
        <v>0</v>
      </c>
      <c r="Q656" s="18" t="b">
        <v>0</v>
      </c>
      <c r="R656" s="19" t="b">
        <v>1</v>
      </c>
    </row>
    <row r="657" spans="1:18" ht="15.75" customHeight="1">
      <c r="A657" s="61" t="s">
        <v>440</v>
      </c>
      <c r="B657" s="15" t="s">
        <v>440</v>
      </c>
      <c r="C657" s="31" t="s">
        <v>441</v>
      </c>
      <c r="D657" s="90" t="s">
        <v>2132</v>
      </c>
      <c r="E657" s="18" t="s">
        <v>154</v>
      </c>
      <c r="F657" s="19" t="s">
        <v>27</v>
      </c>
      <c r="G657" s="18" t="b">
        <v>0</v>
      </c>
      <c r="H657" s="18" t="b">
        <v>0</v>
      </c>
      <c r="I657" s="18" t="b">
        <v>0</v>
      </c>
      <c r="J657" s="18" t="b">
        <v>0</v>
      </c>
      <c r="K657" s="18" t="b">
        <v>1</v>
      </c>
      <c r="L657" s="18" t="b">
        <v>0</v>
      </c>
      <c r="M657" s="18" t="b">
        <v>0</v>
      </c>
      <c r="N657" s="18" t="b">
        <v>0</v>
      </c>
      <c r="O657" s="18" t="b">
        <v>0</v>
      </c>
      <c r="P657" s="18" t="b">
        <v>0</v>
      </c>
      <c r="Q657" s="18" t="b">
        <v>0</v>
      </c>
      <c r="R657" s="19" t="b">
        <v>0</v>
      </c>
    </row>
    <row r="658" spans="1:18" ht="15.75" hidden="1" customHeight="1">
      <c r="A658" s="177" t="s">
        <v>2133</v>
      </c>
      <c r="B658" s="38"/>
      <c r="C658" s="38" t="s">
        <v>2134</v>
      </c>
      <c r="D658" s="38" t="s">
        <v>2135</v>
      </c>
      <c r="E658" s="36"/>
      <c r="F658" s="40" t="s">
        <v>34</v>
      </c>
      <c r="G658" s="36" t="b">
        <v>0</v>
      </c>
      <c r="H658" s="36" t="b">
        <v>0</v>
      </c>
      <c r="I658" s="36" t="b">
        <v>0</v>
      </c>
      <c r="J658" s="36" t="b">
        <v>0</v>
      </c>
      <c r="K658" s="36" t="b">
        <v>0</v>
      </c>
      <c r="L658" s="36" t="b">
        <v>0</v>
      </c>
      <c r="M658" s="36" t="b">
        <v>0</v>
      </c>
      <c r="N658" s="36" t="b">
        <v>0</v>
      </c>
      <c r="O658" s="36" t="b">
        <v>0</v>
      </c>
      <c r="P658" s="36" t="b">
        <v>0</v>
      </c>
      <c r="Q658" s="36" t="b">
        <v>1</v>
      </c>
      <c r="R658" s="40" t="b">
        <v>0</v>
      </c>
    </row>
    <row r="659" spans="1:18" ht="15.75" hidden="1" customHeight="1">
      <c r="A659" s="17" t="s">
        <v>2136</v>
      </c>
      <c r="B659" s="51" t="s">
        <v>2137</v>
      </c>
      <c r="C659" s="100" t="s">
        <v>2138</v>
      </c>
      <c r="D659" s="18" t="s">
        <v>2139</v>
      </c>
      <c r="E659" s="18" t="s">
        <v>33</v>
      </c>
      <c r="F659" s="19" t="s">
        <v>34</v>
      </c>
      <c r="G659" s="18" t="b">
        <v>0</v>
      </c>
      <c r="H659" s="18" t="b">
        <v>0</v>
      </c>
      <c r="I659" s="18" t="b">
        <v>0</v>
      </c>
      <c r="J659" s="18" t="b">
        <v>0</v>
      </c>
      <c r="K659" s="18" t="b">
        <v>0</v>
      </c>
      <c r="L659" s="18" t="b">
        <v>0</v>
      </c>
      <c r="M659" s="18" t="b">
        <v>0</v>
      </c>
      <c r="N659" s="18" t="b">
        <v>0</v>
      </c>
      <c r="O659" s="18" t="b">
        <v>0</v>
      </c>
      <c r="P659" s="18" t="b">
        <v>0</v>
      </c>
      <c r="Q659" s="18" t="b">
        <v>0</v>
      </c>
      <c r="R659" s="19" t="b">
        <v>1</v>
      </c>
    </row>
    <row r="660" spans="1:18" ht="15.75" hidden="1" customHeight="1">
      <c r="A660" s="177" t="s">
        <v>2140</v>
      </c>
      <c r="B660" s="172"/>
      <c r="C660" s="172" t="s">
        <v>2141</v>
      </c>
      <c r="D660" s="172" t="s">
        <v>2142</v>
      </c>
      <c r="E660" s="36"/>
      <c r="F660" s="40" t="s">
        <v>38</v>
      </c>
      <c r="G660" s="36" t="b">
        <v>0</v>
      </c>
      <c r="H660" s="36" t="b">
        <v>0</v>
      </c>
      <c r="I660" s="36" t="b">
        <v>0</v>
      </c>
      <c r="J660" s="36" t="b">
        <v>0</v>
      </c>
      <c r="K660" s="36"/>
      <c r="L660" s="36"/>
      <c r="M660" s="36" t="b">
        <v>0</v>
      </c>
      <c r="N660" s="36" t="b">
        <v>0</v>
      </c>
      <c r="O660" s="36" t="b">
        <v>0</v>
      </c>
      <c r="P660" s="36" t="b">
        <v>0</v>
      </c>
      <c r="Q660" s="36" t="b">
        <v>0</v>
      </c>
      <c r="R660" s="40" t="b">
        <v>1</v>
      </c>
    </row>
    <row r="661" spans="1:18" ht="15.75" customHeight="1">
      <c r="A661" s="61" t="s">
        <v>2143</v>
      </c>
      <c r="B661" s="15" t="s">
        <v>2143</v>
      </c>
      <c r="C661" s="31" t="s">
        <v>2144</v>
      </c>
      <c r="D661" s="90" t="s">
        <v>2145</v>
      </c>
      <c r="E661" s="18" t="s">
        <v>26</v>
      </c>
      <c r="F661" s="19" t="s">
        <v>27</v>
      </c>
      <c r="G661" s="18" t="b">
        <v>0</v>
      </c>
      <c r="H661" s="18" t="b">
        <v>0</v>
      </c>
      <c r="I661" s="18" t="b">
        <v>1</v>
      </c>
      <c r="J661" s="18" t="b">
        <v>0</v>
      </c>
      <c r="K661" s="18" t="b">
        <v>0</v>
      </c>
      <c r="L661" s="18" t="b">
        <v>0</v>
      </c>
      <c r="M661" s="18" t="b">
        <v>0</v>
      </c>
      <c r="N661" s="18" t="b">
        <v>0</v>
      </c>
      <c r="O661" s="18" t="b">
        <v>0</v>
      </c>
      <c r="P661" s="18" t="b">
        <v>0</v>
      </c>
      <c r="Q661" s="18" t="b">
        <v>0</v>
      </c>
      <c r="R661" s="19" t="b">
        <v>0</v>
      </c>
    </row>
    <row r="662" spans="1:18" ht="15.75" customHeight="1">
      <c r="A662" s="61" t="s">
        <v>2146</v>
      </c>
      <c r="B662" s="15" t="s">
        <v>2146</v>
      </c>
      <c r="C662" s="31" t="s">
        <v>2147</v>
      </c>
      <c r="D662" s="90" t="s">
        <v>2148</v>
      </c>
      <c r="E662" s="18" t="s">
        <v>26</v>
      </c>
      <c r="F662" s="19" t="s">
        <v>27</v>
      </c>
      <c r="G662" s="18" t="b">
        <v>0</v>
      </c>
      <c r="H662" s="18" t="b">
        <v>0</v>
      </c>
      <c r="I662" s="18" t="b">
        <v>1</v>
      </c>
      <c r="J662" s="18" t="b">
        <v>0</v>
      </c>
      <c r="K662" s="18" t="b">
        <v>0</v>
      </c>
      <c r="L662" s="18" t="b">
        <v>0</v>
      </c>
      <c r="M662" s="18" t="b">
        <v>0</v>
      </c>
      <c r="N662" s="18" t="b">
        <v>0</v>
      </c>
      <c r="O662" s="18" t="b">
        <v>0</v>
      </c>
      <c r="P662" s="18" t="b">
        <v>0</v>
      </c>
      <c r="Q662" s="18" t="b">
        <v>0</v>
      </c>
      <c r="R662" s="19" t="b">
        <v>0</v>
      </c>
    </row>
    <row r="663" spans="1:18" ht="15.75" customHeight="1">
      <c r="A663" s="61" t="s">
        <v>2149</v>
      </c>
      <c r="B663" s="15" t="s">
        <v>2149</v>
      </c>
      <c r="C663" s="18" t="s">
        <v>2150</v>
      </c>
      <c r="D663" s="17" t="s">
        <v>2151</v>
      </c>
      <c r="E663" s="18" t="s">
        <v>26</v>
      </c>
      <c r="F663" s="19" t="s">
        <v>27</v>
      </c>
      <c r="G663" s="18" t="b">
        <v>0</v>
      </c>
      <c r="H663" s="18" t="b">
        <v>0</v>
      </c>
      <c r="I663" s="18" t="b">
        <v>1</v>
      </c>
      <c r="J663" s="18" t="b">
        <v>0</v>
      </c>
      <c r="K663" s="18" t="b">
        <v>0</v>
      </c>
      <c r="L663" s="18" t="b">
        <v>0</v>
      </c>
      <c r="M663" s="18" t="b">
        <v>0</v>
      </c>
      <c r="N663" s="18" t="b">
        <v>0</v>
      </c>
      <c r="O663" s="18" t="b">
        <v>0</v>
      </c>
      <c r="P663" s="18" t="b">
        <v>0</v>
      </c>
      <c r="Q663" s="18" t="b">
        <v>0</v>
      </c>
      <c r="R663" s="19" t="b">
        <v>0</v>
      </c>
    </row>
    <row r="664" spans="1:18" ht="15.75" hidden="1" customHeight="1">
      <c r="A664" s="18" t="s">
        <v>2152</v>
      </c>
      <c r="B664" s="15" t="s">
        <v>2152</v>
      </c>
      <c r="C664" s="18" t="s">
        <v>2153</v>
      </c>
      <c r="D664" s="17" t="s">
        <v>2154</v>
      </c>
      <c r="E664" s="18" t="s">
        <v>178</v>
      </c>
      <c r="F664" s="19" t="s">
        <v>38</v>
      </c>
      <c r="G664" s="18" t="b">
        <v>0</v>
      </c>
      <c r="H664" s="18" t="b">
        <v>0</v>
      </c>
      <c r="I664" s="18" t="b">
        <v>0</v>
      </c>
      <c r="J664" s="18" t="b">
        <v>0</v>
      </c>
      <c r="K664" s="18" t="b">
        <v>0</v>
      </c>
      <c r="L664" s="18" t="b">
        <v>0</v>
      </c>
      <c r="M664" s="18" t="b">
        <v>0</v>
      </c>
      <c r="N664" s="18" t="b">
        <v>1</v>
      </c>
      <c r="O664" s="18" t="b">
        <v>0</v>
      </c>
      <c r="P664" s="18" t="b">
        <v>0</v>
      </c>
      <c r="Q664" s="18" t="b">
        <v>0</v>
      </c>
      <c r="R664" s="19" t="b">
        <v>0</v>
      </c>
    </row>
    <row r="665" spans="1:18" ht="15.75" hidden="1" customHeight="1">
      <c r="A665" s="177" t="s">
        <v>2155</v>
      </c>
      <c r="B665" s="185"/>
      <c r="C665" s="185" t="s">
        <v>2156</v>
      </c>
      <c r="D665" s="173" t="s">
        <v>2157</v>
      </c>
      <c r="E665" s="36"/>
      <c r="F665" s="40" t="s">
        <v>34</v>
      </c>
      <c r="G665" s="36" t="b">
        <v>1</v>
      </c>
      <c r="H665" s="36" t="b">
        <v>0</v>
      </c>
      <c r="I665" s="36" t="b">
        <v>0</v>
      </c>
      <c r="J665" s="36" t="b">
        <v>0</v>
      </c>
      <c r="K665" s="36" t="b">
        <v>0</v>
      </c>
      <c r="L665" s="36" t="b">
        <v>0</v>
      </c>
      <c r="M665" s="36" t="b">
        <v>0</v>
      </c>
      <c r="N665" s="36" t="b">
        <v>0</v>
      </c>
      <c r="O665" s="36" t="b">
        <v>0</v>
      </c>
      <c r="P665" s="36" t="b">
        <v>0</v>
      </c>
      <c r="Q665" s="36" t="b">
        <v>0</v>
      </c>
      <c r="R665" s="40" t="b">
        <v>0</v>
      </c>
    </row>
    <row r="666" spans="1:18" ht="15.75" customHeight="1">
      <c r="A666" s="61" t="s">
        <v>2158</v>
      </c>
      <c r="B666" s="15" t="s">
        <v>2158</v>
      </c>
      <c r="C666" s="18" t="s">
        <v>2159</v>
      </c>
      <c r="D666" s="17" t="s">
        <v>2160</v>
      </c>
      <c r="E666" s="18" t="s">
        <v>178</v>
      </c>
      <c r="F666" s="19" t="s">
        <v>27</v>
      </c>
      <c r="G666" s="18" t="b">
        <v>0</v>
      </c>
      <c r="H666" s="18" t="b">
        <v>0</v>
      </c>
      <c r="I666" s="18" t="b">
        <v>0</v>
      </c>
      <c r="J666" s="18" t="b">
        <v>0</v>
      </c>
      <c r="K666" s="18" t="b">
        <v>0</v>
      </c>
      <c r="L666" s="18" t="b">
        <v>0</v>
      </c>
      <c r="M666" s="18" t="b">
        <v>0</v>
      </c>
      <c r="N666" s="18" t="b">
        <v>1</v>
      </c>
      <c r="O666" s="18" t="b">
        <v>0</v>
      </c>
      <c r="P666" s="18" t="b">
        <v>0</v>
      </c>
      <c r="Q666" s="18" t="b">
        <v>0</v>
      </c>
      <c r="R666" s="19" t="b">
        <v>0</v>
      </c>
    </row>
    <row r="667" spans="1:18" ht="15.75" hidden="1" customHeight="1">
      <c r="A667" s="50" t="s">
        <v>2161</v>
      </c>
      <c r="B667" s="81" t="s">
        <v>2161</v>
      </c>
      <c r="C667" s="18" t="s">
        <v>2162</v>
      </c>
      <c r="D667" s="18" t="s">
        <v>2163</v>
      </c>
      <c r="E667" s="16" t="s">
        <v>60</v>
      </c>
      <c r="F667" s="19" t="s">
        <v>34</v>
      </c>
      <c r="G667" s="18" t="b">
        <v>0</v>
      </c>
      <c r="H667" s="18" t="b">
        <v>0</v>
      </c>
      <c r="I667" s="18" t="b">
        <v>0</v>
      </c>
      <c r="J667" s="18" t="b">
        <v>0</v>
      </c>
      <c r="K667" s="18" t="b">
        <v>0</v>
      </c>
      <c r="L667" s="18" t="b">
        <v>0</v>
      </c>
      <c r="M667" s="18" t="b">
        <v>1</v>
      </c>
      <c r="N667" s="18" t="b">
        <v>0</v>
      </c>
      <c r="O667" s="18" t="b">
        <v>0</v>
      </c>
      <c r="P667" s="18" t="b">
        <v>0</v>
      </c>
      <c r="Q667" s="18" t="b">
        <v>0</v>
      </c>
      <c r="R667" s="19" t="b">
        <v>0</v>
      </c>
    </row>
    <row r="668" spans="1:18" ht="15.75" customHeight="1">
      <c r="A668" s="61" t="s">
        <v>2164</v>
      </c>
      <c r="B668" s="15" t="s">
        <v>2165</v>
      </c>
      <c r="C668" s="44" t="s">
        <v>2166</v>
      </c>
      <c r="D668" s="45" t="s">
        <v>2167</v>
      </c>
      <c r="E668" s="16" t="s">
        <v>60</v>
      </c>
      <c r="F668" s="19" t="s">
        <v>27</v>
      </c>
      <c r="G668" s="18" t="b">
        <v>0</v>
      </c>
      <c r="H668" s="18" t="b">
        <v>0</v>
      </c>
      <c r="I668" s="18" t="b">
        <v>0</v>
      </c>
      <c r="J668" s="18" t="b">
        <v>0</v>
      </c>
      <c r="K668" s="18" t="b">
        <v>0</v>
      </c>
      <c r="L668" s="18" t="b">
        <v>0</v>
      </c>
      <c r="M668" s="18" t="b">
        <v>1</v>
      </c>
      <c r="N668" s="18" t="b">
        <v>0</v>
      </c>
      <c r="O668" s="18" t="b">
        <v>0</v>
      </c>
      <c r="P668" s="18" t="b">
        <v>0</v>
      </c>
      <c r="Q668" s="18" t="b">
        <v>0</v>
      </c>
      <c r="R668" s="19" t="b">
        <v>0</v>
      </c>
    </row>
    <row r="669" spans="1:18" ht="15.75" hidden="1" customHeight="1">
      <c r="A669" s="17" t="s">
        <v>2168</v>
      </c>
      <c r="B669" s="15" t="s">
        <v>2169</v>
      </c>
      <c r="C669" s="17" t="s">
        <v>2170</v>
      </c>
      <c r="D669" s="18" t="s">
        <v>2171</v>
      </c>
      <c r="E669" s="18" t="s">
        <v>33</v>
      </c>
      <c r="F669" s="19" t="s">
        <v>38</v>
      </c>
      <c r="G669" s="18" t="b">
        <v>0</v>
      </c>
      <c r="H669" s="18" t="b">
        <v>0</v>
      </c>
      <c r="I669" s="18" t="b">
        <v>0</v>
      </c>
      <c r="J669" s="18" t="b">
        <v>0</v>
      </c>
      <c r="K669" s="18" t="b">
        <v>0</v>
      </c>
      <c r="L669" s="18" t="b">
        <v>0</v>
      </c>
      <c r="M669" s="18" t="b">
        <v>0</v>
      </c>
      <c r="N669" s="18" t="b">
        <v>0</v>
      </c>
      <c r="O669" s="18" t="b">
        <v>0</v>
      </c>
      <c r="P669" s="18" t="b">
        <v>0</v>
      </c>
      <c r="Q669" s="18" t="b">
        <v>0</v>
      </c>
      <c r="R669" s="19" t="b">
        <v>1</v>
      </c>
    </row>
    <row r="670" spans="1:18" ht="15.75" hidden="1" customHeight="1">
      <c r="A670" s="61" t="s">
        <v>2172</v>
      </c>
      <c r="B670" s="15" t="s">
        <v>2172</v>
      </c>
      <c r="C670" s="16" t="s">
        <v>2173</v>
      </c>
      <c r="D670" s="16" t="s">
        <v>2174</v>
      </c>
      <c r="E670" s="18" t="s">
        <v>990</v>
      </c>
      <c r="F670" s="19" t="s">
        <v>38</v>
      </c>
      <c r="G670" s="18" t="b">
        <v>0</v>
      </c>
      <c r="H670" s="18" t="b">
        <v>0</v>
      </c>
      <c r="I670" s="18" t="b">
        <v>0</v>
      </c>
      <c r="J670" s="18" t="b">
        <v>0</v>
      </c>
      <c r="K670" s="18" t="b">
        <v>0</v>
      </c>
      <c r="L670" s="18" t="b">
        <v>0</v>
      </c>
      <c r="M670" s="18" t="b">
        <v>0</v>
      </c>
      <c r="N670" s="18" t="b">
        <v>0</v>
      </c>
      <c r="O670" s="18" t="b">
        <v>0</v>
      </c>
      <c r="P670" s="18" t="b">
        <v>0</v>
      </c>
      <c r="Q670" s="18" t="b">
        <v>0</v>
      </c>
      <c r="R670" s="19" t="b">
        <v>1</v>
      </c>
    </row>
    <row r="671" spans="1:18" ht="15.75" hidden="1" customHeight="1">
      <c r="A671" s="37" t="s">
        <v>2175</v>
      </c>
      <c r="B671" s="185"/>
      <c r="C671" s="185" t="s">
        <v>2176</v>
      </c>
      <c r="D671" s="173" t="s">
        <v>2177</v>
      </c>
      <c r="E671" s="36"/>
      <c r="F671" s="40" t="s">
        <v>38</v>
      </c>
      <c r="G671" s="36" t="b">
        <v>0</v>
      </c>
      <c r="H671" s="36" t="b">
        <v>0</v>
      </c>
      <c r="I671" s="36" t="b">
        <v>0</v>
      </c>
      <c r="J671" s="36" t="b">
        <v>0</v>
      </c>
      <c r="M671" s="36" t="b">
        <v>0</v>
      </c>
      <c r="N671" s="36" t="b">
        <v>0</v>
      </c>
      <c r="O671" s="36" t="b">
        <v>1</v>
      </c>
      <c r="P671" s="36" t="b">
        <v>0</v>
      </c>
      <c r="Q671" s="36" t="b">
        <v>0</v>
      </c>
      <c r="R671" s="40" t="b">
        <v>0</v>
      </c>
    </row>
    <row r="672" spans="1:18" ht="15.75" customHeight="1">
      <c r="A672" s="61" t="s">
        <v>2178</v>
      </c>
      <c r="B672" s="15" t="s">
        <v>2178</v>
      </c>
      <c r="C672" s="44" t="s">
        <v>2179</v>
      </c>
      <c r="D672" s="45" t="s">
        <v>2180</v>
      </c>
      <c r="E672" s="18" t="s">
        <v>471</v>
      </c>
      <c r="F672" s="19" t="s">
        <v>27</v>
      </c>
      <c r="G672" s="18" t="b">
        <v>0</v>
      </c>
      <c r="H672" s="18" t="b">
        <v>0</v>
      </c>
      <c r="I672" s="18" t="b">
        <v>0</v>
      </c>
      <c r="J672" s="18" t="b">
        <v>0</v>
      </c>
      <c r="K672" s="18" t="b">
        <v>0</v>
      </c>
      <c r="L672" s="18" t="b">
        <v>0</v>
      </c>
      <c r="M672" s="18" t="b">
        <v>0</v>
      </c>
      <c r="N672" s="18" t="b">
        <v>0</v>
      </c>
      <c r="O672" s="18" t="b">
        <v>0</v>
      </c>
      <c r="P672" s="18" t="b">
        <v>0</v>
      </c>
      <c r="Q672" s="18" t="b">
        <v>0</v>
      </c>
      <c r="R672" s="19" t="b">
        <v>1</v>
      </c>
    </row>
    <row r="673" spans="1:18" ht="15.75" hidden="1" customHeight="1">
      <c r="A673" s="186" t="s">
        <v>2181</v>
      </c>
      <c r="B673" s="172"/>
      <c r="C673" s="172" t="s">
        <v>2182</v>
      </c>
      <c r="D673" s="173" t="s">
        <v>2183</v>
      </c>
      <c r="E673" s="36"/>
      <c r="F673" s="40" t="s">
        <v>34</v>
      </c>
      <c r="G673" s="36" t="b">
        <v>0</v>
      </c>
      <c r="H673" s="36" t="b">
        <v>0</v>
      </c>
      <c r="I673" s="36" t="b">
        <v>0</v>
      </c>
      <c r="J673" s="36" t="b">
        <v>0</v>
      </c>
      <c r="K673" s="36" t="b">
        <v>0</v>
      </c>
      <c r="L673" s="36" t="b">
        <v>0</v>
      </c>
      <c r="M673" s="36" t="b">
        <v>1</v>
      </c>
      <c r="N673" s="36" t="b">
        <v>0</v>
      </c>
      <c r="O673" s="36" t="b">
        <v>0</v>
      </c>
      <c r="P673" s="36" t="b">
        <v>0</v>
      </c>
      <c r="Q673" s="36" t="b">
        <v>0</v>
      </c>
      <c r="R673" s="40" t="b">
        <v>0</v>
      </c>
    </row>
    <row r="674" spans="1:18" ht="15.75" hidden="1" customHeight="1">
      <c r="A674" s="37" t="s">
        <v>2184</v>
      </c>
      <c r="B674" s="38"/>
      <c r="C674" s="38" t="s">
        <v>2185</v>
      </c>
      <c r="D674" s="38" t="s">
        <v>2186</v>
      </c>
      <c r="E674" s="36"/>
      <c r="F674" s="40" t="s">
        <v>34</v>
      </c>
      <c r="G674" s="36" t="b">
        <v>0</v>
      </c>
      <c r="H674" s="36" t="b">
        <v>0</v>
      </c>
      <c r="I674" s="36" t="b">
        <v>0</v>
      </c>
      <c r="J674" s="36" t="b">
        <v>0</v>
      </c>
      <c r="K674" s="36" t="b">
        <v>0</v>
      </c>
      <c r="L674" s="36" t="b">
        <v>0</v>
      </c>
      <c r="M674" s="36" t="b">
        <v>0</v>
      </c>
      <c r="N674" s="36" t="b">
        <v>0</v>
      </c>
      <c r="O674" s="36" t="b">
        <v>0</v>
      </c>
      <c r="P674" s="36" t="b">
        <v>0</v>
      </c>
      <c r="Q674" s="36" t="b">
        <v>1</v>
      </c>
      <c r="R674" s="40" t="b">
        <v>0</v>
      </c>
    </row>
    <row r="675" spans="1:18" ht="15.75" customHeight="1">
      <c r="A675" s="61" t="s">
        <v>2187</v>
      </c>
      <c r="B675" s="15" t="s">
        <v>2188</v>
      </c>
      <c r="C675" s="44" t="s">
        <v>2189</v>
      </c>
      <c r="D675" s="17" t="s">
        <v>2190</v>
      </c>
      <c r="E675" s="18" t="s">
        <v>178</v>
      </c>
      <c r="F675" s="19" t="s">
        <v>27</v>
      </c>
      <c r="G675" s="18" t="b">
        <v>0</v>
      </c>
      <c r="H675" s="18" t="b">
        <v>0</v>
      </c>
      <c r="I675" s="18" t="b">
        <v>0</v>
      </c>
      <c r="J675" s="18" t="b">
        <v>0</v>
      </c>
      <c r="K675" s="18" t="b">
        <v>0</v>
      </c>
      <c r="L675" s="18" t="b">
        <v>0</v>
      </c>
      <c r="M675" s="18" t="b">
        <v>0</v>
      </c>
      <c r="N675" s="18" t="b">
        <v>1</v>
      </c>
      <c r="O675" s="18" t="b">
        <v>0</v>
      </c>
      <c r="P675" s="18" t="b">
        <v>0</v>
      </c>
      <c r="Q675" s="18" t="b">
        <v>0</v>
      </c>
      <c r="R675" s="19" t="b">
        <v>0</v>
      </c>
    </row>
    <row r="676" spans="1:18" ht="15.75" customHeight="1">
      <c r="A676" s="61" t="s">
        <v>2191</v>
      </c>
      <c r="B676" s="15" t="s">
        <v>2191</v>
      </c>
      <c r="C676" s="44" t="s">
        <v>2192</v>
      </c>
      <c r="D676" s="45" t="s">
        <v>2193</v>
      </c>
      <c r="E676" s="18" t="s">
        <v>52</v>
      </c>
      <c r="F676" s="19" t="s">
        <v>27</v>
      </c>
      <c r="G676" s="18" t="b">
        <v>0</v>
      </c>
      <c r="H676" s="18" t="b">
        <v>0</v>
      </c>
      <c r="I676" s="18" t="b">
        <v>0</v>
      </c>
      <c r="J676" s="18" t="b">
        <v>1</v>
      </c>
      <c r="K676" s="18" t="b">
        <v>0</v>
      </c>
      <c r="L676" s="18" t="b">
        <v>0</v>
      </c>
      <c r="M676" s="18" t="b">
        <v>0</v>
      </c>
      <c r="N676" s="18" t="b">
        <v>0</v>
      </c>
      <c r="O676" s="18" t="b">
        <v>0</v>
      </c>
      <c r="P676" s="18" t="b">
        <v>0</v>
      </c>
      <c r="Q676" s="18" t="b">
        <v>0</v>
      </c>
      <c r="R676" s="19" t="b">
        <v>0</v>
      </c>
    </row>
    <row r="677" spans="1:18" ht="15.75" customHeight="1">
      <c r="A677" s="61" t="s">
        <v>2194</v>
      </c>
      <c r="B677" s="15" t="s">
        <v>2194</v>
      </c>
      <c r="C677" s="44" t="s">
        <v>2195</v>
      </c>
      <c r="D677" s="45" t="s">
        <v>2196</v>
      </c>
      <c r="E677" s="18" t="s">
        <v>52</v>
      </c>
      <c r="F677" s="19" t="s">
        <v>27</v>
      </c>
      <c r="G677" s="18" t="b">
        <v>0</v>
      </c>
      <c r="H677" s="18" t="b">
        <v>0</v>
      </c>
      <c r="I677" s="18" t="b">
        <v>0</v>
      </c>
      <c r="J677" s="18" t="b">
        <v>1</v>
      </c>
      <c r="K677" s="18" t="b">
        <v>1</v>
      </c>
      <c r="L677" s="18" t="b">
        <v>0</v>
      </c>
      <c r="M677" s="18" t="b">
        <v>0</v>
      </c>
      <c r="N677" s="18" t="b">
        <v>0</v>
      </c>
      <c r="O677" s="18" t="b">
        <v>0</v>
      </c>
      <c r="P677" s="18" t="b">
        <v>0</v>
      </c>
      <c r="Q677" s="18" t="b">
        <v>0</v>
      </c>
      <c r="R677" s="19" t="b">
        <v>0</v>
      </c>
    </row>
    <row r="678" spans="1:18" ht="15.75" customHeight="1">
      <c r="A678" s="61" t="s">
        <v>2197</v>
      </c>
      <c r="B678" s="15" t="s">
        <v>2198</v>
      </c>
      <c r="C678" s="44" t="s">
        <v>2199</v>
      </c>
      <c r="D678" s="45" t="s">
        <v>2200</v>
      </c>
      <c r="E678" s="18" t="s">
        <v>52</v>
      </c>
      <c r="F678" s="19" t="s">
        <v>27</v>
      </c>
      <c r="G678" s="18" t="b">
        <v>0</v>
      </c>
      <c r="H678" s="18" t="b">
        <v>0</v>
      </c>
      <c r="I678" s="18" t="b">
        <v>0</v>
      </c>
      <c r="J678" s="18" t="b">
        <v>1</v>
      </c>
      <c r="K678" s="18" t="b">
        <v>0</v>
      </c>
      <c r="L678" s="18" t="b">
        <v>0</v>
      </c>
      <c r="M678" s="18" t="b">
        <v>0</v>
      </c>
      <c r="N678" s="18" t="b">
        <v>0</v>
      </c>
      <c r="O678" s="18" t="b">
        <v>0</v>
      </c>
      <c r="P678" s="18" t="b">
        <v>0</v>
      </c>
      <c r="Q678" s="18" t="b">
        <v>0</v>
      </c>
      <c r="R678" s="19" t="b">
        <v>0</v>
      </c>
    </row>
    <row r="679" spans="1:18" ht="15.75" customHeight="1">
      <c r="A679" s="61" t="s">
        <v>2201</v>
      </c>
      <c r="B679" s="15" t="s">
        <v>2201</v>
      </c>
      <c r="C679" s="31" t="s">
        <v>2202</v>
      </c>
      <c r="D679" s="90" t="s">
        <v>2203</v>
      </c>
      <c r="E679" s="16" t="s">
        <v>69</v>
      </c>
      <c r="F679" s="19" t="s">
        <v>27</v>
      </c>
      <c r="G679" s="18" t="b">
        <v>0</v>
      </c>
      <c r="H679" s="18" t="b">
        <v>0</v>
      </c>
      <c r="I679" s="18" t="b">
        <v>0</v>
      </c>
      <c r="J679" s="18" t="b">
        <v>0</v>
      </c>
      <c r="K679" s="18" t="b">
        <v>0</v>
      </c>
      <c r="L679" s="18" t="b">
        <v>0</v>
      </c>
      <c r="M679" s="18" t="b">
        <v>0</v>
      </c>
      <c r="N679" s="18" t="b">
        <v>0</v>
      </c>
      <c r="O679" s="18" t="b">
        <v>1</v>
      </c>
      <c r="P679" s="18" t="b">
        <v>0</v>
      </c>
      <c r="Q679" s="18" t="b">
        <v>0</v>
      </c>
      <c r="R679" s="19" t="b">
        <v>0</v>
      </c>
    </row>
    <row r="680" spans="1:18" ht="15.75" hidden="1" customHeight="1">
      <c r="A680" s="30" t="s">
        <v>2204</v>
      </c>
      <c r="B680" s="15" t="s">
        <v>2205</v>
      </c>
      <c r="C680" s="176" t="s">
        <v>2206</v>
      </c>
      <c r="D680" s="88" t="s">
        <v>2207</v>
      </c>
      <c r="E680" s="16"/>
      <c r="F680" s="33" t="s">
        <v>38</v>
      </c>
      <c r="G680" s="16" t="b">
        <v>0</v>
      </c>
      <c r="H680" s="16" t="b">
        <v>1</v>
      </c>
      <c r="I680" s="16" t="b">
        <v>0</v>
      </c>
      <c r="J680" s="16" t="b">
        <v>0</v>
      </c>
      <c r="K680" s="16"/>
      <c r="L680" s="16"/>
      <c r="M680" s="16" t="b">
        <v>0</v>
      </c>
      <c r="N680" s="16" t="b">
        <v>0</v>
      </c>
      <c r="O680" s="16" t="b">
        <v>0</v>
      </c>
      <c r="P680" s="16" t="b">
        <v>0</v>
      </c>
      <c r="Q680" s="16" t="b">
        <v>0</v>
      </c>
      <c r="R680" s="33" t="b">
        <v>0</v>
      </c>
    </row>
    <row r="681" spans="1:18" ht="15.75" hidden="1" customHeight="1">
      <c r="A681" s="177" t="s">
        <v>2208</v>
      </c>
      <c r="B681" s="172"/>
      <c r="C681" s="172" t="s">
        <v>2209</v>
      </c>
      <c r="D681" s="172" t="s">
        <v>2210</v>
      </c>
      <c r="E681" s="36"/>
      <c r="F681" s="40" t="s">
        <v>34</v>
      </c>
      <c r="G681" s="36" t="b">
        <v>0</v>
      </c>
      <c r="H681" s="36" t="b">
        <v>0</v>
      </c>
      <c r="I681" s="36" t="b">
        <v>0</v>
      </c>
      <c r="J681" s="36" t="b">
        <v>0</v>
      </c>
      <c r="K681" s="36" t="b">
        <v>0</v>
      </c>
      <c r="L681" s="36" t="b">
        <v>0</v>
      </c>
      <c r="M681" s="36" t="b">
        <v>0</v>
      </c>
      <c r="N681" s="36" t="b">
        <v>0</v>
      </c>
      <c r="O681" s="36" t="b">
        <v>1</v>
      </c>
      <c r="P681" s="36" t="b">
        <v>0</v>
      </c>
      <c r="Q681" s="36" t="b">
        <v>0</v>
      </c>
      <c r="R681" s="40" t="b">
        <v>0</v>
      </c>
    </row>
    <row r="682" spans="1:18" ht="15.75" customHeight="1">
      <c r="A682" s="61" t="s">
        <v>2211</v>
      </c>
      <c r="B682" s="15" t="s">
        <v>2211</v>
      </c>
      <c r="C682" s="31" t="s">
        <v>2212</v>
      </c>
      <c r="D682" s="90" t="s">
        <v>2213</v>
      </c>
      <c r="E682" s="18" t="s">
        <v>154</v>
      </c>
      <c r="F682" s="19" t="s">
        <v>27</v>
      </c>
      <c r="G682" s="18" t="b">
        <v>0</v>
      </c>
      <c r="H682" s="18" t="b">
        <v>0</v>
      </c>
      <c r="I682" s="18" t="b">
        <v>0</v>
      </c>
      <c r="J682" s="18" t="b">
        <v>0</v>
      </c>
      <c r="K682" s="18" t="b">
        <v>1</v>
      </c>
      <c r="L682" s="18" t="b">
        <v>0</v>
      </c>
      <c r="M682" s="18" t="b">
        <v>0</v>
      </c>
      <c r="N682" s="18" t="b">
        <v>0</v>
      </c>
      <c r="O682" s="18" t="b">
        <v>0</v>
      </c>
      <c r="P682" s="18" t="b">
        <v>0</v>
      </c>
      <c r="Q682" s="18" t="b">
        <v>0</v>
      </c>
      <c r="R682" s="19" t="b">
        <v>0</v>
      </c>
    </row>
    <row r="683" spans="1:18" ht="15.75" customHeight="1">
      <c r="A683" s="61" t="s">
        <v>2214</v>
      </c>
      <c r="B683" s="15"/>
      <c r="C683" s="76" t="s">
        <v>2215</v>
      </c>
      <c r="D683" s="76" t="s">
        <v>2216</v>
      </c>
      <c r="E683" s="16" t="s">
        <v>33</v>
      </c>
      <c r="F683" s="19" t="s">
        <v>27</v>
      </c>
      <c r="G683" s="16" t="b">
        <v>0</v>
      </c>
      <c r="H683" s="16" t="b">
        <v>0</v>
      </c>
      <c r="I683" s="16" t="b">
        <v>0</v>
      </c>
      <c r="J683" s="16" t="b">
        <v>0</v>
      </c>
      <c r="K683" s="16" t="b">
        <v>0</v>
      </c>
      <c r="L683" s="16" t="b">
        <v>0</v>
      </c>
      <c r="M683" s="16" t="b">
        <v>0</v>
      </c>
      <c r="N683" s="16" t="b">
        <v>0</v>
      </c>
      <c r="O683" s="16" t="b">
        <v>0</v>
      </c>
      <c r="P683" s="16" t="b">
        <v>0</v>
      </c>
      <c r="Q683" s="16" t="b">
        <v>0</v>
      </c>
      <c r="R683" s="33" t="b">
        <v>1</v>
      </c>
    </row>
    <row r="684" spans="1:18" ht="15.75" customHeight="1">
      <c r="A684" s="61" t="s">
        <v>2217</v>
      </c>
      <c r="B684" s="15" t="s">
        <v>2217</v>
      </c>
      <c r="C684" s="44" t="s">
        <v>2218</v>
      </c>
      <c r="D684" s="45" t="s">
        <v>2219</v>
      </c>
      <c r="E684" s="18" t="s">
        <v>154</v>
      </c>
      <c r="F684" s="19" t="s">
        <v>27</v>
      </c>
      <c r="G684" s="18" t="b">
        <v>0</v>
      </c>
      <c r="H684" s="18" t="b">
        <v>0</v>
      </c>
      <c r="I684" s="18" t="b">
        <v>1</v>
      </c>
      <c r="J684" s="18" t="b">
        <v>0</v>
      </c>
      <c r="K684" s="18" t="b">
        <v>0</v>
      </c>
      <c r="L684" s="18" t="b">
        <v>0</v>
      </c>
      <c r="M684" s="18" t="b">
        <v>0</v>
      </c>
      <c r="N684" s="18" t="b">
        <v>0</v>
      </c>
      <c r="O684" s="18" t="b">
        <v>0</v>
      </c>
      <c r="P684" s="18" t="b">
        <v>0</v>
      </c>
      <c r="Q684" s="18" t="b">
        <v>0</v>
      </c>
      <c r="R684" s="19" t="b">
        <v>0</v>
      </c>
    </row>
    <row r="685" spans="1:18" ht="15.75" hidden="1" customHeight="1">
      <c r="A685" s="37" t="s">
        <v>2220</v>
      </c>
      <c r="B685" s="172"/>
      <c r="C685" s="172" t="s">
        <v>2221</v>
      </c>
      <c r="D685" s="172" t="s">
        <v>2222</v>
      </c>
      <c r="E685" s="36"/>
      <c r="F685" s="40" t="s">
        <v>34</v>
      </c>
      <c r="G685" s="36" t="b">
        <v>0</v>
      </c>
      <c r="H685" s="36" t="b">
        <v>0</v>
      </c>
      <c r="I685" s="36" t="b">
        <v>0</v>
      </c>
      <c r="J685" s="36" t="b">
        <v>0</v>
      </c>
      <c r="K685" s="36" t="b">
        <v>0</v>
      </c>
      <c r="L685" s="36" t="b">
        <v>0</v>
      </c>
      <c r="M685" s="36" t="b">
        <v>0</v>
      </c>
      <c r="N685" s="36" t="b">
        <v>0</v>
      </c>
      <c r="O685" s="36" t="b">
        <v>0</v>
      </c>
      <c r="P685" s="36" t="b">
        <v>0</v>
      </c>
      <c r="Q685" s="36" t="b">
        <v>0</v>
      </c>
      <c r="R685" s="40" t="b">
        <v>1</v>
      </c>
    </row>
    <row r="686" spans="1:18" ht="15.75" hidden="1" customHeight="1">
      <c r="A686" s="37" t="s">
        <v>254</v>
      </c>
      <c r="B686" s="172"/>
      <c r="C686" s="172" t="s">
        <v>255</v>
      </c>
      <c r="D686" s="172" t="s">
        <v>256</v>
      </c>
      <c r="E686" s="36"/>
      <c r="F686" s="40" t="s">
        <v>34</v>
      </c>
      <c r="G686" s="36" t="b">
        <v>0</v>
      </c>
      <c r="H686" s="36" t="b">
        <v>0</v>
      </c>
      <c r="I686" s="36" t="b">
        <v>0</v>
      </c>
      <c r="J686" s="36" t="b">
        <v>0</v>
      </c>
      <c r="K686" s="36" t="b">
        <v>0</v>
      </c>
      <c r="L686" s="36" t="b">
        <v>0</v>
      </c>
      <c r="M686" s="36" t="b">
        <v>0</v>
      </c>
      <c r="N686" s="36" t="b">
        <v>0</v>
      </c>
      <c r="O686" s="36" t="b">
        <v>1</v>
      </c>
      <c r="P686" s="36" t="b">
        <v>0</v>
      </c>
      <c r="Q686" s="36" t="b">
        <v>0</v>
      </c>
      <c r="R686" s="40" t="b">
        <v>0</v>
      </c>
    </row>
    <row r="687" spans="1:18" ht="15.75" hidden="1" customHeight="1">
      <c r="A687" s="144" t="s">
        <v>2223</v>
      </c>
      <c r="B687" s="183"/>
      <c r="C687" s="183" t="s">
        <v>2224</v>
      </c>
      <c r="D687" s="38" t="s">
        <v>2225</v>
      </c>
      <c r="E687" s="36"/>
      <c r="F687" s="40" t="s">
        <v>38</v>
      </c>
      <c r="G687" s="36" t="b">
        <v>0</v>
      </c>
      <c r="H687" s="36" t="b">
        <v>0</v>
      </c>
      <c r="I687" s="36" t="b">
        <v>0</v>
      </c>
      <c r="J687" s="36" t="b">
        <v>0</v>
      </c>
      <c r="M687" s="36" t="b">
        <v>0</v>
      </c>
      <c r="N687" s="36" t="b">
        <v>0</v>
      </c>
      <c r="O687" s="36" t="b">
        <v>0</v>
      </c>
      <c r="P687" s="36" t="b">
        <v>0</v>
      </c>
      <c r="Q687" s="36" t="b">
        <v>0</v>
      </c>
      <c r="R687" s="40" t="b">
        <v>1</v>
      </c>
    </row>
    <row r="688" spans="1:18" ht="15.75" hidden="1" customHeight="1">
      <c r="A688" s="30" t="s">
        <v>2226</v>
      </c>
      <c r="B688" s="72" t="s">
        <v>2227</v>
      </c>
      <c r="C688" s="90" t="s">
        <v>2228</v>
      </c>
      <c r="D688" s="31" t="s">
        <v>2229</v>
      </c>
      <c r="E688" s="16"/>
      <c r="F688" s="33" t="s">
        <v>38</v>
      </c>
      <c r="G688" s="16" t="b">
        <v>0</v>
      </c>
      <c r="H688" s="16" t="b">
        <v>0</v>
      </c>
      <c r="I688" s="16" t="b">
        <v>0</v>
      </c>
      <c r="J688" s="16" t="b">
        <v>0</v>
      </c>
      <c r="K688" s="16"/>
      <c r="L688" s="16"/>
      <c r="M688" s="16" t="b">
        <v>1</v>
      </c>
      <c r="N688" s="16" t="b">
        <v>0</v>
      </c>
      <c r="O688" s="16" t="b">
        <v>0</v>
      </c>
      <c r="P688" s="16" t="b">
        <v>0</v>
      </c>
      <c r="Q688" s="16" t="b">
        <v>0</v>
      </c>
      <c r="R688" s="33" t="b">
        <v>0</v>
      </c>
    </row>
    <row r="689" spans="1:18" ht="15.75" hidden="1" customHeight="1">
      <c r="A689" s="17" t="s">
        <v>2230</v>
      </c>
      <c r="B689" s="15"/>
      <c r="C689" s="31" t="s">
        <v>2231</v>
      </c>
      <c r="D689" s="31" t="s">
        <v>2232</v>
      </c>
      <c r="E689" s="16" t="s">
        <v>69</v>
      </c>
      <c r="F689" s="19" t="s">
        <v>38</v>
      </c>
      <c r="G689" s="16" t="b">
        <v>0</v>
      </c>
      <c r="H689" s="16" t="b">
        <v>0</v>
      </c>
      <c r="I689" s="16" t="b">
        <v>0</v>
      </c>
      <c r="J689" s="16" t="b">
        <v>0</v>
      </c>
      <c r="K689" s="16" t="b">
        <v>0</v>
      </c>
      <c r="L689" s="16" t="b">
        <v>0</v>
      </c>
      <c r="M689" s="16" t="b">
        <v>0</v>
      </c>
      <c r="N689" s="16" t="b">
        <v>0</v>
      </c>
      <c r="O689" s="16" t="b">
        <v>1</v>
      </c>
      <c r="P689" s="16" t="b">
        <v>0</v>
      </c>
      <c r="Q689" s="16" t="b">
        <v>0</v>
      </c>
      <c r="R689" s="33" t="b">
        <v>0</v>
      </c>
    </row>
    <row r="690" spans="1:18" ht="15.75" hidden="1" customHeight="1">
      <c r="A690" s="17" t="s">
        <v>2233</v>
      </c>
      <c r="B690" s="15" t="s">
        <v>2234</v>
      </c>
      <c r="C690" s="44" t="s">
        <v>2235</v>
      </c>
      <c r="D690" s="44" t="s">
        <v>2236</v>
      </c>
      <c r="E690" s="16" t="s">
        <v>60</v>
      </c>
      <c r="F690" s="19" t="s">
        <v>38</v>
      </c>
      <c r="G690" s="18" t="b">
        <v>0</v>
      </c>
      <c r="H690" s="18" t="b">
        <v>0</v>
      </c>
      <c r="I690" s="18" t="b">
        <v>0</v>
      </c>
      <c r="J690" s="18" t="b">
        <v>0</v>
      </c>
      <c r="K690" s="18" t="b">
        <v>0</v>
      </c>
      <c r="L690" s="18" t="b">
        <v>0</v>
      </c>
      <c r="M690" s="18" t="b">
        <v>1</v>
      </c>
      <c r="N690" s="18" t="b">
        <v>0</v>
      </c>
      <c r="O690" s="18" t="b">
        <v>0</v>
      </c>
      <c r="P690" s="18" t="b">
        <v>0</v>
      </c>
      <c r="Q690" s="18" t="b">
        <v>0</v>
      </c>
      <c r="R690" s="19" t="b">
        <v>0</v>
      </c>
    </row>
    <row r="691" spans="1:18" ht="15.75" hidden="1" customHeight="1">
      <c r="A691" s="61" t="s">
        <v>2237</v>
      </c>
      <c r="B691" s="15" t="s">
        <v>2238</v>
      </c>
      <c r="C691" s="31" t="s">
        <v>2239</v>
      </c>
      <c r="D691" s="31" t="s">
        <v>2240</v>
      </c>
      <c r="E691" s="16" t="s">
        <v>178</v>
      </c>
      <c r="F691" s="33" t="s">
        <v>38</v>
      </c>
      <c r="G691" s="16" t="b">
        <v>0</v>
      </c>
      <c r="H691" s="16" t="b">
        <v>0</v>
      </c>
      <c r="I691" s="16" t="b">
        <v>0</v>
      </c>
      <c r="J691" s="16" t="b">
        <v>0</v>
      </c>
      <c r="K691" s="16" t="b">
        <v>0</v>
      </c>
      <c r="L691" s="16" t="b">
        <v>0</v>
      </c>
      <c r="M691" s="16" t="b">
        <v>1</v>
      </c>
      <c r="N691" s="16" t="b">
        <v>1</v>
      </c>
      <c r="O691" s="16" t="b">
        <v>0</v>
      </c>
      <c r="P691" s="16" t="b">
        <v>0</v>
      </c>
      <c r="Q691" s="16" t="b">
        <v>0</v>
      </c>
      <c r="R691" s="33" t="b">
        <v>0</v>
      </c>
    </row>
    <row r="692" spans="1:18" ht="15.75" customHeight="1">
      <c r="A692" s="61" t="s">
        <v>2241</v>
      </c>
      <c r="B692" s="15" t="s">
        <v>2242</v>
      </c>
      <c r="C692" s="16" t="s">
        <v>2243</v>
      </c>
      <c r="D692" s="76" t="s">
        <v>2244</v>
      </c>
      <c r="E692" s="16" t="s">
        <v>140</v>
      </c>
      <c r="F692" s="19" t="s">
        <v>27</v>
      </c>
      <c r="G692" s="18" t="b">
        <v>0</v>
      </c>
      <c r="H692" s="18" t="b">
        <v>1</v>
      </c>
      <c r="I692" s="18" t="b">
        <v>0</v>
      </c>
      <c r="J692" s="18" t="b">
        <v>0</v>
      </c>
      <c r="K692" s="18" t="b">
        <v>0</v>
      </c>
      <c r="L692" s="18" t="b">
        <v>0</v>
      </c>
      <c r="M692" s="18" t="b">
        <v>0</v>
      </c>
      <c r="N692" s="18" t="b">
        <v>0</v>
      </c>
      <c r="O692" s="18" t="b">
        <v>0</v>
      </c>
      <c r="P692" s="18" t="b">
        <v>0</v>
      </c>
      <c r="Q692" s="18" t="b">
        <v>0</v>
      </c>
      <c r="R692" s="19" t="b">
        <v>0</v>
      </c>
    </row>
    <row r="693" spans="1:18" ht="15.75" hidden="1" customHeight="1">
      <c r="A693" s="36" t="s">
        <v>2245</v>
      </c>
      <c r="B693" s="128"/>
      <c r="C693" s="128" t="s">
        <v>2246</v>
      </c>
      <c r="D693" s="128" t="s">
        <v>2247</v>
      </c>
      <c r="E693" s="36"/>
      <c r="F693" s="40" t="s">
        <v>34</v>
      </c>
      <c r="G693" s="36" t="b">
        <v>0</v>
      </c>
      <c r="H693" s="36" t="b">
        <v>0</v>
      </c>
      <c r="I693" s="36" t="b">
        <v>0</v>
      </c>
      <c r="J693" s="36" t="b">
        <v>0</v>
      </c>
      <c r="K693" s="36" t="b">
        <v>0</v>
      </c>
      <c r="L693" s="36" t="b">
        <v>0</v>
      </c>
      <c r="M693" s="36" t="b">
        <v>1</v>
      </c>
      <c r="N693" s="36" t="b">
        <v>0</v>
      </c>
      <c r="O693" s="36" t="b">
        <v>0</v>
      </c>
      <c r="P693" s="36" t="b">
        <v>0</v>
      </c>
      <c r="Q693" s="36" t="b">
        <v>0</v>
      </c>
      <c r="R693" s="40" t="b">
        <v>0</v>
      </c>
    </row>
    <row r="694" spans="1:18" ht="15.75" customHeight="1">
      <c r="A694" s="61" t="s">
        <v>2248</v>
      </c>
      <c r="B694" s="15" t="s">
        <v>2248</v>
      </c>
      <c r="C694" s="44" t="s">
        <v>2249</v>
      </c>
      <c r="D694" s="45" t="s">
        <v>2250</v>
      </c>
      <c r="E694" s="16" t="s">
        <v>60</v>
      </c>
      <c r="F694" s="19" t="s">
        <v>27</v>
      </c>
      <c r="G694" s="18" t="b">
        <v>0</v>
      </c>
      <c r="H694" s="18" t="b">
        <v>0</v>
      </c>
      <c r="I694" s="18" t="b">
        <v>0</v>
      </c>
      <c r="J694" s="18" t="b">
        <v>0</v>
      </c>
      <c r="K694" s="18" t="b">
        <v>0</v>
      </c>
      <c r="L694" s="18" t="b">
        <v>0</v>
      </c>
      <c r="M694" s="18" t="b">
        <v>1</v>
      </c>
      <c r="N694" s="18" t="b">
        <v>0</v>
      </c>
      <c r="O694" s="18" t="b">
        <v>0</v>
      </c>
      <c r="P694" s="18" t="b">
        <v>0</v>
      </c>
      <c r="Q694" s="18" t="b">
        <v>0</v>
      </c>
      <c r="R694" s="19" t="b">
        <v>0</v>
      </c>
    </row>
    <row r="695" spans="1:18" ht="15.75" customHeight="1">
      <c r="A695" s="61" t="s">
        <v>2251</v>
      </c>
      <c r="B695" s="15" t="s">
        <v>2251</v>
      </c>
      <c r="C695" s="18" t="s">
        <v>2252</v>
      </c>
      <c r="D695" s="17" t="s">
        <v>2253</v>
      </c>
      <c r="E695" s="18" t="s">
        <v>69</v>
      </c>
      <c r="F695" s="19" t="s">
        <v>27</v>
      </c>
      <c r="G695" s="18" t="b">
        <v>0</v>
      </c>
      <c r="H695" s="18" t="b">
        <v>0</v>
      </c>
      <c r="I695" s="18" t="b">
        <v>0</v>
      </c>
      <c r="J695" s="18" t="b">
        <v>0</v>
      </c>
      <c r="K695" s="18" t="b">
        <v>0</v>
      </c>
      <c r="L695" s="18" t="b">
        <v>0</v>
      </c>
      <c r="M695" s="18" t="b">
        <v>0</v>
      </c>
      <c r="N695" s="18" t="b">
        <v>0</v>
      </c>
      <c r="O695" s="18" t="b">
        <v>1</v>
      </c>
      <c r="P695" s="18" t="b">
        <v>0</v>
      </c>
      <c r="Q695" s="18" t="b">
        <v>0</v>
      </c>
      <c r="R695" s="19" t="b">
        <v>0</v>
      </c>
    </row>
    <row r="696" spans="1:18" ht="15.75" customHeight="1">
      <c r="A696" s="61" t="s">
        <v>2254</v>
      </c>
      <c r="B696" s="15" t="s">
        <v>2254</v>
      </c>
      <c r="C696" s="44" t="s">
        <v>2255</v>
      </c>
      <c r="D696" s="45" t="s">
        <v>2256</v>
      </c>
      <c r="E696" s="18" t="s">
        <v>154</v>
      </c>
      <c r="F696" s="19" t="s">
        <v>27</v>
      </c>
      <c r="G696" s="18" t="b">
        <v>0</v>
      </c>
      <c r="H696" s="18" t="b">
        <v>0</v>
      </c>
      <c r="I696" s="18" t="b">
        <v>1</v>
      </c>
      <c r="J696" s="18" t="b">
        <v>0</v>
      </c>
      <c r="K696" s="18" t="b">
        <v>0</v>
      </c>
      <c r="L696" s="18" t="b">
        <v>0</v>
      </c>
      <c r="M696" s="18" t="b">
        <v>0</v>
      </c>
      <c r="N696" s="18" t="b">
        <v>0</v>
      </c>
      <c r="O696" s="18" t="b">
        <v>0</v>
      </c>
      <c r="P696" s="18" t="b">
        <v>0</v>
      </c>
      <c r="Q696" s="18" t="b">
        <v>0</v>
      </c>
      <c r="R696" s="19" t="b">
        <v>0</v>
      </c>
    </row>
    <row r="697" spans="1:18" ht="15.75" customHeight="1">
      <c r="A697" s="61" t="s">
        <v>2257</v>
      </c>
      <c r="B697" s="15" t="s">
        <v>2257</v>
      </c>
      <c r="C697" s="101" t="s">
        <v>2258</v>
      </c>
      <c r="D697" s="101" t="s">
        <v>2259</v>
      </c>
      <c r="E697" s="18" t="s">
        <v>990</v>
      </c>
      <c r="F697" s="19" t="s">
        <v>27</v>
      </c>
      <c r="G697" s="18" t="b">
        <v>0</v>
      </c>
      <c r="H697" s="18" t="b">
        <v>0</v>
      </c>
      <c r="I697" s="18" t="b">
        <v>0</v>
      </c>
      <c r="J697" s="18" t="b">
        <v>0</v>
      </c>
      <c r="K697" s="18" t="b">
        <v>0</v>
      </c>
      <c r="L697" s="18" t="b">
        <v>0</v>
      </c>
      <c r="M697" s="18" t="b">
        <v>0</v>
      </c>
      <c r="N697" s="18" t="b">
        <v>0</v>
      </c>
      <c r="O697" s="18" t="b">
        <v>0</v>
      </c>
      <c r="P697" s="18" t="b">
        <v>0</v>
      </c>
      <c r="Q697" s="18" t="b">
        <v>0</v>
      </c>
      <c r="R697" s="19" t="b">
        <v>1</v>
      </c>
    </row>
    <row r="698" spans="1:18" ht="15.75" customHeight="1">
      <c r="A698" s="61" t="s">
        <v>2260</v>
      </c>
      <c r="B698" s="15" t="s">
        <v>2260</v>
      </c>
      <c r="C698" s="44" t="s">
        <v>2261</v>
      </c>
      <c r="D698" s="45" t="s">
        <v>2262</v>
      </c>
      <c r="E698" s="18" t="s">
        <v>154</v>
      </c>
      <c r="F698" s="19" t="s">
        <v>27</v>
      </c>
      <c r="G698" s="18" t="b">
        <v>0</v>
      </c>
      <c r="H698" s="18" t="b">
        <v>0</v>
      </c>
      <c r="I698" s="18" t="b">
        <v>0</v>
      </c>
      <c r="J698" s="18" t="b">
        <v>0</v>
      </c>
      <c r="K698" s="18" t="b">
        <v>1</v>
      </c>
      <c r="L698" s="18" t="b">
        <v>0</v>
      </c>
      <c r="M698" s="18" t="b">
        <v>0</v>
      </c>
      <c r="N698" s="18" t="b">
        <v>0</v>
      </c>
      <c r="O698" s="18" t="b">
        <v>0</v>
      </c>
      <c r="P698" s="18" t="b">
        <v>0</v>
      </c>
      <c r="Q698" s="18" t="b">
        <v>0</v>
      </c>
      <c r="R698" s="19" t="b">
        <v>0</v>
      </c>
    </row>
    <row r="699" spans="1:18" ht="15.75" customHeight="1">
      <c r="A699" s="61" t="s">
        <v>2263</v>
      </c>
      <c r="B699" s="15" t="s">
        <v>2263</v>
      </c>
      <c r="C699" s="31" t="s">
        <v>2264</v>
      </c>
      <c r="D699" s="17" t="s">
        <v>2265</v>
      </c>
      <c r="E699" s="18" t="s">
        <v>178</v>
      </c>
      <c r="F699" s="19" t="s">
        <v>27</v>
      </c>
      <c r="G699" s="18" t="b">
        <v>0</v>
      </c>
      <c r="H699" s="18" t="b">
        <v>0</v>
      </c>
      <c r="I699" s="18" t="b">
        <v>0</v>
      </c>
      <c r="J699" s="18" t="b">
        <v>0</v>
      </c>
      <c r="K699" s="18" t="b">
        <v>0</v>
      </c>
      <c r="L699" s="18" t="b">
        <v>0</v>
      </c>
      <c r="M699" s="18" t="b">
        <v>0</v>
      </c>
      <c r="N699" s="18" t="b">
        <v>1</v>
      </c>
      <c r="O699" s="18" t="b">
        <v>0</v>
      </c>
      <c r="P699" s="18" t="b">
        <v>0</v>
      </c>
      <c r="Q699" s="18" t="b">
        <v>0</v>
      </c>
      <c r="R699" s="19" t="b">
        <v>0</v>
      </c>
    </row>
    <row r="700" spans="1:18" ht="15.75" customHeight="1">
      <c r="A700" s="61" t="s">
        <v>2266</v>
      </c>
      <c r="B700" s="15" t="s">
        <v>2267</v>
      </c>
      <c r="C700" s="31" t="s">
        <v>2268</v>
      </c>
      <c r="D700" s="17" t="s">
        <v>2269</v>
      </c>
      <c r="E700" s="18" t="s">
        <v>178</v>
      </c>
      <c r="F700" s="19" t="s">
        <v>27</v>
      </c>
      <c r="G700" s="18" t="b">
        <v>0</v>
      </c>
      <c r="H700" s="18" t="b">
        <v>0</v>
      </c>
      <c r="I700" s="18" t="b">
        <v>0</v>
      </c>
      <c r="J700" s="18" t="b">
        <v>0</v>
      </c>
      <c r="K700" s="18" t="b">
        <v>0</v>
      </c>
      <c r="L700" s="18" t="b">
        <v>0</v>
      </c>
      <c r="M700" s="18" t="b">
        <v>0</v>
      </c>
      <c r="N700" s="18" t="b">
        <v>1</v>
      </c>
      <c r="O700" s="18" t="b">
        <v>0</v>
      </c>
      <c r="P700" s="18" t="b">
        <v>0</v>
      </c>
      <c r="Q700" s="18" t="b">
        <v>0</v>
      </c>
      <c r="R700" s="19" t="b">
        <v>0</v>
      </c>
    </row>
    <row r="701" spans="1:18" ht="15.75" hidden="1" customHeight="1">
      <c r="A701" s="60" t="s">
        <v>2270</v>
      </c>
      <c r="B701" s="15" t="s">
        <v>2270</v>
      </c>
      <c r="C701" s="44" t="s">
        <v>2271</v>
      </c>
      <c r="D701" s="88" t="s">
        <v>2272</v>
      </c>
      <c r="E701" s="18" t="s">
        <v>33</v>
      </c>
      <c r="F701" s="19" t="s">
        <v>38</v>
      </c>
      <c r="G701" s="18" t="b">
        <v>0</v>
      </c>
      <c r="H701" s="18" t="b">
        <v>0</v>
      </c>
      <c r="I701" s="18" t="b">
        <v>0</v>
      </c>
      <c r="J701" s="18" t="b">
        <v>0</v>
      </c>
      <c r="K701" s="18" t="b">
        <v>0</v>
      </c>
      <c r="L701" s="18" t="b">
        <v>0</v>
      </c>
      <c r="M701" s="18" t="b">
        <v>0</v>
      </c>
      <c r="N701" s="18" t="b">
        <v>0</v>
      </c>
      <c r="O701" s="18" t="b">
        <v>0</v>
      </c>
      <c r="P701" s="18" t="b">
        <v>0</v>
      </c>
      <c r="Q701" s="18" t="b">
        <v>0</v>
      </c>
      <c r="R701" s="19" t="b">
        <v>1</v>
      </c>
    </row>
    <row r="702" spans="1:18" ht="15.75" customHeight="1">
      <c r="A702" s="61" t="s">
        <v>2273</v>
      </c>
      <c r="B702" s="15" t="s">
        <v>2273</v>
      </c>
      <c r="C702" s="67" t="s">
        <v>2274</v>
      </c>
      <c r="D702" s="76" t="s">
        <v>2275</v>
      </c>
      <c r="E702" s="18" t="s">
        <v>154</v>
      </c>
      <c r="F702" s="19" t="s">
        <v>27</v>
      </c>
      <c r="G702" s="18" t="b">
        <v>0</v>
      </c>
      <c r="H702" s="18" t="b">
        <v>0</v>
      </c>
      <c r="I702" s="18" t="b">
        <v>0</v>
      </c>
      <c r="J702" s="18" t="b">
        <v>0</v>
      </c>
      <c r="K702" s="18" t="b">
        <v>1</v>
      </c>
      <c r="L702" s="18" t="b">
        <v>0</v>
      </c>
      <c r="M702" s="18" t="b">
        <v>0</v>
      </c>
      <c r="N702" s="18" t="b">
        <v>0</v>
      </c>
      <c r="O702" s="18" t="b">
        <v>0</v>
      </c>
      <c r="P702" s="18" t="b">
        <v>0</v>
      </c>
      <c r="Q702" s="18" t="b">
        <v>0</v>
      </c>
      <c r="R702" s="19" t="b">
        <v>0</v>
      </c>
    </row>
    <row r="703" spans="1:18" ht="15.75" hidden="1" customHeight="1">
      <c r="A703" s="61" t="s">
        <v>2276</v>
      </c>
      <c r="B703" s="15"/>
      <c r="C703" s="31" t="s">
        <v>2277</v>
      </c>
      <c r="D703" s="31" t="s">
        <v>2278</v>
      </c>
      <c r="E703" s="16" t="s">
        <v>140</v>
      </c>
      <c r="F703" s="33" t="s">
        <v>34</v>
      </c>
      <c r="G703" s="16" t="b">
        <v>0</v>
      </c>
      <c r="H703" s="16" t="b">
        <v>1</v>
      </c>
      <c r="I703" s="16" t="b">
        <v>0</v>
      </c>
      <c r="J703" s="16" t="b">
        <v>0</v>
      </c>
      <c r="K703" s="16" t="b">
        <v>0</v>
      </c>
      <c r="L703" s="16" t="b">
        <v>0</v>
      </c>
      <c r="M703" s="16" t="b">
        <v>0</v>
      </c>
      <c r="N703" s="16" t="b">
        <v>0</v>
      </c>
      <c r="O703" s="16" t="b">
        <v>0</v>
      </c>
      <c r="P703" s="16" t="b">
        <v>0</v>
      </c>
      <c r="Q703" s="16" t="b">
        <v>0</v>
      </c>
      <c r="R703" s="33" t="b">
        <v>0</v>
      </c>
    </row>
    <row r="704" spans="1:18" ht="15.75" hidden="1" customHeight="1">
      <c r="A704" s="36" t="s">
        <v>2279</v>
      </c>
      <c r="B704" s="188"/>
      <c r="C704" s="188" t="s">
        <v>2280</v>
      </c>
      <c r="D704" s="188" t="s">
        <v>2281</v>
      </c>
      <c r="E704" s="36"/>
      <c r="F704" s="40" t="s">
        <v>38</v>
      </c>
      <c r="G704" s="36" t="b">
        <v>0</v>
      </c>
      <c r="H704" s="36" t="b">
        <v>0</v>
      </c>
      <c r="I704" s="36" t="b">
        <v>0</v>
      </c>
      <c r="J704" s="36" t="b">
        <v>0</v>
      </c>
      <c r="M704" s="36" t="b">
        <v>0</v>
      </c>
      <c r="N704" s="36" t="b">
        <v>0</v>
      </c>
      <c r="O704" s="36" t="b">
        <v>0</v>
      </c>
      <c r="P704" s="36" t="b">
        <v>0</v>
      </c>
      <c r="Q704" s="36" t="b">
        <v>0</v>
      </c>
      <c r="R704" s="40" t="b">
        <v>1</v>
      </c>
    </row>
    <row r="705" spans="1:18" ht="15.75" hidden="1" customHeight="1">
      <c r="A705" s="189" t="s">
        <v>2282</v>
      </c>
      <c r="B705" s="15" t="s">
        <v>2283</v>
      </c>
      <c r="C705" s="31" t="s">
        <v>2284</v>
      </c>
      <c r="D705" s="32" t="s">
        <v>2285</v>
      </c>
      <c r="E705" s="16" t="s">
        <v>33</v>
      </c>
      <c r="F705" s="33" t="s">
        <v>34</v>
      </c>
      <c r="G705" s="16" t="b">
        <v>0</v>
      </c>
      <c r="H705" s="16" t="b">
        <v>0</v>
      </c>
      <c r="I705" s="16" t="b">
        <v>0</v>
      </c>
      <c r="J705" s="16" t="b">
        <v>0</v>
      </c>
      <c r="K705" s="16" t="b">
        <v>0</v>
      </c>
      <c r="L705" s="16" t="b">
        <v>0</v>
      </c>
      <c r="M705" s="16" t="b">
        <v>0</v>
      </c>
      <c r="N705" s="16" t="b">
        <v>0</v>
      </c>
      <c r="O705" s="16" t="b">
        <v>0</v>
      </c>
      <c r="P705" s="16" t="b">
        <v>0</v>
      </c>
      <c r="Q705" s="16" t="b">
        <v>0</v>
      </c>
      <c r="R705" s="33" t="b">
        <v>1</v>
      </c>
    </row>
    <row r="706" spans="1:18" ht="15.75" customHeight="1">
      <c r="A706" s="61" t="s">
        <v>2286</v>
      </c>
      <c r="B706" s="15" t="s">
        <v>2286</v>
      </c>
      <c r="C706" s="16" t="s">
        <v>2287</v>
      </c>
      <c r="D706" s="76" t="s">
        <v>2288</v>
      </c>
      <c r="E706" s="16" t="s">
        <v>33</v>
      </c>
      <c r="F706" s="19" t="s">
        <v>27</v>
      </c>
      <c r="G706" s="18" t="b">
        <v>0</v>
      </c>
      <c r="H706" s="18" t="b">
        <v>0</v>
      </c>
      <c r="I706" s="18" t="b">
        <v>0</v>
      </c>
      <c r="J706" s="18" t="b">
        <v>0</v>
      </c>
      <c r="K706" s="18" t="b">
        <v>0</v>
      </c>
      <c r="L706" s="18" t="b">
        <v>0</v>
      </c>
      <c r="M706" s="18" t="b">
        <v>0</v>
      </c>
      <c r="N706" s="18" t="b">
        <v>0</v>
      </c>
      <c r="O706" s="18" t="b">
        <v>0</v>
      </c>
      <c r="P706" s="18" t="b">
        <v>0</v>
      </c>
      <c r="Q706" s="18" t="b">
        <v>0</v>
      </c>
      <c r="R706" s="19" t="b">
        <v>1</v>
      </c>
    </row>
    <row r="707" spans="1:18" ht="15.75" customHeight="1">
      <c r="A707" s="61" t="s">
        <v>2289</v>
      </c>
      <c r="B707" s="15" t="s">
        <v>2289</v>
      </c>
      <c r="C707" s="16" t="s">
        <v>2290</v>
      </c>
      <c r="D707" s="17" t="s">
        <v>2291</v>
      </c>
      <c r="E707" s="16" t="s">
        <v>178</v>
      </c>
      <c r="F707" s="19" t="s">
        <v>27</v>
      </c>
      <c r="G707" s="18" t="b">
        <v>0</v>
      </c>
      <c r="H707" s="18" t="b">
        <v>0</v>
      </c>
      <c r="I707" s="18" t="b">
        <v>0</v>
      </c>
      <c r="J707" s="18" t="b">
        <v>0</v>
      </c>
      <c r="K707" s="18" t="b">
        <v>0</v>
      </c>
      <c r="L707" s="18" t="b">
        <v>0</v>
      </c>
      <c r="M707" s="18" t="b">
        <v>1</v>
      </c>
      <c r="N707" s="18" t="b">
        <v>1</v>
      </c>
      <c r="O707" s="18" t="b">
        <v>0</v>
      </c>
      <c r="P707" s="18" t="b">
        <v>0</v>
      </c>
      <c r="Q707" s="18" t="b">
        <v>0</v>
      </c>
      <c r="R707" s="19" t="b">
        <v>0</v>
      </c>
    </row>
    <row r="708" spans="1:18" ht="15" hidden="1">
      <c r="A708" s="76" t="s">
        <v>2292</v>
      </c>
      <c r="B708" s="15" t="s">
        <v>2292</v>
      </c>
      <c r="C708" s="16" t="s">
        <v>2293</v>
      </c>
      <c r="D708" s="184" t="s">
        <v>2294</v>
      </c>
      <c r="E708" s="16" t="s">
        <v>43</v>
      </c>
      <c r="F708" s="19" t="s">
        <v>38</v>
      </c>
      <c r="G708" s="18" t="b">
        <v>1</v>
      </c>
      <c r="H708" s="18" t="b">
        <v>0</v>
      </c>
      <c r="I708" s="18" t="b">
        <v>0</v>
      </c>
      <c r="J708" s="18" t="b">
        <v>0</v>
      </c>
      <c r="K708" s="18" t="b">
        <v>0</v>
      </c>
      <c r="L708" s="18" t="b">
        <v>0</v>
      </c>
      <c r="M708" s="18" t="b">
        <v>0</v>
      </c>
      <c r="N708" s="18" t="b">
        <v>0</v>
      </c>
      <c r="O708" s="18" t="b">
        <v>0</v>
      </c>
      <c r="P708" s="18" t="b">
        <v>0</v>
      </c>
      <c r="Q708" s="18" t="b">
        <v>0</v>
      </c>
      <c r="R708" s="18" t="b">
        <v>0</v>
      </c>
    </row>
    <row r="709" spans="1:18" ht="18">
      <c r="A709" s="61" t="s">
        <v>2295</v>
      </c>
      <c r="B709" s="15" t="s">
        <v>2295</v>
      </c>
      <c r="C709" s="16" t="s">
        <v>2296</v>
      </c>
      <c r="D709" s="76" t="s">
        <v>2297</v>
      </c>
      <c r="E709" s="16" t="s">
        <v>43</v>
      </c>
      <c r="F709" s="19" t="s">
        <v>27</v>
      </c>
      <c r="G709" s="18" t="b">
        <v>1</v>
      </c>
      <c r="H709" s="18" t="b">
        <v>0</v>
      </c>
      <c r="I709" s="18" t="b">
        <v>0</v>
      </c>
      <c r="J709" s="18" t="b">
        <v>0</v>
      </c>
      <c r="K709" s="18" t="b">
        <v>0</v>
      </c>
      <c r="L709" s="18" t="b">
        <v>0</v>
      </c>
      <c r="M709" s="18" t="b">
        <v>0</v>
      </c>
      <c r="N709" s="18" t="b">
        <v>0</v>
      </c>
      <c r="O709" s="18" t="b">
        <v>0</v>
      </c>
      <c r="P709" s="18" t="b">
        <v>0</v>
      </c>
      <c r="Q709" s="18" t="b">
        <v>0</v>
      </c>
      <c r="R709" s="18" t="b">
        <v>0</v>
      </c>
    </row>
    <row r="710" spans="1:18" ht="18">
      <c r="A710" s="61" t="s">
        <v>2298</v>
      </c>
      <c r="B710" s="15" t="s">
        <v>2298</v>
      </c>
      <c r="C710" s="31" t="s">
        <v>2299</v>
      </c>
      <c r="D710" s="90" t="s">
        <v>2300</v>
      </c>
      <c r="E710" s="16" t="s">
        <v>33</v>
      </c>
      <c r="F710" s="19" t="s">
        <v>27</v>
      </c>
      <c r="G710" s="18" t="b">
        <v>0</v>
      </c>
      <c r="H710" s="18" t="b">
        <v>0</v>
      </c>
      <c r="I710" s="18" t="b">
        <v>0</v>
      </c>
      <c r="J710" s="18" t="b">
        <v>0</v>
      </c>
      <c r="K710" s="18" t="b">
        <v>0</v>
      </c>
      <c r="L710" s="18" t="b">
        <v>0</v>
      </c>
      <c r="M710" s="18" t="b">
        <v>0</v>
      </c>
      <c r="N710" s="18" t="b">
        <v>0</v>
      </c>
      <c r="O710" s="18" t="b">
        <v>0</v>
      </c>
      <c r="P710" s="18" t="b">
        <v>0</v>
      </c>
      <c r="Q710" s="18" t="b">
        <v>0</v>
      </c>
      <c r="R710" s="18" t="b">
        <v>1</v>
      </c>
    </row>
    <row r="711" spans="1:18" ht="18">
      <c r="A711" s="61" t="s">
        <v>2301</v>
      </c>
      <c r="B711" s="15" t="s">
        <v>2301</v>
      </c>
      <c r="C711" s="31" t="s">
        <v>2302</v>
      </c>
      <c r="D711" s="90" t="s">
        <v>2303</v>
      </c>
      <c r="E711" s="18" t="s">
        <v>26</v>
      </c>
      <c r="F711" s="19" t="s">
        <v>27</v>
      </c>
      <c r="G711" s="18" t="b">
        <v>0</v>
      </c>
      <c r="H711" s="18" t="b">
        <v>0</v>
      </c>
      <c r="I711" s="18" t="b">
        <v>1</v>
      </c>
      <c r="J711" s="18" t="b">
        <v>0</v>
      </c>
      <c r="K711" s="18" t="b">
        <v>0</v>
      </c>
      <c r="L711" s="18" t="b">
        <v>0</v>
      </c>
      <c r="M711" s="18" t="b">
        <v>0</v>
      </c>
      <c r="N711" s="18" t="b">
        <v>0</v>
      </c>
      <c r="O711" s="18" t="b">
        <v>0</v>
      </c>
      <c r="P711" s="18" t="b">
        <v>0</v>
      </c>
      <c r="Q711" s="18" t="b">
        <v>0</v>
      </c>
      <c r="R711" s="18" t="b">
        <v>0</v>
      </c>
    </row>
    <row r="712" spans="1:18" ht="18">
      <c r="A712" s="61" t="s">
        <v>2304</v>
      </c>
      <c r="B712" s="15" t="s">
        <v>2304</v>
      </c>
      <c r="C712" s="31" t="s">
        <v>2305</v>
      </c>
      <c r="D712" s="17" t="s">
        <v>2306</v>
      </c>
      <c r="E712" s="18" t="s">
        <v>178</v>
      </c>
      <c r="F712" s="19" t="s">
        <v>27</v>
      </c>
      <c r="G712" s="18" t="b">
        <v>0</v>
      </c>
      <c r="H712" s="18" t="b">
        <v>0</v>
      </c>
      <c r="I712" s="18" t="b">
        <v>0</v>
      </c>
      <c r="J712" s="18" t="b">
        <v>0</v>
      </c>
      <c r="K712" s="18" t="b">
        <v>0</v>
      </c>
      <c r="L712" s="18" t="b">
        <v>0</v>
      </c>
      <c r="M712" s="18" t="b">
        <v>0</v>
      </c>
      <c r="N712" s="18" t="b">
        <v>1</v>
      </c>
      <c r="O712" s="18" t="b">
        <v>0</v>
      </c>
      <c r="P712" s="18" t="b">
        <v>0</v>
      </c>
      <c r="Q712" s="18" t="b">
        <v>0</v>
      </c>
      <c r="R712" s="18" t="b">
        <v>0</v>
      </c>
    </row>
    <row r="713" spans="1:18" ht="15" hidden="1">
      <c r="A713" s="76" t="s">
        <v>2307</v>
      </c>
      <c r="B713" s="15" t="s">
        <v>2308</v>
      </c>
      <c r="C713" s="16" t="s">
        <v>2309</v>
      </c>
      <c r="D713" s="184" t="s">
        <v>2310</v>
      </c>
      <c r="E713" s="16" t="s">
        <v>52</v>
      </c>
      <c r="F713" s="19" t="s">
        <v>38</v>
      </c>
      <c r="G713" s="18" t="b">
        <v>0</v>
      </c>
      <c r="H713" s="18" t="b">
        <v>0</v>
      </c>
      <c r="I713" s="18" t="b">
        <v>0</v>
      </c>
      <c r="J713" s="18" t="b">
        <v>1</v>
      </c>
      <c r="K713" s="18" t="b">
        <v>0</v>
      </c>
      <c r="L713" s="18" t="b">
        <v>0</v>
      </c>
      <c r="M713" s="18" t="b">
        <v>0</v>
      </c>
      <c r="N713" s="18" t="b">
        <v>0</v>
      </c>
      <c r="O713" s="18" t="b">
        <v>0</v>
      </c>
      <c r="P713" s="18" t="b">
        <v>0</v>
      </c>
      <c r="Q713" s="18" t="b">
        <v>0</v>
      </c>
      <c r="R713" s="18" t="b">
        <v>0</v>
      </c>
    </row>
    <row r="714" spans="1:18" ht="18">
      <c r="A714" s="61" t="s">
        <v>2312</v>
      </c>
      <c r="B714" s="15" t="s">
        <v>2312</v>
      </c>
      <c r="C714" s="16" t="s">
        <v>2313</v>
      </c>
      <c r="D714" s="17" t="s">
        <v>2314</v>
      </c>
      <c r="E714" s="18" t="s">
        <v>178</v>
      </c>
      <c r="F714" s="19" t="s">
        <v>27</v>
      </c>
      <c r="G714" s="18" t="b">
        <v>0</v>
      </c>
      <c r="H714" s="18" t="b">
        <v>0</v>
      </c>
      <c r="I714" s="18" t="b">
        <v>0</v>
      </c>
      <c r="J714" s="18" t="b">
        <v>0</v>
      </c>
      <c r="K714" s="18" t="b">
        <v>0</v>
      </c>
      <c r="L714" s="18" t="b">
        <v>0</v>
      </c>
      <c r="M714" s="18" t="b">
        <v>0</v>
      </c>
      <c r="N714" s="18" t="b">
        <v>1</v>
      </c>
      <c r="O714" s="18" t="b">
        <v>0</v>
      </c>
      <c r="P714" s="18" t="b">
        <v>0</v>
      </c>
      <c r="Q714" s="18" t="b">
        <v>0</v>
      </c>
      <c r="R714" s="18" t="b">
        <v>0</v>
      </c>
    </row>
    <row r="715" spans="1:18" ht="18">
      <c r="A715" s="61" t="s">
        <v>2315</v>
      </c>
      <c r="B715" s="190" t="s">
        <v>2315</v>
      </c>
      <c r="C715" s="101" t="s">
        <v>2316</v>
      </c>
      <c r="D715" s="76" t="s">
        <v>2317</v>
      </c>
      <c r="E715" s="16" t="s">
        <v>140</v>
      </c>
      <c r="F715" s="19" t="s">
        <v>27</v>
      </c>
      <c r="G715" s="18" t="b">
        <v>0</v>
      </c>
      <c r="H715" s="18" t="b">
        <v>1</v>
      </c>
      <c r="I715" s="18" t="b">
        <v>0</v>
      </c>
      <c r="J715" s="18" t="b">
        <v>0</v>
      </c>
      <c r="K715" s="18" t="b">
        <v>0</v>
      </c>
      <c r="L715" s="18" t="b">
        <v>0</v>
      </c>
      <c r="M715" s="18" t="b">
        <v>0</v>
      </c>
      <c r="N715" s="18" t="b">
        <v>0</v>
      </c>
      <c r="O715" s="18" t="b">
        <v>0</v>
      </c>
      <c r="P715" s="18" t="b">
        <v>0</v>
      </c>
      <c r="Q715" s="18" t="b">
        <v>0</v>
      </c>
      <c r="R715" s="18" t="b">
        <v>0</v>
      </c>
    </row>
    <row r="716" spans="1:18" ht="18" hidden="1">
      <c r="A716" s="61" t="s">
        <v>2318</v>
      </c>
      <c r="B716" s="15" t="s">
        <v>2318</v>
      </c>
      <c r="C716" s="16" t="s">
        <v>2319</v>
      </c>
      <c r="D716" s="76" t="s">
        <v>2320</v>
      </c>
      <c r="E716" s="18" t="s">
        <v>154</v>
      </c>
      <c r="F716" s="19" t="s">
        <v>38</v>
      </c>
      <c r="G716" s="18" t="b">
        <v>0</v>
      </c>
      <c r="H716" s="18" t="b">
        <v>0</v>
      </c>
      <c r="I716" s="18" t="b">
        <v>0</v>
      </c>
      <c r="J716" s="18" t="b">
        <v>0</v>
      </c>
      <c r="K716" s="18" t="b">
        <v>1</v>
      </c>
      <c r="L716" s="18" t="b">
        <v>0</v>
      </c>
      <c r="M716" s="18" t="b">
        <v>0</v>
      </c>
      <c r="N716" s="18" t="b">
        <v>0</v>
      </c>
      <c r="O716" s="18" t="b">
        <v>0</v>
      </c>
      <c r="P716" s="18" t="b">
        <v>0</v>
      </c>
      <c r="Q716" s="18" t="b">
        <v>0</v>
      </c>
      <c r="R716" s="18" t="b">
        <v>0</v>
      </c>
    </row>
    <row r="717" spans="1:18" ht="18">
      <c r="A717" s="61" t="s">
        <v>2321</v>
      </c>
      <c r="B717" s="15" t="s">
        <v>2321</v>
      </c>
      <c r="C717" s="16" t="s">
        <v>2322</v>
      </c>
      <c r="D717" s="76" t="s">
        <v>2323</v>
      </c>
      <c r="E717" s="16" t="s">
        <v>52</v>
      </c>
      <c r="F717" s="19" t="s">
        <v>27</v>
      </c>
      <c r="G717" s="18" t="b">
        <v>0</v>
      </c>
      <c r="H717" s="18" t="b">
        <v>0</v>
      </c>
      <c r="I717" s="18" t="b">
        <v>0</v>
      </c>
      <c r="J717" s="18" t="b">
        <v>1</v>
      </c>
      <c r="K717" s="18" t="b">
        <v>0</v>
      </c>
      <c r="L717" s="18" t="b">
        <v>0</v>
      </c>
      <c r="M717" s="18" t="b">
        <v>0</v>
      </c>
      <c r="N717" s="18" t="b">
        <v>0</v>
      </c>
      <c r="O717" s="18" t="b">
        <v>0</v>
      </c>
      <c r="P717" s="18" t="b">
        <v>0</v>
      </c>
      <c r="Q717" s="18" t="b">
        <v>0</v>
      </c>
      <c r="R717" s="18" t="b">
        <v>0</v>
      </c>
    </row>
    <row r="718" spans="1:18" ht="18">
      <c r="A718" s="61" t="s">
        <v>2324</v>
      </c>
      <c r="B718" s="15" t="s">
        <v>2324</v>
      </c>
      <c r="C718" s="16" t="s">
        <v>2325</v>
      </c>
      <c r="D718" s="76" t="s">
        <v>2326</v>
      </c>
      <c r="E718" s="16" t="s">
        <v>192</v>
      </c>
      <c r="F718" s="19" t="s">
        <v>27</v>
      </c>
      <c r="G718" s="18" t="b">
        <v>0</v>
      </c>
      <c r="H718" s="18" t="b">
        <v>0</v>
      </c>
      <c r="I718" s="18" t="b">
        <v>0</v>
      </c>
      <c r="J718" s="18" t="b">
        <v>0</v>
      </c>
      <c r="K718" s="18" t="b">
        <v>0</v>
      </c>
      <c r="L718" s="18" t="b">
        <v>0</v>
      </c>
      <c r="M718" s="18" t="b">
        <v>0</v>
      </c>
      <c r="N718" s="18" t="b">
        <v>0</v>
      </c>
      <c r="O718" s="18" t="b">
        <v>0</v>
      </c>
      <c r="P718" s="18" t="b">
        <v>0</v>
      </c>
      <c r="Q718" s="18" t="b">
        <v>1</v>
      </c>
      <c r="R718" s="18" t="b">
        <v>0</v>
      </c>
    </row>
    <row r="719" spans="1:18" ht="18">
      <c r="A719" s="61" t="s">
        <v>2327</v>
      </c>
      <c r="B719" s="15" t="s">
        <v>2327</v>
      </c>
      <c r="C719" s="16" t="s">
        <v>2328</v>
      </c>
      <c r="D719" s="17" t="s">
        <v>2329</v>
      </c>
      <c r="E719" s="18" t="s">
        <v>178</v>
      </c>
      <c r="F719" s="19" t="s">
        <v>27</v>
      </c>
      <c r="G719" s="18" t="b">
        <v>0</v>
      </c>
      <c r="H719" s="18" t="b">
        <v>0</v>
      </c>
      <c r="I719" s="18" t="b">
        <v>0</v>
      </c>
      <c r="J719" s="18" t="b">
        <v>0</v>
      </c>
      <c r="K719" s="18" t="b">
        <v>0</v>
      </c>
      <c r="L719" s="18" t="b">
        <v>0</v>
      </c>
      <c r="M719" s="18" t="b">
        <v>0</v>
      </c>
      <c r="N719" s="18" t="b">
        <v>1</v>
      </c>
      <c r="O719" s="18" t="b">
        <v>0</v>
      </c>
      <c r="P719" s="18" t="b">
        <v>0</v>
      </c>
      <c r="Q719" s="18" t="b">
        <v>0</v>
      </c>
      <c r="R719" s="18" t="b">
        <v>0</v>
      </c>
    </row>
    <row r="720" spans="1:18" ht="18">
      <c r="A720" s="61" t="s">
        <v>2330</v>
      </c>
      <c r="B720" s="15" t="s">
        <v>2330</v>
      </c>
      <c r="C720" s="16" t="s">
        <v>2331</v>
      </c>
      <c r="D720" s="76" t="s">
        <v>2332</v>
      </c>
      <c r="E720" s="16" t="s">
        <v>33</v>
      </c>
      <c r="F720" s="19" t="s">
        <v>27</v>
      </c>
      <c r="G720" s="18" t="b">
        <v>0</v>
      </c>
      <c r="H720" s="18" t="b">
        <v>0</v>
      </c>
      <c r="I720" s="18" t="b">
        <v>0</v>
      </c>
      <c r="J720" s="18" t="b">
        <v>0</v>
      </c>
      <c r="K720" s="18" t="b">
        <v>0</v>
      </c>
      <c r="L720" s="18" t="b">
        <v>0</v>
      </c>
      <c r="M720" s="18" t="b">
        <v>0</v>
      </c>
      <c r="N720" s="18" t="b">
        <v>0</v>
      </c>
      <c r="O720" s="18" t="b">
        <v>0</v>
      </c>
      <c r="P720" s="18" t="b">
        <v>0</v>
      </c>
      <c r="Q720" s="18" t="b">
        <v>0</v>
      </c>
      <c r="R720" s="18" t="b">
        <v>1</v>
      </c>
    </row>
    <row r="721" spans="1:18" ht="18">
      <c r="A721" s="61" t="s">
        <v>2333</v>
      </c>
      <c r="B721" s="15" t="s">
        <v>2333</v>
      </c>
      <c r="C721" s="16" t="s">
        <v>2334</v>
      </c>
      <c r="D721" s="76" t="s">
        <v>2335</v>
      </c>
      <c r="E721" s="16" t="s">
        <v>33</v>
      </c>
      <c r="F721" s="19" t="s">
        <v>27</v>
      </c>
      <c r="G721" s="18" t="b">
        <v>0</v>
      </c>
      <c r="H721" s="18" t="b">
        <v>0</v>
      </c>
      <c r="I721" s="18" t="b">
        <v>0</v>
      </c>
      <c r="J721" s="18" t="b">
        <v>0</v>
      </c>
      <c r="K721" s="18" t="b">
        <v>0</v>
      </c>
      <c r="L721" s="18" t="b">
        <v>0</v>
      </c>
      <c r="M721" s="18" t="b">
        <v>0</v>
      </c>
      <c r="N721" s="18" t="b">
        <v>0</v>
      </c>
      <c r="O721" s="18" t="b">
        <v>0</v>
      </c>
      <c r="P721" s="18" t="b">
        <v>0</v>
      </c>
      <c r="Q721" s="18" t="b">
        <v>0</v>
      </c>
      <c r="R721" s="18" t="b">
        <v>1</v>
      </c>
    </row>
    <row r="722" spans="1:18" ht="18">
      <c r="A722" s="61" t="s">
        <v>2336</v>
      </c>
      <c r="B722" s="15" t="s">
        <v>2336</v>
      </c>
      <c r="C722" s="31" t="s">
        <v>2337</v>
      </c>
      <c r="D722" s="90" t="s">
        <v>2338</v>
      </c>
      <c r="E722" s="16" t="s">
        <v>33</v>
      </c>
      <c r="F722" s="19" t="s">
        <v>27</v>
      </c>
      <c r="G722" s="18" t="b">
        <v>0</v>
      </c>
      <c r="H722" s="18" t="b">
        <v>0</v>
      </c>
      <c r="I722" s="18" t="b">
        <v>0</v>
      </c>
      <c r="J722" s="18" t="b">
        <v>0</v>
      </c>
      <c r="K722" s="18" t="b">
        <v>0</v>
      </c>
      <c r="L722" s="18" t="b">
        <v>0</v>
      </c>
      <c r="M722" s="18" t="b">
        <v>0</v>
      </c>
      <c r="N722" s="18" t="b">
        <v>0</v>
      </c>
      <c r="O722" s="18" t="b">
        <v>0</v>
      </c>
      <c r="P722" s="18" t="b">
        <v>0</v>
      </c>
      <c r="Q722" s="18" t="b">
        <v>0</v>
      </c>
      <c r="R722" s="18" t="b">
        <v>1</v>
      </c>
    </row>
    <row r="723" spans="1:18" ht="18">
      <c r="A723" s="61" t="s">
        <v>2339</v>
      </c>
      <c r="B723" s="92" t="s">
        <v>2339</v>
      </c>
      <c r="C723" s="31" t="s">
        <v>2340</v>
      </c>
      <c r="D723" s="17" t="s">
        <v>2341</v>
      </c>
      <c r="E723" s="18" t="s">
        <v>178</v>
      </c>
      <c r="F723" s="19" t="s">
        <v>27</v>
      </c>
      <c r="G723" s="18" t="b">
        <v>0</v>
      </c>
      <c r="H723" s="18" t="b">
        <v>0</v>
      </c>
      <c r="I723" s="18" t="b">
        <v>0</v>
      </c>
      <c r="J723" s="18" t="b">
        <v>0</v>
      </c>
      <c r="K723" s="18" t="b">
        <v>0</v>
      </c>
      <c r="L723" s="18" t="b">
        <v>0</v>
      </c>
      <c r="M723" s="18" t="b">
        <v>0</v>
      </c>
      <c r="N723" s="18" t="b">
        <v>1</v>
      </c>
      <c r="O723" s="18" t="b">
        <v>0</v>
      </c>
      <c r="P723" s="18" t="b">
        <v>0</v>
      </c>
      <c r="Q723" s="18" t="b">
        <v>0</v>
      </c>
      <c r="R723" s="18" t="b">
        <v>0</v>
      </c>
    </row>
    <row r="724" spans="1:18" ht="18">
      <c r="A724" s="61" t="s">
        <v>2342</v>
      </c>
      <c r="B724" s="15" t="s">
        <v>2343</v>
      </c>
      <c r="C724" s="31" t="s">
        <v>2344</v>
      </c>
      <c r="D724" s="90" t="s">
        <v>2345</v>
      </c>
      <c r="E724" s="16" t="s">
        <v>60</v>
      </c>
      <c r="F724" s="19" t="s">
        <v>27</v>
      </c>
      <c r="G724" s="18" t="b">
        <v>0</v>
      </c>
      <c r="H724" s="18" t="b">
        <v>0</v>
      </c>
      <c r="I724" s="18" t="b">
        <v>0</v>
      </c>
      <c r="J724" s="18" t="b">
        <v>0</v>
      </c>
      <c r="K724" s="18" t="b">
        <v>0</v>
      </c>
      <c r="L724" s="18" t="b">
        <v>0</v>
      </c>
      <c r="M724" s="18" t="b">
        <v>1</v>
      </c>
      <c r="N724" s="18" t="b">
        <v>0</v>
      </c>
      <c r="O724" s="18" t="b">
        <v>0</v>
      </c>
      <c r="P724" s="18" t="b">
        <v>0</v>
      </c>
      <c r="Q724" s="18" t="b">
        <v>0</v>
      </c>
      <c r="R724" s="18" t="b">
        <v>0</v>
      </c>
    </row>
    <row r="725" spans="1:18" ht="15" hidden="1">
      <c r="A725" s="16" t="s">
        <v>2346</v>
      </c>
      <c r="B725" s="15"/>
      <c r="C725" s="16" t="s">
        <v>2347</v>
      </c>
      <c r="D725" s="16" t="s">
        <v>2348</v>
      </c>
      <c r="E725" s="16" t="s">
        <v>33</v>
      </c>
      <c r="F725" s="19" t="s">
        <v>38</v>
      </c>
      <c r="G725" s="18" t="b">
        <v>0</v>
      </c>
      <c r="H725" s="18" t="b">
        <v>0</v>
      </c>
      <c r="I725" s="18" t="b">
        <v>0</v>
      </c>
      <c r="J725" s="18" t="b">
        <v>0</v>
      </c>
      <c r="K725" s="18" t="b">
        <v>0</v>
      </c>
      <c r="L725" s="18" t="b">
        <v>0</v>
      </c>
      <c r="M725" s="18" t="b">
        <v>0</v>
      </c>
      <c r="N725" s="18" t="b">
        <v>0</v>
      </c>
      <c r="O725" s="18" t="b">
        <v>0</v>
      </c>
      <c r="P725" s="18" t="b">
        <v>0</v>
      </c>
      <c r="Q725" s="18" t="b">
        <v>0</v>
      </c>
      <c r="R725" s="18" t="b">
        <v>1</v>
      </c>
    </row>
    <row r="726" spans="1:18" ht="18">
      <c r="A726" s="61" t="s">
        <v>2349</v>
      </c>
      <c r="B726" s="15" t="s">
        <v>2350</v>
      </c>
      <c r="C726" s="31" t="s">
        <v>2351</v>
      </c>
      <c r="D726" s="17" t="s">
        <v>2352</v>
      </c>
      <c r="E726" s="18" t="s">
        <v>178</v>
      </c>
      <c r="F726" s="19" t="s">
        <v>27</v>
      </c>
      <c r="G726" s="18" t="b">
        <v>0</v>
      </c>
      <c r="H726" s="18" t="b">
        <v>0</v>
      </c>
      <c r="I726" s="18" t="b">
        <v>0</v>
      </c>
      <c r="J726" s="18" t="b">
        <v>0</v>
      </c>
      <c r="K726" s="18" t="b">
        <v>0</v>
      </c>
      <c r="L726" s="18" t="b">
        <v>0</v>
      </c>
      <c r="M726" s="18" t="b">
        <v>0</v>
      </c>
      <c r="N726" s="18" t="b">
        <v>1</v>
      </c>
      <c r="O726" s="18" t="b">
        <v>0</v>
      </c>
      <c r="P726" s="18" t="b">
        <v>0</v>
      </c>
      <c r="Q726" s="18" t="b">
        <v>0</v>
      </c>
      <c r="R726" s="18" t="b">
        <v>0</v>
      </c>
    </row>
    <row r="727" spans="1:18" ht="18">
      <c r="A727" s="61" t="s">
        <v>2353</v>
      </c>
      <c r="B727" s="15" t="s">
        <v>2353</v>
      </c>
      <c r="C727" s="31" t="s">
        <v>2354</v>
      </c>
      <c r="D727" s="90" t="s">
        <v>2355</v>
      </c>
      <c r="E727" s="16" t="s">
        <v>60</v>
      </c>
      <c r="F727" s="19" t="s">
        <v>27</v>
      </c>
      <c r="G727" s="18" t="b">
        <v>0</v>
      </c>
      <c r="H727" s="18" t="b">
        <v>0</v>
      </c>
      <c r="I727" s="18" t="b">
        <v>0</v>
      </c>
      <c r="J727" s="18" t="b">
        <v>0</v>
      </c>
      <c r="K727" s="18" t="b">
        <v>0</v>
      </c>
      <c r="L727" s="18" t="b">
        <v>0</v>
      </c>
      <c r="M727" s="18" t="b">
        <v>1</v>
      </c>
      <c r="N727" s="18" t="b">
        <v>0</v>
      </c>
      <c r="O727" s="18" t="b">
        <v>0</v>
      </c>
      <c r="P727" s="18" t="b">
        <v>0</v>
      </c>
      <c r="Q727" s="18" t="b">
        <v>0</v>
      </c>
      <c r="R727" s="18" t="b">
        <v>0</v>
      </c>
    </row>
    <row r="728" spans="1:18" ht="18">
      <c r="A728" s="61" t="s">
        <v>2356</v>
      </c>
      <c r="B728" s="15" t="s">
        <v>2357</v>
      </c>
      <c r="C728" s="16" t="s">
        <v>2358</v>
      </c>
      <c r="D728" s="76" t="s">
        <v>2359</v>
      </c>
      <c r="E728" s="16" t="s">
        <v>33</v>
      </c>
      <c r="F728" s="19" t="s">
        <v>27</v>
      </c>
      <c r="G728" s="18" t="b">
        <v>0</v>
      </c>
      <c r="H728" s="18" t="b">
        <v>0</v>
      </c>
      <c r="I728" s="18" t="b">
        <v>0</v>
      </c>
      <c r="J728" s="18" t="b">
        <v>0</v>
      </c>
      <c r="K728" s="18" t="b">
        <v>0</v>
      </c>
      <c r="L728" s="18" t="b">
        <v>0</v>
      </c>
      <c r="M728" s="18" t="b">
        <v>0</v>
      </c>
      <c r="N728" s="18" t="b">
        <v>0</v>
      </c>
      <c r="O728" s="18" t="b">
        <v>0</v>
      </c>
      <c r="P728" s="18" t="b">
        <v>0</v>
      </c>
      <c r="Q728" s="18" t="b">
        <v>0</v>
      </c>
      <c r="R728" s="18" t="b">
        <v>1</v>
      </c>
    </row>
    <row r="729" spans="1:18" ht="15" hidden="1">
      <c r="A729" s="16" t="s">
        <v>2360</v>
      </c>
      <c r="B729" s="15" t="s">
        <v>2360</v>
      </c>
      <c r="C729" s="16" t="s">
        <v>2361</v>
      </c>
      <c r="D729" s="184" t="s">
        <v>2362</v>
      </c>
      <c r="E729" s="16" t="s">
        <v>33</v>
      </c>
      <c r="F729" s="19" t="s">
        <v>38</v>
      </c>
      <c r="G729" s="18" t="b">
        <v>0</v>
      </c>
      <c r="H729" s="18" t="b">
        <v>0</v>
      </c>
      <c r="I729" s="18" t="b">
        <v>0</v>
      </c>
      <c r="J729" s="18" t="b">
        <v>0</v>
      </c>
      <c r="K729" s="18" t="b">
        <v>0</v>
      </c>
      <c r="L729" s="18" t="b">
        <v>0</v>
      </c>
      <c r="M729" s="18" t="b">
        <v>0</v>
      </c>
      <c r="N729" s="18" t="b">
        <v>0</v>
      </c>
      <c r="O729" s="18" t="b">
        <v>0</v>
      </c>
      <c r="P729" s="18" t="b">
        <v>0</v>
      </c>
      <c r="Q729" s="18" t="b">
        <v>0</v>
      </c>
      <c r="R729" s="18" t="b">
        <v>1</v>
      </c>
    </row>
    <row r="730" spans="1:18" ht="18">
      <c r="A730" s="61" t="s">
        <v>2363</v>
      </c>
      <c r="B730" s="15" t="s">
        <v>2363</v>
      </c>
      <c r="C730" s="16" t="s">
        <v>2364</v>
      </c>
      <c r="D730" s="76" t="s">
        <v>2365</v>
      </c>
      <c r="E730" s="16" t="s">
        <v>60</v>
      </c>
      <c r="F730" s="19" t="s">
        <v>27</v>
      </c>
      <c r="G730" s="18" t="b">
        <v>0</v>
      </c>
      <c r="H730" s="18" t="b">
        <v>0</v>
      </c>
      <c r="I730" s="18" t="b">
        <v>0</v>
      </c>
      <c r="J730" s="18" t="b">
        <v>0</v>
      </c>
      <c r="K730" s="18" t="b">
        <v>0</v>
      </c>
      <c r="L730" s="18" t="b">
        <v>0</v>
      </c>
      <c r="M730" s="18" t="b">
        <v>1</v>
      </c>
      <c r="N730" s="18" t="b">
        <v>0</v>
      </c>
      <c r="O730" s="18" t="b">
        <v>0</v>
      </c>
      <c r="P730" s="18" t="b">
        <v>0</v>
      </c>
      <c r="Q730" s="18" t="b">
        <v>0</v>
      </c>
      <c r="R730" s="18" t="b">
        <v>0</v>
      </c>
    </row>
    <row r="731" spans="1:18" ht="18">
      <c r="A731" s="61" t="s">
        <v>2366</v>
      </c>
      <c r="B731" s="15" t="s">
        <v>2366</v>
      </c>
      <c r="C731" s="16" t="s">
        <v>2367</v>
      </c>
      <c r="D731" s="76" t="s">
        <v>2368</v>
      </c>
      <c r="E731" s="16" t="s">
        <v>60</v>
      </c>
      <c r="F731" s="19" t="s">
        <v>27</v>
      </c>
      <c r="G731" s="18" t="b">
        <v>0</v>
      </c>
      <c r="H731" s="18" t="b">
        <v>0</v>
      </c>
      <c r="I731" s="18" t="b">
        <v>0</v>
      </c>
      <c r="J731" s="18" t="b">
        <v>0</v>
      </c>
      <c r="K731" s="18" t="b">
        <v>0</v>
      </c>
      <c r="L731" s="18" t="b">
        <v>0</v>
      </c>
      <c r="M731" s="18" t="b">
        <v>1</v>
      </c>
      <c r="N731" s="18" t="b">
        <v>0</v>
      </c>
      <c r="O731" s="18" t="b">
        <v>0</v>
      </c>
      <c r="P731" s="18" t="b">
        <v>0</v>
      </c>
      <c r="Q731" s="18" t="b">
        <v>0</v>
      </c>
      <c r="R731" s="18" t="b">
        <v>0</v>
      </c>
    </row>
    <row r="732" spans="1:18" ht="18">
      <c r="A732" s="61" t="s">
        <v>2369</v>
      </c>
      <c r="B732" s="191" t="s">
        <v>2369</v>
      </c>
      <c r="C732" s="16" t="s">
        <v>2370</v>
      </c>
      <c r="D732" s="76" t="s">
        <v>2371</v>
      </c>
      <c r="E732" s="16" t="s">
        <v>60</v>
      </c>
      <c r="F732" s="19" t="s">
        <v>27</v>
      </c>
      <c r="G732" s="18" t="b">
        <v>0</v>
      </c>
      <c r="H732" s="18" t="b">
        <v>0</v>
      </c>
      <c r="I732" s="18" t="b">
        <v>0</v>
      </c>
      <c r="J732" s="18" t="b">
        <v>0</v>
      </c>
      <c r="K732" s="18" t="b">
        <v>0</v>
      </c>
      <c r="L732" s="18" t="b">
        <v>0</v>
      </c>
      <c r="M732" s="18" t="b">
        <v>1</v>
      </c>
      <c r="N732" s="18" t="b">
        <v>0</v>
      </c>
      <c r="O732" s="18" t="b">
        <v>0</v>
      </c>
      <c r="P732" s="18" t="b">
        <v>0</v>
      </c>
      <c r="Q732" s="18" t="b">
        <v>0</v>
      </c>
      <c r="R732" s="18" t="b">
        <v>0</v>
      </c>
    </row>
    <row r="733" spans="1:18" ht="18">
      <c r="A733" s="61" t="s">
        <v>2372</v>
      </c>
      <c r="B733" s="15" t="s">
        <v>2373</v>
      </c>
      <c r="C733" s="16" t="s">
        <v>2374</v>
      </c>
      <c r="D733" s="17" t="s">
        <v>2375</v>
      </c>
      <c r="E733" s="18" t="s">
        <v>178</v>
      </c>
      <c r="F733" s="19" t="s">
        <v>27</v>
      </c>
      <c r="G733" s="18" t="b">
        <v>0</v>
      </c>
      <c r="H733" s="18" t="b">
        <v>0</v>
      </c>
      <c r="I733" s="18" t="b">
        <v>0</v>
      </c>
      <c r="J733" s="18" t="b">
        <v>0</v>
      </c>
      <c r="K733" s="18" t="b">
        <v>0</v>
      </c>
      <c r="L733" s="18" t="b">
        <v>0</v>
      </c>
      <c r="M733" s="18" t="b">
        <v>0</v>
      </c>
      <c r="N733" s="18" t="b">
        <v>1</v>
      </c>
      <c r="O733" s="18" t="b">
        <v>0</v>
      </c>
      <c r="P733" s="18" t="b">
        <v>0</v>
      </c>
      <c r="Q733" s="18" t="b">
        <v>0</v>
      </c>
      <c r="R733" s="18" t="b">
        <v>0</v>
      </c>
    </row>
    <row r="734" spans="1:18" ht="18">
      <c r="A734" s="61" t="s">
        <v>2376</v>
      </c>
      <c r="B734" s="15" t="s">
        <v>2377</v>
      </c>
      <c r="C734" s="16" t="s">
        <v>2378</v>
      </c>
      <c r="D734" s="17" t="s">
        <v>2379</v>
      </c>
      <c r="E734" s="18" t="s">
        <v>178</v>
      </c>
      <c r="F734" s="19" t="s">
        <v>27</v>
      </c>
      <c r="G734" s="18" t="b">
        <v>0</v>
      </c>
      <c r="H734" s="18" t="b">
        <v>0</v>
      </c>
      <c r="I734" s="18" t="b">
        <v>0</v>
      </c>
      <c r="J734" s="18" t="b">
        <v>0</v>
      </c>
      <c r="K734" s="18" t="b">
        <v>0</v>
      </c>
      <c r="L734" s="18" t="b">
        <v>0</v>
      </c>
      <c r="M734" s="18" t="b">
        <v>0</v>
      </c>
      <c r="N734" s="18" t="b">
        <v>1</v>
      </c>
      <c r="O734" s="18" t="b">
        <v>0</v>
      </c>
      <c r="P734" s="18" t="b">
        <v>0</v>
      </c>
      <c r="Q734" s="18" t="b">
        <v>0</v>
      </c>
      <c r="R734" s="18" t="b">
        <v>0</v>
      </c>
    </row>
    <row r="735" spans="1:18" ht="17.25" customHeight="1">
      <c r="A735" s="61" t="s">
        <v>2380</v>
      </c>
      <c r="B735" s="15" t="s">
        <v>2380</v>
      </c>
      <c r="C735" s="16" t="s">
        <v>2381</v>
      </c>
      <c r="D735" s="17" t="s">
        <v>2382</v>
      </c>
      <c r="E735" s="18" t="s">
        <v>178</v>
      </c>
      <c r="F735" s="19" t="s">
        <v>27</v>
      </c>
      <c r="G735" s="18" t="b">
        <v>0</v>
      </c>
      <c r="H735" s="18" t="b">
        <v>0</v>
      </c>
      <c r="I735" s="18" t="b">
        <v>0</v>
      </c>
      <c r="J735" s="18" t="b">
        <v>0</v>
      </c>
      <c r="K735" s="18" t="b">
        <v>0</v>
      </c>
      <c r="L735" s="18" t="b">
        <v>0</v>
      </c>
      <c r="M735" s="18" t="b">
        <v>0</v>
      </c>
      <c r="N735" s="18" t="b">
        <v>1</v>
      </c>
      <c r="O735" s="18" t="b">
        <v>0</v>
      </c>
      <c r="P735" s="18" t="b">
        <v>0</v>
      </c>
      <c r="Q735" s="18" t="b">
        <v>0</v>
      </c>
      <c r="R735" s="18" t="b">
        <v>0</v>
      </c>
    </row>
    <row r="736" spans="1:18" ht="18">
      <c r="A736" s="61" t="s">
        <v>2383</v>
      </c>
      <c r="B736" s="92" t="s">
        <v>2384</v>
      </c>
      <c r="C736" s="31" t="s">
        <v>2385</v>
      </c>
      <c r="D736" s="90" t="s">
        <v>2386</v>
      </c>
      <c r="E736" s="16" t="s">
        <v>60</v>
      </c>
      <c r="F736" s="19" t="s">
        <v>27</v>
      </c>
      <c r="G736" s="18" t="b">
        <v>0</v>
      </c>
      <c r="H736" s="18" t="b">
        <v>0</v>
      </c>
      <c r="I736" s="18" t="b">
        <v>0</v>
      </c>
      <c r="J736" s="18" t="b">
        <v>0</v>
      </c>
      <c r="K736" s="18" t="b">
        <v>0</v>
      </c>
      <c r="L736" s="18" t="b">
        <v>0</v>
      </c>
      <c r="M736" s="18" t="b">
        <v>1</v>
      </c>
      <c r="N736" s="18" t="b">
        <v>0</v>
      </c>
      <c r="O736" s="18" t="b">
        <v>0</v>
      </c>
      <c r="P736" s="18" t="b">
        <v>0</v>
      </c>
      <c r="Q736" s="18" t="b">
        <v>0</v>
      </c>
      <c r="R736" s="18" t="b">
        <v>0</v>
      </c>
    </row>
    <row r="737" spans="1:18" ht="18">
      <c r="A737" s="61" t="s">
        <v>2387</v>
      </c>
      <c r="B737" s="15" t="s">
        <v>2387</v>
      </c>
      <c r="C737" s="16" t="s">
        <v>2388</v>
      </c>
      <c r="D737" s="76" t="s">
        <v>2389</v>
      </c>
      <c r="E737" s="16" t="s">
        <v>192</v>
      </c>
      <c r="F737" s="19" t="s">
        <v>27</v>
      </c>
      <c r="G737" s="18" t="b">
        <v>0</v>
      </c>
      <c r="H737" s="18" t="b">
        <v>0</v>
      </c>
      <c r="I737" s="18" t="b">
        <v>0</v>
      </c>
      <c r="J737" s="18" t="b">
        <v>0</v>
      </c>
      <c r="K737" s="18" t="b">
        <v>0</v>
      </c>
      <c r="L737" s="18" t="b">
        <v>0</v>
      </c>
      <c r="M737" s="18" t="b">
        <v>0</v>
      </c>
      <c r="N737" s="18" t="b">
        <v>0</v>
      </c>
      <c r="O737" s="18" t="b">
        <v>0</v>
      </c>
      <c r="P737" s="18" t="b">
        <v>0</v>
      </c>
      <c r="Q737" s="18" t="b">
        <v>1</v>
      </c>
      <c r="R737" s="18" t="b">
        <v>0</v>
      </c>
    </row>
    <row r="738" spans="1:18" ht="18">
      <c r="A738" s="89" t="s">
        <v>2390</v>
      </c>
      <c r="B738" s="15" t="s">
        <v>2390</v>
      </c>
      <c r="C738" s="16" t="s">
        <v>2391</v>
      </c>
      <c r="D738" s="76" t="s">
        <v>2392</v>
      </c>
      <c r="E738" s="16" t="s">
        <v>471</v>
      </c>
      <c r="F738" s="19" t="s">
        <v>27</v>
      </c>
      <c r="G738" s="18" t="b">
        <v>0</v>
      </c>
      <c r="H738" s="18" t="b">
        <v>0</v>
      </c>
      <c r="I738" s="18" t="b">
        <v>0</v>
      </c>
      <c r="J738" s="18" t="b">
        <v>0</v>
      </c>
      <c r="K738" s="18" t="b">
        <v>0</v>
      </c>
      <c r="L738" s="18" t="b">
        <v>0</v>
      </c>
      <c r="M738" s="18" t="b">
        <v>0</v>
      </c>
      <c r="N738" s="18" t="b">
        <v>0</v>
      </c>
      <c r="O738" s="18" t="b">
        <v>0</v>
      </c>
      <c r="P738" s="18" t="b">
        <v>0</v>
      </c>
      <c r="Q738" s="18" t="b">
        <v>0</v>
      </c>
      <c r="R738" s="18" t="b">
        <v>1</v>
      </c>
    </row>
    <row r="739" spans="1:18" ht="18">
      <c r="A739" s="61" t="s">
        <v>2393</v>
      </c>
      <c r="B739" s="15" t="s">
        <v>2393</v>
      </c>
      <c r="C739" s="31" t="s">
        <v>2394</v>
      </c>
      <c r="D739" s="17" t="s">
        <v>2395</v>
      </c>
      <c r="E739" s="18" t="s">
        <v>178</v>
      </c>
      <c r="F739" s="19" t="s">
        <v>27</v>
      </c>
      <c r="G739" s="18" t="b">
        <v>0</v>
      </c>
      <c r="H739" s="18" t="b">
        <v>0</v>
      </c>
      <c r="I739" s="18" t="b">
        <v>0</v>
      </c>
      <c r="J739" s="18" t="b">
        <v>0</v>
      </c>
      <c r="K739" s="18" t="b">
        <v>0</v>
      </c>
      <c r="L739" s="18" t="b">
        <v>0</v>
      </c>
      <c r="M739" s="18" t="b">
        <v>0</v>
      </c>
      <c r="N739" s="18" t="b">
        <v>1</v>
      </c>
      <c r="O739" s="18" t="b">
        <v>0</v>
      </c>
      <c r="P739" s="18" t="b">
        <v>0</v>
      </c>
      <c r="Q739" s="18" t="b">
        <v>0</v>
      </c>
      <c r="R739" s="18" t="b">
        <v>0</v>
      </c>
    </row>
    <row r="740" spans="1:18" ht="18">
      <c r="A740" s="61" t="s">
        <v>2396</v>
      </c>
      <c r="B740" s="15" t="s">
        <v>2396</v>
      </c>
      <c r="C740" s="31" t="s">
        <v>2397</v>
      </c>
      <c r="D740" s="90" t="s">
        <v>2398</v>
      </c>
      <c r="E740" s="16" t="s">
        <v>33</v>
      </c>
      <c r="F740" s="19" t="s">
        <v>27</v>
      </c>
      <c r="G740" s="18" t="b">
        <v>0</v>
      </c>
      <c r="H740" s="18" t="b">
        <v>0</v>
      </c>
      <c r="I740" s="18" t="b">
        <v>0</v>
      </c>
      <c r="J740" s="18" t="b">
        <v>0</v>
      </c>
      <c r="K740" s="18" t="b">
        <v>0</v>
      </c>
      <c r="L740" s="18" t="b">
        <v>0</v>
      </c>
      <c r="M740" s="18" t="b">
        <v>0</v>
      </c>
      <c r="N740" s="18" t="b">
        <v>0</v>
      </c>
      <c r="O740" s="18" t="b">
        <v>0</v>
      </c>
      <c r="P740" s="18" t="b">
        <v>0</v>
      </c>
      <c r="Q740" s="18" t="b">
        <v>0</v>
      </c>
      <c r="R740" s="18" t="b">
        <v>1</v>
      </c>
    </row>
    <row r="741" spans="1:18" ht="18" hidden="1">
      <c r="A741" s="61" t="s">
        <v>2399</v>
      </c>
      <c r="B741" s="15" t="s">
        <v>2399</v>
      </c>
      <c r="C741" s="31" t="s">
        <v>2400</v>
      </c>
      <c r="D741" s="90" t="s">
        <v>2401</v>
      </c>
      <c r="E741" s="16" t="s">
        <v>178</v>
      </c>
      <c r="F741" s="19" t="s">
        <v>38</v>
      </c>
      <c r="G741" s="18" t="b">
        <v>0</v>
      </c>
      <c r="H741" s="18" t="b">
        <v>0</v>
      </c>
      <c r="I741" s="18" t="b">
        <v>0</v>
      </c>
      <c r="J741" s="18" t="b">
        <v>0</v>
      </c>
      <c r="K741" s="18" t="b">
        <v>0</v>
      </c>
      <c r="L741" s="18" t="b">
        <v>0</v>
      </c>
      <c r="M741" s="18" t="b">
        <v>1</v>
      </c>
      <c r="N741" s="18" t="b">
        <v>1</v>
      </c>
      <c r="O741" s="18" t="b">
        <v>0</v>
      </c>
      <c r="P741" s="18" t="b">
        <v>0</v>
      </c>
      <c r="Q741" s="18" t="b">
        <v>0</v>
      </c>
      <c r="R741" s="18" t="b">
        <v>0</v>
      </c>
    </row>
    <row r="742" spans="1:18" ht="18">
      <c r="A742" s="61" t="s">
        <v>2402</v>
      </c>
      <c r="B742" s="15" t="s">
        <v>2402</v>
      </c>
      <c r="C742" s="31" t="s">
        <v>2403</v>
      </c>
      <c r="D742" s="90" t="s">
        <v>2404</v>
      </c>
      <c r="E742" s="16" t="s">
        <v>60</v>
      </c>
      <c r="F742" s="19" t="s">
        <v>27</v>
      </c>
      <c r="G742" s="18" t="b">
        <v>0</v>
      </c>
      <c r="H742" s="18" t="b">
        <v>0</v>
      </c>
      <c r="I742" s="18" t="b">
        <v>0</v>
      </c>
      <c r="J742" s="18" t="b">
        <v>0</v>
      </c>
      <c r="K742" s="18" t="b">
        <v>0</v>
      </c>
      <c r="L742" s="18" t="b">
        <v>0</v>
      </c>
      <c r="M742" s="18" t="b">
        <v>1</v>
      </c>
      <c r="N742" s="18" t="b">
        <v>0</v>
      </c>
      <c r="O742" s="18" t="b">
        <v>0</v>
      </c>
      <c r="P742" s="18" t="b">
        <v>0</v>
      </c>
      <c r="Q742" s="18" t="b">
        <v>0</v>
      </c>
      <c r="R742" s="18" t="b">
        <v>0</v>
      </c>
    </row>
    <row r="743" spans="1:18" ht="18" customHeight="1">
      <c r="A743" s="134" t="s">
        <v>2405</v>
      </c>
      <c r="B743" s="15" t="s">
        <v>2406</v>
      </c>
      <c r="C743" s="16" t="s">
        <v>2407</v>
      </c>
      <c r="D743" s="76" t="s">
        <v>2408</v>
      </c>
      <c r="E743" s="18" t="s">
        <v>140</v>
      </c>
      <c r="F743" s="19" t="s">
        <v>27</v>
      </c>
      <c r="G743" s="18" t="b">
        <v>0</v>
      </c>
      <c r="H743" s="18" t="b">
        <v>1</v>
      </c>
      <c r="I743" s="18" t="b">
        <v>0</v>
      </c>
      <c r="J743" s="18" t="b">
        <v>0</v>
      </c>
      <c r="K743" s="18" t="b">
        <v>0</v>
      </c>
      <c r="L743" s="18" t="b">
        <v>0</v>
      </c>
      <c r="M743" s="18" t="b">
        <v>0</v>
      </c>
      <c r="N743" s="18" t="b">
        <v>0</v>
      </c>
      <c r="O743" s="18" t="b">
        <v>0</v>
      </c>
      <c r="P743" s="18" t="b">
        <v>0</v>
      </c>
      <c r="Q743" s="18" t="b">
        <v>0</v>
      </c>
      <c r="R743" s="18" t="b">
        <v>0</v>
      </c>
    </row>
    <row r="744" spans="1:18" ht="15" hidden="1">
      <c r="A744" s="16" t="s">
        <v>2409</v>
      </c>
      <c r="B744" s="15"/>
      <c r="C744" s="16" t="s">
        <v>2410</v>
      </c>
      <c r="D744" s="76" t="s">
        <v>2411</v>
      </c>
      <c r="E744" s="18" t="s">
        <v>178</v>
      </c>
      <c r="F744" s="19" t="s">
        <v>38</v>
      </c>
      <c r="G744" s="18" t="b">
        <v>0</v>
      </c>
      <c r="H744" s="18" t="b">
        <v>0</v>
      </c>
      <c r="I744" s="18" t="b">
        <v>0</v>
      </c>
      <c r="J744" s="18" t="b">
        <v>0</v>
      </c>
      <c r="K744" s="18" t="b">
        <v>0</v>
      </c>
      <c r="L744" s="18" t="b">
        <v>0</v>
      </c>
      <c r="M744" s="18" t="b">
        <v>0</v>
      </c>
      <c r="N744" s="18" t="b">
        <v>1</v>
      </c>
      <c r="O744" s="18" t="b">
        <v>0</v>
      </c>
      <c r="P744" s="18" t="b">
        <v>0</v>
      </c>
      <c r="Q744" s="18" t="b">
        <v>0</v>
      </c>
      <c r="R744" s="18" t="b">
        <v>0</v>
      </c>
    </row>
    <row r="745" spans="1:18" ht="18">
      <c r="A745" s="61" t="s">
        <v>2412</v>
      </c>
      <c r="B745" s="15" t="s">
        <v>2413</v>
      </c>
      <c r="C745" s="16" t="s">
        <v>2414</v>
      </c>
      <c r="D745" s="17" t="s">
        <v>2415</v>
      </c>
      <c r="E745" s="18" t="s">
        <v>178</v>
      </c>
      <c r="F745" s="19" t="s">
        <v>27</v>
      </c>
      <c r="G745" s="18" t="b">
        <v>0</v>
      </c>
      <c r="H745" s="18" t="b">
        <v>0</v>
      </c>
      <c r="I745" s="18" t="b">
        <v>0</v>
      </c>
      <c r="J745" s="18" t="b">
        <v>0</v>
      </c>
      <c r="K745" s="18" t="b">
        <v>0</v>
      </c>
      <c r="L745" s="18" t="b">
        <v>0</v>
      </c>
      <c r="M745" s="18" t="b">
        <v>0</v>
      </c>
      <c r="N745" s="18" t="b">
        <v>1</v>
      </c>
      <c r="O745" s="18" t="b">
        <v>0</v>
      </c>
      <c r="P745" s="18" t="b">
        <v>0</v>
      </c>
      <c r="Q745" s="18" t="b">
        <v>0</v>
      </c>
      <c r="R745" s="18" t="b">
        <v>0</v>
      </c>
    </row>
    <row r="746" spans="1:18" ht="18">
      <c r="A746" s="61" t="s">
        <v>2416</v>
      </c>
      <c r="B746" s="15" t="s">
        <v>2416</v>
      </c>
      <c r="C746" s="31" t="s">
        <v>2417</v>
      </c>
      <c r="D746" s="17" t="s">
        <v>2418</v>
      </c>
      <c r="E746" s="18" t="s">
        <v>178</v>
      </c>
      <c r="F746" s="19" t="s">
        <v>27</v>
      </c>
      <c r="G746" s="18" t="b">
        <v>0</v>
      </c>
      <c r="H746" s="18" t="b">
        <v>0</v>
      </c>
      <c r="I746" s="18" t="b">
        <v>0</v>
      </c>
      <c r="J746" s="18" t="b">
        <v>0</v>
      </c>
      <c r="K746" s="18" t="b">
        <v>0</v>
      </c>
      <c r="L746" s="18" t="b">
        <v>0</v>
      </c>
      <c r="M746" s="18" t="b">
        <v>0</v>
      </c>
      <c r="N746" s="18" t="b">
        <v>1</v>
      </c>
      <c r="O746" s="18" t="b">
        <v>0</v>
      </c>
      <c r="P746" s="18" t="b">
        <v>0</v>
      </c>
      <c r="Q746" s="18" t="b">
        <v>0</v>
      </c>
      <c r="R746" s="18" t="b">
        <v>0</v>
      </c>
    </row>
    <row r="747" spans="1:18" ht="18">
      <c r="A747" s="61" t="s">
        <v>2419</v>
      </c>
      <c r="B747" s="15" t="s">
        <v>2419</v>
      </c>
      <c r="C747" s="31" t="s">
        <v>2420</v>
      </c>
      <c r="D747" s="90" t="s">
        <v>2421</v>
      </c>
      <c r="E747" s="16" t="s">
        <v>140</v>
      </c>
      <c r="F747" s="19" t="s">
        <v>27</v>
      </c>
      <c r="G747" s="18" t="b">
        <v>0</v>
      </c>
      <c r="H747" s="18" t="b">
        <v>1</v>
      </c>
      <c r="I747" s="18" t="b">
        <v>0</v>
      </c>
      <c r="J747" s="18" t="b">
        <v>0</v>
      </c>
      <c r="K747" s="18" t="b">
        <v>0</v>
      </c>
      <c r="L747" s="18" t="b">
        <v>0</v>
      </c>
      <c r="M747" s="18" t="b">
        <v>0</v>
      </c>
      <c r="N747" s="18" t="b">
        <v>0</v>
      </c>
      <c r="O747" s="18" t="b">
        <v>0</v>
      </c>
      <c r="P747" s="18" t="b">
        <v>0</v>
      </c>
      <c r="Q747" s="18" t="b">
        <v>0</v>
      </c>
      <c r="R747" s="18" t="b">
        <v>0</v>
      </c>
    </row>
    <row r="748" spans="1:18" ht="18">
      <c r="A748" s="61" t="s">
        <v>2422</v>
      </c>
      <c r="B748" s="15" t="s">
        <v>2422</v>
      </c>
      <c r="C748" s="31" t="s">
        <v>2423</v>
      </c>
      <c r="D748" s="90" t="s">
        <v>2424</v>
      </c>
      <c r="E748" s="18" t="s">
        <v>304</v>
      </c>
      <c r="F748" s="19" t="s">
        <v>27</v>
      </c>
      <c r="G748" s="18" t="b">
        <v>0</v>
      </c>
      <c r="H748" s="18" t="b">
        <v>0</v>
      </c>
      <c r="I748" s="18" t="b">
        <v>0</v>
      </c>
      <c r="J748" s="18" t="b">
        <v>0</v>
      </c>
      <c r="K748" s="18" t="b">
        <v>0</v>
      </c>
      <c r="L748" s="18" t="b">
        <v>1</v>
      </c>
      <c r="M748" s="18" t="b">
        <v>0</v>
      </c>
      <c r="N748" s="18" t="b">
        <v>0</v>
      </c>
      <c r="O748" s="18" t="b">
        <v>0</v>
      </c>
      <c r="P748" s="18" t="b">
        <v>0</v>
      </c>
      <c r="Q748" s="18" t="b">
        <v>0</v>
      </c>
      <c r="R748" s="18" t="b">
        <v>1</v>
      </c>
    </row>
    <row r="749" spans="1:18" ht="18">
      <c r="A749" s="61" t="s">
        <v>2425</v>
      </c>
      <c r="B749" s="15" t="s">
        <v>2426</v>
      </c>
      <c r="C749" s="31" t="s">
        <v>2427</v>
      </c>
      <c r="D749" s="90" t="s">
        <v>2428</v>
      </c>
      <c r="E749" s="18" t="s">
        <v>26</v>
      </c>
      <c r="F749" s="19" t="s">
        <v>27</v>
      </c>
      <c r="G749" s="18" t="b">
        <v>0</v>
      </c>
      <c r="H749" s="18" t="b">
        <v>0</v>
      </c>
      <c r="I749" s="18" t="b">
        <v>1</v>
      </c>
      <c r="J749" s="18" t="b">
        <v>0</v>
      </c>
      <c r="K749" s="18" t="b">
        <v>0</v>
      </c>
      <c r="L749" s="18" t="b">
        <v>0</v>
      </c>
      <c r="M749" s="18" t="b">
        <v>0</v>
      </c>
      <c r="N749" s="18" t="b">
        <v>0</v>
      </c>
      <c r="O749" s="18" t="b">
        <v>0</v>
      </c>
      <c r="P749" s="18" t="b">
        <v>1</v>
      </c>
      <c r="Q749" s="18" t="b">
        <v>0</v>
      </c>
      <c r="R749" s="18" t="b">
        <v>0</v>
      </c>
    </row>
    <row r="750" spans="1:18" ht="18">
      <c r="A750" s="61" t="s">
        <v>2429</v>
      </c>
      <c r="B750" s="15" t="s">
        <v>2429</v>
      </c>
      <c r="C750" s="31" t="s">
        <v>2430</v>
      </c>
      <c r="D750" s="90" t="s">
        <v>2431</v>
      </c>
      <c r="E750" s="16" t="s">
        <v>33</v>
      </c>
      <c r="F750" s="19" t="s">
        <v>27</v>
      </c>
      <c r="G750" s="18" t="b">
        <v>0</v>
      </c>
      <c r="H750" s="18" t="b">
        <v>0</v>
      </c>
      <c r="I750" s="18" t="b">
        <v>0</v>
      </c>
      <c r="J750" s="18" t="b">
        <v>0</v>
      </c>
      <c r="K750" s="18" t="b">
        <v>0</v>
      </c>
      <c r="L750" s="18" t="b">
        <v>0</v>
      </c>
      <c r="M750" s="18" t="b">
        <v>0</v>
      </c>
      <c r="N750" s="18" t="b">
        <v>0</v>
      </c>
      <c r="O750" s="18" t="b">
        <v>0</v>
      </c>
      <c r="P750" s="18" t="b">
        <v>0</v>
      </c>
      <c r="Q750" s="18" t="b">
        <v>0</v>
      </c>
      <c r="R750" s="18" t="b">
        <v>1</v>
      </c>
    </row>
    <row r="751" spans="1:18" ht="18">
      <c r="A751" s="61" t="s">
        <v>2432</v>
      </c>
      <c r="B751" s="15" t="s">
        <v>2432</v>
      </c>
      <c r="C751" s="16" t="s">
        <v>2433</v>
      </c>
      <c r="D751" s="76" t="s">
        <v>2434</v>
      </c>
      <c r="E751" s="16" t="s">
        <v>33</v>
      </c>
      <c r="F751" s="19" t="s">
        <v>27</v>
      </c>
      <c r="G751" s="18" t="b">
        <v>0</v>
      </c>
      <c r="H751" s="18" t="b">
        <v>0</v>
      </c>
      <c r="I751" s="18" t="b">
        <v>0</v>
      </c>
      <c r="J751" s="18" t="b">
        <v>0</v>
      </c>
      <c r="K751" s="18" t="b">
        <v>0</v>
      </c>
      <c r="L751" s="18" t="b">
        <v>0</v>
      </c>
      <c r="M751" s="18" t="b">
        <v>0</v>
      </c>
      <c r="N751" s="18" t="b">
        <v>0</v>
      </c>
      <c r="O751" s="18" t="b">
        <v>0</v>
      </c>
      <c r="P751" s="18" t="b">
        <v>0</v>
      </c>
      <c r="Q751" s="18" t="b">
        <v>0</v>
      </c>
      <c r="R751" s="18" t="b">
        <v>1</v>
      </c>
    </row>
    <row r="752" spans="1:18" ht="18">
      <c r="A752" s="61" t="s">
        <v>2435</v>
      </c>
      <c r="B752" s="15" t="s">
        <v>2435</v>
      </c>
      <c r="C752" s="16" t="s">
        <v>2436</v>
      </c>
      <c r="D752" s="76" t="s">
        <v>2437</v>
      </c>
      <c r="E752" s="16" t="s">
        <v>192</v>
      </c>
      <c r="F752" s="19" t="s">
        <v>27</v>
      </c>
      <c r="G752" s="18" t="b">
        <v>0</v>
      </c>
      <c r="H752" s="18" t="b">
        <v>0</v>
      </c>
      <c r="I752" s="18" t="b">
        <v>0</v>
      </c>
      <c r="J752" s="18" t="b">
        <v>0</v>
      </c>
      <c r="K752" s="18" t="b">
        <v>0</v>
      </c>
      <c r="L752" s="18" t="b">
        <v>0</v>
      </c>
      <c r="M752" s="18" t="b">
        <v>0</v>
      </c>
      <c r="N752" s="18" t="b">
        <v>0</v>
      </c>
      <c r="O752" s="18" t="b">
        <v>0</v>
      </c>
      <c r="P752" s="18" t="b">
        <v>0</v>
      </c>
      <c r="Q752" s="18" t="b">
        <v>1</v>
      </c>
      <c r="R752" s="18" t="b">
        <v>0</v>
      </c>
    </row>
    <row r="753" spans="1:18" ht="18">
      <c r="A753" s="61" t="s">
        <v>2438</v>
      </c>
      <c r="B753" s="15" t="s">
        <v>2439</v>
      </c>
      <c r="C753" s="16" t="s">
        <v>2440</v>
      </c>
      <c r="D753" s="17" t="s">
        <v>2441</v>
      </c>
      <c r="E753" s="18" t="s">
        <v>178</v>
      </c>
      <c r="F753" s="19" t="s">
        <v>27</v>
      </c>
      <c r="G753" s="18" t="b">
        <v>0</v>
      </c>
      <c r="H753" s="18" t="b">
        <v>0</v>
      </c>
      <c r="I753" s="18" t="b">
        <v>0</v>
      </c>
      <c r="J753" s="18" t="b">
        <v>0</v>
      </c>
      <c r="K753" s="18" t="b">
        <v>0</v>
      </c>
      <c r="L753" s="18" t="b">
        <v>0</v>
      </c>
      <c r="M753" s="18" t="b">
        <v>0</v>
      </c>
      <c r="N753" s="18" t="b">
        <v>1</v>
      </c>
      <c r="O753" s="18" t="b">
        <v>0</v>
      </c>
      <c r="P753" s="18" t="b">
        <v>0</v>
      </c>
      <c r="Q753" s="18" t="b">
        <v>0</v>
      </c>
      <c r="R753" s="18" t="b">
        <v>0</v>
      </c>
    </row>
    <row r="754" spans="1:18">
      <c r="A754" s="101" t="s">
        <v>2442</v>
      </c>
      <c r="B754" s="15" t="s">
        <v>2442</v>
      </c>
      <c r="C754" s="16" t="s">
        <v>2443</v>
      </c>
      <c r="D754" s="76" t="s">
        <v>2444</v>
      </c>
      <c r="E754" s="16" t="s">
        <v>33</v>
      </c>
      <c r="F754" s="19" t="s">
        <v>27</v>
      </c>
      <c r="G754" s="18" t="b">
        <v>0</v>
      </c>
      <c r="H754" s="18" t="b">
        <v>0</v>
      </c>
      <c r="I754" s="18" t="b">
        <v>0</v>
      </c>
      <c r="J754" s="18" t="b">
        <v>0</v>
      </c>
      <c r="K754" s="18" t="b">
        <v>0</v>
      </c>
      <c r="L754" s="18" t="b">
        <v>0</v>
      </c>
      <c r="M754" s="18" t="b">
        <v>0</v>
      </c>
      <c r="N754" s="18" t="b">
        <v>0</v>
      </c>
      <c r="O754" s="18" t="b">
        <v>0</v>
      </c>
      <c r="P754" s="18" t="b">
        <v>0</v>
      </c>
      <c r="Q754" s="18" t="b">
        <v>0</v>
      </c>
      <c r="R754" s="18" t="b">
        <v>1</v>
      </c>
    </row>
    <row r="755" spans="1:18" ht="18">
      <c r="A755" s="61" t="s">
        <v>2445</v>
      </c>
      <c r="B755" s="15" t="s">
        <v>2445</v>
      </c>
      <c r="C755" s="16" t="s">
        <v>2446</v>
      </c>
      <c r="D755" s="76" t="s">
        <v>2447</v>
      </c>
      <c r="E755" s="16" t="s">
        <v>60</v>
      </c>
      <c r="F755" s="19" t="s">
        <v>27</v>
      </c>
      <c r="G755" s="18" t="b">
        <v>0</v>
      </c>
      <c r="H755" s="18" t="b">
        <v>0</v>
      </c>
      <c r="I755" s="18" t="b">
        <v>0</v>
      </c>
      <c r="J755" s="18" t="b">
        <v>0</v>
      </c>
      <c r="K755" s="18" t="b">
        <v>0</v>
      </c>
      <c r="L755" s="18" t="b">
        <v>0</v>
      </c>
      <c r="M755" s="18" t="b">
        <v>1</v>
      </c>
      <c r="N755" s="18" t="b">
        <v>0</v>
      </c>
      <c r="O755" s="18" t="b">
        <v>0</v>
      </c>
      <c r="P755" s="18" t="b">
        <v>0</v>
      </c>
      <c r="Q755" s="18" t="b">
        <v>0</v>
      </c>
      <c r="R755" s="18" t="b">
        <v>0</v>
      </c>
    </row>
    <row r="756" spans="1:18" ht="18" hidden="1">
      <c r="A756" s="61" t="s">
        <v>2448</v>
      </c>
      <c r="B756" s="15" t="s">
        <v>2448</v>
      </c>
      <c r="C756" s="16" t="s">
        <v>2449</v>
      </c>
      <c r="D756" s="76" t="s">
        <v>2450</v>
      </c>
      <c r="E756" s="16" t="s">
        <v>60</v>
      </c>
      <c r="F756" s="19" t="s">
        <v>38</v>
      </c>
      <c r="G756" s="18" t="b">
        <v>0</v>
      </c>
      <c r="H756" s="18" t="b">
        <v>0</v>
      </c>
      <c r="I756" s="18" t="b">
        <v>0</v>
      </c>
      <c r="J756" s="18" t="b">
        <v>0</v>
      </c>
      <c r="K756" s="18" t="b">
        <v>0</v>
      </c>
      <c r="L756" s="18" t="b">
        <v>0</v>
      </c>
      <c r="M756" s="18" t="b">
        <v>1</v>
      </c>
      <c r="N756" s="18" t="b">
        <v>0</v>
      </c>
      <c r="O756" s="18" t="b">
        <v>0</v>
      </c>
      <c r="P756" s="18" t="b">
        <v>0</v>
      </c>
      <c r="Q756" s="18" t="b">
        <v>0</v>
      </c>
      <c r="R756" s="18" t="b">
        <v>0</v>
      </c>
    </row>
    <row r="757" spans="1:18" ht="18">
      <c r="A757" s="61" t="s">
        <v>2451</v>
      </c>
      <c r="B757" s="15" t="s">
        <v>2451</v>
      </c>
      <c r="C757" s="16" t="s">
        <v>2452</v>
      </c>
      <c r="D757" s="17" t="s">
        <v>2453</v>
      </c>
      <c r="E757" s="18" t="s">
        <v>178</v>
      </c>
      <c r="F757" s="19" t="s">
        <v>27</v>
      </c>
      <c r="G757" s="18" t="b">
        <v>0</v>
      </c>
      <c r="H757" s="18" t="b">
        <v>0</v>
      </c>
      <c r="I757" s="18" t="b">
        <v>0</v>
      </c>
      <c r="J757" s="18" t="b">
        <v>0</v>
      </c>
      <c r="K757" s="18" t="b">
        <v>0</v>
      </c>
      <c r="L757" s="18" t="b">
        <v>0</v>
      </c>
      <c r="M757" s="18" t="b">
        <v>0</v>
      </c>
      <c r="N757" s="18" t="b">
        <v>1</v>
      </c>
      <c r="O757" s="18" t="b">
        <v>0</v>
      </c>
      <c r="P757" s="18" t="b">
        <v>0</v>
      </c>
      <c r="Q757" s="18" t="b">
        <v>0</v>
      </c>
      <c r="R757" s="18" t="b">
        <v>0</v>
      </c>
    </row>
    <row r="758" spans="1:18" ht="18">
      <c r="A758" s="61" t="s">
        <v>2454</v>
      </c>
      <c r="B758" s="15" t="s">
        <v>2455</v>
      </c>
      <c r="C758" s="16" t="s">
        <v>2456</v>
      </c>
      <c r="D758" s="17" t="s">
        <v>2457</v>
      </c>
      <c r="E758" s="18" t="s">
        <v>178</v>
      </c>
      <c r="F758" s="19" t="s">
        <v>27</v>
      </c>
      <c r="G758" s="18" t="b">
        <v>0</v>
      </c>
      <c r="H758" s="18" t="b">
        <v>0</v>
      </c>
      <c r="I758" s="18" t="b">
        <v>0</v>
      </c>
      <c r="J758" s="18" t="b">
        <v>0</v>
      </c>
      <c r="K758" s="18" t="b">
        <v>0</v>
      </c>
      <c r="L758" s="18" t="b">
        <v>0</v>
      </c>
      <c r="M758" s="18" t="b">
        <v>0</v>
      </c>
      <c r="N758" s="18" t="b">
        <v>1</v>
      </c>
      <c r="O758" s="18" t="b">
        <v>0</v>
      </c>
      <c r="P758" s="18" t="b">
        <v>0</v>
      </c>
      <c r="Q758" s="18" t="b">
        <v>0</v>
      </c>
      <c r="R758" s="18" t="b">
        <v>0</v>
      </c>
    </row>
    <row r="759" spans="1:18" ht="18">
      <c r="A759" s="61" t="s">
        <v>2458</v>
      </c>
      <c r="B759" s="15" t="s">
        <v>2458</v>
      </c>
      <c r="C759" s="31" t="s">
        <v>2459</v>
      </c>
      <c r="D759" s="90" t="s">
        <v>2460</v>
      </c>
      <c r="E759" s="16" t="s">
        <v>60</v>
      </c>
      <c r="F759" s="19" t="s">
        <v>27</v>
      </c>
      <c r="G759" s="18" t="b">
        <v>0</v>
      </c>
      <c r="H759" s="18" t="b">
        <v>0</v>
      </c>
      <c r="I759" s="18" t="b">
        <v>0</v>
      </c>
      <c r="J759" s="18" t="b">
        <v>0</v>
      </c>
      <c r="K759" s="18" t="b">
        <v>0</v>
      </c>
      <c r="L759" s="18" t="b">
        <v>0</v>
      </c>
      <c r="M759" s="18" t="b">
        <v>1</v>
      </c>
      <c r="N759" s="18" t="b">
        <v>0</v>
      </c>
      <c r="O759" s="18" t="b">
        <v>0</v>
      </c>
      <c r="P759" s="18" t="b">
        <v>0</v>
      </c>
      <c r="Q759" s="18" t="b">
        <v>0</v>
      </c>
      <c r="R759" s="18" t="b">
        <v>0</v>
      </c>
    </row>
    <row r="760" spans="1:18" ht="18">
      <c r="A760" s="61" t="s">
        <v>2461</v>
      </c>
      <c r="B760" s="15" t="s">
        <v>2461</v>
      </c>
      <c r="C760" s="31" t="s">
        <v>2462</v>
      </c>
      <c r="D760" s="90" t="s">
        <v>2463</v>
      </c>
      <c r="E760" s="16" t="s">
        <v>60</v>
      </c>
      <c r="F760" s="19" t="s">
        <v>27</v>
      </c>
      <c r="G760" s="18" t="b">
        <v>0</v>
      </c>
      <c r="H760" s="18" t="b">
        <v>0</v>
      </c>
      <c r="I760" s="18" t="b">
        <v>0</v>
      </c>
      <c r="J760" s="18" t="b">
        <v>0</v>
      </c>
      <c r="K760" s="18" t="b">
        <v>0</v>
      </c>
      <c r="L760" s="18" t="b">
        <v>0</v>
      </c>
      <c r="M760" s="18" t="b">
        <v>1</v>
      </c>
      <c r="N760" s="18" t="b">
        <v>0</v>
      </c>
      <c r="O760" s="18" t="b">
        <v>0</v>
      </c>
      <c r="P760" s="18" t="b">
        <v>0</v>
      </c>
      <c r="Q760" s="18" t="b">
        <v>0</v>
      </c>
      <c r="R760" s="18" t="b">
        <v>0</v>
      </c>
    </row>
    <row r="761" spans="1:18" ht="18">
      <c r="A761" s="61" t="s">
        <v>2464</v>
      </c>
      <c r="B761" s="15" t="s">
        <v>2464</v>
      </c>
      <c r="C761" s="16" t="s">
        <v>2465</v>
      </c>
      <c r="D761" s="76" t="s">
        <v>2466</v>
      </c>
      <c r="E761" s="16" t="s">
        <v>60</v>
      </c>
      <c r="F761" s="19" t="s">
        <v>27</v>
      </c>
      <c r="G761" s="18" t="b">
        <v>0</v>
      </c>
      <c r="H761" s="18" t="b">
        <v>0</v>
      </c>
      <c r="I761" s="18" t="b">
        <v>0</v>
      </c>
      <c r="J761" s="18" t="b">
        <v>0</v>
      </c>
      <c r="K761" s="18" t="b">
        <v>0</v>
      </c>
      <c r="L761" s="18" t="b">
        <v>0</v>
      </c>
      <c r="M761" s="18" t="b">
        <v>1</v>
      </c>
      <c r="N761" s="18" t="b">
        <v>0</v>
      </c>
      <c r="O761" s="18" t="b">
        <v>0</v>
      </c>
      <c r="P761" s="18" t="b">
        <v>0</v>
      </c>
      <c r="Q761" s="18" t="b">
        <v>0</v>
      </c>
      <c r="R761" s="18" t="b">
        <v>0</v>
      </c>
    </row>
    <row r="762" spans="1:18" ht="18.75" customHeight="1">
      <c r="A762" s="61" t="s">
        <v>2467</v>
      </c>
      <c r="B762" s="15" t="s">
        <v>2468</v>
      </c>
      <c r="C762" s="101" t="s">
        <v>2469</v>
      </c>
      <c r="D762" s="76" t="s">
        <v>2470</v>
      </c>
      <c r="E762" s="16" t="s">
        <v>60</v>
      </c>
      <c r="F762" s="19" t="s">
        <v>27</v>
      </c>
      <c r="G762" s="18" t="b">
        <v>0</v>
      </c>
      <c r="H762" s="18" t="b">
        <v>0</v>
      </c>
      <c r="I762" s="18" t="b">
        <v>0</v>
      </c>
      <c r="J762" s="18" t="b">
        <v>0</v>
      </c>
      <c r="K762" s="18" t="b">
        <v>0</v>
      </c>
      <c r="L762" s="18" t="b">
        <v>0</v>
      </c>
      <c r="M762" s="18" t="b">
        <v>1</v>
      </c>
      <c r="N762" s="18" t="b">
        <v>0</v>
      </c>
      <c r="O762" s="18" t="b">
        <v>0</v>
      </c>
      <c r="P762" s="18" t="b">
        <v>0</v>
      </c>
      <c r="Q762" s="18" t="b">
        <v>0</v>
      </c>
      <c r="R762" s="18" t="b">
        <v>0</v>
      </c>
    </row>
    <row r="763" spans="1:18" ht="18">
      <c r="A763" s="61" t="s">
        <v>2471</v>
      </c>
      <c r="B763" s="15" t="s">
        <v>2471</v>
      </c>
      <c r="C763" s="16" t="s">
        <v>2472</v>
      </c>
      <c r="D763" s="76" t="s">
        <v>2473</v>
      </c>
      <c r="E763" s="16" t="s">
        <v>140</v>
      </c>
      <c r="F763" s="19" t="s">
        <v>27</v>
      </c>
      <c r="G763" s="18" t="b">
        <v>0</v>
      </c>
      <c r="H763" s="18" t="b">
        <v>1</v>
      </c>
      <c r="I763" s="18" t="b">
        <v>0</v>
      </c>
      <c r="J763" s="18" t="b">
        <v>0</v>
      </c>
      <c r="K763" s="18" t="b">
        <v>0</v>
      </c>
      <c r="L763" s="18" t="b">
        <v>0</v>
      </c>
      <c r="M763" s="18" t="b">
        <v>0</v>
      </c>
      <c r="N763" s="18" t="b">
        <v>0</v>
      </c>
      <c r="O763" s="18" t="b">
        <v>0</v>
      </c>
      <c r="P763" s="18" t="b">
        <v>0</v>
      </c>
      <c r="Q763" s="18" t="b">
        <v>0</v>
      </c>
      <c r="R763" s="18" t="b">
        <v>0</v>
      </c>
    </row>
    <row r="764" spans="1:18" ht="18">
      <c r="A764" s="61" t="s">
        <v>2474</v>
      </c>
      <c r="B764" s="15" t="s">
        <v>2475</v>
      </c>
      <c r="C764" s="16" t="s">
        <v>2476</v>
      </c>
      <c r="D764" s="76" t="s">
        <v>2477</v>
      </c>
      <c r="E764" s="16" t="s">
        <v>60</v>
      </c>
      <c r="F764" s="19" t="s">
        <v>27</v>
      </c>
      <c r="G764" s="18" t="b">
        <v>0</v>
      </c>
      <c r="H764" s="18" t="b">
        <v>0</v>
      </c>
      <c r="I764" s="18" t="b">
        <v>0</v>
      </c>
      <c r="J764" s="18" t="b">
        <v>0</v>
      </c>
      <c r="K764" s="18" t="b">
        <v>0</v>
      </c>
      <c r="L764" s="18" t="b">
        <v>0</v>
      </c>
      <c r="M764" s="18" t="b">
        <v>1</v>
      </c>
      <c r="N764" s="18" t="b">
        <v>0</v>
      </c>
      <c r="O764" s="18" t="b">
        <v>0</v>
      </c>
      <c r="P764" s="18" t="b">
        <v>0</v>
      </c>
      <c r="Q764" s="18" t="b">
        <v>0</v>
      </c>
      <c r="R764" s="18" t="b">
        <v>0</v>
      </c>
    </row>
    <row r="765" spans="1:18" ht="18">
      <c r="A765" s="61" t="s">
        <v>1601</v>
      </c>
      <c r="B765" s="15" t="s">
        <v>1601</v>
      </c>
      <c r="C765" s="31" t="s">
        <v>1603</v>
      </c>
      <c r="D765" s="144" t="s">
        <v>1604</v>
      </c>
      <c r="E765" s="16" t="s">
        <v>43</v>
      </c>
      <c r="F765" s="19" t="s">
        <v>27</v>
      </c>
      <c r="G765" s="18" t="b">
        <v>1</v>
      </c>
      <c r="H765" s="18" t="b">
        <v>0</v>
      </c>
      <c r="I765" s="18" t="b">
        <v>0</v>
      </c>
      <c r="J765" s="18" t="b">
        <v>0</v>
      </c>
      <c r="K765" s="18" t="b">
        <v>0</v>
      </c>
      <c r="L765" s="18" t="b">
        <v>0</v>
      </c>
      <c r="M765" s="18" t="b">
        <v>0</v>
      </c>
      <c r="N765" s="18" t="b">
        <v>0</v>
      </c>
      <c r="O765" s="18" t="b">
        <v>0</v>
      </c>
      <c r="P765" s="18" t="b">
        <v>0</v>
      </c>
      <c r="Q765" s="18" t="b">
        <v>0</v>
      </c>
      <c r="R765" s="18" t="b">
        <v>0</v>
      </c>
    </row>
    <row r="766" spans="1:18" ht="18">
      <c r="A766" s="61" t="s">
        <v>2478</v>
      </c>
      <c r="B766" s="15" t="s">
        <v>2478</v>
      </c>
      <c r="C766" s="31" t="s">
        <v>2479</v>
      </c>
      <c r="D766" s="90" t="s">
        <v>2480</v>
      </c>
      <c r="E766" s="16" t="s">
        <v>26</v>
      </c>
      <c r="F766" s="19" t="s">
        <v>27</v>
      </c>
      <c r="G766" s="18" t="b">
        <v>0</v>
      </c>
      <c r="H766" s="18" t="b">
        <v>0</v>
      </c>
      <c r="I766" s="18" t="b">
        <v>1</v>
      </c>
      <c r="J766" s="18" t="b">
        <v>0</v>
      </c>
      <c r="K766" s="18" t="b">
        <v>0</v>
      </c>
      <c r="L766" s="18" t="b">
        <v>0</v>
      </c>
      <c r="M766" s="18" t="b">
        <v>0</v>
      </c>
      <c r="N766" s="18" t="b">
        <v>0</v>
      </c>
      <c r="O766" s="18" t="b">
        <v>0</v>
      </c>
      <c r="P766" s="18" t="b">
        <v>0</v>
      </c>
      <c r="Q766" s="18" t="b">
        <v>0</v>
      </c>
      <c r="R766" s="18" t="b">
        <v>0</v>
      </c>
    </row>
    <row r="767" spans="1:18" ht="18">
      <c r="A767" s="61" t="s">
        <v>2481</v>
      </c>
      <c r="B767" s="15" t="s">
        <v>2481</v>
      </c>
      <c r="C767" s="16" t="s">
        <v>2482</v>
      </c>
      <c r="D767" s="76" t="s">
        <v>2483</v>
      </c>
      <c r="E767" s="16" t="s">
        <v>990</v>
      </c>
      <c r="F767" s="19" t="s">
        <v>27</v>
      </c>
      <c r="G767" s="18" t="b">
        <v>0</v>
      </c>
      <c r="H767" s="18" t="b">
        <v>0</v>
      </c>
      <c r="I767" s="18" t="b">
        <v>0</v>
      </c>
      <c r="J767" s="18" t="b">
        <v>0</v>
      </c>
      <c r="K767" s="18" t="b">
        <v>0</v>
      </c>
      <c r="L767" s="18" t="b">
        <v>0</v>
      </c>
      <c r="M767" s="18" t="b">
        <v>0</v>
      </c>
      <c r="N767" s="18" t="b">
        <v>0</v>
      </c>
      <c r="O767" s="18" t="b">
        <v>0</v>
      </c>
      <c r="P767" s="18" t="b">
        <v>0</v>
      </c>
      <c r="Q767" s="18" t="b">
        <v>0</v>
      </c>
      <c r="R767" s="18" t="b">
        <v>1</v>
      </c>
    </row>
    <row r="768" spans="1:18" ht="18">
      <c r="A768" s="61" t="s">
        <v>2484</v>
      </c>
      <c r="B768" s="15" t="s">
        <v>2484</v>
      </c>
      <c r="C768" s="16" t="s">
        <v>2485</v>
      </c>
      <c r="D768" s="76" t="s">
        <v>2486</v>
      </c>
      <c r="E768" s="16" t="s">
        <v>990</v>
      </c>
      <c r="F768" s="19" t="s">
        <v>27</v>
      </c>
      <c r="G768" s="18" t="b">
        <v>0</v>
      </c>
      <c r="H768" s="18" t="b">
        <v>0</v>
      </c>
      <c r="I768" s="18" t="b">
        <v>0</v>
      </c>
      <c r="J768" s="18" t="b">
        <v>0</v>
      </c>
      <c r="K768" s="18" t="b">
        <v>0</v>
      </c>
      <c r="L768" s="18" t="b">
        <v>0</v>
      </c>
      <c r="M768" s="18" t="b">
        <v>0</v>
      </c>
      <c r="N768" s="18" t="b">
        <v>0</v>
      </c>
      <c r="O768" s="18" t="b">
        <v>0</v>
      </c>
      <c r="P768" s="18" t="b">
        <v>0</v>
      </c>
      <c r="Q768" s="18" t="b">
        <v>0</v>
      </c>
      <c r="R768" s="18" t="b">
        <v>1</v>
      </c>
    </row>
    <row r="769" spans="1:18" ht="18">
      <c r="A769" s="61" t="s">
        <v>2487</v>
      </c>
      <c r="B769" s="15" t="s">
        <v>2488</v>
      </c>
      <c r="C769" s="16" t="s">
        <v>2489</v>
      </c>
      <c r="D769" s="17" t="s">
        <v>2490</v>
      </c>
      <c r="E769" s="18" t="s">
        <v>178</v>
      </c>
      <c r="F769" s="19" t="s">
        <v>27</v>
      </c>
      <c r="G769" s="18" t="b">
        <v>0</v>
      </c>
      <c r="H769" s="18" t="b">
        <v>0</v>
      </c>
      <c r="I769" s="18" t="b">
        <v>0</v>
      </c>
      <c r="J769" s="18" t="b">
        <v>0</v>
      </c>
      <c r="K769" s="18" t="b">
        <v>0</v>
      </c>
      <c r="L769" s="18" t="b">
        <v>0</v>
      </c>
      <c r="M769" s="18" t="b">
        <v>0</v>
      </c>
      <c r="N769" s="18" t="b">
        <v>1</v>
      </c>
      <c r="O769" s="18" t="b">
        <v>0</v>
      </c>
      <c r="P769" s="18" t="b">
        <v>0</v>
      </c>
      <c r="Q769" s="18" t="b">
        <v>0</v>
      </c>
      <c r="R769" s="18" t="b">
        <v>0</v>
      </c>
    </row>
    <row r="770" spans="1:18" ht="18">
      <c r="A770" s="61" t="s">
        <v>2491</v>
      </c>
      <c r="B770" s="15" t="s">
        <v>2491</v>
      </c>
      <c r="C770" s="16" t="s">
        <v>2492</v>
      </c>
      <c r="D770" s="76" t="s">
        <v>2493</v>
      </c>
      <c r="E770" s="16" t="s">
        <v>26</v>
      </c>
      <c r="F770" s="19" t="s">
        <v>27</v>
      </c>
      <c r="G770" s="18" t="b">
        <v>0</v>
      </c>
      <c r="H770" s="18" t="b">
        <v>0</v>
      </c>
      <c r="I770" s="18" t="b">
        <v>1</v>
      </c>
      <c r="J770" s="18" t="b">
        <v>0</v>
      </c>
      <c r="K770" s="18" t="b">
        <v>0</v>
      </c>
      <c r="L770" s="18" t="b">
        <v>0</v>
      </c>
      <c r="M770" s="18" t="b">
        <v>0</v>
      </c>
      <c r="N770" s="18" t="b">
        <v>0</v>
      </c>
      <c r="O770" s="18" t="b">
        <v>0</v>
      </c>
      <c r="P770" s="18" t="b">
        <v>0</v>
      </c>
      <c r="Q770" s="18" t="b">
        <v>0</v>
      </c>
      <c r="R770" s="18" t="b">
        <v>0</v>
      </c>
    </row>
    <row r="771" spans="1:18" ht="18">
      <c r="A771" s="61" t="s">
        <v>2494</v>
      </c>
      <c r="B771" s="15" t="s">
        <v>2494</v>
      </c>
      <c r="C771" s="16" t="s">
        <v>2495</v>
      </c>
      <c r="D771" s="76" t="s">
        <v>2496</v>
      </c>
      <c r="E771" s="16" t="s">
        <v>990</v>
      </c>
      <c r="F771" s="19" t="s">
        <v>27</v>
      </c>
      <c r="G771" s="18" t="b">
        <v>0</v>
      </c>
      <c r="H771" s="18" t="b">
        <v>0</v>
      </c>
      <c r="I771" s="18" t="b">
        <v>0</v>
      </c>
      <c r="J771" s="18" t="b">
        <v>0</v>
      </c>
      <c r="K771" s="18" t="b">
        <v>0</v>
      </c>
      <c r="L771" s="18" t="b">
        <v>0</v>
      </c>
      <c r="M771" s="18" t="b">
        <v>0</v>
      </c>
      <c r="N771" s="18" t="b">
        <v>0</v>
      </c>
      <c r="O771" s="18" t="b">
        <v>0</v>
      </c>
      <c r="P771" s="18" t="b">
        <v>0</v>
      </c>
      <c r="Q771" s="18" t="b">
        <v>0</v>
      </c>
      <c r="R771" s="18" t="b">
        <v>1</v>
      </c>
    </row>
    <row r="772" spans="1:18" ht="18">
      <c r="A772" s="61" t="s">
        <v>2497</v>
      </c>
      <c r="B772" s="15" t="s">
        <v>2497</v>
      </c>
      <c r="C772" s="16" t="s">
        <v>2498</v>
      </c>
      <c r="D772" s="76" t="s">
        <v>2499</v>
      </c>
      <c r="E772" s="16" t="s">
        <v>990</v>
      </c>
      <c r="F772" s="19" t="s">
        <v>27</v>
      </c>
      <c r="G772" s="18" t="b">
        <v>0</v>
      </c>
      <c r="H772" s="18" t="b">
        <v>0</v>
      </c>
      <c r="I772" s="18" t="b">
        <v>0</v>
      </c>
      <c r="J772" s="18" t="b">
        <v>0</v>
      </c>
      <c r="K772" s="18" t="b">
        <v>0</v>
      </c>
      <c r="L772" s="18" t="b">
        <v>0</v>
      </c>
      <c r="M772" s="18" t="b">
        <v>0</v>
      </c>
      <c r="N772" s="18" t="b">
        <v>0</v>
      </c>
      <c r="O772" s="18" t="b">
        <v>0</v>
      </c>
      <c r="P772" s="18" t="b">
        <v>0</v>
      </c>
      <c r="Q772" s="18" t="b">
        <v>0</v>
      </c>
      <c r="R772" s="18" t="b">
        <v>1</v>
      </c>
    </row>
    <row r="773" spans="1:18" ht="18" hidden="1">
      <c r="A773" s="61" t="s">
        <v>2500</v>
      </c>
      <c r="B773" s="15" t="s">
        <v>2500</v>
      </c>
      <c r="C773" s="16" t="s">
        <v>2501</v>
      </c>
      <c r="D773" s="76" t="s">
        <v>2502</v>
      </c>
      <c r="E773" s="16" t="s">
        <v>140</v>
      </c>
      <c r="F773" s="19" t="s">
        <v>38</v>
      </c>
      <c r="G773" s="18" t="b">
        <v>0</v>
      </c>
      <c r="H773" s="18" t="b">
        <v>1</v>
      </c>
      <c r="I773" s="18" t="b">
        <v>0</v>
      </c>
      <c r="J773" s="18" t="b">
        <v>0</v>
      </c>
      <c r="K773" s="18" t="b">
        <v>0</v>
      </c>
      <c r="L773" s="18" t="b">
        <v>0</v>
      </c>
      <c r="M773" s="18" t="b">
        <v>0</v>
      </c>
      <c r="N773" s="18" t="b">
        <v>0</v>
      </c>
      <c r="O773" s="18" t="b">
        <v>0</v>
      </c>
      <c r="P773" s="18" t="b">
        <v>0</v>
      </c>
      <c r="Q773" s="18" t="b">
        <v>0</v>
      </c>
      <c r="R773" s="18" t="b">
        <v>0</v>
      </c>
    </row>
    <row r="774" spans="1:18" ht="18">
      <c r="A774" s="61" t="s">
        <v>2503</v>
      </c>
      <c r="B774" s="15" t="s">
        <v>2503</v>
      </c>
      <c r="C774" s="16" t="s">
        <v>2504</v>
      </c>
      <c r="D774" s="17" t="s">
        <v>2505</v>
      </c>
      <c r="E774" s="16" t="s">
        <v>192</v>
      </c>
      <c r="F774" s="19" t="s">
        <v>27</v>
      </c>
      <c r="G774" s="18" t="b">
        <v>0</v>
      </c>
      <c r="H774" s="18" t="b">
        <v>0</v>
      </c>
      <c r="I774" s="18" t="b">
        <v>0</v>
      </c>
      <c r="J774" s="18" t="b">
        <v>0</v>
      </c>
      <c r="K774" s="18" t="b">
        <v>0</v>
      </c>
      <c r="L774" s="18" t="b">
        <v>0</v>
      </c>
      <c r="M774" s="18" t="b">
        <v>0</v>
      </c>
      <c r="N774" s="18" t="b">
        <v>0</v>
      </c>
      <c r="O774" s="18" t="b">
        <v>0</v>
      </c>
      <c r="P774" s="18" t="b">
        <v>0</v>
      </c>
      <c r="Q774" s="18" t="b">
        <v>1</v>
      </c>
      <c r="R774" s="18" t="b">
        <v>0</v>
      </c>
    </row>
    <row r="775" spans="1:18" ht="18">
      <c r="A775" s="61" t="s">
        <v>2506</v>
      </c>
      <c r="B775" s="15" t="s">
        <v>2506</v>
      </c>
      <c r="C775" s="16" t="s">
        <v>2507</v>
      </c>
      <c r="D775" s="76" t="s">
        <v>2508</v>
      </c>
      <c r="E775" s="18" t="s">
        <v>304</v>
      </c>
      <c r="F775" s="19" t="s">
        <v>27</v>
      </c>
      <c r="G775" s="18" t="b">
        <v>0</v>
      </c>
      <c r="H775" s="18" t="b">
        <v>0</v>
      </c>
      <c r="I775" s="18" t="b">
        <v>0</v>
      </c>
      <c r="J775" s="18" t="b">
        <v>0</v>
      </c>
      <c r="K775" s="18" t="b">
        <v>0</v>
      </c>
      <c r="L775" s="18" t="b">
        <v>1</v>
      </c>
      <c r="M775" s="18" t="b">
        <v>0</v>
      </c>
      <c r="N775" s="18" t="b">
        <v>0</v>
      </c>
      <c r="O775" s="18" t="b">
        <v>0</v>
      </c>
      <c r="P775" s="18" t="b">
        <v>0</v>
      </c>
      <c r="Q775" s="18" t="b">
        <v>0</v>
      </c>
      <c r="R775" s="18" t="b">
        <v>0</v>
      </c>
    </row>
    <row r="776" spans="1:18" ht="18">
      <c r="A776" s="61" t="s">
        <v>2509</v>
      </c>
      <c r="B776" s="15" t="s">
        <v>2509</v>
      </c>
      <c r="C776" s="31" t="s">
        <v>2510</v>
      </c>
      <c r="D776" s="17" t="s">
        <v>2511</v>
      </c>
      <c r="E776" s="18" t="s">
        <v>178</v>
      </c>
      <c r="F776" s="19" t="s">
        <v>27</v>
      </c>
      <c r="G776" s="18" t="b">
        <v>0</v>
      </c>
      <c r="H776" s="18" t="b">
        <v>0</v>
      </c>
      <c r="I776" s="18" t="b">
        <v>0</v>
      </c>
      <c r="J776" s="18" t="b">
        <v>0</v>
      </c>
      <c r="K776" s="18" t="b">
        <v>0</v>
      </c>
      <c r="L776" s="18" t="b">
        <v>0</v>
      </c>
      <c r="M776" s="18" t="b">
        <v>0</v>
      </c>
      <c r="N776" s="18" t="b">
        <v>1</v>
      </c>
      <c r="O776" s="18" t="b">
        <v>0</v>
      </c>
      <c r="P776" s="18" t="b">
        <v>0</v>
      </c>
      <c r="Q776" s="18" t="b">
        <v>0</v>
      </c>
      <c r="R776" s="18" t="b">
        <v>0</v>
      </c>
    </row>
    <row r="777" spans="1:18" ht="18">
      <c r="A777" s="111" t="s">
        <v>2512</v>
      </c>
      <c r="B777" s="15" t="s">
        <v>2512</v>
      </c>
      <c r="C777" s="31" t="s">
        <v>2513</v>
      </c>
      <c r="D777" s="90" t="s">
        <v>2514</v>
      </c>
      <c r="E777" s="16" t="s">
        <v>26</v>
      </c>
      <c r="F777" s="19" t="s">
        <v>27</v>
      </c>
      <c r="G777" s="18" t="b">
        <v>0</v>
      </c>
      <c r="H777" s="18" t="b">
        <v>0</v>
      </c>
      <c r="I777" s="18" t="b">
        <v>1</v>
      </c>
      <c r="J777" s="18" t="b">
        <v>0</v>
      </c>
      <c r="K777" s="18" t="b">
        <v>0</v>
      </c>
      <c r="L777" s="18" t="b">
        <v>0</v>
      </c>
      <c r="M777" s="18" t="b">
        <v>0</v>
      </c>
      <c r="N777" s="18" t="b">
        <v>0</v>
      </c>
      <c r="O777" s="18" t="b">
        <v>0</v>
      </c>
      <c r="P777" s="18" t="b">
        <v>0</v>
      </c>
      <c r="Q777" s="18" t="b">
        <v>0</v>
      </c>
      <c r="R777" s="18" t="b">
        <v>0</v>
      </c>
    </row>
    <row r="778" spans="1:18" ht="18" hidden="1">
      <c r="A778" s="61" t="s">
        <v>2515</v>
      </c>
      <c r="B778" s="15" t="s">
        <v>2516</v>
      </c>
      <c r="C778" s="31" t="s">
        <v>2517</v>
      </c>
      <c r="D778" s="90" t="s">
        <v>2518</v>
      </c>
      <c r="E778" s="16" t="s">
        <v>990</v>
      </c>
      <c r="F778" s="19" t="s">
        <v>38</v>
      </c>
      <c r="G778" s="18" t="b">
        <v>0</v>
      </c>
      <c r="H778" s="18" t="b">
        <v>0</v>
      </c>
      <c r="I778" s="18" t="b">
        <v>0</v>
      </c>
      <c r="J778" s="18" t="b">
        <v>0</v>
      </c>
      <c r="K778" s="18" t="b">
        <v>0</v>
      </c>
      <c r="L778" s="18" t="b">
        <v>0</v>
      </c>
      <c r="M778" s="18" t="b">
        <v>0</v>
      </c>
      <c r="N778" s="18" t="b">
        <v>0</v>
      </c>
      <c r="O778" s="18" t="b">
        <v>0</v>
      </c>
      <c r="P778" s="18" t="b">
        <v>0</v>
      </c>
      <c r="Q778" s="18" t="b">
        <v>0</v>
      </c>
      <c r="R778" s="18" t="b">
        <v>1</v>
      </c>
    </row>
    <row r="779" spans="1:18" ht="18">
      <c r="A779" s="61" t="s">
        <v>2519</v>
      </c>
      <c r="B779" s="15" t="s">
        <v>2519</v>
      </c>
      <c r="C779" s="31" t="s">
        <v>2520</v>
      </c>
      <c r="D779" s="90" t="s">
        <v>2521</v>
      </c>
      <c r="E779" s="16" t="s">
        <v>990</v>
      </c>
      <c r="F779" s="19" t="s">
        <v>27</v>
      </c>
      <c r="G779" s="18" t="b">
        <v>0</v>
      </c>
      <c r="H779" s="18" t="b">
        <v>0</v>
      </c>
      <c r="I779" s="18" t="b">
        <v>0</v>
      </c>
      <c r="J779" s="18" t="b">
        <v>0</v>
      </c>
      <c r="K779" s="18" t="b">
        <v>0</v>
      </c>
      <c r="L779" s="18" t="b">
        <v>0</v>
      </c>
      <c r="M779" s="18" t="b">
        <v>0</v>
      </c>
      <c r="N779" s="18" t="b">
        <v>0</v>
      </c>
      <c r="O779" s="18" t="b">
        <v>0</v>
      </c>
      <c r="P779" s="18" t="b">
        <v>0</v>
      </c>
      <c r="Q779" s="18" t="b">
        <v>0</v>
      </c>
      <c r="R779" s="18" t="b">
        <v>1</v>
      </c>
    </row>
    <row r="780" spans="1:18" ht="18">
      <c r="A780" s="61" t="s">
        <v>2522</v>
      </c>
      <c r="B780" s="15" t="s">
        <v>2522</v>
      </c>
      <c r="C780" s="16" t="s">
        <v>2523</v>
      </c>
      <c r="D780" s="76" t="s">
        <v>2524</v>
      </c>
      <c r="E780" s="16" t="s">
        <v>26</v>
      </c>
      <c r="F780" s="19" t="s">
        <v>27</v>
      </c>
      <c r="G780" s="18" t="b">
        <v>0</v>
      </c>
      <c r="H780" s="18" t="b">
        <v>0</v>
      </c>
      <c r="I780" s="18" t="b">
        <v>1</v>
      </c>
      <c r="J780" s="18" t="b">
        <v>0</v>
      </c>
      <c r="K780" s="18" t="b">
        <v>0</v>
      </c>
      <c r="L780" s="18" t="b">
        <v>0</v>
      </c>
      <c r="M780" s="18" t="b">
        <v>0</v>
      </c>
      <c r="N780" s="18" t="b">
        <v>0</v>
      </c>
      <c r="O780" s="18" t="b">
        <v>0</v>
      </c>
      <c r="P780" s="18" t="b">
        <v>0</v>
      </c>
      <c r="Q780" s="18" t="b">
        <v>0</v>
      </c>
      <c r="R780" s="18" t="b">
        <v>0</v>
      </c>
    </row>
    <row r="781" spans="1:18" ht="18">
      <c r="A781" s="61" t="s">
        <v>2525</v>
      </c>
      <c r="B781" s="15" t="s">
        <v>2525</v>
      </c>
      <c r="C781" s="16" t="s">
        <v>2526</v>
      </c>
      <c r="D781" s="76" t="s">
        <v>2527</v>
      </c>
      <c r="E781" s="16" t="s">
        <v>990</v>
      </c>
      <c r="F781" s="19" t="s">
        <v>27</v>
      </c>
      <c r="G781" s="18" t="b">
        <v>0</v>
      </c>
      <c r="H781" s="18" t="b">
        <v>0</v>
      </c>
      <c r="I781" s="18" t="b">
        <v>0</v>
      </c>
      <c r="J781" s="18" t="b">
        <v>0</v>
      </c>
      <c r="K781" s="18" t="b">
        <v>1</v>
      </c>
      <c r="L781" s="18" t="b">
        <v>0</v>
      </c>
      <c r="M781" s="18" t="b">
        <v>0</v>
      </c>
      <c r="N781" s="18" t="b">
        <v>0</v>
      </c>
      <c r="O781" s="18" t="b">
        <v>0</v>
      </c>
      <c r="P781" s="18" t="b">
        <v>0</v>
      </c>
      <c r="Q781" s="18" t="b">
        <v>0</v>
      </c>
      <c r="R781" s="18" t="b">
        <v>1</v>
      </c>
    </row>
    <row r="782" spans="1:18" ht="18">
      <c r="A782" s="61" t="s">
        <v>2528</v>
      </c>
      <c r="B782" s="15" t="s">
        <v>2528</v>
      </c>
      <c r="C782" s="16" t="s">
        <v>2529</v>
      </c>
      <c r="D782" s="76" t="s">
        <v>2530</v>
      </c>
      <c r="E782" s="16" t="s">
        <v>990</v>
      </c>
      <c r="F782" s="19" t="s">
        <v>27</v>
      </c>
      <c r="G782" s="18" t="b">
        <v>0</v>
      </c>
      <c r="H782" s="18" t="b">
        <v>0</v>
      </c>
      <c r="I782" s="18" t="b">
        <v>0</v>
      </c>
      <c r="J782" s="18" t="b">
        <v>0</v>
      </c>
      <c r="K782" s="18" t="b">
        <v>0</v>
      </c>
      <c r="L782" s="18" t="b">
        <v>0</v>
      </c>
      <c r="M782" s="18" t="b">
        <v>0</v>
      </c>
      <c r="N782" s="18" t="b">
        <v>0</v>
      </c>
      <c r="O782" s="18" t="b">
        <v>0</v>
      </c>
      <c r="P782" s="18" t="b">
        <v>0</v>
      </c>
      <c r="Q782" s="18" t="b">
        <v>0</v>
      </c>
      <c r="R782" s="18" t="b">
        <v>1</v>
      </c>
    </row>
    <row r="783" spans="1:18" ht="18">
      <c r="A783" s="61" t="s">
        <v>2531</v>
      </c>
      <c r="B783" s="15" t="s">
        <v>2531</v>
      </c>
      <c r="C783" s="101" t="s">
        <v>2532</v>
      </c>
      <c r="D783" s="76" t="s">
        <v>2533</v>
      </c>
      <c r="E783" s="18" t="s">
        <v>154</v>
      </c>
      <c r="F783" s="19" t="s">
        <v>27</v>
      </c>
      <c r="G783" s="18" t="b">
        <v>0</v>
      </c>
      <c r="H783" s="18" t="b">
        <v>0</v>
      </c>
      <c r="I783" s="18" t="b">
        <v>0</v>
      </c>
      <c r="J783" s="18" t="b">
        <v>0</v>
      </c>
      <c r="K783" s="18" t="b">
        <v>1</v>
      </c>
      <c r="L783" s="18" t="b">
        <v>0</v>
      </c>
      <c r="M783" s="18" t="b">
        <v>0</v>
      </c>
      <c r="N783" s="18" t="b">
        <v>0</v>
      </c>
      <c r="O783" s="18" t="b">
        <v>0</v>
      </c>
      <c r="P783" s="18" t="b">
        <v>0</v>
      </c>
      <c r="Q783" s="18" t="b">
        <v>0</v>
      </c>
      <c r="R783" s="18" t="b">
        <v>0</v>
      </c>
    </row>
    <row r="784" spans="1:18" ht="18">
      <c r="A784" s="61" t="s">
        <v>2534</v>
      </c>
      <c r="B784" s="15" t="s">
        <v>2534</v>
      </c>
      <c r="C784" s="31" t="s">
        <v>2535</v>
      </c>
      <c r="D784" s="90" t="s">
        <v>2536</v>
      </c>
      <c r="E784" s="16" t="s">
        <v>140</v>
      </c>
      <c r="F784" s="19" t="s">
        <v>27</v>
      </c>
      <c r="G784" s="18" t="b">
        <v>0</v>
      </c>
      <c r="H784" s="18" t="b">
        <v>1</v>
      </c>
      <c r="I784" s="18" t="b">
        <v>0</v>
      </c>
      <c r="J784" s="18" t="b">
        <v>0</v>
      </c>
      <c r="K784" s="18" t="b">
        <v>0</v>
      </c>
      <c r="L784" s="18" t="b">
        <v>0</v>
      </c>
      <c r="M784" s="18" t="b">
        <v>0</v>
      </c>
      <c r="N784" s="18" t="b">
        <v>0</v>
      </c>
      <c r="O784" s="18" t="b">
        <v>1</v>
      </c>
      <c r="P784" s="18" t="b">
        <v>0</v>
      </c>
      <c r="Q784" s="18" t="b">
        <v>0</v>
      </c>
      <c r="R784" s="18" t="b">
        <v>0</v>
      </c>
    </row>
    <row r="785" spans="1:18" ht="18">
      <c r="A785" s="61" t="s">
        <v>2537</v>
      </c>
      <c r="B785" s="15" t="s">
        <v>2537</v>
      </c>
      <c r="C785" s="16" t="s">
        <v>2538</v>
      </c>
      <c r="D785" s="76" t="s">
        <v>2539</v>
      </c>
      <c r="E785" s="16" t="s">
        <v>990</v>
      </c>
      <c r="F785" s="19" t="s">
        <v>27</v>
      </c>
      <c r="G785" s="18" t="b">
        <v>0</v>
      </c>
      <c r="H785" s="18" t="b">
        <v>0</v>
      </c>
      <c r="I785" s="18" t="b">
        <v>0</v>
      </c>
      <c r="J785" s="18" t="b">
        <v>0</v>
      </c>
      <c r="K785" s="18" t="b">
        <v>0</v>
      </c>
      <c r="L785" s="18" t="b">
        <v>0</v>
      </c>
      <c r="M785" s="18" t="b">
        <v>0</v>
      </c>
      <c r="N785" s="18" t="b">
        <v>0</v>
      </c>
      <c r="O785" s="18" t="b">
        <v>0</v>
      </c>
      <c r="P785" s="18" t="b">
        <v>0</v>
      </c>
      <c r="Q785" s="18" t="b">
        <v>0</v>
      </c>
      <c r="R785" s="18" t="b">
        <v>1</v>
      </c>
    </row>
    <row r="786" spans="1:18" ht="18">
      <c r="A786" s="61" t="s">
        <v>2540</v>
      </c>
      <c r="B786" s="15" t="s">
        <v>2540</v>
      </c>
      <c r="C786" s="101" t="s">
        <v>2541</v>
      </c>
      <c r="D786" s="76" t="s">
        <v>2542</v>
      </c>
      <c r="E786" s="18" t="s">
        <v>154</v>
      </c>
      <c r="F786" s="19" t="s">
        <v>27</v>
      </c>
      <c r="G786" s="18" t="b">
        <v>0</v>
      </c>
      <c r="H786" s="18" t="b">
        <v>0</v>
      </c>
      <c r="I786" s="18" t="b">
        <v>0</v>
      </c>
      <c r="J786" s="18" t="b">
        <v>1</v>
      </c>
      <c r="K786" s="18" t="b">
        <v>1</v>
      </c>
      <c r="L786" s="18" t="b">
        <v>0</v>
      </c>
      <c r="M786" s="18" t="b">
        <v>0</v>
      </c>
      <c r="N786" s="18" t="b">
        <v>0</v>
      </c>
      <c r="O786" s="18" t="b">
        <v>0</v>
      </c>
      <c r="P786" s="18" t="b">
        <v>0</v>
      </c>
      <c r="Q786" s="18" t="b">
        <v>0</v>
      </c>
      <c r="R786" s="18" t="b">
        <v>0</v>
      </c>
    </row>
    <row r="787" spans="1:18" ht="18">
      <c r="A787" s="61" t="s">
        <v>2543</v>
      </c>
      <c r="B787" s="15" t="s">
        <v>2543</v>
      </c>
      <c r="C787" s="16" t="s">
        <v>2544</v>
      </c>
      <c r="D787" s="76" t="s">
        <v>2545</v>
      </c>
      <c r="E787" s="16" t="s">
        <v>60</v>
      </c>
      <c r="F787" s="19" t="s">
        <v>27</v>
      </c>
      <c r="G787" s="18" t="b">
        <v>0</v>
      </c>
      <c r="H787" s="18" t="b">
        <v>0</v>
      </c>
      <c r="I787" s="18" t="b">
        <v>0</v>
      </c>
      <c r="J787" s="18" t="b">
        <v>0</v>
      </c>
      <c r="K787" s="18" t="b">
        <v>0</v>
      </c>
      <c r="L787" s="18" t="b">
        <v>0</v>
      </c>
      <c r="M787" s="18" t="b">
        <v>1</v>
      </c>
      <c r="N787" s="18" t="b">
        <v>0</v>
      </c>
      <c r="O787" s="18" t="b">
        <v>0</v>
      </c>
      <c r="P787" s="18" t="b">
        <v>0</v>
      </c>
      <c r="Q787" s="18" t="b">
        <v>0</v>
      </c>
      <c r="R787" s="18" t="b">
        <v>0</v>
      </c>
    </row>
    <row r="788" spans="1:18" ht="18" hidden="1">
      <c r="A788" s="61" t="s">
        <v>2546</v>
      </c>
      <c r="B788" s="15" t="s">
        <v>2546</v>
      </c>
      <c r="C788" s="31" t="s">
        <v>2547</v>
      </c>
      <c r="D788" s="90" t="s">
        <v>2548</v>
      </c>
      <c r="E788" s="16" t="s">
        <v>26</v>
      </c>
      <c r="F788" s="19" t="s">
        <v>34</v>
      </c>
      <c r="G788" s="18" t="b">
        <v>0</v>
      </c>
      <c r="H788" s="18" t="b">
        <v>0</v>
      </c>
      <c r="I788" s="18" t="b">
        <v>1</v>
      </c>
      <c r="J788" s="18" t="b">
        <v>0</v>
      </c>
      <c r="K788" s="18" t="b">
        <v>0</v>
      </c>
      <c r="L788" s="18" t="b">
        <v>0</v>
      </c>
      <c r="M788" s="18" t="b">
        <v>0</v>
      </c>
      <c r="N788" s="18" t="b">
        <v>0</v>
      </c>
      <c r="O788" s="18" t="b">
        <v>0</v>
      </c>
      <c r="P788" s="18" t="b">
        <v>0</v>
      </c>
      <c r="Q788" s="18" t="b">
        <v>1</v>
      </c>
      <c r="R788" s="18" t="b">
        <v>0</v>
      </c>
    </row>
    <row r="789" spans="1:18" ht="18">
      <c r="A789" s="61" t="s">
        <v>2549</v>
      </c>
      <c r="B789" s="15" t="s">
        <v>2550</v>
      </c>
      <c r="C789" s="31" t="s">
        <v>2551</v>
      </c>
      <c r="D789" s="90" t="s">
        <v>2552</v>
      </c>
      <c r="E789" s="16" t="s">
        <v>26</v>
      </c>
      <c r="F789" s="19" t="s">
        <v>27</v>
      </c>
      <c r="G789" s="18" t="b">
        <v>0</v>
      </c>
      <c r="H789" s="18" t="b">
        <v>0</v>
      </c>
      <c r="I789" s="18" t="b">
        <v>1</v>
      </c>
      <c r="J789" s="18" t="b">
        <v>0</v>
      </c>
      <c r="K789" s="18" t="b">
        <v>0</v>
      </c>
      <c r="L789" s="18" t="b">
        <v>0</v>
      </c>
      <c r="M789" s="18" t="b">
        <v>0</v>
      </c>
      <c r="N789" s="18" t="b">
        <v>0</v>
      </c>
      <c r="O789" s="18" t="b">
        <v>1</v>
      </c>
      <c r="P789" s="18" t="b">
        <v>0</v>
      </c>
      <c r="Q789" s="18" t="b">
        <v>0</v>
      </c>
      <c r="R789" s="18" t="b">
        <v>1</v>
      </c>
    </row>
    <row r="790" spans="1:18" ht="18">
      <c r="A790" s="61" t="s">
        <v>2553</v>
      </c>
      <c r="B790" s="15" t="s">
        <v>2554</v>
      </c>
      <c r="C790" s="31" t="s">
        <v>2555</v>
      </c>
      <c r="D790" s="90" t="s">
        <v>2556</v>
      </c>
      <c r="E790" s="18" t="s">
        <v>304</v>
      </c>
      <c r="F790" s="19" t="s">
        <v>27</v>
      </c>
      <c r="G790" s="18" t="b">
        <v>0</v>
      </c>
      <c r="H790" s="18" t="b">
        <v>0</v>
      </c>
      <c r="I790" s="18" t="b">
        <v>0</v>
      </c>
      <c r="J790" s="18" t="b">
        <v>0</v>
      </c>
      <c r="K790" s="18" t="b">
        <v>0</v>
      </c>
      <c r="L790" s="18" t="b">
        <v>1</v>
      </c>
      <c r="M790" s="18" t="b">
        <v>0</v>
      </c>
      <c r="N790" s="18" t="b">
        <v>0</v>
      </c>
      <c r="O790" s="18" t="b">
        <v>0</v>
      </c>
      <c r="P790" s="18" t="b">
        <v>0</v>
      </c>
      <c r="Q790" s="18" t="b">
        <v>0</v>
      </c>
      <c r="R790" s="18" t="b">
        <v>0</v>
      </c>
    </row>
    <row r="791" spans="1:18" ht="18">
      <c r="A791" s="61" t="s">
        <v>2557</v>
      </c>
      <c r="B791" s="15" t="s">
        <v>2557</v>
      </c>
      <c r="C791" s="31" t="s">
        <v>2558</v>
      </c>
      <c r="D791" s="90" t="s">
        <v>2559</v>
      </c>
      <c r="E791" s="18" t="s">
        <v>304</v>
      </c>
      <c r="F791" s="19" t="s">
        <v>27</v>
      </c>
      <c r="G791" s="18" t="b">
        <v>0</v>
      </c>
      <c r="H791" s="18" t="b">
        <v>0</v>
      </c>
      <c r="I791" s="18" t="b">
        <v>0</v>
      </c>
      <c r="J791" s="18" t="b">
        <v>0</v>
      </c>
      <c r="K791" s="18" t="b">
        <v>0</v>
      </c>
      <c r="L791" s="18" t="b">
        <v>1</v>
      </c>
      <c r="M791" s="18" t="b">
        <v>0</v>
      </c>
      <c r="N791" s="18" t="b">
        <v>0</v>
      </c>
      <c r="O791" s="18" t="b">
        <v>0</v>
      </c>
      <c r="P791" s="18" t="b">
        <v>0</v>
      </c>
      <c r="Q791" s="18" t="b">
        <v>0</v>
      </c>
      <c r="R791" s="18" t="b">
        <v>0</v>
      </c>
    </row>
    <row r="792" spans="1:18" ht="18">
      <c r="A792" s="61" t="s">
        <v>2560</v>
      </c>
      <c r="B792" s="15" t="s">
        <v>2561</v>
      </c>
      <c r="C792" s="16" t="s">
        <v>2562</v>
      </c>
      <c r="D792" s="76" t="s">
        <v>2563</v>
      </c>
      <c r="E792" s="16" t="s">
        <v>990</v>
      </c>
      <c r="F792" s="19" t="s">
        <v>27</v>
      </c>
      <c r="G792" s="18" t="b">
        <v>0</v>
      </c>
      <c r="H792" s="18" t="b">
        <v>0</v>
      </c>
      <c r="I792" s="18" t="b">
        <v>0</v>
      </c>
      <c r="J792" s="18" t="b">
        <v>0</v>
      </c>
      <c r="K792" s="18" t="b">
        <v>0</v>
      </c>
      <c r="L792" s="18" t="b">
        <v>0</v>
      </c>
      <c r="M792" s="18" t="b">
        <v>0</v>
      </c>
      <c r="N792" s="18" t="b">
        <v>0</v>
      </c>
      <c r="O792" s="18" t="b">
        <v>0</v>
      </c>
      <c r="P792" s="18" t="b">
        <v>0</v>
      </c>
      <c r="Q792" s="18" t="b">
        <v>0</v>
      </c>
      <c r="R792" s="18" t="b">
        <v>1</v>
      </c>
    </row>
    <row r="793" spans="1:18" ht="18">
      <c r="A793" s="61" t="s">
        <v>2564</v>
      </c>
      <c r="B793" s="15" t="s">
        <v>2564</v>
      </c>
      <c r="C793" s="16" t="s">
        <v>2565</v>
      </c>
      <c r="D793" s="76" t="s">
        <v>2566</v>
      </c>
      <c r="E793" s="16" t="s">
        <v>43</v>
      </c>
      <c r="F793" s="19" t="s">
        <v>27</v>
      </c>
      <c r="G793" s="18" t="b">
        <v>1</v>
      </c>
      <c r="H793" s="18" t="b">
        <v>0</v>
      </c>
      <c r="I793" s="18" t="b">
        <v>0</v>
      </c>
      <c r="J793" s="18" t="b">
        <v>0</v>
      </c>
      <c r="K793" s="18" t="b">
        <v>0</v>
      </c>
      <c r="L793" s="18" t="b">
        <v>0</v>
      </c>
      <c r="M793" s="18" t="b">
        <v>0</v>
      </c>
      <c r="N793" s="18" t="b">
        <v>0</v>
      </c>
      <c r="O793" s="18" t="b">
        <v>0</v>
      </c>
      <c r="P793" s="18" t="b">
        <v>0</v>
      </c>
      <c r="Q793" s="18" t="b">
        <v>0</v>
      </c>
      <c r="R793" s="18" t="b">
        <v>0</v>
      </c>
    </row>
    <row r="794" spans="1:18" ht="18">
      <c r="A794" s="61" t="s">
        <v>2567</v>
      </c>
      <c r="B794" s="15" t="s">
        <v>2567</v>
      </c>
      <c r="C794" s="16" t="s">
        <v>2568</v>
      </c>
      <c r="D794" s="76" t="s">
        <v>2569</v>
      </c>
      <c r="E794" s="18" t="s">
        <v>304</v>
      </c>
      <c r="F794" s="19" t="s">
        <v>27</v>
      </c>
      <c r="G794" s="18" t="b">
        <v>0</v>
      </c>
      <c r="H794" s="18" t="b">
        <v>0</v>
      </c>
      <c r="I794" s="18" t="b">
        <v>0</v>
      </c>
      <c r="J794" s="18" t="b">
        <v>0</v>
      </c>
      <c r="K794" s="18" t="b">
        <v>0</v>
      </c>
      <c r="L794" s="18" t="b">
        <v>1</v>
      </c>
      <c r="M794" s="18" t="b">
        <v>0</v>
      </c>
      <c r="N794" s="18" t="b">
        <v>0</v>
      </c>
      <c r="O794" s="18" t="b">
        <v>0</v>
      </c>
      <c r="P794" s="18" t="b">
        <v>0</v>
      </c>
      <c r="Q794" s="18" t="b">
        <v>0</v>
      </c>
      <c r="R794" s="18" t="b">
        <v>0</v>
      </c>
    </row>
    <row r="795" spans="1:18" ht="18">
      <c r="A795" s="61" t="s">
        <v>2570</v>
      </c>
      <c r="B795" s="15" t="s">
        <v>2571</v>
      </c>
      <c r="C795" s="16" t="s">
        <v>2572</v>
      </c>
      <c r="D795" s="76" t="s">
        <v>2573</v>
      </c>
      <c r="E795" s="16" t="s">
        <v>990</v>
      </c>
      <c r="F795" s="19" t="s">
        <v>27</v>
      </c>
      <c r="G795" s="18" t="b">
        <v>0</v>
      </c>
      <c r="H795" s="18" t="b">
        <v>0</v>
      </c>
      <c r="I795" s="18" t="b">
        <v>0</v>
      </c>
      <c r="J795" s="18" t="b">
        <v>0</v>
      </c>
      <c r="K795" s="18" t="b">
        <v>0</v>
      </c>
      <c r="L795" s="18" t="b">
        <v>0</v>
      </c>
      <c r="M795" s="18" t="b">
        <v>0</v>
      </c>
      <c r="N795" s="18" t="b">
        <v>0</v>
      </c>
      <c r="O795" s="18" t="b">
        <v>0</v>
      </c>
      <c r="P795" s="18" t="b">
        <v>0</v>
      </c>
      <c r="Q795" s="18" t="b">
        <v>0</v>
      </c>
      <c r="R795" s="18" t="b">
        <v>1</v>
      </c>
    </row>
    <row r="796" spans="1:18" ht="18">
      <c r="A796" s="61" t="s">
        <v>2574</v>
      </c>
      <c r="B796" s="15" t="s">
        <v>2575</v>
      </c>
      <c r="C796" s="16" t="s">
        <v>2576</v>
      </c>
      <c r="D796" s="76" t="s">
        <v>2577</v>
      </c>
      <c r="E796" s="16" t="s">
        <v>990</v>
      </c>
      <c r="F796" s="19" t="s">
        <v>27</v>
      </c>
      <c r="G796" s="18" t="b">
        <v>0</v>
      </c>
      <c r="H796" s="18" t="b">
        <v>0</v>
      </c>
      <c r="I796" s="18" t="b">
        <v>0</v>
      </c>
      <c r="J796" s="18" t="b">
        <v>0</v>
      </c>
      <c r="K796" s="18" t="b">
        <v>0</v>
      </c>
      <c r="L796" s="18" t="b">
        <v>0</v>
      </c>
      <c r="M796" s="18" t="b">
        <v>0</v>
      </c>
      <c r="N796" s="18" t="b">
        <v>0</v>
      </c>
      <c r="O796" s="18" t="b">
        <v>0</v>
      </c>
      <c r="P796" s="18" t="b">
        <v>0</v>
      </c>
      <c r="Q796" s="18" t="b">
        <v>0</v>
      </c>
      <c r="R796" s="18" t="b">
        <v>1</v>
      </c>
    </row>
    <row r="797" spans="1:18" ht="18">
      <c r="A797" s="61" t="s">
        <v>2578</v>
      </c>
      <c r="B797" s="15" t="s">
        <v>2578</v>
      </c>
      <c r="C797" s="16" t="s">
        <v>2579</v>
      </c>
      <c r="D797" s="17" t="s">
        <v>2580</v>
      </c>
      <c r="E797" s="16" t="s">
        <v>178</v>
      </c>
      <c r="F797" s="19" t="s">
        <v>27</v>
      </c>
      <c r="G797" s="18" t="b">
        <v>0</v>
      </c>
      <c r="H797" s="18" t="b">
        <v>0</v>
      </c>
      <c r="I797" s="18" t="b">
        <v>0</v>
      </c>
      <c r="J797" s="18" t="b">
        <v>0</v>
      </c>
      <c r="K797" s="18" t="b">
        <v>0</v>
      </c>
      <c r="L797" s="18" t="b">
        <v>0</v>
      </c>
      <c r="M797" s="18" t="b">
        <v>0</v>
      </c>
      <c r="N797" s="18" t="b">
        <v>1</v>
      </c>
      <c r="O797" s="18" t="b">
        <v>0</v>
      </c>
      <c r="P797" s="18" t="b">
        <v>0</v>
      </c>
      <c r="Q797" s="18" t="b">
        <v>0</v>
      </c>
      <c r="R797" s="18" t="b">
        <v>0</v>
      </c>
    </row>
    <row r="798" spans="1:18" ht="18">
      <c r="A798" s="61" t="s">
        <v>2581</v>
      </c>
      <c r="B798" s="15" t="s">
        <v>2581</v>
      </c>
      <c r="C798" s="16" t="s">
        <v>2582</v>
      </c>
      <c r="D798" s="76" t="s">
        <v>2583</v>
      </c>
      <c r="E798" s="18" t="s">
        <v>304</v>
      </c>
      <c r="F798" s="19" t="s">
        <v>27</v>
      </c>
      <c r="G798" s="18" t="b">
        <v>0</v>
      </c>
      <c r="H798" s="18" t="b">
        <v>0</v>
      </c>
      <c r="I798" s="18" t="b">
        <v>0</v>
      </c>
      <c r="J798" s="18" t="b">
        <v>0</v>
      </c>
      <c r="K798" s="18" t="b">
        <v>0</v>
      </c>
      <c r="L798" s="18" t="b">
        <v>1</v>
      </c>
      <c r="M798" s="18" t="b">
        <v>0</v>
      </c>
      <c r="N798" s="18" t="b">
        <v>0</v>
      </c>
      <c r="O798" s="18" t="b">
        <v>0</v>
      </c>
      <c r="P798" s="18" t="b">
        <v>0</v>
      </c>
      <c r="Q798" s="18" t="b">
        <v>0</v>
      </c>
      <c r="R798" s="18" t="b">
        <v>0</v>
      </c>
    </row>
    <row r="799" spans="1:18" ht="18">
      <c r="A799" s="61" t="s">
        <v>2584</v>
      </c>
      <c r="B799" s="15" t="s">
        <v>2584</v>
      </c>
      <c r="C799" s="16" t="s">
        <v>2585</v>
      </c>
      <c r="D799" s="76" t="s">
        <v>2586</v>
      </c>
      <c r="E799" s="16" t="s">
        <v>990</v>
      </c>
      <c r="F799" s="19" t="s">
        <v>27</v>
      </c>
      <c r="G799" s="18" t="b">
        <v>0</v>
      </c>
      <c r="H799" s="18" t="b">
        <v>0</v>
      </c>
      <c r="I799" s="18" t="b">
        <v>0</v>
      </c>
      <c r="J799" s="18" t="b">
        <v>0</v>
      </c>
      <c r="K799" s="18" t="b">
        <v>1</v>
      </c>
      <c r="L799" s="18" t="b">
        <v>0</v>
      </c>
      <c r="M799" s="18" t="b">
        <v>0</v>
      </c>
      <c r="N799" s="18" t="b">
        <v>0</v>
      </c>
      <c r="O799" s="18" t="b">
        <v>0</v>
      </c>
      <c r="P799" s="18" t="b">
        <v>0</v>
      </c>
      <c r="Q799" s="18" t="b">
        <v>0</v>
      </c>
      <c r="R799" s="18" t="b">
        <v>1</v>
      </c>
    </row>
    <row r="800" spans="1:18" ht="18" customHeight="1">
      <c r="A800" s="61" t="s">
        <v>2587</v>
      </c>
      <c r="B800" s="15" t="s">
        <v>2587</v>
      </c>
      <c r="C800" s="16" t="s">
        <v>2588</v>
      </c>
      <c r="D800" s="76" t="s">
        <v>2589</v>
      </c>
      <c r="E800" s="16" t="s">
        <v>192</v>
      </c>
      <c r="F800" s="19" t="s">
        <v>27</v>
      </c>
      <c r="G800" s="18" t="b">
        <v>0</v>
      </c>
      <c r="H800" s="18" t="b">
        <v>0</v>
      </c>
      <c r="I800" s="18" t="b">
        <v>0</v>
      </c>
      <c r="J800" s="18" t="b">
        <v>0</v>
      </c>
      <c r="K800" s="18" t="b">
        <v>0</v>
      </c>
      <c r="L800" s="18" t="b">
        <v>0</v>
      </c>
      <c r="M800" s="18" t="b">
        <v>0</v>
      </c>
      <c r="N800" s="18" t="b">
        <v>0</v>
      </c>
      <c r="O800" s="18" t="b">
        <v>1</v>
      </c>
      <c r="P800" s="18" t="b">
        <v>1</v>
      </c>
      <c r="Q800" s="18" t="b">
        <v>0</v>
      </c>
      <c r="R800" s="18" t="b">
        <v>0</v>
      </c>
    </row>
    <row r="801" spans="1:18" ht="18">
      <c r="A801" s="61" t="s">
        <v>2590</v>
      </c>
      <c r="B801" s="15" t="s">
        <v>2590</v>
      </c>
      <c r="C801" s="16" t="s">
        <v>2591</v>
      </c>
      <c r="D801" s="76" t="s">
        <v>2592</v>
      </c>
      <c r="E801" s="16" t="s">
        <v>140</v>
      </c>
      <c r="F801" s="19" t="s">
        <v>27</v>
      </c>
      <c r="G801" s="18" t="b">
        <v>0</v>
      </c>
      <c r="H801" s="18" t="b">
        <v>1</v>
      </c>
      <c r="I801" s="18" t="b">
        <v>0</v>
      </c>
      <c r="J801" s="18" t="b">
        <v>0</v>
      </c>
      <c r="K801" s="18" t="b">
        <v>0</v>
      </c>
      <c r="L801" s="18" t="b">
        <v>0</v>
      </c>
      <c r="M801" s="18" t="b">
        <v>0</v>
      </c>
      <c r="N801" s="18" t="b">
        <v>0</v>
      </c>
      <c r="O801" s="18" t="b">
        <v>0</v>
      </c>
      <c r="P801" s="18" t="b">
        <v>0</v>
      </c>
      <c r="Q801" s="18" t="b">
        <v>0</v>
      </c>
      <c r="R801" s="18" t="b">
        <v>0</v>
      </c>
    </row>
    <row r="802" spans="1:18" ht="18">
      <c r="A802" s="61" t="s">
        <v>2593</v>
      </c>
      <c r="B802" s="15"/>
      <c r="C802" s="31" t="s">
        <v>2594</v>
      </c>
      <c r="D802" s="90" t="s">
        <v>2595</v>
      </c>
      <c r="E802" s="16" t="s">
        <v>990</v>
      </c>
      <c r="F802" s="19" t="s">
        <v>27</v>
      </c>
      <c r="G802" s="18" t="b">
        <v>0</v>
      </c>
      <c r="H802" s="18" t="b">
        <v>0</v>
      </c>
      <c r="I802" s="18" t="b">
        <v>0</v>
      </c>
      <c r="J802" s="18" t="b">
        <v>0</v>
      </c>
      <c r="K802" s="18" t="b">
        <v>0</v>
      </c>
      <c r="L802" s="18" t="b">
        <v>0</v>
      </c>
      <c r="M802" s="18" t="b">
        <v>0</v>
      </c>
      <c r="N802" s="18" t="b">
        <v>0</v>
      </c>
      <c r="O802" s="18" t="b">
        <v>0</v>
      </c>
      <c r="P802" s="18" t="b">
        <v>0</v>
      </c>
      <c r="Q802" s="18" t="b">
        <v>0</v>
      </c>
      <c r="R802" s="18" t="b">
        <v>1</v>
      </c>
    </row>
    <row r="803" spans="1:18" ht="18">
      <c r="A803" s="61" t="s">
        <v>2596</v>
      </c>
      <c r="B803" s="132" t="s">
        <v>2596</v>
      </c>
      <c r="C803" s="31" t="s">
        <v>2597</v>
      </c>
      <c r="D803" s="17" t="s">
        <v>2598</v>
      </c>
      <c r="E803" s="16" t="s">
        <v>178</v>
      </c>
      <c r="F803" s="19" t="s">
        <v>27</v>
      </c>
      <c r="G803" s="18" t="b">
        <v>0</v>
      </c>
      <c r="H803" s="18" t="b">
        <v>0</v>
      </c>
      <c r="I803" s="18" t="b">
        <v>0</v>
      </c>
      <c r="J803" s="18" t="b">
        <v>0</v>
      </c>
      <c r="K803" s="18" t="b">
        <v>0</v>
      </c>
      <c r="L803" s="18" t="b">
        <v>0</v>
      </c>
      <c r="M803" s="18" t="b">
        <v>0</v>
      </c>
      <c r="N803" s="18" t="b">
        <v>1</v>
      </c>
      <c r="O803" s="18" t="b">
        <v>0</v>
      </c>
      <c r="P803" s="18" t="b">
        <v>0</v>
      </c>
      <c r="Q803" s="18" t="b">
        <v>0</v>
      </c>
      <c r="R803" s="18" t="b">
        <v>0</v>
      </c>
    </row>
    <row r="804" spans="1:18" ht="18">
      <c r="A804" s="61" t="s">
        <v>2599</v>
      </c>
      <c r="B804" s="15" t="s">
        <v>2599</v>
      </c>
      <c r="C804" s="31" t="s">
        <v>2600</v>
      </c>
      <c r="D804" s="90" t="s">
        <v>2601</v>
      </c>
      <c r="E804" s="16" t="s">
        <v>140</v>
      </c>
      <c r="F804" s="19" t="s">
        <v>27</v>
      </c>
      <c r="G804" s="18" t="b">
        <v>0</v>
      </c>
      <c r="H804" s="18" t="b">
        <v>1</v>
      </c>
      <c r="I804" s="18" t="b">
        <v>0</v>
      </c>
      <c r="J804" s="18" t="b">
        <v>0</v>
      </c>
      <c r="K804" s="18" t="b">
        <v>0</v>
      </c>
      <c r="L804" s="18" t="b">
        <v>0</v>
      </c>
      <c r="M804" s="18" t="b">
        <v>0</v>
      </c>
      <c r="N804" s="18" t="b">
        <v>0</v>
      </c>
      <c r="O804" s="18" t="b">
        <v>0</v>
      </c>
      <c r="P804" s="18" t="b">
        <v>0</v>
      </c>
      <c r="Q804" s="18" t="b">
        <v>0</v>
      </c>
      <c r="R804" s="18" t="b">
        <v>0</v>
      </c>
    </row>
    <row r="805" spans="1:18" ht="18">
      <c r="A805" s="61" t="s">
        <v>2602</v>
      </c>
      <c r="B805" s="15" t="s">
        <v>2602</v>
      </c>
      <c r="C805" s="31" t="s">
        <v>2603</v>
      </c>
      <c r="D805" s="90" t="s">
        <v>2604</v>
      </c>
      <c r="E805" s="16" t="s">
        <v>140</v>
      </c>
      <c r="F805" s="19" t="s">
        <v>27</v>
      </c>
      <c r="G805" s="18" t="b">
        <v>0</v>
      </c>
      <c r="H805" s="18" t="b">
        <v>1</v>
      </c>
      <c r="I805" s="18" t="b">
        <v>0</v>
      </c>
      <c r="J805" s="18" t="b">
        <v>0</v>
      </c>
      <c r="K805" s="18" t="b">
        <v>0</v>
      </c>
      <c r="L805" s="18" t="b">
        <v>0</v>
      </c>
      <c r="M805" s="18" t="b">
        <v>0</v>
      </c>
      <c r="N805" s="18" t="b">
        <v>0</v>
      </c>
      <c r="O805" s="18" t="b">
        <v>0</v>
      </c>
      <c r="P805" s="18" t="b">
        <v>0</v>
      </c>
      <c r="Q805" s="18" t="b">
        <v>0</v>
      </c>
      <c r="R805" s="18" t="b">
        <v>0</v>
      </c>
    </row>
    <row r="806" spans="1:18" ht="18">
      <c r="A806" s="61" t="s">
        <v>2605</v>
      </c>
      <c r="B806" s="15" t="s">
        <v>2605</v>
      </c>
      <c r="C806" s="31" t="s">
        <v>2606</v>
      </c>
      <c r="D806" s="90" t="s">
        <v>2607</v>
      </c>
      <c r="E806" s="18" t="s">
        <v>304</v>
      </c>
      <c r="F806" s="19" t="s">
        <v>27</v>
      </c>
      <c r="G806" s="18" t="b">
        <v>0</v>
      </c>
      <c r="H806" s="18" t="b">
        <v>0</v>
      </c>
      <c r="I806" s="18" t="b">
        <v>0</v>
      </c>
      <c r="J806" s="18" t="b">
        <v>0</v>
      </c>
      <c r="K806" s="18" t="b">
        <v>0</v>
      </c>
      <c r="L806" s="18" t="b">
        <v>1</v>
      </c>
      <c r="M806" s="18" t="b">
        <v>0</v>
      </c>
      <c r="N806" s="18" t="b">
        <v>0</v>
      </c>
      <c r="O806" s="18" t="b">
        <v>0</v>
      </c>
      <c r="P806" s="18" t="b">
        <v>0</v>
      </c>
      <c r="Q806" s="18" t="b">
        <v>0</v>
      </c>
      <c r="R806" s="18" t="b">
        <v>0</v>
      </c>
    </row>
    <row r="807" spans="1:18" ht="18">
      <c r="A807" s="61" t="s">
        <v>2608</v>
      </c>
      <c r="B807" s="15" t="s">
        <v>2609</v>
      </c>
      <c r="C807" s="31" t="s">
        <v>2610</v>
      </c>
      <c r="D807" s="90" t="s">
        <v>2611</v>
      </c>
      <c r="E807" s="16" t="s">
        <v>43</v>
      </c>
      <c r="F807" s="19" t="s">
        <v>27</v>
      </c>
      <c r="G807" s="18" t="b">
        <v>1</v>
      </c>
      <c r="H807" s="18" t="b">
        <v>0</v>
      </c>
      <c r="I807" s="18" t="b">
        <v>0</v>
      </c>
      <c r="J807" s="18" t="b">
        <v>0</v>
      </c>
      <c r="K807" s="18" t="b">
        <v>0</v>
      </c>
      <c r="L807" s="18" t="b">
        <v>0</v>
      </c>
      <c r="M807" s="18" t="b">
        <v>0</v>
      </c>
      <c r="N807" s="18" t="b">
        <v>0</v>
      </c>
      <c r="O807" s="18" t="b">
        <v>0</v>
      </c>
      <c r="P807" s="18" t="b">
        <v>0</v>
      </c>
      <c r="Q807" s="18" t="b">
        <v>0</v>
      </c>
      <c r="R807" s="18" t="b">
        <v>0</v>
      </c>
    </row>
    <row r="808" spans="1:18" ht="18">
      <c r="A808" s="61" t="s">
        <v>2612</v>
      </c>
      <c r="B808" s="15" t="s">
        <v>2612</v>
      </c>
      <c r="C808" s="31" t="s">
        <v>2613</v>
      </c>
      <c r="D808" s="90" t="s">
        <v>2614</v>
      </c>
      <c r="E808" s="16" t="s">
        <v>990</v>
      </c>
      <c r="F808" s="19" t="s">
        <v>27</v>
      </c>
      <c r="G808" s="18" t="b">
        <v>0</v>
      </c>
      <c r="H808" s="18" t="b">
        <v>0</v>
      </c>
      <c r="I808" s="18" t="b">
        <v>0</v>
      </c>
      <c r="J808" s="18" t="b">
        <v>0</v>
      </c>
      <c r="K808" s="18" t="b">
        <v>0</v>
      </c>
      <c r="L808" s="18" t="b">
        <v>0</v>
      </c>
      <c r="M808" s="18" t="b">
        <v>0</v>
      </c>
      <c r="N808" s="18" t="b">
        <v>0</v>
      </c>
      <c r="O808" s="18" t="b">
        <v>0</v>
      </c>
      <c r="P808" s="18" t="b">
        <v>0</v>
      </c>
      <c r="Q808" s="18" t="b">
        <v>0</v>
      </c>
      <c r="R808" s="18" t="b">
        <v>1</v>
      </c>
    </row>
    <row r="809" spans="1:18" ht="18">
      <c r="A809" s="61" t="s">
        <v>2615</v>
      </c>
      <c r="B809" s="15" t="s">
        <v>2616</v>
      </c>
      <c r="C809" s="31" t="s">
        <v>2617</v>
      </c>
      <c r="D809" s="90" t="s">
        <v>2618</v>
      </c>
      <c r="E809" s="16" t="s">
        <v>990</v>
      </c>
      <c r="F809" s="19" t="s">
        <v>27</v>
      </c>
      <c r="G809" s="18" t="b">
        <v>0</v>
      </c>
      <c r="H809" s="18" t="b">
        <v>0</v>
      </c>
      <c r="I809" s="18" t="b">
        <v>0</v>
      </c>
      <c r="J809" s="18" t="b">
        <v>0</v>
      </c>
      <c r="K809" s="18" t="b">
        <v>0</v>
      </c>
      <c r="L809" s="18" t="b">
        <v>0</v>
      </c>
      <c r="M809" s="18" t="b">
        <v>0</v>
      </c>
      <c r="N809" s="18" t="b">
        <v>0</v>
      </c>
      <c r="O809" s="18" t="b">
        <v>0</v>
      </c>
      <c r="P809" s="18" t="b">
        <v>0</v>
      </c>
      <c r="Q809" s="18" t="b">
        <v>0</v>
      </c>
      <c r="R809" s="18" t="b">
        <v>1</v>
      </c>
    </row>
    <row r="810" spans="1:18" ht="18">
      <c r="A810" s="61" t="s">
        <v>2619</v>
      </c>
      <c r="B810" s="15" t="s">
        <v>2619</v>
      </c>
      <c r="C810" s="31" t="s">
        <v>2620</v>
      </c>
      <c r="D810" s="17" t="s">
        <v>2621</v>
      </c>
      <c r="E810" s="16" t="s">
        <v>178</v>
      </c>
      <c r="F810" s="19" t="s">
        <v>27</v>
      </c>
      <c r="G810" s="18" t="b">
        <v>0</v>
      </c>
      <c r="H810" s="18" t="b">
        <v>0</v>
      </c>
      <c r="I810" s="18" t="b">
        <v>0</v>
      </c>
      <c r="J810" s="18" t="b">
        <v>0</v>
      </c>
      <c r="K810" s="18" t="b">
        <v>0</v>
      </c>
      <c r="L810" s="18" t="b">
        <v>0</v>
      </c>
      <c r="M810" s="18" t="b">
        <v>0</v>
      </c>
      <c r="N810" s="18" t="b">
        <v>1</v>
      </c>
      <c r="O810" s="18" t="b">
        <v>0</v>
      </c>
      <c r="P810" s="18" t="b">
        <v>0</v>
      </c>
      <c r="Q810" s="18" t="b">
        <v>0</v>
      </c>
      <c r="R810" s="18" t="b">
        <v>0</v>
      </c>
    </row>
    <row r="811" spans="1:18" ht="15" hidden="1">
      <c r="A811" s="76" t="s">
        <v>2622</v>
      </c>
      <c r="B811" s="15" t="s">
        <v>2622</v>
      </c>
      <c r="C811" s="31" t="s">
        <v>2623</v>
      </c>
      <c r="D811" s="175" t="s">
        <v>2624</v>
      </c>
      <c r="E811" s="16" t="s">
        <v>26</v>
      </c>
      <c r="F811" s="19" t="s">
        <v>38</v>
      </c>
      <c r="G811" s="18" t="b">
        <v>0</v>
      </c>
      <c r="H811" s="18" t="b">
        <v>0</v>
      </c>
      <c r="I811" s="18" t="b">
        <v>1</v>
      </c>
      <c r="J811" s="18" t="b">
        <v>0</v>
      </c>
      <c r="K811" s="18" t="b">
        <v>0</v>
      </c>
      <c r="L811" s="18" t="b">
        <v>0</v>
      </c>
      <c r="M811" s="18" t="b">
        <v>0</v>
      </c>
      <c r="N811" s="18" t="b">
        <v>0</v>
      </c>
      <c r="O811" s="18" t="b">
        <v>0</v>
      </c>
      <c r="P811" s="18" t="b">
        <v>0</v>
      </c>
      <c r="Q811" s="18" t="b">
        <v>0</v>
      </c>
      <c r="R811" s="18" t="b">
        <v>0</v>
      </c>
    </row>
    <row r="812" spans="1:18" ht="18">
      <c r="A812" s="61" t="s">
        <v>2625</v>
      </c>
      <c r="B812" s="15" t="s">
        <v>2625</v>
      </c>
      <c r="C812" s="31" t="s">
        <v>2626</v>
      </c>
      <c r="D812" s="17" t="s">
        <v>2627</v>
      </c>
      <c r="E812" s="16" t="s">
        <v>178</v>
      </c>
      <c r="F812" s="19" t="s">
        <v>27</v>
      </c>
      <c r="G812" s="18" t="b">
        <v>0</v>
      </c>
      <c r="H812" s="18" t="b">
        <v>0</v>
      </c>
      <c r="I812" s="18" t="b">
        <v>0</v>
      </c>
      <c r="J812" s="18" t="b">
        <v>0</v>
      </c>
      <c r="K812" s="18" t="b">
        <v>0</v>
      </c>
      <c r="L812" s="18" t="b">
        <v>0</v>
      </c>
      <c r="M812" s="18" t="b">
        <v>0</v>
      </c>
      <c r="N812" s="18" t="b">
        <v>1</v>
      </c>
      <c r="O812" s="18" t="b">
        <v>0</v>
      </c>
      <c r="P812" s="18" t="b">
        <v>0</v>
      </c>
      <c r="Q812" s="18" t="b">
        <v>0</v>
      </c>
      <c r="R812" s="18" t="b">
        <v>0</v>
      </c>
    </row>
    <row r="813" spans="1:18" ht="18">
      <c r="A813" s="61" t="s">
        <v>2628</v>
      </c>
      <c r="B813" s="15" t="s">
        <v>2629</v>
      </c>
      <c r="C813" s="16" t="s">
        <v>2630</v>
      </c>
      <c r="D813" s="76" t="s">
        <v>2631</v>
      </c>
      <c r="E813" s="16" t="s">
        <v>26</v>
      </c>
      <c r="F813" s="19" t="s">
        <v>27</v>
      </c>
      <c r="G813" s="18" t="b">
        <v>0</v>
      </c>
      <c r="H813" s="18" t="b">
        <v>0</v>
      </c>
      <c r="I813" s="18" t="b">
        <v>1</v>
      </c>
      <c r="J813" s="18" t="b">
        <v>0</v>
      </c>
      <c r="K813" s="18" t="b">
        <v>0</v>
      </c>
      <c r="L813" s="18" t="b">
        <v>0</v>
      </c>
      <c r="M813" s="18" t="b">
        <v>0</v>
      </c>
      <c r="N813" s="18" t="b">
        <v>0</v>
      </c>
      <c r="O813" s="18" t="b">
        <v>0</v>
      </c>
      <c r="P813" s="18" t="b">
        <v>0</v>
      </c>
      <c r="Q813" s="18" t="b">
        <v>0</v>
      </c>
      <c r="R813" s="18" t="b">
        <v>0</v>
      </c>
    </row>
    <row r="814" spans="1:18" ht="18">
      <c r="A814" s="61" t="s">
        <v>2632</v>
      </c>
      <c r="B814" s="15" t="s">
        <v>2632</v>
      </c>
      <c r="C814" s="16" t="s">
        <v>2633</v>
      </c>
      <c r="D814" s="76" t="s">
        <v>2634</v>
      </c>
      <c r="E814" s="16" t="s">
        <v>990</v>
      </c>
      <c r="F814" s="19" t="s">
        <v>27</v>
      </c>
      <c r="G814" s="18" t="b">
        <v>0</v>
      </c>
      <c r="H814" s="18" t="b">
        <v>0</v>
      </c>
      <c r="I814" s="18" t="b">
        <v>0</v>
      </c>
      <c r="J814" s="18" t="b">
        <v>0</v>
      </c>
      <c r="K814" s="18" t="b">
        <v>0</v>
      </c>
      <c r="L814" s="18" t="b">
        <v>0</v>
      </c>
      <c r="M814" s="18" t="b">
        <v>0</v>
      </c>
      <c r="N814" s="18" t="b">
        <v>0</v>
      </c>
      <c r="O814" s="18" t="b">
        <v>0</v>
      </c>
      <c r="P814" s="18" t="b">
        <v>0</v>
      </c>
      <c r="Q814" s="18" t="b">
        <v>0</v>
      </c>
      <c r="R814" s="18" t="b">
        <v>1</v>
      </c>
    </row>
    <row r="815" spans="1:18" ht="18" hidden="1">
      <c r="A815" s="61" t="s">
        <v>2635</v>
      </c>
      <c r="B815" s="15" t="s">
        <v>2635</v>
      </c>
      <c r="C815" s="16" t="s">
        <v>2636</v>
      </c>
      <c r="D815" s="76" t="s">
        <v>2637</v>
      </c>
      <c r="E815" s="18" t="s">
        <v>304</v>
      </c>
      <c r="F815" s="19" t="s">
        <v>34</v>
      </c>
      <c r="G815" s="18" t="b">
        <v>0</v>
      </c>
      <c r="H815" s="18" t="b">
        <v>0</v>
      </c>
      <c r="I815" s="18" t="b">
        <v>0</v>
      </c>
      <c r="J815" s="18" t="b">
        <v>0</v>
      </c>
      <c r="K815" s="18" t="b">
        <v>0</v>
      </c>
      <c r="L815" s="18" t="b">
        <v>1</v>
      </c>
      <c r="M815" s="18" t="b">
        <v>0</v>
      </c>
      <c r="N815" s="18" t="b">
        <v>0</v>
      </c>
      <c r="O815" s="18" t="b">
        <v>0</v>
      </c>
      <c r="P815" s="18" t="b">
        <v>0</v>
      </c>
      <c r="Q815" s="18" t="b">
        <v>0</v>
      </c>
      <c r="R815" s="18" t="b">
        <v>0</v>
      </c>
    </row>
    <row r="816" spans="1:18" ht="18">
      <c r="A816" s="61" t="s">
        <v>2638</v>
      </c>
      <c r="B816" s="15" t="s">
        <v>2638</v>
      </c>
      <c r="C816" s="16" t="s">
        <v>2639</v>
      </c>
      <c r="D816" s="76" t="s">
        <v>2640</v>
      </c>
      <c r="E816" s="16" t="s">
        <v>60</v>
      </c>
      <c r="F816" s="19" t="s">
        <v>27</v>
      </c>
      <c r="G816" s="18" t="b">
        <v>0</v>
      </c>
      <c r="H816" s="18" t="b">
        <v>0</v>
      </c>
      <c r="I816" s="18" t="b">
        <v>0</v>
      </c>
      <c r="J816" s="18" t="b">
        <v>0</v>
      </c>
      <c r="K816" s="18" t="b">
        <v>0</v>
      </c>
      <c r="L816" s="18" t="b">
        <v>0</v>
      </c>
      <c r="M816" s="18" t="b">
        <v>1</v>
      </c>
      <c r="N816" s="18" t="b">
        <v>0</v>
      </c>
      <c r="O816" s="18" t="b">
        <v>0</v>
      </c>
      <c r="P816" s="18" t="b">
        <v>0</v>
      </c>
      <c r="Q816" s="18" t="b">
        <v>0</v>
      </c>
      <c r="R816" s="18" t="b">
        <v>0</v>
      </c>
    </row>
    <row r="817" spans="1:18" ht="18">
      <c r="A817" s="61" t="s">
        <v>2641</v>
      </c>
      <c r="B817" s="15" t="s">
        <v>2641</v>
      </c>
      <c r="C817" s="16" t="s">
        <v>2642</v>
      </c>
      <c r="D817" s="76" t="s">
        <v>2643</v>
      </c>
      <c r="E817" s="18" t="s">
        <v>304</v>
      </c>
      <c r="F817" s="19" t="s">
        <v>27</v>
      </c>
      <c r="G817" s="18" t="b">
        <v>0</v>
      </c>
      <c r="H817" s="18" t="b">
        <v>0</v>
      </c>
      <c r="I817" s="18" t="b">
        <v>0</v>
      </c>
      <c r="J817" s="18" t="b">
        <v>0</v>
      </c>
      <c r="K817" s="18" t="b">
        <v>0</v>
      </c>
      <c r="L817" s="18" t="b">
        <v>1</v>
      </c>
      <c r="M817" s="18" t="b">
        <v>0</v>
      </c>
      <c r="N817" s="18" t="b">
        <v>0</v>
      </c>
      <c r="O817" s="18" t="b">
        <v>0</v>
      </c>
      <c r="P817" s="18" t="b">
        <v>0</v>
      </c>
      <c r="Q817" s="18" t="b">
        <v>0</v>
      </c>
      <c r="R817" s="18" t="b">
        <v>0</v>
      </c>
    </row>
    <row r="818" spans="1:18" ht="18">
      <c r="A818" s="61" t="s">
        <v>2644</v>
      </c>
      <c r="B818" s="93" t="s">
        <v>2645</v>
      </c>
      <c r="C818" s="101" t="s">
        <v>2646</v>
      </c>
      <c r="D818" s="76" t="s">
        <v>2647</v>
      </c>
      <c r="E818" s="18" t="s">
        <v>304</v>
      </c>
      <c r="F818" s="19" t="s">
        <v>27</v>
      </c>
      <c r="G818" s="18" t="b">
        <v>0</v>
      </c>
      <c r="H818" s="18" t="b">
        <v>0</v>
      </c>
      <c r="I818" s="18" t="b">
        <v>0</v>
      </c>
      <c r="J818" s="18" t="b">
        <v>0</v>
      </c>
      <c r="K818" s="18" t="b">
        <v>0</v>
      </c>
      <c r="L818" s="18" t="b">
        <v>1</v>
      </c>
      <c r="M818" s="18" t="b">
        <v>0</v>
      </c>
      <c r="N818" s="18" t="b">
        <v>0</v>
      </c>
      <c r="O818" s="18" t="b">
        <v>0</v>
      </c>
      <c r="P818" s="18" t="b">
        <v>0</v>
      </c>
      <c r="Q818" s="18" t="b">
        <v>0</v>
      </c>
      <c r="R818" s="18" t="b">
        <v>0</v>
      </c>
    </row>
    <row r="819" spans="1:18" ht="18">
      <c r="A819" s="61" t="s">
        <v>2648</v>
      </c>
      <c r="B819" s="15" t="s">
        <v>2648</v>
      </c>
      <c r="C819" s="16" t="s">
        <v>2649</v>
      </c>
      <c r="D819" s="76" t="s">
        <v>2650</v>
      </c>
      <c r="E819" s="16" t="s">
        <v>43</v>
      </c>
      <c r="F819" s="19" t="s">
        <v>27</v>
      </c>
      <c r="G819" s="18" t="b">
        <v>1</v>
      </c>
      <c r="H819" s="18" t="b">
        <v>0</v>
      </c>
      <c r="I819" s="18" t="b">
        <v>0</v>
      </c>
      <c r="J819" s="18" t="b">
        <v>0</v>
      </c>
      <c r="K819" s="18" t="b">
        <v>0</v>
      </c>
      <c r="L819" s="18" t="b">
        <v>0</v>
      </c>
      <c r="M819" s="18" t="b">
        <v>0</v>
      </c>
      <c r="N819" s="18" t="b">
        <v>0</v>
      </c>
      <c r="O819" s="18" t="b">
        <v>0</v>
      </c>
      <c r="P819" s="18" t="b">
        <v>0</v>
      </c>
      <c r="Q819" s="18" t="b">
        <v>0</v>
      </c>
      <c r="R819" s="18" t="b">
        <v>0</v>
      </c>
    </row>
    <row r="820" spans="1:18" ht="18">
      <c r="A820" s="61" t="s">
        <v>2651</v>
      </c>
      <c r="B820" s="15" t="s">
        <v>2651</v>
      </c>
      <c r="C820" s="16" t="s">
        <v>2652</v>
      </c>
      <c r="D820" s="76" t="s">
        <v>2653</v>
      </c>
      <c r="E820" s="16" t="s">
        <v>990</v>
      </c>
      <c r="F820" s="19" t="s">
        <v>27</v>
      </c>
      <c r="G820" s="18" t="b">
        <v>0</v>
      </c>
      <c r="H820" s="18" t="b">
        <v>0</v>
      </c>
      <c r="I820" s="18" t="b">
        <v>0</v>
      </c>
      <c r="J820" s="18" t="b">
        <v>0</v>
      </c>
      <c r="K820" s="18" t="b">
        <v>0</v>
      </c>
      <c r="L820" s="18" t="b">
        <v>0</v>
      </c>
      <c r="M820" s="18" t="b">
        <v>0</v>
      </c>
      <c r="N820" s="18" t="b">
        <v>0</v>
      </c>
      <c r="O820" s="18" t="b">
        <v>0</v>
      </c>
      <c r="P820" s="18" t="b">
        <v>0</v>
      </c>
      <c r="Q820" s="18" t="b">
        <v>0</v>
      </c>
      <c r="R820" s="18" t="b">
        <v>1</v>
      </c>
    </row>
    <row r="821" spans="1:18" ht="18">
      <c r="A821" s="61" t="s">
        <v>2654</v>
      </c>
      <c r="B821" s="15" t="s">
        <v>2655</v>
      </c>
      <c r="C821" s="16" t="s">
        <v>2656</v>
      </c>
      <c r="D821" s="76" t="s">
        <v>2657</v>
      </c>
      <c r="E821" s="16" t="s">
        <v>52</v>
      </c>
      <c r="F821" s="19" t="s">
        <v>27</v>
      </c>
      <c r="G821" s="18" t="b">
        <v>0</v>
      </c>
      <c r="H821" s="18" t="b">
        <v>0</v>
      </c>
      <c r="I821" s="18" t="b">
        <v>0</v>
      </c>
      <c r="J821" s="18" t="b">
        <v>1</v>
      </c>
      <c r="K821" s="18" t="b">
        <v>0</v>
      </c>
      <c r="L821" s="18" t="b">
        <v>0</v>
      </c>
      <c r="M821" s="18" t="b">
        <v>0</v>
      </c>
      <c r="N821" s="18" t="b">
        <v>0</v>
      </c>
      <c r="O821" s="18" t="b">
        <v>0</v>
      </c>
      <c r="P821" s="18" t="b">
        <v>0</v>
      </c>
      <c r="Q821" s="18" t="b">
        <v>0</v>
      </c>
      <c r="R821" s="18" t="b">
        <v>0</v>
      </c>
    </row>
    <row r="822" spans="1:18" ht="18">
      <c r="A822" s="61" t="s">
        <v>2658</v>
      </c>
      <c r="B822" s="15" t="s">
        <v>2658</v>
      </c>
      <c r="C822" s="16" t="s">
        <v>2659</v>
      </c>
      <c r="D822" s="76" t="s">
        <v>2660</v>
      </c>
      <c r="E822" s="18" t="s">
        <v>304</v>
      </c>
      <c r="F822" s="19" t="s">
        <v>27</v>
      </c>
      <c r="G822" s="18" t="b">
        <v>0</v>
      </c>
      <c r="H822" s="18" t="b">
        <v>0</v>
      </c>
      <c r="I822" s="18" t="b">
        <v>0</v>
      </c>
      <c r="J822" s="18" t="b">
        <v>0</v>
      </c>
      <c r="K822" s="18" t="b">
        <v>0</v>
      </c>
      <c r="L822" s="18" t="b">
        <v>1</v>
      </c>
      <c r="M822" s="18" t="b">
        <v>0</v>
      </c>
      <c r="N822" s="18" t="b">
        <v>0</v>
      </c>
      <c r="O822" s="18" t="b">
        <v>0</v>
      </c>
      <c r="P822" s="18" t="b">
        <v>0</v>
      </c>
      <c r="Q822" s="18" t="b">
        <v>0</v>
      </c>
      <c r="R822" s="18" t="b">
        <v>0</v>
      </c>
    </row>
    <row r="823" spans="1:18" ht="18">
      <c r="A823" s="61" t="s">
        <v>2661</v>
      </c>
      <c r="B823" s="15" t="s">
        <v>2661</v>
      </c>
      <c r="C823" s="16" t="s">
        <v>2662</v>
      </c>
      <c r="D823" s="76" t="s">
        <v>2663</v>
      </c>
      <c r="E823" s="18" t="s">
        <v>304</v>
      </c>
      <c r="F823" s="19" t="s">
        <v>27</v>
      </c>
      <c r="G823" s="18" t="b">
        <v>0</v>
      </c>
      <c r="H823" s="18" t="b">
        <v>0</v>
      </c>
      <c r="I823" s="18" t="b">
        <v>0</v>
      </c>
      <c r="J823" s="18" t="b">
        <v>0</v>
      </c>
      <c r="K823" s="18" t="b">
        <v>0</v>
      </c>
      <c r="L823" s="18" t="b">
        <v>1</v>
      </c>
      <c r="M823" s="18" t="b">
        <v>0</v>
      </c>
      <c r="N823" s="18" t="b">
        <v>0</v>
      </c>
      <c r="O823" s="18" t="b">
        <v>0</v>
      </c>
      <c r="P823" s="18" t="b">
        <v>0</v>
      </c>
      <c r="Q823" s="18" t="b">
        <v>0</v>
      </c>
      <c r="R823" s="18" t="b">
        <v>0</v>
      </c>
    </row>
    <row r="824" spans="1:18" ht="18">
      <c r="A824" s="61" t="s">
        <v>2664</v>
      </c>
      <c r="B824" s="15" t="s">
        <v>2664</v>
      </c>
      <c r="C824" s="16" t="s">
        <v>2665</v>
      </c>
      <c r="D824" s="76" t="s">
        <v>2666</v>
      </c>
      <c r="E824" s="18" t="s">
        <v>304</v>
      </c>
      <c r="F824" s="19" t="s">
        <v>27</v>
      </c>
      <c r="G824" s="18" t="b">
        <v>0</v>
      </c>
      <c r="H824" s="18" t="b">
        <v>0</v>
      </c>
      <c r="I824" s="18" t="b">
        <v>0</v>
      </c>
      <c r="J824" s="18" t="b">
        <v>0</v>
      </c>
      <c r="K824" s="18" t="b">
        <v>0</v>
      </c>
      <c r="L824" s="18" t="b">
        <v>1</v>
      </c>
      <c r="M824" s="18" t="b">
        <v>0</v>
      </c>
      <c r="N824" s="18" t="b">
        <v>0</v>
      </c>
      <c r="O824" s="18" t="b">
        <v>0</v>
      </c>
      <c r="P824" s="18" t="b">
        <v>0</v>
      </c>
      <c r="Q824" s="18" t="b">
        <v>0</v>
      </c>
      <c r="R824" s="18" t="b">
        <v>0</v>
      </c>
    </row>
    <row r="825" spans="1:18" ht="18">
      <c r="A825" s="61" t="s">
        <v>2667</v>
      </c>
      <c r="B825" s="15" t="s">
        <v>2668</v>
      </c>
      <c r="C825" s="16" t="s">
        <v>2669</v>
      </c>
      <c r="D825" s="76" t="s">
        <v>2670</v>
      </c>
      <c r="E825" s="18" t="s">
        <v>304</v>
      </c>
      <c r="F825" s="19" t="s">
        <v>27</v>
      </c>
      <c r="G825" s="18" t="b">
        <v>0</v>
      </c>
      <c r="H825" s="18" t="b">
        <v>0</v>
      </c>
      <c r="I825" s="18" t="b">
        <v>0</v>
      </c>
      <c r="J825" s="18" t="b">
        <v>0</v>
      </c>
      <c r="K825" s="18" t="b">
        <v>0</v>
      </c>
      <c r="L825" s="18" t="b">
        <v>1</v>
      </c>
      <c r="M825" s="18" t="b">
        <v>0</v>
      </c>
      <c r="N825" s="18" t="b">
        <v>0</v>
      </c>
      <c r="O825" s="18" t="b">
        <v>0</v>
      </c>
      <c r="P825" s="18" t="b">
        <v>0</v>
      </c>
      <c r="Q825" s="18" t="b">
        <v>0</v>
      </c>
      <c r="R825" s="18" t="b">
        <v>0</v>
      </c>
    </row>
    <row r="826" spans="1:18" ht="18">
      <c r="A826" s="61" t="s">
        <v>2671</v>
      </c>
      <c r="B826" s="15" t="s">
        <v>2671</v>
      </c>
      <c r="C826" s="16" t="s">
        <v>2672</v>
      </c>
      <c r="D826" s="76" t="s">
        <v>2673</v>
      </c>
      <c r="E826" s="16" t="s">
        <v>990</v>
      </c>
      <c r="F826" s="19" t="s">
        <v>27</v>
      </c>
      <c r="G826" s="18" t="b">
        <v>0</v>
      </c>
      <c r="H826" s="18" t="b">
        <v>0</v>
      </c>
      <c r="I826" s="18" t="b">
        <v>0</v>
      </c>
      <c r="J826" s="18" t="b">
        <v>0</v>
      </c>
      <c r="K826" s="18" t="b">
        <v>0</v>
      </c>
      <c r="L826" s="18" t="b">
        <v>0</v>
      </c>
      <c r="M826" s="18" t="b">
        <v>0</v>
      </c>
      <c r="N826" s="18" t="b">
        <v>0</v>
      </c>
      <c r="O826" s="18" t="b">
        <v>0</v>
      </c>
      <c r="P826" s="18" t="b">
        <v>0</v>
      </c>
      <c r="Q826" s="18" t="b">
        <v>0</v>
      </c>
      <c r="R826" s="18" t="b">
        <v>1</v>
      </c>
    </row>
    <row r="827" spans="1:18" ht="18">
      <c r="A827" s="61" t="s">
        <v>2674</v>
      </c>
      <c r="B827" s="15" t="s">
        <v>2674</v>
      </c>
      <c r="C827" s="16" t="s">
        <v>2675</v>
      </c>
      <c r="D827" s="76" t="s">
        <v>2676</v>
      </c>
      <c r="E827" s="16" t="s">
        <v>990</v>
      </c>
      <c r="F827" s="19" t="s">
        <v>27</v>
      </c>
      <c r="G827" s="18" t="b">
        <v>0</v>
      </c>
      <c r="H827" s="18" t="b">
        <v>0</v>
      </c>
      <c r="I827" s="18" t="b">
        <v>0</v>
      </c>
      <c r="J827" s="18" t="b">
        <v>0</v>
      </c>
      <c r="K827" s="18" t="b">
        <v>0</v>
      </c>
      <c r="L827" s="18" t="b">
        <v>0</v>
      </c>
      <c r="M827" s="18" t="b">
        <v>0</v>
      </c>
      <c r="N827" s="18" t="b">
        <v>0</v>
      </c>
      <c r="O827" s="18" t="b">
        <v>0</v>
      </c>
      <c r="P827" s="18" t="b">
        <v>0</v>
      </c>
      <c r="Q827" s="18" t="b">
        <v>0</v>
      </c>
      <c r="R827" s="18" t="b">
        <v>1</v>
      </c>
    </row>
    <row r="828" spans="1:18" ht="18">
      <c r="A828" s="61" t="s">
        <v>2677</v>
      </c>
      <c r="B828" s="15" t="s">
        <v>2677</v>
      </c>
      <c r="C828" s="16" t="s">
        <v>2678</v>
      </c>
      <c r="D828" s="76" t="s">
        <v>2679</v>
      </c>
      <c r="E828" s="18" t="s">
        <v>304</v>
      </c>
      <c r="F828" s="19" t="s">
        <v>27</v>
      </c>
      <c r="G828" s="18" t="b">
        <v>0</v>
      </c>
      <c r="H828" s="18" t="b">
        <v>0</v>
      </c>
      <c r="I828" s="18" t="b">
        <v>0</v>
      </c>
      <c r="J828" s="18" t="b">
        <v>0</v>
      </c>
      <c r="K828" s="18" t="b">
        <v>0</v>
      </c>
      <c r="L828" s="18" t="b">
        <v>1</v>
      </c>
      <c r="M828" s="18" t="b">
        <v>0</v>
      </c>
      <c r="N828" s="18" t="b">
        <v>0</v>
      </c>
      <c r="O828" s="18" t="b">
        <v>0</v>
      </c>
      <c r="P828" s="18" t="b">
        <v>0</v>
      </c>
      <c r="Q828" s="18" t="b">
        <v>0</v>
      </c>
      <c r="R828" s="18" t="b">
        <v>0</v>
      </c>
    </row>
    <row r="829" spans="1:18" ht="18">
      <c r="A829" s="61" t="s">
        <v>2680</v>
      </c>
      <c r="B829" s="15" t="s">
        <v>2680</v>
      </c>
      <c r="C829" s="16" t="s">
        <v>2681</v>
      </c>
      <c r="D829" s="76" t="s">
        <v>2682</v>
      </c>
      <c r="E829" s="16" t="s">
        <v>990</v>
      </c>
      <c r="F829" s="19" t="s">
        <v>27</v>
      </c>
      <c r="G829" s="18" t="b">
        <v>0</v>
      </c>
      <c r="H829" s="18" t="b">
        <v>0</v>
      </c>
      <c r="I829" s="18" t="b">
        <v>0</v>
      </c>
      <c r="J829" s="18" t="b">
        <v>0</v>
      </c>
      <c r="K829" s="18" t="b">
        <v>0</v>
      </c>
      <c r="L829" s="18" t="b">
        <v>0</v>
      </c>
      <c r="M829" s="18" t="b">
        <v>0</v>
      </c>
      <c r="N829" s="18" t="b">
        <v>0</v>
      </c>
      <c r="O829" s="18" t="b">
        <v>0</v>
      </c>
      <c r="P829" s="18" t="b">
        <v>0</v>
      </c>
      <c r="Q829" s="18" t="b">
        <v>0</v>
      </c>
      <c r="R829" s="18" t="b">
        <v>1</v>
      </c>
    </row>
    <row r="830" spans="1:18" ht="18">
      <c r="A830" s="61" t="s">
        <v>2683</v>
      </c>
      <c r="B830" s="15" t="s">
        <v>2684</v>
      </c>
      <c r="C830" s="16" t="s">
        <v>2685</v>
      </c>
      <c r="D830" s="76" t="s">
        <v>2686</v>
      </c>
      <c r="E830" s="18" t="s">
        <v>304</v>
      </c>
      <c r="F830" s="19" t="s">
        <v>27</v>
      </c>
      <c r="G830" s="18" t="b">
        <v>0</v>
      </c>
      <c r="H830" s="18" t="b">
        <v>0</v>
      </c>
      <c r="I830" s="18" t="b">
        <v>0</v>
      </c>
      <c r="J830" s="18" t="b">
        <v>0</v>
      </c>
      <c r="K830" s="18" t="b">
        <v>0</v>
      </c>
      <c r="L830" s="18" t="b">
        <v>1</v>
      </c>
      <c r="M830" s="18" t="b">
        <v>0</v>
      </c>
      <c r="N830" s="18" t="b">
        <v>0</v>
      </c>
      <c r="O830" s="18" t="b">
        <v>0</v>
      </c>
      <c r="P830" s="18" t="b">
        <v>0</v>
      </c>
      <c r="Q830" s="18" t="b">
        <v>0</v>
      </c>
      <c r="R830" s="18" t="b">
        <v>0</v>
      </c>
    </row>
    <row r="831" spans="1:18" ht="18">
      <c r="A831" s="61" t="s">
        <v>2687</v>
      </c>
      <c r="B831" s="15" t="s">
        <v>2688</v>
      </c>
      <c r="C831" s="16" t="s">
        <v>2689</v>
      </c>
      <c r="D831" s="76" t="s">
        <v>2690</v>
      </c>
      <c r="E831" s="16" t="s">
        <v>990</v>
      </c>
      <c r="F831" s="19" t="s">
        <v>27</v>
      </c>
      <c r="G831" s="18" t="b">
        <v>0</v>
      </c>
      <c r="H831" s="18" t="b">
        <v>0</v>
      </c>
      <c r="I831" s="18" t="b">
        <v>0</v>
      </c>
      <c r="J831" s="18" t="b">
        <v>0</v>
      </c>
      <c r="K831" s="18" t="b">
        <v>0</v>
      </c>
      <c r="L831" s="18" t="b">
        <v>0</v>
      </c>
      <c r="M831" s="18" t="b">
        <v>0</v>
      </c>
      <c r="N831" s="18" t="b">
        <v>0</v>
      </c>
      <c r="O831" s="18" t="b">
        <v>0</v>
      </c>
      <c r="P831" s="18" t="b">
        <v>0</v>
      </c>
      <c r="Q831" s="18" t="b">
        <v>0</v>
      </c>
      <c r="R831" s="18" t="b">
        <v>1</v>
      </c>
    </row>
    <row r="832" spans="1:18" ht="18" hidden="1">
      <c r="A832" s="61" t="s">
        <v>2691</v>
      </c>
      <c r="B832" s="15" t="s">
        <v>2692</v>
      </c>
      <c r="C832" s="16" t="s">
        <v>2693</v>
      </c>
      <c r="D832" s="76" t="s">
        <v>2694</v>
      </c>
      <c r="E832" s="18" t="s">
        <v>304</v>
      </c>
      <c r="F832" s="19" t="s">
        <v>34</v>
      </c>
      <c r="G832" s="18" t="b">
        <v>0</v>
      </c>
      <c r="H832" s="18" t="b">
        <v>0</v>
      </c>
      <c r="I832" s="18" t="b">
        <v>0</v>
      </c>
      <c r="J832" s="18" t="b">
        <v>0</v>
      </c>
      <c r="K832" s="18" t="b">
        <v>0</v>
      </c>
      <c r="L832" s="18" t="b">
        <v>1</v>
      </c>
      <c r="M832" s="18" t="b">
        <v>0</v>
      </c>
      <c r="N832" s="18" t="b">
        <v>0</v>
      </c>
      <c r="O832" s="18" t="b">
        <v>0</v>
      </c>
      <c r="P832" s="18" t="b">
        <v>0</v>
      </c>
      <c r="Q832" s="18" t="b">
        <v>0</v>
      </c>
      <c r="R832" s="18" t="b">
        <v>0</v>
      </c>
    </row>
    <row r="833" spans="1:18" ht="18" hidden="1">
      <c r="A833" s="61" t="s">
        <v>2695</v>
      </c>
      <c r="B833" s="15" t="s">
        <v>2695</v>
      </c>
      <c r="C833" s="31" t="s">
        <v>2696</v>
      </c>
      <c r="D833" s="90" t="s">
        <v>2697</v>
      </c>
      <c r="E833" s="16" t="s">
        <v>990</v>
      </c>
      <c r="F833" s="19" t="s">
        <v>38</v>
      </c>
      <c r="G833" s="18" t="b">
        <v>0</v>
      </c>
      <c r="H833" s="18" t="b">
        <v>0</v>
      </c>
      <c r="I833" s="18" t="b">
        <v>0</v>
      </c>
      <c r="J833" s="18" t="b">
        <v>0</v>
      </c>
      <c r="K833" s="18" t="b">
        <v>0</v>
      </c>
      <c r="L833" s="18" t="b">
        <v>0</v>
      </c>
      <c r="M833" s="18" t="b">
        <v>0</v>
      </c>
      <c r="N833" s="18" t="b">
        <v>0</v>
      </c>
      <c r="O833" s="18" t="b">
        <v>0</v>
      </c>
      <c r="P833" s="18" t="b">
        <v>0</v>
      </c>
      <c r="Q833" s="18" t="b">
        <v>0</v>
      </c>
      <c r="R833" s="18" t="b">
        <v>1</v>
      </c>
    </row>
    <row r="834" spans="1:18" ht="18">
      <c r="A834" s="61" t="s">
        <v>2699</v>
      </c>
      <c r="B834" s="15" t="s">
        <v>2700</v>
      </c>
      <c r="C834" s="31" t="s">
        <v>2701</v>
      </c>
      <c r="D834" s="90" t="s">
        <v>2702</v>
      </c>
      <c r="E834" s="16" t="s">
        <v>990</v>
      </c>
      <c r="F834" s="19" t="s">
        <v>27</v>
      </c>
      <c r="G834" s="18" t="b">
        <v>0</v>
      </c>
      <c r="H834" s="18" t="b">
        <v>0</v>
      </c>
      <c r="I834" s="18" t="b">
        <v>0</v>
      </c>
      <c r="J834" s="18" t="b">
        <v>0</v>
      </c>
      <c r="K834" s="18" t="b">
        <v>0</v>
      </c>
      <c r="L834" s="18" t="b">
        <v>0</v>
      </c>
      <c r="M834" s="18" t="b">
        <v>0</v>
      </c>
      <c r="N834" s="18" t="b">
        <v>0</v>
      </c>
      <c r="O834" s="18" t="b">
        <v>0</v>
      </c>
      <c r="P834" s="18" t="b">
        <v>0</v>
      </c>
      <c r="Q834" s="18" t="b">
        <v>0</v>
      </c>
      <c r="R834" s="18" t="b">
        <v>1</v>
      </c>
    </row>
    <row r="835" spans="1:18" ht="18" hidden="1">
      <c r="A835" s="61" t="s">
        <v>2703</v>
      </c>
      <c r="B835" s="15" t="s">
        <v>2704</v>
      </c>
      <c r="C835" s="31" t="s">
        <v>2705</v>
      </c>
      <c r="D835" s="90" t="s">
        <v>2706</v>
      </c>
      <c r="E835" s="18" t="s">
        <v>304</v>
      </c>
      <c r="F835" s="19" t="s">
        <v>38</v>
      </c>
      <c r="G835" s="18" t="b">
        <v>0</v>
      </c>
      <c r="H835" s="18" t="b">
        <v>0</v>
      </c>
      <c r="I835" s="18" t="b">
        <v>0</v>
      </c>
      <c r="J835" s="18" t="b">
        <v>0</v>
      </c>
      <c r="K835" s="18" t="b">
        <v>0</v>
      </c>
      <c r="L835" s="18" t="b">
        <v>1</v>
      </c>
      <c r="M835" s="18" t="b">
        <v>0</v>
      </c>
      <c r="N835" s="18" t="b">
        <v>0</v>
      </c>
      <c r="O835" s="18" t="b">
        <v>0</v>
      </c>
      <c r="P835" s="18" t="b">
        <v>0</v>
      </c>
      <c r="Q835" s="18" t="b">
        <v>0</v>
      </c>
      <c r="R835" s="18" t="b">
        <v>0</v>
      </c>
    </row>
    <row r="836" spans="1:18" ht="18">
      <c r="A836" s="61" t="s">
        <v>2707</v>
      </c>
      <c r="B836" s="15" t="s">
        <v>2707</v>
      </c>
      <c r="C836" s="31" t="s">
        <v>2708</v>
      </c>
      <c r="D836" s="90" t="s">
        <v>2709</v>
      </c>
      <c r="E836" s="18" t="s">
        <v>304</v>
      </c>
      <c r="F836" s="19" t="s">
        <v>27</v>
      </c>
      <c r="G836" s="18" t="b">
        <v>0</v>
      </c>
      <c r="H836" s="18" t="b">
        <v>0</v>
      </c>
      <c r="I836" s="18" t="b">
        <v>0</v>
      </c>
      <c r="J836" s="18" t="b">
        <v>0</v>
      </c>
      <c r="K836" s="18" t="b">
        <v>0</v>
      </c>
      <c r="L836" s="18" t="b">
        <v>1</v>
      </c>
      <c r="M836" s="18" t="b">
        <v>0</v>
      </c>
      <c r="N836" s="18" t="b">
        <v>0</v>
      </c>
      <c r="O836" s="18" t="b">
        <v>0</v>
      </c>
      <c r="P836" s="18" t="b">
        <v>0</v>
      </c>
      <c r="Q836" s="18" t="b">
        <v>0</v>
      </c>
      <c r="R836" s="18" t="b">
        <v>0</v>
      </c>
    </row>
    <row r="837" spans="1:18" ht="18">
      <c r="A837" s="61" t="s">
        <v>2710</v>
      </c>
      <c r="B837" s="15" t="s">
        <v>2710</v>
      </c>
      <c r="C837" s="31" t="s">
        <v>2711</v>
      </c>
      <c r="D837" s="90" t="s">
        <v>2712</v>
      </c>
      <c r="E837" s="18" t="s">
        <v>304</v>
      </c>
      <c r="F837" s="19" t="s">
        <v>27</v>
      </c>
      <c r="G837" s="18" t="b">
        <v>0</v>
      </c>
      <c r="H837" s="18" t="b">
        <v>0</v>
      </c>
      <c r="I837" s="18" t="b">
        <v>0</v>
      </c>
      <c r="J837" s="18" t="b">
        <v>0</v>
      </c>
      <c r="K837" s="18" t="b">
        <v>0</v>
      </c>
      <c r="L837" s="18" t="b">
        <v>1</v>
      </c>
      <c r="M837" s="18" t="b">
        <v>0</v>
      </c>
      <c r="N837" s="18" t="b">
        <v>0</v>
      </c>
      <c r="O837" s="18" t="b">
        <v>0</v>
      </c>
      <c r="P837" s="18" t="b">
        <v>0</v>
      </c>
      <c r="Q837" s="18" t="b">
        <v>0</v>
      </c>
      <c r="R837" s="18" t="b">
        <v>0</v>
      </c>
    </row>
    <row r="838" spans="1:18" ht="18">
      <c r="A838" s="61" t="s">
        <v>2713</v>
      </c>
      <c r="B838" s="15" t="s">
        <v>2713</v>
      </c>
      <c r="C838" s="31" t="s">
        <v>2714</v>
      </c>
      <c r="D838" s="90" t="s">
        <v>2715</v>
      </c>
      <c r="E838" s="16" t="s">
        <v>990</v>
      </c>
      <c r="F838" s="19" t="s">
        <v>27</v>
      </c>
      <c r="G838" s="18" t="b">
        <v>0</v>
      </c>
      <c r="H838" s="18" t="b">
        <v>0</v>
      </c>
      <c r="I838" s="18" t="b">
        <v>0</v>
      </c>
      <c r="J838" s="18" t="b">
        <v>0</v>
      </c>
      <c r="K838" s="18" t="b">
        <v>0</v>
      </c>
      <c r="L838" s="18" t="b">
        <v>0</v>
      </c>
      <c r="M838" s="18" t="b">
        <v>0</v>
      </c>
      <c r="N838" s="18" t="b">
        <v>0</v>
      </c>
      <c r="O838" s="18" t="b">
        <v>0</v>
      </c>
      <c r="P838" s="18" t="b">
        <v>0</v>
      </c>
      <c r="Q838" s="18" t="b">
        <v>0</v>
      </c>
      <c r="R838" s="18" t="b">
        <v>1</v>
      </c>
    </row>
    <row r="839" spans="1:18" ht="18">
      <c r="A839" s="61" t="s">
        <v>2716</v>
      </c>
      <c r="B839" s="15" t="s">
        <v>2717</v>
      </c>
      <c r="C839" s="16" t="s">
        <v>2718</v>
      </c>
      <c r="D839" s="76" t="s">
        <v>2719</v>
      </c>
      <c r="E839" s="16" t="s">
        <v>990</v>
      </c>
      <c r="F839" s="19" t="s">
        <v>27</v>
      </c>
      <c r="G839" s="18" t="b">
        <v>0</v>
      </c>
      <c r="H839" s="18" t="b">
        <v>0</v>
      </c>
      <c r="I839" s="18" t="b">
        <v>0</v>
      </c>
      <c r="J839" s="18" t="b">
        <v>0</v>
      </c>
      <c r="K839" s="18" t="b">
        <v>0</v>
      </c>
      <c r="L839" s="18" t="b">
        <v>0</v>
      </c>
      <c r="M839" s="18" t="b">
        <v>0</v>
      </c>
      <c r="N839" s="18" t="b">
        <v>0</v>
      </c>
      <c r="O839" s="18" t="b">
        <v>0</v>
      </c>
      <c r="P839" s="18" t="b">
        <v>0</v>
      </c>
      <c r="Q839" s="18" t="b">
        <v>0</v>
      </c>
      <c r="R839" s="18" t="b">
        <v>1</v>
      </c>
    </row>
    <row r="840" spans="1:18" ht="18" hidden="1">
      <c r="A840" s="61" t="s">
        <v>2720</v>
      </c>
      <c r="B840" s="15" t="s">
        <v>2721</v>
      </c>
      <c r="C840" s="16" t="s">
        <v>2722</v>
      </c>
      <c r="D840" s="76" t="s">
        <v>2723</v>
      </c>
      <c r="E840" s="16" t="s">
        <v>60</v>
      </c>
      <c r="F840" s="19" t="s">
        <v>34</v>
      </c>
      <c r="G840" s="18" t="b">
        <v>0</v>
      </c>
      <c r="H840" s="18" t="b">
        <v>0</v>
      </c>
      <c r="I840" s="18" t="b">
        <v>0</v>
      </c>
      <c r="J840" s="18" t="b">
        <v>0</v>
      </c>
      <c r="K840" s="18" t="b">
        <v>0</v>
      </c>
      <c r="L840" s="18" t="b">
        <v>0</v>
      </c>
      <c r="M840" s="18" t="b">
        <v>1</v>
      </c>
      <c r="N840" s="18" t="b">
        <v>0</v>
      </c>
      <c r="O840" s="18" t="b">
        <v>0</v>
      </c>
      <c r="P840" s="18" t="b">
        <v>0</v>
      </c>
      <c r="Q840" s="18" t="b">
        <v>0</v>
      </c>
      <c r="R840" s="18" t="b">
        <v>1</v>
      </c>
    </row>
    <row r="841" spans="1:18" ht="18">
      <c r="A841" s="61" t="s">
        <v>2724</v>
      </c>
      <c r="B841" s="15" t="s">
        <v>2724</v>
      </c>
      <c r="C841" s="16" t="s">
        <v>2725</v>
      </c>
      <c r="D841" s="76" t="s">
        <v>2726</v>
      </c>
      <c r="E841" s="16" t="s">
        <v>43</v>
      </c>
      <c r="F841" s="19" t="s">
        <v>27</v>
      </c>
      <c r="G841" s="18" t="b">
        <v>1</v>
      </c>
      <c r="H841" s="18" t="b">
        <v>0</v>
      </c>
      <c r="I841" s="18" t="b">
        <v>0</v>
      </c>
      <c r="J841" s="18" t="b">
        <v>0</v>
      </c>
      <c r="K841" s="18" t="b">
        <v>0</v>
      </c>
      <c r="L841" s="18" t="b">
        <v>0</v>
      </c>
      <c r="M841" s="18" t="b">
        <v>0</v>
      </c>
      <c r="N841" s="18" t="b">
        <v>0</v>
      </c>
      <c r="O841" s="18" t="b">
        <v>0</v>
      </c>
      <c r="P841" s="18" t="b">
        <v>0</v>
      </c>
      <c r="Q841" s="18" t="b">
        <v>0</v>
      </c>
      <c r="R841" s="18" t="b">
        <v>0</v>
      </c>
    </row>
    <row r="842" spans="1:18" ht="18">
      <c r="A842" s="61" t="s">
        <v>2727</v>
      </c>
      <c r="B842" s="15" t="s">
        <v>2728</v>
      </c>
      <c r="C842" s="31" t="s">
        <v>2729</v>
      </c>
      <c r="D842" s="90" t="s">
        <v>2730</v>
      </c>
      <c r="E842" s="16" t="s">
        <v>140</v>
      </c>
      <c r="F842" s="19" t="s">
        <v>27</v>
      </c>
      <c r="G842" s="18" t="b">
        <v>0</v>
      </c>
      <c r="H842" s="18" t="b">
        <v>1</v>
      </c>
      <c r="I842" s="18" t="b">
        <v>0</v>
      </c>
      <c r="J842" s="18" t="b">
        <v>0</v>
      </c>
      <c r="K842" s="18" t="b">
        <v>0</v>
      </c>
      <c r="L842" s="18" t="b">
        <v>0</v>
      </c>
      <c r="M842" s="18" t="b">
        <v>0</v>
      </c>
      <c r="N842" s="18" t="b">
        <v>0</v>
      </c>
      <c r="O842" s="18" t="b">
        <v>0</v>
      </c>
      <c r="P842" s="18" t="b">
        <v>0</v>
      </c>
      <c r="Q842" s="18" t="b">
        <v>0</v>
      </c>
      <c r="R842" s="18" t="b">
        <v>0</v>
      </c>
    </row>
    <row r="843" spans="1:18" ht="18">
      <c r="A843" s="61" t="s">
        <v>2731</v>
      </c>
      <c r="B843" s="15" t="s">
        <v>2732</v>
      </c>
      <c r="C843" s="31" t="s">
        <v>2733</v>
      </c>
      <c r="D843" s="90" t="s">
        <v>2734</v>
      </c>
      <c r="E843" s="18" t="s">
        <v>304</v>
      </c>
      <c r="F843" s="19" t="s">
        <v>27</v>
      </c>
      <c r="G843" s="18" t="b">
        <v>0</v>
      </c>
      <c r="H843" s="18" t="b">
        <v>0</v>
      </c>
      <c r="I843" s="18" t="b">
        <v>0</v>
      </c>
      <c r="J843" s="18" t="b">
        <v>0</v>
      </c>
      <c r="K843" s="18" t="b">
        <v>0</v>
      </c>
      <c r="L843" s="18" t="b">
        <v>1</v>
      </c>
      <c r="M843" s="18" t="b">
        <v>0</v>
      </c>
      <c r="N843" s="18" t="b">
        <v>0</v>
      </c>
      <c r="O843" s="18" t="b">
        <v>0</v>
      </c>
      <c r="P843" s="18" t="b">
        <v>0</v>
      </c>
      <c r="Q843" s="18" t="b">
        <v>0</v>
      </c>
      <c r="R843" s="18" t="b">
        <v>0</v>
      </c>
    </row>
    <row r="844" spans="1:18" ht="18">
      <c r="A844" s="61" t="s">
        <v>2735</v>
      </c>
      <c r="B844" s="15" t="s">
        <v>2736</v>
      </c>
      <c r="C844" s="31" t="s">
        <v>2737</v>
      </c>
      <c r="D844" s="90" t="s">
        <v>2738</v>
      </c>
      <c r="E844" s="18" t="s">
        <v>304</v>
      </c>
      <c r="F844" s="19" t="s">
        <v>27</v>
      </c>
      <c r="G844" s="18" t="b">
        <v>0</v>
      </c>
      <c r="H844" s="18" t="b">
        <v>0</v>
      </c>
      <c r="I844" s="18" t="b">
        <v>0</v>
      </c>
      <c r="J844" s="18" t="b">
        <v>0</v>
      </c>
      <c r="K844" s="18" t="b">
        <v>0</v>
      </c>
      <c r="L844" s="18" t="b">
        <v>1</v>
      </c>
      <c r="M844" s="18" t="b">
        <v>0</v>
      </c>
      <c r="N844" s="18" t="b">
        <v>0</v>
      </c>
      <c r="O844" s="18" t="b">
        <v>0</v>
      </c>
      <c r="P844" s="18" t="b">
        <v>0</v>
      </c>
      <c r="Q844" s="18" t="b">
        <v>0</v>
      </c>
      <c r="R844" s="18" t="b">
        <v>0</v>
      </c>
    </row>
    <row r="845" spans="1:18" ht="18" hidden="1">
      <c r="A845" s="61" t="s">
        <v>2739</v>
      </c>
      <c r="B845" s="15" t="s">
        <v>2739</v>
      </c>
      <c r="C845" s="31" t="s">
        <v>2740</v>
      </c>
      <c r="D845" s="90" t="s">
        <v>2741</v>
      </c>
      <c r="E845" s="16" t="s">
        <v>192</v>
      </c>
      <c r="F845" s="19" t="s">
        <v>34</v>
      </c>
      <c r="G845" s="18" t="b">
        <v>0</v>
      </c>
      <c r="H845" s="18" t="b">
        <v>0</v>
      </c>
      <c r="I845" s="18" t="b">
        <v>0</v>
      </c>
      <c r="J845" s="18" t="b">
        <v>0</v>
      </c>
      <c r="K845" s="18" t="b">
        <v>0</v>
      </c>
      <c r="L845" s="18" t="b">
        <v>0</v>
      </c>
      <c r="M845" s="18" t="b">
        <v>0</v>
      </c>
      <c r="N845" s="18" t="b">
        <v>0</v>
      </c>
      <c r="O845" s="18" t="b">
        <v>0</v>
      </c>
      <c r="P845" s="18" t="b">
        <v>1</v>
      </c>
      <c r="Q845" s="18" t="b">
        <v>0</v>
      </c>
      <c r="R845" s="18" t="b">
        <v>0</v>
      </c>
    </row>
    <row r="846" spans="1:18" ht="18">
      <c r="A846" s="61" t="s">
        <v>2742</v>
      </c>
      <c r="B846" s="15" t="s">
        <v>2742</v>
      </c>
      <c r="C846" s="31" t="s">
        <v>2743</v>
      </c>
      <c r="D846" s="90" t="s">
        <v>2744</v>
      </c>
      <c r="E846" s="16" t="s">
        <v>69</v>
      </c>
      <c r="F846" s="19" t="s">
        <v>27</v>
      </c>
      <c r="G846" s="18" t="b">
        <v>0</v>
      </c>
      <c r="H846" s="18" t="b">
        <v>0</v>
      </c>
      <c r="I846" s="18" t="b">
        <v>0</v>
      </c>
      <c r="J846" s="18" t="b">
        <v>0</v>
      </c>
      <c r="K846" s="18" t="b">
        <v>0</v>
      </c>
      <c r="L846" s="18" t="b">
        <v>0</v>
      </c>
      <c r="M846" s="18" t="b">
        <v>0</v>
      </c>
      <c r="N846" s="18" t="b">
        <v>0</v>
      </c>
      <c r="O846" s="18" t="b">
        <v>1</v>
      </c>
      <c r="P846" s="18" t="b">
        <v>0</v>
      </c>
      <c r="Q846" s="18" t="b">
        <v>0</v>
      </c>
      <c r="R846" s="18" t="b">
        <v>0</v>
      </c>
    </row>
    <row r="847" spans="1:18" ht="18">
      <c r="A847" s="61" t="s">
        <v>2745</v>
      </c>
      <c r="B847" s="15" t="s">
        <v>2745</v>
      </c>
      <c r="C847" s="16" t="s">
        <v>2746</v>
      </c>
      <c r="D847" s="76" t="s">
        <v>2747</v>
      </c>
      <c r="E847" s="18" t="s">
        <v>304</v>
      </c>
      <c r="F847" s="19" t="s">
        <v>27</v>
      </c>
      <c r="G847" s="18" t="b">
        <v>0</v>
      </c>
      <c r="H847" s="18" t="b">
        <v>0</v>
      </c>
      <c r="I847" s="18" t="b">
        <v>0</v>
      </c>
      <c r="J847" s="18" t="b">
        <v>0</v>
      </c>
      <c r="K847" s="18" t="b">
        <v>0</v>
      </c>
      <c r="L847" s="18" t="b">
        <v>1</v>
      </c>
      <c r="M847" s="18" t="b">
        <v>0</v>
      </c>
      <c r="N847" s="18" t="b">
        <v>0</v>
      </c>
      <c r="O847" s="18" t="b">
        <v>0</v>
      </c>
      <c r="P847" s="18" t="b">
        <v>0</v>
      </c>
      <c r="Q847" s="18" t="b">
        <v>0</v>
      </c>
      <c r="R847" s="18" t="b">
        <v>0</v>
      </c>
    </row>
    <row r="848" spans="1:18" ht="18">
      <c r="A848" s="61" t="s">
        <v>2748</v>
      </c>
      <c r="B848" s="15" t="s">
        <v>2749</v>
      </c>
      <c r="C848" s="16" t="s">
        <v>2750</v>
      </c>
      <c r="D848" s="76" t="s">
        <v>2751</v>
      </c>
      <c r="E848" s="18" t="s">
        <v>304</v>
      </c>
      <c r="F848" s="19" t="s">
        <v>27</v>
      </c>
      <c r="G848" s="18" t="b">
        <v>0</v>
      </c>
      <c r="H848" s="18" t="b">
        <v>0</v>
      </c>
      <c r="I848" s="18" t="b">
        <v>0</v>
      </c>
      <c r="J848" s="18" t="b">
        <v>0</v>
      </c>
      <c r="K848" s="18" t="b">
        <v>0</v>
      </c>
      <c r="L848" s="18" t="b">
        <v>1</v>
      </c>
      <c r="M848" s="18" t="b">
        <v>0</v>
      </c>
      <c r="N848" s="18" t="b">
        <v>0</v>
      </c>
      <c r="O848" s="18" t="b">
        <v>0</v>
      </c>
      <c r="P848" s="18" t="b">
        <v>0</v>
      </c>
      <c r="Q848" s="18" t="b">
        <v>0</v>
      </c>
      <c r="R848" s="18" t="b">
        <v>0</v>
      </c>
    </row>
    <row r="849" spans="1:18" ht="18">
      <c r="A849" s="61" t="s">
        <v>2752</v>
      </c>
      <c r="B849" s="15" t="s">
        <v>2752</v>
      </c>
      <c r="C849" s="16" t="s">
        <v>2753</v>
      </c>
      <c r="D849" s="17" t="s">
        <v>2754</v>
      </c>
      <c r="E849" s="16" t="s">
        <v>178</v>
      </c>
      <c r="F849" s="19" t="s">
        <v>27</v>
      </c>
      <c r="G849" s="18" t="b">
        <v>0</v>
      </c>
      <c r="H849" s="18" t="b">
        <v>0</v>
      </c>
      <c r="I849" s="18" t="b">
        <v>0</v>
      </c>
      <c r="J849" s="18" t="b">
        <v>0</v>
      </c>
      <c r="K849" s="18" t="b">
        <v>0</v>
      </c>
      <c r="L849" s="18" t="b">
        <v>0</v>
      </c>
      <c r="M849" s="18" t="b">
        <v>0</v>
      </c>
      <c r="N849" s="18" t="b">
        <v>1</v>
      </c>
      <c r="O849" s="18" t="b">
        <v>0</v>
      </c>
      <c r="P849" s="18" t="b">
        <v>0</v>
      </c>
      <c r="Q849" s="18" t="b">
        <v>0</v>
      </c>
      <c r="R849" s="18" t="b">
        <v>0</v>
      </c>
    </row>
    <row r="850" spans="1:18" ht="18">
      <c r="A850" s="61" t="s">
        <v>2755</v>
      </c>
      <c r="B850" s="15" t="s">
        <v>2756</v>
      </c>
      <c r="C850" s="31" t="s">
        <v>2757</v>
      </c>
      <c r="D850" s="90" t="s">
        <v>2758</v>
      </c>
      <c r="E850" s="16" t="s">
        <v>990</v>
      </c>
      <c r="F850" s="19" t="s">
        <v>27</v>
      </c>
      <c r="G850" s="18" t="b">
        <v>0</v>
      </c>
      <c r="H850" s="18" t="b">
        <v>0</v>
      </c>
      <c r="I850" s="18" t="b">
        <v>0</v>
      </c>
      <c r="J850" s="18" t="b">
        <v>0</v>
      </c>
      <c r="K850" s="18" t="b">
        <v>0</v>
      </c>
      <c r="L850" s="18" t="b">
        <v>0</v>
      </c>
      <c r="M850" s="18" t="b">
        <v>0</v>
      </c>
      <c r="N850" s="18" t="b">
        <v>0</v>
      </c>
      <c r="O850" s="18" t="b">
        <v>0</v>
      </c>
      <c r="P850" s="18" t="b">
        <v>0</v>
      </c>
      <c r="Q850" s="18" t="b">
        <v>0</v>
      </c>
      <c r="R850" s="18" t="b">
        <v>1</v>
      </c>
    </row>
    <row r="851" spans="1:18" ht="18">
      <c r="A851" s="61" t="s">
        <v>2759</v>
      </c>
      <c r="B851" s="15" t="s">
        <v>2760</v>
      </c>
      <c r="C851" s="31" t="s">
        <v>2761</v>
      </c>
      <c r="D851" s="17" t="s">
        <v>2762</v>
      </c>
      <c r="E851" s="16" t="s">
        <v>178</v>
      </c>
      <c r="F851" s="19" t="s">
        <v>27</v>
      </c>
      <c r="G851" s="18" t="b">
        <v>0</v>
      </c>
      <c r="H851" s="18" t="b">
        <v>0</v>
      </c>
      <c r="I851" s="18" t="b">
        <v>0</v>
      </c>
      <c r="J851" s="18" t="b">
        <v>0</v>
      </c>
      <c r="K851" s="18" t="b">
        <v>0</v>
      </c>
      <c r="L851" s="18" t="b">
        <v>0</v>
      </c>
      <c r="M851" s="18" t="b">
        <v>0</v>
      </c>
      <c r="N851" s="18" t="b">
        <v>1</v>
      </c>
      <c r="O851" s="18" t="b">
        <v>0</v>
      </c>
      <c r="P851" s="18" t="b">
        <v>0</v>
      </c>
      <c r="Q851" s="18" t="b">
        <v>0</v>
      </c>
      <c r="R851" s="18" t="b">
        <v>0</v>
      </c>
    </row>
    <row r="852" spans="1:18" ht="18">
      <c r="A852" s="61" t="s">
        <v>2763</v>
      </c>
      <c r="B852" s="15" t="s">
        <v>2764</v>
      </c>
      <c r="C852" s="31" t="s">
        <v>2765</v>
      </c>
      <c r="D852" s="90" t="s">
        <v>2766</v>
      </c>
      <c r="E852" s="18" t="s">
        <v>304</v>
      </c>
      <c r="F852" s="19" t="s">
        <v>27</v>
      </c>
      <c r="G852" s="18" t="b">
        <v>0</v>
      </c>
      <c r="H852" s="18" t="b">
        <v>0</v>
      </c>
      <c r="I852" s="18" t="b">
        <v>0</v>
      </c>
      <c r="J852" s="18" t="b">
        <v>0</v>
      </c>
      <c r="K852" s="18" t="b">
        <v>0</v>
      </c>
      <c r="L852" s="18" t="b">
        <v>1</v>
      </c>
      <c r="M852" s="18" t="b">
        <v>0</v>
      </c>
      <c r="N852" s="18" t="b">
        <v>0</v>
      </c>
      <c r="O852" s="18" t="b">
        <v>0</v>
      </c>
      <c r="P852" s="18" t="b">
        <v>0</v>
      </c>
      <c r="Q852" s="18" t="b">
        <v>0</v>
      </c>
      <c r="R852" s="18" t="b">
        <v>0</v>
      </c>
    </row>
    <row r="853" spans="1:18" ht="18" hidden="1">
      <c r="A853" s="61" t="s">
        <v>2767</v>
      </c>
      <c r="B853" s="15" t="s">
        <v>2767</v>
      </c>
      <c r="C853" s="16" t="s">
        <v>2768</v>
      </c>
      <c r="D853" s="76" t="s">
        <v>2769</v>
      </c>
      <c r="E853" s="16" t="s">
        <v>26</v>
      </c>
      <c r="F853" s="19" t="s">
        <v>34</v>
      </c>
      <c r="G853" s="18" t="b">
        <v>0</v>
      </c>
      <c r="H853" s="18" t="b">
        <v>0</v>
      </c>
      <c r="I853" s="18" t="b">
        <v>1</v>
      </c>
      <c r="J853" s="18" t="b">
        <v>0</v>
      </c>
      <c r="K853" s="18" t="b">
        <v>0</v>
      </c>
      <c r="L853" s="18" t="b">
        <v>0</v>
      </c>
      <c r="M853" s="18" t="b">
        <v>0</v>
      </c>
      <c r="N853" s="18" t="b">
        <v>0</v>
      </c>
      <c r="O853" s="18" t="b">
        <v>0</v>
      </c>
      <c r="P853" s="18" t="b">
        <v>0</v>
      </c>
      <c r="Q853" s="18" t="b">
        <v>0</v>
      </c>
      <c r="R853" s="18" t="b">
        <v>0</v>
      </c>
    </row>
    <row r="854" spans="1:18" ht="18">
      <c r="A854" s="61" t="s">
        <v>2770</v>
      </c>
      <c r="B854" s="15" t="s">
        <v>2771</v>
      </c>
      <c r="C854" s="16" t="s">
        <v>2772</v>
      </c>
      <c r="D854" s="76" t="s">
        <v>2773</v>
      </c>
      <c r="E854" s="16" t="s">
        <v>69</v>
      </c>
      <c r="F854" s="19" t="s">
        <v>27</v>
      </c>
      <c r="G854" s="18" t="b">
        <v>0</v>
      </c>
      <c r="H854" s="18" t="b">
        <v>0</v>
      </c>
      <c r="I854" s="18" t="b">
        <v>0</v>
      </c>
      <c r="J854" s="18" t="b">
        <v>0</v>
      </c>
      <c r="K854" s="18" t="b">
        <v>0</v>
      </c>
      <c r="L854" s="18" t="b">
        <v>0</v>
      </c>
      <c r="M854" s="18" t="b">
        <v>0</v>
      </c>
      <c r="N854" s="18" t="b">
        <v>0</v>
      </c>
      <c r="O854" s="18" t="b">
        <v>1</v>
      </c>
      <c r="P854" s="18" t="b">
        <v>0</v>
      </c>
      <c r="Q854" s="18" t="b">
        <v>0</v>
      </c>
      <c r="R854" s="18" t="b">
        <v>0</v>
      </c>
    </row>
    <row r="855" spans="1:18" ht="18">
      <c r="A855" s="61" t="s">
        <v>2774</v>
      </c>
      <c r="B855" s="15" t="s">
        <v>2774</v>
      </c>
      <c r="C855" s="16" t="s">
        <v>2775</v>
      </c>
      <c r="D855" s="76" t="s">
        <v>2776</v>
      </c>
      <c r="E855" s="16" t="s">
        <v>52</v>
      </c>
      <c r="F855" s="19" t="s">
        <v>27</v>
      </c>
      <c r="G855" s="18" t="b">
        <v>0</v>
      </c>
      <c r="H855" s="18" t="b">
        <v>0</v>
      </c>
      <c r="I855" s="18" t="b">
        <v>0</v>
      </c>
      <c r="J855" s="18" t="b">
        <v>1</v>
      </c>
      <c r="K855" s="18" t="b">
        <v>0</v>
      </c>
      <c r="L855" s="18" t="b">
        <v>0</v>
      </c>
      <c r="M855" s="18" t="b">
        <v>0</v>
      </c>
      <c r="N855" s="18" t="b">
        <v>0</v>
      </c>
      <c r="O855" s="18" t="b">
        <v>0</v>
      </c>
      <c r="P855" s="18" t="b">
        <v>0</v>
      </c>
      <c r="Q855" s="18" t="b">
        <v>0</v>
      </c>
      <c r="R855" s="18" t="b">
        <v>0</v>
      </c>
    </row>
    <row r="856" spans="1:18" ht="18">
      <c r="A856" s="61" t="s">
        <v>2777</v>
      </c>
      <c r="B856" s="15" t="s">
        <v>2777</v>
      </c>
      <c r="C856" s="16" t="s">
        <v>2778</v>
      </c>
      <c r="D856" s="76" t="s">
        <v>2779</v>
      </c>
      <c r="E856" s="16" t="s">
        <v>990</v>
      </c>
      <c r="F856" s="19" t="s">
        <v>27</v>
      </c>
      <c r="G856" s="18" t="b">
        <v>0</v>
      </c>
      <c r="H856" s="18" t="b">
        <v>0</v>
      </c>
      <c r="I856" s="18" t="b">
        <v>0</v>
      </c>
      <c r="J856" s="18" t="b">
        <v>0</v>
      </c>
      <c r="K856" s="18" t="b">
        <v>0</v>
      </c>
      <c r="L856" s="18" t="b">
        <v>0</v>
      </c>
      <c r="M856" s="18" t="b">
        <v>0</v>
      </c>
      <c r="N856" s="18" t="b">
        <v>0</v>
      </c>
      <c r="O856" s="18" t="b">
        <v>0</v>
      </c>
      <c r="P856" s="18" t="b">
        <v>0</v>
      </c>
      <c r="Q856" s="18" t="b">
        <v>0</v>
      </c>
      <c r="R856" s="18" t="b">
        <v>1</v>
      </c>
    </row>
    <row r="857" spans="1:18" ht="18">
      <c r="A857" s="61" t="s">
        <v>2780</v>
      </c>
      <c r="B857" s="15" t="s">
        <v>2781</v>
      </c>
      <c r="C857" s="16" t="s">
        <v>2782</v>
      </c>
      <c r="D857" s="76" t="s">
        <v>2783</v>
      </c>
      <c r="E857" s="18" t="s">
        <v>304</v>
      </c>
      <c r="F857" s="19" t="s">
        <v>27</v>
      </c>
      <c r="G857" s="18" t="b">
        <v>0</v>
      </c>
      <c r="H857" s="18" t="b">
        <v>0</v>
      </c>
      <c r="I857" s="18" t="b">
        <v>0</v>
      </c>
      <c r="J857" s="18" t="b">
        <v>0</v>
      </c>
      <c r="K857" s="18" t="b">
        <v>0</v>
      </c>
      <c r="L857" s="18" t="b">
        <v>1</v>
      </c>
      <c r="M857" s="18" t="b">
        <v>0</v>
      </c>
      <c r="N857" s="18" t="b">
        <v>0</v>
      </c>
      <c r="O857" s="18" t="b">
        <v>0</v>
      </c>
      <c r="P857" s="18" t="b">
        <v>0</v>
      </c>
      <c r="Q857" s="18" t="b">
        <v>0</v>
      </c>
      <c r="R857" s="18" t="b">
        <v>0</v>
      </c>
    </row>
    <row r="858" spans="1:18" ht="18" hidden="1">
      <c r="A858" s="61" t="s">
        <v>2784</v>
      </c>
      <c r="B858" s="15" t="s">
        <v>2785</v>
      </c>
      <c r="C858" s="16" t="s">
        <v>2786</v>
      </c>
      <c r="D858" s="76" t="s">
        <v>2787</v>
      </c>
      <c r="E858" s="16" t="s">
        <v>990</v>
      </c>
      <c r="F858" s="19" t="s">
        <v>38</v>
      </c>
      <c r="G858" s="18" t="b">
        <v>0</v>
      </c>
      <c r="H858" s="18" t="b">
        <v>0</v>
      </c>
      <c r="I858" s="18" t="b">
        <v>0</v>
      </c>
      <c r="J858" s="18" t="b">
        <v>0</v>
      </c>
      <c r="K858" s="18" t="b">
        <v>0</v>
      </c>
      <c r="L858" s="18" t="b">
        <v>0</v>
      </c>
      <c r="M858" s="18" t="b">
        <v>0</v>
      </c>
      <c r="N858" s="18" t="b">
        <v>0</v>
      </c>
      <c r="O858" s="18" t="b">
        <v>0</v>
      </c>
      <c r="P858" s="18" t="b">
        <v>0</v>
      </c>
      <c r="Q858" s="18" t="b">
        <v>0</v>
      </c>
      <c r="R858" s="18" t="b">
        <v>1</v>
      </c>
    </row>
    <row r="859" spans="1:18" ht="18">
      <c r="A859" s="61" t="s">
        <v>2788</v>
      </c>
      <c r="B859" s="15" t="s">
        <v>2788</v>
      </c>
      <c r="C859" s="16" t="s">
        <v>2789</v>
      </c>
      <c r="D859" s="76" t="s">
        <v>2790</v>
      </c>
      <c r="E859" s="16" t="s">
        <v>140</v>
      </c>
      <c r="F859" s="19" t="s">
        <v>27</v>
      </c>
      <c r="G859" s="18" t="b">
        <v>0</v>
      </c>
      <c r="H859" s="18" t="b">
        <v>1</v>
      </c>
      <c r="I859" s="18" t="b">
        <v>0</v>
      </c>
      <c r="J859" s="18" t="b">
        <v>0</v>
      </c>
      <c r="K859" s="18" t="b">
        <v>0</v>
      </c>
      <c r="L859" s="18" t="b">
        <v>0</v>
      </c>
      <c r="M859" s="18" t="b">
        <v>0</v>
      </c>
      <c r="N859" s="18" t="b">
        <v>0</v>
      </c>
      <c r="O859" s="18" t="b">
        <v>0</v>
      </c>
      <c r="P859" s="18" t="b">
        <v>0</v>
      </c>
      <c r="Q859" s="18" t="b">
        <v>0</v>
      </c>
      <c r="R859" s="18" t="b">
        <v>0</v>
      </c>
    </row>
    <row r="860" spans="1:18" ht="18">
      <c r="A860" s="61" t="s">
        <v>2791</v>
      </c>
      <c r="B860" s="15" t="s">
        <v>2791</v>
      </c>
      <c r="C860" s="16" t="s">
        <v>2792</v>
      </c>
      <c r="D860" s="76" t="s">
        <v>2793</v>
      </c>
      <c r="E860" s="16" t="s">
        <v>192</v>
      </c>
      <c r="F860" s="19" t="s">
        <v>27</v>
      </c>
      <c r="G860" s="18" t="b">
        <v>0</v>
      </c>
      <c r="H860" s="18" t="b">
        <v>0</v>
      </c>
      <c r="I860" s="18" t="b">
        <v>0</v>
      </c>
      <c r="J860" s="18" t="b">
        <v>0</v>
      </c>
      <c r="K860" s="18" t="b">
        <v>0</v>
      </c>
      <c r="L860" s="18" t="b">
        <v>0</v>
      </c>
      <c r="M860" s="18" t="b">
        <v>0</v>
      </c>
      <c r="N860" s="18" t="b">
        <v>0</v>
      </c>
      <c r="O860" s="18" t="b">
        <v>0</v>
      </c>
      <c r="P860" s="18" t="b">
        <v>0</v>
      </c>
      <c r="Q860" s="18" t="b">
        <v>1</v>
      </c>
      <c r="R860" s="18" t="b">
        <v>0</v>
      </c>
    </row>
    <row r="861" spans="1:18" ht="18">
      <c r="A861" s="61" t="s">
        <v>2794</v>
      </c>
      <c r="B861" s="15" t="s">
        <v>2795</v>
      </c>
      <c r="C861" s="16" t="s">
        <v>2796</v>
      </c>
      <c r="D861" s="76" t="s">
        <v>2797</v>
      </c>
      <c r="E861" s="16" t="s">
        <v>60</v>
      </c>
      <c r="F861" s="19" t="s">
        <v>27</v>
      </c>
      <c r="G861" s="18" t="b">
        <v>0</v>
      </c>
      <c r="H861" s="18" t="b">
        <v>0</v>
      </c>
      <c r="I861" s="18" t="b">
        <v>0</v>
      </c>
      <c r="J861" s="18" t="b">
        <v>0</v>
      </c>
      <c r="K861" s="18" t="b">
        <v>0</v>
      </c>
      <c r="L861" s="18" t="b">
        <v>0</v>
      </c>
      <c r="M861" s="18" t="b">
        <v>1</v>
      </c>
      <c r="N861" s="18" t="b">
        <v>0</v>
      </c>
      <c r="O861" s="18" t="b">
        <v>0</v>
      </c>
      <c r="P861" s="18" t="b">
        <v>0</v>
      </c>
      <c r="Q861" s="18" t="b">
        <v>0</v>
      </c>
      <c r="R861" s="18" t="b">
        <v>0</v>
      </c>
    </row>
    <row r="862" spans="1:18" ht="18">
      <c r="A862" s="61" t="s">
        <v>2798</v>
      </c>
      <c r="B862" s="15" t="s">
        <v>2798</v>
      </c>
      <c r="C862" s="16" t="s">
        <v>2799</v>
      </c>
      <c r="D862" s="76" t="s">
        <v>2800</v>
      </c>
      <c r="E862" s="16" t="s">
        <v>60</v>
      </c>
      <c r="F862" s="19" t="s">
        <v>27</v>
      </c>
      <c r="G862" s="18" t="b">
        <v>0</v>
      </c>
      <c r="H862" s="18" t="b">
        <v>0</v>
      </c>
      <c r="I862" s="18" t="b">
        <v>0</v>
      </c>
      <c r="J862" s="18" t="b">
        <v>0</v>
      </c>
      <c r="K862" s="18" t="b">
        <v>0</v>
      </c>
      <c r="L862" s="18" t="b">
        <v>0</v>
      </c>
      <c r="M862" s="18" t="b">
        <v>1</v>
      </c>
      <c r="N862" s="18" t="b">
        <v>0</v>
      </c>
      <c r="O862" s="18" t="b">
        <v>0</v>
      </c>
      <c r="P862" s="18" t="b">
        <v>0</v>
      </c>
      <c r="Q862" s="18" t="b">
        <v>0</v>
      </c>
      <c r="R862" s="18" t="b">
        <v>0</v>
      </c>
    </row>
    <row r="863" spans="1:18" ht="18">
      <c r="A863" s="61" t="s">
        <v>2801</v>
      </c>
      <c r="B863" s="15" t="s">
        <v>2801</v>
      </c>
      <c r="C863" s="16" t="s">
        <v>2802</v>
      </c>
      <c r="D863" s="76" t="s">
        <v>2803</v>
      </c>
      <c r="E863" s="16" t="s">
        <v>26</v>
      </c>
      <c r="F863" s="19" t="s">
        <v>27</v>
      </c>
      <c r="G863" s="18" t="b">
        <v>0</v>
      </c>
      <c r="H863" s="18" t="b">
        <v>0</v>
      </c>
      <c r="I863" s="18" t="b">
        <v>1</v>
      </c>
      <c r="J863" s="18" t="b">
        <v>0</v>
      </c>
      <c r="K863" s="18" t="b">
        <v>0</v>
      </c>
      <c r="L863" s="18" t="b">
        <v>0</v>
      </c>
      <c r="M863" s="18" t="b">
        <v>0</v>
      </c>
      <c r="N863" s="18" t="b">
        <v>0</v>
      </c>
      <c r="O863" s="18" t="b">
        <v>0</v>
      </c>
      <c r="P863" s="18" t="b">
        <v>0</v>
      </c>
      <c r="Q863" s="18" t="b">
        <v>0</v>
      </c>
      <c r="R863" s="18" t="b">
        <v>0</v>
      </c>
    </row>
    <row r="864" spans="1:18" ht="18">
      <c r="A864" s="61" t="s">
        <v>2804</v>
      </c>
      <c r="B864" s="15" t="s">
        <v>2805</v>
      </c>
      <c r="C864" s="16" t="s">
        <v>2806</v>
      </c>
      <c r="D864" s="76" t="s">
        <v>2807</v>
      </c>
      <c r="E864" s="16" t="s">
        <v>990</v>
      </c>
      <c r="F864" s="19" t="s">
        <v>27</v>
      </c>
      <c r="G864" s="18" t="b">
        <v>0</v>
      </c>
      <c r="H864" s="18" t="b">
        <v>0</v>
      </c>
      <c r="I864" s="18" t="b">
        <v>0</v>
      </c>
      <c r="J864" s="18" t="b">
        <v>0</v>
      </c>
      <c r="K864" s="18" t="b">
        <v>0</v>
      </c>
      <c r="L864" s="18" t="b">
        <v>0</v>
      </c>
      <c r="M864" s="18" t="b">
        <v>0</v>
      </c>
      <c r="N864" s="18" t="b">
        <v>0</v>
      </c>
      <c r="O864" s="18" t="b">
        <v>0</v>
      </c>
      <c r="P864" s="18" t="b">
        <v>0</v>
      </c>
      <c r="Q864" s="18" t="b">
        <v>0</v>
      </c>
      <c r="R864" s="18" t="b">
        <v>1</v>
      </c>
    </row>
    <row r="865" spans="1:18" ht="18">
      <c r="A865" s="61" t="s">
        <v>2808</v>
      </c>
      <c r="B865" s="15" t="s">
        <v>2808</v>
      </c>
      <c r="C865" s="16" t="s">
        <v>2809</v>
      </c>
      <c r="D865" s="76" t="s">
        <v>2810</v>
      </c>
      <c r="E865" s="18" t="s">
        <v>304</v>
      </c>
      <c r="F865" s="19" t="s">
        <v>27</v>
      </c>
      <c r="G865" s="18" t="b">
        <v>0</v>
      </c>
      <c r="H865" s="18" t="b">
        <v>0</v>
      </c>
      <c r="I865" s="18" t="b">
        <v>0</v>
      </c>
      <c r="J865" s="18" t="b">
        <v>0</v>
      </c>
      <c r="K865" s="18" t="b">
        <v>0</v>
      </c>
      <c r="L865" s="18" t="b">
        <v>1</v>
      </c>
      <c r="M865" s="18" t="b">
        <v>0</v>
      </c>
      <c r="N865" s="18" t="b">
        <v>0</v>
      </c>
      <c r="O865" s="18" t="b">
        <v>0</v>
      </c>
      <c r="P865" s="18" t="b">
        <v>0</v>
      </c>
      <c r="Q865" s="18" t="b">
        <v>0</v>
      </c>
      <c r="R865" s="18" t="b">
        <v>0</v>
      </c>
    </row>
    <row r="866" spans="1:18" ht="18">
      <c r="A866" s="61" t="s">
        <v>2811</v>
      </c>
      <c r="B866" s="15" t="s">
        <v>2812</v>
      </c>
      <c r="C866" s="16" t="s">
        <v>2813</v>
      </c>
      <c r="D866" s="76" t="s">
        <v>2814</v>
      </c>
      <c r="E866" s="16" t="s">
        <v>26</v>
      </c>
      <c r="F866" s="19" t="s">
        <v>27</v>
      </c>
      <c r="G866" s="18" t="b">
        <v>0</v>
      </c>
      <c r="H866" s="18" t="b">
        <v>0</v>
      </c>
      <c r="I866" s="18" t="b">
        <v>1</v>
      </c>
      <c r="J866" s="18" t="b">
        <v>0</v>
      </c>
      <c r="K866" s="18" t="b">
        <v>0</v>
      </c>
      <c r="L866" s="18" t="b">
        <v>0</v>
      </c>
      <c r="M866" s="18" t="b">
        <v>0</v>
      </c>
      <c r="N866" s="18" t="b">
        <v>0</v>
      </c>
      <c r="O866" s="18" t="b">
        <v>0</v>
      </c>
      <c r="P866" s="18" t="b">
        <v>0</v>
      </c>
      <c r="Q866" s="18" t="b">
        <v>0</v>
      </c>
      <c r="R866" s="18" t="b">
        <v>0</v>
      </c>
    </row>
    <row r="867" spans="1:18" ht="18">
      <c r="A867" s="61" t="s">
        <v>2815</v>
      </c>
      <c r="B867" s="15" t="s">
        <v>2815</v>
      </c>
      <c r="C867" s="16" t="s">
        <v>2816</v>
      </c>
      <c r="D867" s="76" t="s">
        <v>2817</v>
      </c>
      <c r="E867" s="16" t="s">
        <v>69</v>
      </c>
      <c r="F867" s="19" t="s">
        <v>27</v>
      </c>
      <c r="G867" s="18" t="b">
        <v>0</v>
      </c>
      <c r="H867" s="18" t="b">
        <v>0</v>
      </c>
      <c r="I867" s="18" t="b">
        <v>0</v>
      </c>
      <c r="J867" s="18" t="b">
        <v>0</v>
      </c>
      <c r="K867" s="18" t="b">
        <v>0</v>
      </c>
      <c r="L867" s="18" t="b">
        <v>0</v>
      </c>
      <c r="M867" s="18" t="b">
        <v>0</v>
      </c>
      <c r="N867" s="18" t="b">
        <v>0</v>
      </c>
      <c r="O867" s="18" t="b">
        <v>1</v>
      </c>
      <c r="P867" s="18" t="b">
        <v>0</v>
      </c>
      <c r="Q867" s="18" t="b">
        <v>0</v>
      </c>
      <c r="R867" s="18" t="b">
        <v>0</v>
      </c>
    </row>
    <row r="868" spans="1:18" ht="18">
      <c r="A868" s="61" t="s">
        <v>2818</v>
      </c>
      <c r="B868" s="15" t="s">
        <v>2818</v>
      </c>
      <c r="C868" s="16" t="s">
        <v>2819</v>
      </c>
      <c r="D868" s="76" t="s">
        <v>2820</v>
      </c>
      <c r="E868" s="16" t="s">
        <v>990</v>
      </c>
      <c r="F868" s="19" t="s">
        <v>27</v>
      </c>
      <c r="G868" s="18" t="b">
        <v>0</v>
      </c>
      <c r="H868" s="18" t="b">
        <v>0</v>
      </c>
      <c r="I868" s="18" t="b">
        <v>0</v>
      </c>
      <c r="J868" s="18" t="b">
        <v>0</v>
      </c>
      <c r="K868" s="18" t="b">
        <v>0</v>
      </c>
      <c r="L868" s="18" t="b">
        <v>0</v>
      </c>
      <c r="M868" s="18" t="b">
        <v>0</v>
      </c>
      <c r="N868" s="18" t="b">
        <v>0</v>
      </c>
      <c r="O868" s="18" t="b">
        <v>0</v>
      </c>
      <c r="P868" s="18" t="b">
        <v>0</v>
      </c>
      <c r="Q868" s="18" t="b">
        <v>0</v>
      </c>
      <c r="R868" s="18" t="b">
        <v>1</v>
      </c>
    </row>
    <row r="869" spans="1:18" ht="18">
      <c r="A869" s="61" t="s">
        <v>2821</v>
      </c>
      <c r="B869" s="15" t="s">
        <v>2821</v>
      </c>
      <c r="C869" s="16" t="s">
        <v>2822</v>
      </c>
      <c r="D869" s="192" t="s">
        <v>2823</v>
      </c>
      <c r="E869" s="16" t="s">
        <v>192</v>
      </c>
      <c r="F869" s="19" t="s">
        <v>27</v>
      </c>
      <c r="G869" s="18" t="b">
        <v>0</v>
      </c>
      <c r="H869" s="18" t="b">
        <v>0</v>
      </c>
      <c r="I869" s="18" t="b">
        <v>0</v>
      </c>
      <c r="J869" s="18" t="b">
        <v>0</v>
      </c>
      <c r="K869" s="18" t="b">
        <v>0</v>
      </c>
      <c r="L869" s="18" t="b">
        <v>0</v>
      </c>
      <c r="M869" s="18" t="b">
        <v>0</v>
      </c>
      <c r="N869" s="18" t="b">
        <v>0</v>
      </c>
      <c r="O869" s="18" t="b">
        <v>0</v>
      </c>
      <c r="P869" s="18" t="b">
        <v>0</v>
      </c>
      <c r="Q869" s="18" t="b">
        <v>1</v>
      </c>
      <c r="R869" s="18" t="b">
        <v>0</v>
      </c>
    </row>
    <row r="870" spans="1:18" ht="18">
      <c r="A870" s="61" t="s">
        <v>2824</v>
      </c>
      <c r="B870" s="15" t="s">
        <v>2824</v>
      </c>
      <c r="C870" s="16" t="s">
        <v>2825</v>
      </c>
      <c r="D870" s="76" t="s">
        <v>2826</v>
      </c>
      <c r="E870" s="16" t="s">
        <v>990</v>
      </c>
      <c r="F870" s="19" t="s">
        <v>27</v>
      </c>
      <c r="G870" s="18" t="b">
        <v>0</v>
      </c>
      <c r="H870" s="18" t="b">
        <v>0</v>
      </c>
      <c r="I870" s="18" t="b">
        <v>0</v>
      </c>
      <c r="J870" s="18" t="b">
        <v>0</v>
      </c>
      <c r="K870" s="18" t="b">
        <v>0</v>
      </c>
      <c r="L870" s="18" t="b">
        <v>0</v>
      </c>
      <c r="M870" s="18" t="b">
        <v>0</v>
      </c>
      <c r="N870" s="18" t="b">
        <v>0</v>
      </c>
      <c r="O870" s="18" t="b">
        <v>0</v>
      </c>
      <c r="P870" s="18" t="b">
        <v>0</v>
      </c>
      <c r="Q870" s="18" t="b">
        <v>0</v>
      </c>
      <c r="R870" s="18" t="b">
        <v>1</v>
      </c>
    </row>
    <row r="871" spans="1:18" ht="18">
      <c r="A871" s="61" t="s">
        <v>2827</v>
      </c>
      <c r="B871" s="15" t="s">
        <v>2827</v>
      </c>
      <c r="C871" s="16" t="s">
        <v>2828</v>
      </c>
      <c r="D871" s="76" t="s">
        <v>2829</v>
      </c>
      <c r="E871" s="16" t="s">
        <v>140</v>
      </c>
      <c r="F871" s="19" t="s">
        <v>27</v>
      </c>
      <c r="G871" s="18" t="b">
        <v>1</v>
      </c>
      <c r="H871" s="18" t="b">
        <v>1</v>
      </c>
      <c r="I871" s="18" t="b">
        <v>0</v>
      </c>
      <c r="J871" s="18" t="b">
        <v>0</v>
      </c>
      <c r="K871" s="18" t="b">
        <v>0</v>
      </c>
      <c r="L871" s="18" t="b">
        <v>0</v>
      </c>
      <c r="M871" s="18" t="b">
        <v>0</v>
      </c>
      <c r="N871" s="18" t="b">
        <v>0</v>
      </c>
      <c r="O871" s="18" t="b">
        <v>0</v>
      </c>
      <c r="P871" s="18" t="b">
        <v>0</v>
      </c>
      <c r="Q871" s="18" t="b">
        <v>0</v>
      </c>
      <c r="R871" s="18" t="b">
        <v>0</v>
      </c>
    </row>
    <row r="872" spans="1:18" ht="18">
      <c r="A872" s="61" t="s">
        <v>2830</v>
      </c>
      <c r="B872" s="15" t="s">
        <v>2830</v>
      </c>
      <c r="C872" s="16" t="s">
        <v>2831</v>
      </c>
      <c r="D872" s="76" t="s">
        <v>2832</v>
      </c>
      <c r="E872" s="18" t="s">
        <v>304</v>
      </c>
      <c r="F872" s="19" t="s">
        <v>27</v>
      </c>
      <c r="G872" s="18" t="b">
        <v>0</v>
      </c>
      <c r="H872" s="18" t="b">
        <v>0</v>
      </c>
      <c r="I872" s="18" t="b">
        <v>0</v>
      </c>
      <c r="J872" s="18" t="b">
        <v>0</v>
      </c>
      <c r="K872" s="18" t="b">
        <v>0</v>
      </c>
      <c r="L872" s="18" t="b">
        <v>1</v>
      </c>
      <c r="M872" s="18" t="b">
        <v>0</v>
      </c>
      <c r="N872" s="18" t="b">
        <v>0</v>
      </c>
      <c r="O872" s="18" t="b">
        <v>0</v>
      </c>
      <c r="P872" s="18" t="b">
        <v>0</v>
      </c>
      <c r="Q872" s="18" t="b">
        <v>0</v>
      </c>
      <c r="R872" s="18" t="b">
        <v>0</v>
      </c>
    </row>
    <row r="873" spans="1:18" ht="18">
      <c r="A873" s="61" t="s">
        <v>2833</v>
      </c>
      <c r="B873" s="15" t="s">
        <v>2833</v>
      </c>
      <c r="C873" s="16" t="s">
        <v>2834</v>
      </c>
      <c r="D873" s="17" t="s">
        <v>2835</v>
      </c>
      <c r="E873" s="16" t="s">
        <v>178</v>
      </c>
      <c r="F873" s="19" t="s">
        <v>27</v>
      </c>
      <c r="G873" s="18" t="b">
        <v>0</v>
      </c>
      <c r="H873" s="18" t="b">
        <v>0</v>
      </c>
      <c r="I873" s="18" t="b">
        <v>0</v>
      </c>
      <c r="J873" s="18" t="b">
        <v>0</v>
      </c>
      <c r="K873" s="18" t="b">
        <v>0</v>
      </c>
      <c r="L873" s="18" t="b">
        <v>0</v>
      </c>
      <c r="M873" s="18" t="b">
        <v>0</v>
      </c>
      <c r="N873" s="18" t="b">
        <v>1</v>
      </c>
      <c r="O873" s="18" t="b">
        <v>0</v>
      </c>
      <c r="P873" s="18" t="b">
        <v>0</v>
      </c>
      <c r="Q873" s="18" t="b">
        <v>0</v>
      </c>
      <c r="R873" s="18" t="b">
        <v>0</v>
      </c>
    </row>
    <row r="874" spans="1:18" ht="18">
      <c r="A874" s="61" t="s">
        <v>2836</v>
      </c>
      <c r="B874" s="15" t="s">
        <v>2836</v>
      </c>
      <c r="C874" s="16" t="s">
        <v>2837</v>
      </c>
      <c r="D874" s="76" t="s">
        <v>2838</v>
      </c>
      <c r="E874" s="16" t="s">
        <v>26</v>
      </c>
      <c r="F874" s="19" t="s">
        <v>27</v>
      </c>
      <c r="G874" s="18" t="b">
        <v>0</v>
      </c>
      <c r="H874" s="18" t="b">
        <v>0</v>
      </c>
      <c r="I874" s="18" t="b">
        <v>1</v>
      </c>
      <c r="J874" s="18" t="b">
        <v>0</v>
      </c>
      <c r="K874" s="18" t="b">
        <v>0</v>
      </c>
      <c r="L874" s="18" t="b">
        <v>0</v>
      </c>
      <c r="M874" s="18" t="b">
        <v>0</v>
      </c>
      <c r="N874" s="18" t="b">
        <v>0</v>
      </c>
      <c r="O874" s="18" t="b">
        <v>0</v>
      </c>
      <c r="P874" s="18" t="b">
        <v>0</v>
      </c>
      <c r="Q874" s="18" t="b">
        <v>0</v>
      </c>
      <c r="R874" s="18" t="b">
        <v>0</v>
      </c>
    </row>
    <row r="875" spans="1:18" ht="18">
      <c r="A875" s="61" t="s">
        <v>2839</v>
      </c>
      <c r="B875" s="15" t="s">
        <v>2839</v>
      </c>
      <c r="C875" s="16" t="s">
        <v>2840</v>
      </c>
      <c r="D875" s="76" t="s">
        <v>2841</v>
      </c>
      <c r="E875" s="16" t="s">
        <v>69</v>
      </c>
      <c r="F875" s="19" t="s">
        <v>27</v>
      </c>
      <c r="G875" s="18" t="b">
        <v>0</v>
      </c>
      <c r="H875" s="18" t="b">
        <v>0</v>
      </c>
      <c r="I875" s="18" t="b">
        <v>0</v>
      </c>
      <c r="J875" s="18" t="b">
        <v>0</v>
      </c>
      <c r="K875" s="18" t="b">
        <v>0</v>
      </c>
      <c r="L875" s="18" t="b">
        <v>0</v>
      </c>
      <c r="M875" s="18" t="b">
        <v>0</v>
      </c>
      <c r="N875" s="18" t="b">
        <v>0</v>
      </c>
      <c r="O875" s="18" t="b">
        <v>1</v>
      </c>
      <c r="P875" s="18" t="b">
        <v>0</v>
      </c>
      <c r="Q875" s="18" t="b">
        <v>0</v>
      </c>
      <c r="R875" s="18" t="b">
        <v>0</v>
      </c>
    </row>
    <row r="876" spans="1:18" ht="18">
      <c r="A876" s="61" t="s">
        <v>2842</v>
      </c>
      <c r="B876" s="15" t="s">
        <v>2842</v>
      </c>
      <c r="C876" s="16" t="s">
        <v>2843</v>
      </c>
      <c r="D876" s="76" t="s">
        <v>2844</v>
      </c>
      <c r="E876" s="16" t="s">
        <v>26</v>
      </c>
      <c r="F876" s="19" t="s">
        <v>27</v>
      </c>
      <c r="G876" s="18" t="b">
        <v>0</v>
      </c>
      <c r="H876" s="18" t="b">
        <v>0</v>
      </c>
      <c r="I876" s="18" t="b">
        <v>1</v>
      </c>
      <c r="J876" s="18" t="b">
        <v>0</v>
      </c>
      <c r="K876" s="18" t="b">
        <v>0</v>
      </c>
      <c r="L876" s="18" t="b">
        <v>0</v>
      </c>
      <c r="M876" s="18" t="b">
        <v>0</v>
      </c>
      <c r="N876" s="18" t="b">
        <v>0</v>
      </c>
      <c r="O876" s="18" t="b">
        <v>0</v>
      </c>
      <c r="P876" s="18" t="b">
        <v>0</v>
      </c>
      <c r="Q876" s="18" t="b">
        <v>0</v>
      </c>
      <c r="R876" s="18" t="b">
        <v>0</v>
      </c>
    </row>
    <row r="877" spans="1:18" ht="18">
      <c r="A877" s="61" t="s">
        <v>2845</v>
      </c>
      <c r="B877" s="15" t="s">
        <v>2846</v>
      </c>
      <c r="C877" s="16" t="s">
        <v>2847</v>
      </c>
      <c r="D877" s="76" t="s">
        <v>2848</v>
      </c>
      <c r="E877" s="16" t="s">
        <v>990</v>
      </c>
      <c r="F877" s="19" t="s">
        <v>27</v>
      </c>
      <c r="G877" s="18" t="b">
        <v>0</v>
      </c>
      <c r="H877" s="18" t="b">
        <v>0</v>
      </c>
      <c r="I877" s="18" t="b">
        <v>0</v>
      </c>
      <c r="J877" s="18" t="b">
        <v>0</v>
      </c>
      <c r="K877" s="18" t="b">
        <v>0</v>
      </c>
      <c r="L877" s="18" t="b">
        <v>0</v>
      </c>
      <c r="M877" s="18" t="b">
        <v>0</v>
      </c>
      <c r="N877" s="18" t="b">
        <v>0</v>
      </c>
      <c r="O877" s="18" t="b">
        <v>0</v>
      </c>
      <c r="P877" s="18" t="b">
        <v>0</v>
      </c>
      <c r="Q877" s="18" t="b">
        <v>0</v>
      </c>
      <c r="R877" s="18" t="b">
        <v>1</v>
      </c>
    </row>
    <row r="878" spans="1:18" ht="18">
      <c r="A878" s="61" t="s">
        <v>2849</v>
      </c>
      <c r="B878" s="15" t="s">
        <v>2849</v>
      </c>
      <c r="C878" s="16" t="s">
        <v>2850</v>
      </c>
      <c r="D878" s="76" t="s">
        <v>2851</v>
      </c>
      <c r="E878" s="16" t="s">
        <v>43</v>
      </c>
      <c r="F878" s="19" t="s">
        <v>27</v>
      </c>
      <c r="G878" s="18" t="b">
        <v>1</v>
      </c>
      <c r="H878" s="18" t="b">
        <v>1</v>
      </c>
      <c r="I878" s="18" t="b">
        <v>0</v>
      </c>
      <c r="J878" s="18" t="b">
        <v>0</v>
      </c>
      <c r="K878" s="18" t="b">
        <v>0</v>
      </c>
      <c r="L878" s="18" t="b">
        <v>0</v>
      </c>
      <c r="M878" s="18" t="b">
        <v>0</v>
      </c>
      <c r="N878" s="18" t="b">
        <v>0</v>
      </c>
      <c r="O878" s="18" t="b">
        <v>0</v>
      </c>
      <c r="P878" s="18" t="b">
        <v>0</v>
      </c>
      <c r="Q878" s="18" t="b">
        <v>0</v>
      </c>
      <c r="R878" s="18" t="b">
        <v>0</v>
      </c>
    </row>
    <row r="879" spans="1:18" ht="18">
      <c r="A879" s="61" t="s">
        <v>2852</v>
      </c>
      <c r="B879" s="190" t="s">
        <v>2852</v>
      </c>
      <c r="C879" s="16" t="s">
        <v>2853</v>
      </c>
      <c r="D879" s="76" t="s">
        <v>2854</v>
      </c>
      <c r="E879" s="18" t="s">
        <v>304</v>
      </c>
      <c r="F879" s="19" t="s">
        <v>27</v>
      </c>
      <c r="G879" s="18" t="b">
        <v>0</v>
      </c>
      <c r="H879" s="18" t="b">
        <v>0</v>
      </c>
      <c r="I879" s="18" t="b">
        <v>0</v>
      </c>
      <c r="J879" s="18" t="b">
        <v>0</v>
      </c>
      <c r="K879" s="18" t="b">
        <v>0</v>
      </c>
      <c r="L879" s="18" t="b">
        <v>1</v>
      </c>
      <c r="M879" s="18" t="b">
        <v>0</v>
      </c>
      <c r="N879" s="18" t="b">
        <v>0</v>
      </c>
      <c r="O879" s="18" t="b">
        <v>0</v>
      </c>
      <c r="P879" s="18" t="b">
        <v>0</v>
      </c>
      <c r="Q879" s="18" t="b">
        <v>0</v>
      </c>
      <c r="R879" s="18" t="b">
        <v>0</v>
      </c>
    </row>
    <row r="880" spans="1:18" ht="18">
      <c r="A880" s="61" t="s">
        <v>2855</v>
      </c>
      <c r="B880" s="15" t="s">
        <v>2855</v>
      </c>
      <c r="C880" s="16" t="s">
        <v>2856</v>
      </c>
      <c r="D880" s="76" t="s">
        <v>2857</v>
      </c>
      <c r="E880" s="16" t="s">
        <v>154</v>
      </c>
      <c r="F880" s="19" t="s">
        <v>27</v>
      </c>
      <c r="G880" s="18" t="b">
        <v>0</v>
      </c>
      <c r="H880" s="18" t="b">
        <v>0</v>
      </c>
      <c r="I880" s="18" t="b">
        <v>0</v>
      </c>
      <c r="J880" s="18" t="b">
        <v>0</v>
      </c>
      <c r="K880" s="18" t="b">
        <v>1</v>
      </c>
      <c r="L880" s="18" t="b">
        <v>0</v>
      </c>
      <c r="M880" s="18" t="b">
        <v>0</v>
      </c>
      <c r="N880" s="18" t="b">
        <v>0</v>
      </c>
      <c r="O880" s="18" t="b">
        <v>0</v>
      </c>
      <c r="P880" s="18" t="b">
        <v>0</v>
      </c>
      <c r="Q880" s="18" t="b">
        <v>0</v>
      </c>
      <c r="R880" s="18" t="b">
        <v>0</v>
      </c>
    </row>
    <row r="881" spans="1:18" ht="18" hidden="1">
      <c r="A881" s="61" t="s">
        <v>2859</v>
      </c>
      <c r="B881" s="15" t="s">
        <v>2859</v>
      </c>
      <c r="C881" s="16" t="s">
        <v>2860</v>
      </c>
      <c r="D881" s="76" t="s">
        <v>2861</v>
      </c>
      <c r="E881" s="18" t="s">
        <v>304</v>
      </c>
      <c r="F881" s="19" t="s">
        <v>34</v>
      </c>
      <c r="G881" s="18" t="b">
        <v>0</v>
      </c>
      <c r="H881" s="18" t="b">
        <v>0</v>
      </c>
      <c r="I881" s="18" t="b">
        <v>0</v>
      </c>
      <c r="J881" s="18" t="b">
        <v>0</v>
      </c>
      <c r="K881" s="18" t="b">
        <v>0</v>
      </c>
      <c r="L881" s="18" t="b">
        <v>1</v>
      </c>
      <c r="M881" s="18" t="b">
        <v>0</v>
      </c>
      <c r="N881" s="18" t="b">
        <v>0</v>
      </c>
      <c r="O881" s="18" t="b">
        <v>0</v>
      </c>
      <c r="P881" s="18" t="b">
        <v>0</v>
      </c>
      <c r="Q881" s="18" t="b">
        <v>0</v>
      </c>
      <c r="R881" s="18" t="b">
        <v>0</v>
      </c>
    </row>
    <row r="882" spans="1:18" ht="18">
      <c r="A882" s="61" t="s">
        <v>2862</v>
      </c>
      <c r="B882" s="15" t="s">
        <v>2862</v>
      </c>
      <c r="C882" s="16" t="s">
        <v>2863</v>
      </c>
      <c r="D882" s="76" t="s">
        <v>2864</v>
      </c>
      <c r="E882" s="18" t="s">
        <v>304</v>
      </c>
      <c r="F882" s="19" t="s">
        <v>27</v>
      </c>
      <c r="G882" s="18" t="b">
        <v>0</v>
      </c>
      <c r="H882" s="18" t="b">
        <v>0</v>
      </c>
      <c r="I882" s="18" t="b">
        <v>0</v>
      </c>
      <c r="J882" s="18" t="b">
        <v>0</v>
      </c>
      <c r="K882" s="18" t="b">
        <v>0</v>
      </c>
      <c r="L882" s="18" t="b">
        <v>1</v>
      </c>
      <c r="M882" s="18" t="b">
        <v>0</v>
      </c>
      <c r="N882" s="18" t="b">
        <v>0</v>
      </c>
      <c r="O882" s="18" t="b">
        <v>0</v>
      </c>
      <c r="P882" s="18" t="b">
        <v>0</v>
      </c>
      <c r="Q882" s="18" t="b">
        <v>0</v>
      </c>
      <c r="R882" s="18" t="b">
        <v>0</v>
      </c>
    </row>
    <row r="883" spans="1:18" ht="18">
      <c r="A883" s="61" t="s">
        <v>2865</v>
      </c>
      <c r="B883" s="15" t="s">
        <v>2866</v>
      </c>
      <c r="C883" s="16" t="s">
        <v>2867</v>
      </c>
      <c r="D883" s="76" t="s">
        <v>2868</v>
      </c>
      <c r="E883" s="16" t="s">
        <v>192</v>
      </c>
      <c r="F883" s="19" t="s">
        <v>27</v>
      </c>
      <c r="G883" s="18" t="b">
        <v>0</v>
      </c>
      <c r="H883" s="18" t="b">
        <v>0</v>
      </c>
      <c r="I883" s="18" t="b">
        <v>0</v>
      </c>
      <c r="J883" s="18" t="b">
        <v>0</v>
      </c>
      <c r="K883" s="18" t="b">
        <v>0</v>
      </c>
      <c r="L883" s="18" t="b">
        <v>0</v>
      </c>
      <c r="M883" s="18" t="b">
        <v>0</v>
      </c>
      <c r="N883" s="18" t="b">
        <v>0</v>
      </c>
      <c r="O883" s="18" t="b">
        <v>0</v>
      </c>
      <c r="P883" s="18" t="b">
        <v>0</v>
      </c>
      <c r="Q883" s="18" t="b">
        <v>1</v>
      </c>
      <c r="R883" s="18" t="b">
        <v>0</v>
      </c>
    </row>
    <row r="884" spans="1:18" ht="18">
      <c r="A884" s="111" t="s">
        <v>2869</v>
      </c>
      <c r="B884" s="15" t="s">
        <v>2869</v>
      </c>
      <c r="C884" s="16" t="s">
        <v>2870</v>
      </c>
      <c r="D884" s="17" t="s">
        <v>2871</v>
      </c>
      <c r="E884" s="16" t="s">
        <v>178</v>
      </c>
      <c r="F884" s="19" t="s">
        <v>27</v>
      </c>
      <c r="G884" s="18" t="b">
        <v>0</v>
      </c>
      <c r="H884" s="18" t="b">
        <v>0</v>
      </c>
      <c r="I884" s="18" t="b">
        <v>0</v>
      </c>
      <c r="J884" s="18" t="b">
        <v>0</v>
      </c>
      <c r="K884" s="18" t="b">
        <v>0</v>
      </c>
      <c r="L884" s="18" t="b">
        <v>0</v>
      </c>
      <c r="M884" s="18" t="b">
        <v>0</v>
      </c>
      <c r="N884" s="18" t="b">
        <v>1</v>
      </c>
      <c r="O884" s="18" t="b">
        <v>0</v>
      </c>
      <c r="P884" s="18" t="b">
        <v>0</v>
      </c>
      <c r="Q884" s="18" t="b">
        <v>0</v>
      </c>
      <c r="R884" s="18" t="b">
        <v>0</v>
      </c>
    </row>
    <row r="885" spans="1:18" ht="18">
      <c r="A885" s="111" t="s">
        <v>2872</v>
      </c>
      <c r="B885" s="15" t="s">
        <v>2872</v>
      </c>
      <c r="C885" s="16" t="s">
        <v>2873</v>
      </c>
      <c r="D885" s="16" t="s">
        <v>2874</v>
      </c>
      <c r="E885" s="16" t="s">
        <v>26</v>
      </c>
      <c r="F885" s="19" t="s">
        <v>27</v>
      </c>
      <c r="G885" s="18" t="b">
        <v>0</v>
      </c>
      <c r="H885" s="18" t="b">
        <v>0</v>
      </c>
      <c r="I885" s="18" t="b">
        <v>1</v>
      </c>
      <c r="J885" s="18" t="b">
        <v>0</v>
      </c>
      <c r="K885" s="18" t="b">
        <v>0</v>
      </c>
      <c r="L885" s="18" t="b">
        <v>0</v>
      </c>
      <c r="M885" s="18" t="b">
        <v>0</v>
      </c>
      <c r="N885" s="18" t="b">
        <v>0</v>
      </c>
      <c r="O885" s="18" t="b">
        <v>0</v>
      </c>
      <c r="P885" s="18" t="b">
        <v>0</v>
      </c>
      <c r="Q885" s="18" t="b">
        <v>0</v>
      </c>
      <c r="R885" s="18" t="b">
        <v>0</v>
      </c>
    </row>
    <row r="886" spans="1:18" ht="18">
      <c r="A886" s="111" t="s">
        <v>2875</v>
      </c>
      <c r="B886" s="15" t="s">
        <v>2875</v>
      </c>
      <c r="C886" s="16" t="s">
        <v>2876</v>
      </c>
      <c r="D886" s="16" t="s">
        <v>2877</v>
      </c>
      <c r="E886" s="18" t="s">
        <v>304</v>
      </c>
      <c r="F886" s="19" t="s">
        <v>27</v>
      </c>
      <c r="G886" s="18" t="b">
        <v>0</v>
      </c>
      <c r="H886" s="18" t="b">
        <v>0</v>
      </c>
      <c r="I886" s="18" t="b">
        <v>0</v>
      </c>
      <c r="J886" s="18" t="b">
        <v>0</v>
      </c>
      <c r="K886" s="18" t="b">
        <v>0</v>
      </c>
      <c r="L886" s="18" t="b">
        <v>1</v>
      </c>
      <c r="M886" s="18" t="b">
        <v>0</v>
      </c>
      <c r="N886" s="18" t="b">
        <v>0</v>
      </c>
      <c r="O886" s="18" t="b">
        <v>0</v>
      </c>
      <c r="P886" s="18" t="b">
        <v>0</v>
      </c>
      <c r="Q886" s="18" t="b">
        <v>0</v>
      </c>
      <c r="R886" s="18" t="b">
        <v>0</v>
      </c>
    </row>
    <row r="887" spans="1:18" ht="18">
      <c r="A887" s="111" t="s">
        <v>2878</v>
      </c>
      <c r="B887" s="15" t="s">
        <v>2878</v>
      </c>
      <c r="C887" s="16" t="s">
        <v>2879</v>
      </c>
      <c r="D887" s="17" t="s">
        <v>2880</v>
      </c>
      <c r="E887" s="16" t="s">
        <v>178</v>
      </c>
      <c r="F887" s="19" t="s">
        <v>27</v>
      </c>
      <c r="G887" s="18" t="b">
        <v>0</v>
      </c>
      <c r="H887" s="18" t="b">
        <v>0</v>
      </c>
      <c r="I887" s="18" t="b">
        <v>0</v>
      </c>
      <c r="J887" s="18" t="b">
        <v>0</v>
      </c>
      <c r="K887" s="18" t="b">
        <v>0</v>
      </c>
      <c r="L887" s="18" t="b">
        <v>0</v>
      </c>
      <c r="M887" s="18" t="b">
        <v>0</v>
      </c>
      <c r="N887" s="18" t="b">
        <v>1</v>
      </c>
      <c r="O887" s="18" t="b">
        <v>0</v>
      </c>
      <c r="P887" s="18" t="b">
        <v>0</v>
      </c>
      <c r="Q887" s="18" t="b">
        <v>0</v>
      </c>
      <c r="R887" s="18" t="b">
        <v>0</v>
      </c>
    </row>
    <row r="888" spans="1:18" ht="18" hidden="1">
      <c r="A888" s="111" t="s">
        <v>2881</v>
      </c>
      <c r="B888" s="15" t="s">
        <v>2881</v>
      </c>
      <c r="C888" s="16" t="s">
        <v>2882</v>
      </c>
      <c r="D888" s="16" t="s">
        <v>2883</v>
      </c>
      <c r="E888" s="16" t="s">
        <v>26</v>
      </c>
      <c r="F888" s="19" t="s">
        <v>34</v>
      </c>
      <c r="G888" s="18" t="b">
        <v>0</v>
      </c>
      <c r="H888" s="18" t="b">
        <v>0</v>
      </c>
      <c r="I888" s="18" t="b">
        <v>1</v>
      </c>
      <c r="J888" s="18" t="b">
        <v>0</v>
      </c>
      <c r="K888" s="18" t="b">
        <v>0</v>
      </c>
      <c r="L888" s="18" t="b">
        <v>0</v>
      </c>
      <c r="M888" s="18" t="b">
        <v>0</v>
      </c>
      <c r="N888" s="18" t="b">
        <v>0</v>
      </c>
      <c r="O888" s="18" t="b">
        <v>0</v>
      </c>
      <c r="P888" s="18" t="b">
        <v>0</v>
      </c>
      <c r="Q888" s="18" t="b">
        <v>0</v>
      </c>
      <c r="R888" s="18" t="b">
        <v>0</v>
      </c>
    </row>
    <row r="889" spans="1:18" ht="18">
      <c r="A889" s="111" t="s">
        <v>2884</v>
      </c>
      <c r="B889" s="15" t="s">
        <v>2884</v>
      </c>
      <c r="C889" s="16" t="s">
        <v>2885</v>
      </c>
      <c r="D889" s="16" t="s">
        <v>2886</v>
      </c>
      <c r="E889" s="16" t="s">
        <v>990</v>
      </c>
      <c r="F889" s="19" t="s">
        <v>27</v>
      </c>
      <c r="G889" s="18" t="b">
        <v>0</v>
      </c>
      <c r="H889" s="18" t="b">
        <v>0</v>
      </c>
      <c r="I889" s="18" t="b">
        <v>0</v>
      </c>
      <c r="J889" s="18" t="b">
        <v>0</v>
      </c>
      <c r="K889" s="18" t="b">
        <v>0</v>
      </c>
      <c r="L889" s="18" t="b">
        <v>0</v>
      </c>
      <c r="M889" s="18" t="b">
        <v>0</v>
      </c>
      <c r="N889" s="18" t="b">
        <v>0</v>
      </c>
      <c r="O889" s="18" t="b">
        <v>0</v>
      </c>
      <c r="P889" s="18" t="b">
        <v>0</v>
      </c>
      <c r="Q889" s="18" t="b">
        <v>0</v>
      </c>
      <c r="R889" s="18" t="b">
        <v>1</v>
      </c>
    </row>
    <row r="890" spans="1:18" ht="18">
      <c r="A890" s="111" t="s">
        <v>2887</v>
      </c>
      <c r="B890" s="15" t="s">
        <v>2887</v>
      </c>
      <c r="C890" s="16" t="s">
        <v>2888</v>
      </c>
      <c r="D890" s="16" t="s">
        <v>2889</v>
      </c>
      <c r="E890" s="16" t="s">
        <v>60</v>
      </c>
      <c r="F890" s="19" t="s">
        <v>27</v>
      </c>
      <c r="G890" s="18" t="b">
        <v>0</v>
      </c>
      <c r="H890" s="18" t="b">
        <v>0</v>
      </c>
      <c r="I890" s="18" t="b">
        <v>0</v>
      </c>
      <c r="J890" s="18" t="b">
        <v>0</v>
      </c>
      <c r="K890" s="18" t="b">
        <v>0</v>
      </c>
      <c r="L890" s="18" t="b">
        <v>0</v>
      </c>
      <c r="M890" s="18" t="b">
        <v>1</v>
      </c>
      <c r="N890" s="18" t="b">
        <v>0</v>
      </c>
      <c r="O890" s="18" t="b">
        <v>0</v>
      </c>
      <c r="P890" s="18" t="b">
        <v>0</v>
      </c>
      <c r="Q890" s="18" t="b">
        <v>0</v>
      </c>
      <c r="R890" s="18" t="b">
        <v>0</v>
      </c>
    </row>
    <row r="891" spans="1:18" ht="18">
      <c r="A891" s="111" t="s">
        <v>2890</v>
      </c>
      <c r="B891" s="15" t="s">
        <v>2890</v>
      </c>
      <c r="C891" s="16" t="s">
        <v>2891</v>
      </c>
      <c r="D891" s="16" t="s">
        <v>2892</v>
      </c>
      <c r="E891" s="16" t="s">
        <v>60</v>
      </c>
      <c r="F891" s="19" t="s">
        <v>27</v>
      </c>
      <c r="G891" s="18" t="b">
        <v>0</v>
      </c>
      <c r="H891" s="18" t="b">
        <v>0</v>
      </c>
      <c r="I891" s="18" t="b">
        <v>0</v>
      </c>
      <c r="J891" s="18" t="b">
        <v>0</v>
      </c>
      <c r="K891" s="18" t="b">
        <v>0</v>
      </c>
      <c r="L891" s="18" t="b">
        <v>0</v>
      </c>
      <c r="M891" s="18" t="b">
        <v>1</v>
      </c>
      <c r="N891" s="18" t="b">
        <v>0</v>
      </c>
      <c r="O891" s="18" t="b">
        <v>0</v>
      </c>
      <c r="P891" s="18" t="b">
        <v>0</v>
      </c>
      <c r="Q891" s="18" t="b">
        <v>0</v>
      </c>
      <c r="R891" s="18" t="b">
        <v>0</v>
      </c>
    </row>
    <row r="892" spans="1:18" ht="18" hidden="1">
      <c r="A892" s="61" t="s">
        <v>2893</v>
      </c>
      <c r="B892" s="15" t="s">
        <v>2893</v>
      </c>
      <c r="C892" s="16" t="s">
        <v>2894</v>
      </c>
      <c r="D892" s="16" t="s">
        <v>2895</v>
      </c>
      <c r="E892" s="16" t="s">
        <v>26</v>
      </c>
      <c r="F892" s="19" t="s">
        <v>34</v>
      </c>
      <c r="G892" s="18" t="b">
        <v>0</v>
      </c>
      <c r="H892" s="18" t="b">
        <v>0</v>
      </c>
      <c r="I892" s="18" t="b">
        <v>1</v>
      </c>
      <c r="J892" s="18" t="b">
        <v>0</v>
      </c>
      <c r="K892" s="18" t="b">
        <v>0</v>
      </c>
      <c r="L892" s="18" t="b">
        <v>0</v>
      </c>
      <c r="M892" s="18" t="b">
        <v>0</v>
      </c>
      <c r="N892" s="18" t="b">
        <v>0</v>
      </c>
      <c r="O892" s="18" t="b">
        <v>0</v>
      </c>
      <c r="P892" s="18" t="b">
        <v>0</v>
      </c>
      <c r="Q892" s="18" t="b">
        <v>0</v>
      </c>
      <c r="R892" s="18" t="b">
        <v>0</v>
      </c>
    </row>
    <row r="893" spans="1:18" ht="15">
      <c r="A893" s="16" t="s">
        <v>2896</v>
      </c>
      <c r="B893" s="15" t="s">
        <v>2897</v>
      </c>
      <c r="C893" s="16" t="s">
        <v>2898</v>
      </c>
      <c r="D893" s="16" t="s">
        <v>2899</v>
      </c>
      <c r="E893" s="16" t="s">
        <v>60</v>
      </c>
      <c r="F893" s="19" t="s">
        <v>27</v>
      </c>
      <c r="G893" s="18" t="b">
        <v>0</v>
      </c>
      <c r="H893" s="18" t="b">
        <v>0</v>
      </c>
      <c r="I893" s="18" t="b">
        <v>0</v>
      </c>
      <c r="J893" s="18" t="b">
        <v>0</v>
      </c>
      <c r="K893" s="18" t="b">
        <v>0</v>
      </c>
      <c r="L893" s="18" t="b">
        <v>0</v>
      </c>
      <c r="M893" s="18" t="b">
        <v>1</v>
      </c>
      <c r="N893" s="18" t="b">
        <v>0</v>
      </c>
      <c r="O893" s="18" t="b">
        <v>0</v>
      </c>
      <c r="P893" s="18" t="b">
        <v>0</v>
      </c>
      <c r="Q893" s="18" t="b">
        <v>0</v>
      </c>
      <c r="R893" s="18" t="b">
        <v>0</v>
      </c>
    </row>
    <row r="894" spans="1:18" ht="18">
      <c r="A894" s="61" t="s">
        <v>2900</v>
      </c>
      <c r="B894" s="15" t="s">
        <v>2900</v>
      </c>
      <c r="C894" s="31" t="s">
        <v>2901</v>
      </c>
      <c r="D894" s="90" t="s">
        <v>2902</v>
      </c>
      <c r="E894" s="16" t="s">
        <v>154</v>
      </c>
      <c r="F894" s="19" t="s">
        <v>27</v>
      </c>
      <c r="G894" s="18" t="b">
        <v>0</v>
      </c>
      <c r="H894" s="18" t="b">
        <v>0</v>
      </c>
      <c r="I894" s="18" t="b">
        <v>0</v>
      </c>
      <c r="J894" s="18" t="b">
        <v>0</v>
      </c>
      <c r="K894" s="18" t="b">
        <v>1</v>
      </c>
      <c r="L894" s="18" t="b">
        <v>0</v>
      </c>
      <c r="M894" s="18" t="b">
        <v>0</v>
      </c>
      <c r="N894" s="18" t="b">
        <v>0</v>
      </c>
      <c r="O894" s="18" t="b">
        <v>0</v>
      </c>
      <c r="P894" s="18" t="b">
        <v>0</v>
      </c>
      <c r="Q894" s="18" t="b">
        <v>0</v>
      </c>
      <c r="R894" s="18" t="b">
        <v>0</v>
      </c>
    </row>
    <row r="895" spans="1:18" ht="15">
      <c r="A895" s="16" t="s">
        <v>2903</v>
      </c>
      <c r="B895" s="15" t="s">
        <v>2903</v>
      </c>
      <c r="C895" s="16" t="s">
        <v>2904</v>
      </c>
      <c r="D895" s="16" t="s">
        <v>2905</v>
      </c>
      <c r="E895" s="16" t="s">
        <v>990</v>
      </c>
      <c r="F895" s="19" t="s">
        <v>27</v>
      </c>
      <c r="G895" s="18" t="b">
        <v>0</v>
      </c>
      <c r="H895" s="18" t="b">
        <v>0</v>
      </c>
      <c r="I895" s="18" t="b">
        <v>0</v>
      </c>
      <c r="J895" s="18" t="b">
        <v>0</v>
      </c>
      <c r="K895" s="18" t="b">
        <v>0</v>
      </c>
      <c r="L895" s="18" t="b">
        <v>0</v>
      </c>
      <c r="M895" s="18" t="b">
        <v>0</v>
      </c>
      <c r="N895" s="18" t="b">
        <v>0</v>
      </c>
      <c r="O895" s="18" t="b">
        <v>0</v>
      </c>
      <c r="P895" s="18" t="b">
        <v>0</v>
      </c>
      <c r="Q895" s="18" t="b">
        <v>0</v>
      </c>
      <c r="R895" s="18" t="b">
        <v>1</v>
      </c>
    </row>
    <row r="896" spans="1:18" ht="15">
      <c r="A896" s="16" t="s">
        <v>2906</v>
      </c>
      <c r="B896" s="15" t="s">
        <v>2906</v>
      </c>
      <c r="C896" s="16" t="s">
        <v>2907</v>
      </c>
      <c r="D896" s="16" t="s">
        <v>2908</v>
      </c>
      <c r="E896" s="16" t="s">
        <v>154</v>
      </c>
      <c r="F896" s="19" t="s">
        <v>27</v>
      </c>
      <c r="G896" s="18" t="b">
        <v>0</v>
      </c>
      <c r="H896" s="18" t="b">
        <v>0</v>
      </c>
      <c r="I896" s="18" t="b">
        <v>0</v>
      </c>
      <c r="J896" s="18" t="b">
        <v>0</v>
      </c>
      <c r="K896" s="18" t="b">
        <v>1</v>
      </c>
      <c r="L896" s="18" t="b">
        <v>0</v>
      </c>
      <c r="M896" s="18" t="b">
        <v>0</v>
      </c>
      <c r="N896" s="18" t="b">
        <v>0</v>
      </c>
      <c r="O896" s="18" t="b">
        <v>0</v>
      </c>
      <c r="P896" s="18" t="b">
        <v>0</v>
      </c>
      <c r="Q896" s="18" t="b">
        <v>0</v>
      </c>
      <c r="R896" s="18" t="b">
        <v>0</v>
      </c>
    </row>
    <row r="897" spans="1:18" ht="15">
      <c r="A897" s="16" t="s">
        <v>2909</v>
      </c>
      <c r="B897" s="15" t="s">
        <v>2909</v>
      </c>
      <c r="C897" s="16" t="s">
        <v>2910</v>
      </c>
      <c r="D897" s="16" t="s">
        <v>2911</v>
      </c>
      <c r="E897" s="16" t="s">
        <v>43</v>
      </c>
      <c r="F897" s="19" t="s">
        <v>27</v>
      </c>
      <c r="G897" s="18" t="b">
        <v>1</v>
      </c>
      <c r="H897" s="18" t="b">
        <v>0</v>
      </c>
      <c r="I897" s="18" t="b">
        <v>0</v>
      </c>
      <c r="J897" s="18" t="b">
        <v>0</v>
      </c>
      <c r="K897" s="18" t="b">
        <v>0</v>
      </c>
      <c r="L897" s="18" t="b">
        <v>0</v>
      </c>
      <c r="M897" s="18" t="b">
        <v>0</v>
      </c>
      <c r="N897" s="18" t="b">
        <v>0</v>
      </c>
      <c r="O897" s="18" t="b">
        <v>0</v>
      </c>
      <c r="P897" s="18" t="b">
        <v>0</v>
      </c>
      <c r="Q897" s="18" t="b">
        <v>0</v>
      </c>
      <c r="R897" s="18" t="b">
        <v>0</v>
      </c>
    </row>
    <row r="898" spans="1:18" ht="15">
      <c r="A898" s="16" t="s">
        <v>2912</v>
      </c>
      <c r="B898" s="15" t="s">
        <v>2912</v>
      </c>
      <c r="C898" s="16" t="s">
        <v>2913</v>
      </c>
      <c r="D898" s="16" t="s">
        <v>2914</v>
      </c>
      <c r="E898" s="16" t="s">
        <v>990</v>
      </c>
      <c r="F898" s="19" t="s">
        <v>27</v>
      </c>
      <c r="G898" s="18" t="b">
        <v>0</v>
      </c>
      <c r="H898" s="18" t="b">
        <v>0</v>
      </c>
      <c r="I898" s="18" t="b">
        <v>0</v>
      </c>
      <c r="J898" s="18" t="b">
        <v>0</v>
      </c>
      <c r="K898" s="18" t="b">
        <v>0</v>
      </c>
      <c r="L898" s="18" t="b">
        <v>0</v>
      </c>
      <c r="M898" s="18" t="b">
        <v>0</v>
      </c>
      <c r="N898" s="18" t="b">
        <v>0</v>
      </c>
      <c r="O898" s="18" t="b">
        <v>0</v>
      </c>
      <c r="P898" s="18" t="b">
        <v>0</v>
      </c>
      <c r="Q898" s="18" t="b">
        <v>0</v>
      </c>
      <c r="R898" s="18" t="b">
        <v>1</v>
      </c>
    </row>
    <row r="899" spans="1:18" ht="15">
      <c r="A899" s="16" t="s">
        <v>2915</v>
      </c>
      <c r="B899" s="15" t="s">
        <v>2916</v>
      </c>
      <c r="C899" s="16" t="s">
        <v>2917</v>
      </c>
      <c r="D899" s="16" t="s">
        <v>2918</v>
      </c>
      <c r="E899" s="16" t="s">
        <v>990</v>
      </c>
      <c r="F899" s="19" t="s">
        <v>27</v>
      </c>
      <c r="G899" s="18" t="b">
        <v>0</v>
      </c>
      <c r="H899" s="18" t="b">
        <v>0</v>
      </c>
      <c r="I899" s="18" t="b">
        <v>0</v>
      </c>
      <c r="J899" s="18" t="b">
        <v>0</v>
      </c>
      <c r="K899" s="18" t="b">
        <v>0</v>
      </c>
      <c r="L899" s="18" t="b">
        <v>0</v>
      </c>
      <c r="M899" s="18" t="b">
        <v>0</v>
      </c>
      <c r="N899" s="18" t="b">
        <v>0</v>
      </c>
      <c r="O899" s="18" t="b">
        <v>0</v>
      </c>
      <c r="P899" s="18" t="b">
        <v>0</v>
      </c>
      <c r="Q899" s="18" t="b">
        <v>0</v>
      </c>
      <c r="R899" s="18" t="b">
        <v>1</v>
      </c>
    </row>
    <row r="900" spans="1:18" ht="18">
      <c r="A900" s="111" t="s">
        <v>2919</v>
      </c>
      <c r="B900" s="15" t="s">
        <v>2919</v>
      </c>
      <c r="C900" s="16" t="s">
        <v>2920</v>
      </c>
      <c r="D900" s="16" t="s">
        <v>2921</v>
      </c>
      <c r="E900" s="16" t="s">
        <v>26</v>
      </c>
      <c r="F900" s="19" t="s">
        <v>27</v>
      </c>
      <c r="G900" s="18" t="b">
        <v>0</v>
      </c>
      <c r="H900" s="18" t="b">
        <v>0</v>
      </c>
      <c r="I900" s="18" t="b">
        <v>1</v>
      </c>
      <c r="J900" s="18" t="b">
        <v>0</v>
      </c>
      <c r="K900" s="18" t="b">
        <v>0</v>
      </c>
      <c r="L900" s="18" t="b">
        <v>0</v>
      </c>
      <c r="M900" s="18" t="b">
        <v>0</v>
      </c>
      <c r="N900" s="18" t="b">
        <v>0</v>
      </c>
      <c r="O900" s="18" t="b">
        <v>0</v>
      </c>
      <c r="P900" s="18" t="b">
        <v>0</v>
      </c>
      <c r="Q900" s="18" t="b">
        <v>0</v>
      </c>
      <c r="R900" s="18" t="b">
        <v>0</v>
      </c>
    </row>
    <row r="901" spans="1:18" ht="15">
      <c r="A901" s="16" t="s">
        <v>2922</v>
      </c>
      <c r="B901" s="15" t="s">
        <v>2922</v>
      </c>
      <c r="C901" s="16" t="s">
        <v>2923</v>
      </c>
      <c r="D901" s="16" t="s">
        <v>2924</v>
      </c>
      <c r="E901" s="16" t="s">
        <v>990</v>
      </c>
      <c r="F901" s="19" t="s">
        <v>27</v>
      </c>
      <c r="G901" s="18" t="b">
        <v>0</v>
      </c>
      <c r="H901" s="18" t="b">
        <v>0</v>
      </c>
      <c r="I901" s="18" t="b">
        <v>0</v>
      </c>
      <c r="J901" s="18" t="b">
        <v>0</v>
      </c>
      <c r="K901" s="18" t="b">
        <v>0</v>
      </c>
      <c r="L901" s="18" t="b">
        <v>0</v>
      </c>
      <c r="M901" s="18" t="b">
        <v>0</v>
      </c>
      <c r="N901" s="18" t="b">
        <v>0</v>
      </c>
      <c r="O901" s="18" t="b">
        <v>0</v>
      </c>
      <c r="P901" s="18" t="b">
        <v>0</v>
      </c>
      <c r="Q901" s="18" t="b">
        <v>0</v>
      </c>
      <c r="R901" s="18" t="b">
        <v>1</v>
      </c>
    </row>
    <row r="902" spans="1:18" ht="15">
      <c r="A902" s="16" t="s">
        <v>2925</v>
      </c>
      <c r="B902" s="15" t="s">
        <v>2925</v>
      </c>
      <c r="C902" s="16" t="s">
        <v>2926</v>
      </c>
      <c r="D902" s="16" t="s">
        <v>2927</v>
      </c>
      <c r="E902" s="16" t="s">
        <v>154</v>
      </c>
      <c r="F902" s="19" t="s">
        <v>27</v>
      </c>
      <c r="G902" s="18" t="b">
        <v>0</v>
      </c>
      <c r="H902" s="18" t="b">
        <v>0</v>
      </c>
      <c r="I902" s="18" t="b">
        <v>0</v>
      </c>
      <c r="J902" s="18" t="b">
        <v>0</v>
      </c>
      <c r="K902" s="18" t="b">
        <v>1</v>
      </c>
      <c r="L902" s="18" t="b">
        <v>0</v>
      </c>
      <c r="M902" s="18" t="b">
        <v>0</v>
      </c>
      <c r="N902" s="18" t="b">
        <v>0</v>
      </c>
      <c r="O902" s="18" t="b">
        <v>0</v>
      </c>
      <c r="P902" s="18" t="b">
        <v>0</v>
      </c>
      <c r="Q902" s="18" t="b">
        <v>0</v>
      </c>
      <c r="R902" s="18" t="b">
        <v>0</v>
      </c>
    </row>
    <row r="903" spans="1:18" ht="15">
      <c r="A903" s="16" t="s">
        <v>2928</v>
      </c>
      <c r="B903" s="15" t="s">
        <v>2928</v>
      </c>
      <c r="C903" s="16" t="s">
        <v>2929</v>
      </c>
      <c r="D903" s="16" t="s">
        <v>2930</v>
      </c>
      <c r="E903" s="16" t="s">
        <v>990</v>
      </c>
      <c r="F903" s="19" t="s">
        <v>27</v>
      </c>
      <c r="G903" s="18" t="b">
        <v>0</v>
      </c>
      <c r="H903" s="18" t="b">
        <v>0</v>
      </c>
      <c r="I903" s="18" t="b">
        <v>0</v>
      </c>
      <c r="J903" s="18" t="b">
        <v>0</v>
      </c>
      <c r="K903" s="18" t="b">
        <v>0</v>
      </c>
      <c r="L903" s="18" t="b">
        <v>0</v>
      </c>
      <c r="M903" s="18" t="b">
        <v>0</v>
      </c>
      <c r="N903" s="18" t="b">
        <v>0</v>
      </c>
      <c r="O903" s="18" t="b">
        <v>0</v>
      </c>
      <c r="P903" s="18" t="b">
        <v>0</v>
      </c>
      <c r="Q903" s="18" t="b">
        <v>0</v>
      </c>
      <c r="R903" s="18" t="b">
        <v>1</v>
      </c>
    </row>
    <row r="904" spans="1:18" ht="15">
      <c r="A904" s="16" t="s">
        <v>2931</v>
      </c>
      <c r="B904" s="15" t="s">
        <v>2931</v>
      </c>
      <c r="C904" s="16" t="s">
        <v>2932</v>
      </c>
      <c r="D904" s="17" t="s">
        <v>2933</v>
      </c>
      <c r="E904" s="16" t="s">
        <v>178</v>
      </c>
      <c r="F904" s="19" t="s">
        <v>27</v>
      </c>
      <c r="G904" s="18" t="b">
        <v>0</v>
      </c>
      <c r="H904" s="18" t="b">
        <v>0</v>
      </c>
      <c r="I904" s="18" t="b">
        <v>0</v>
      </c>
      <c r="J904" s="18" t="b">
        <v>0</v>
      </c>
      <c r="K904" s="18" t="b">
        <v>0</v>
      </c>
      <c r="L904" s="18" t="b">
        <v>0</v>
      </c>
      <c r="M904" s="18" t="b">
        <v>0</v>
      </c>
      <c r="N904" s="18" t="b">
        <v>1</v>
      </c>
      <c r="O904" s="18" t="b">
        <v>0</v>
      </c>
      <c r="P904" s="18" t="b">
        <v>0</v>
      </c>
      <c r="Q904" s="18" t="b">
        <v>0</v>
      </c>
      <c r="R904" s="18" t="b">
        <v>0</v>
      </c>
    </row>
    <row r="905" spans="1:18" ht="18">
      <c r="A905" s="61" t="s">
        <v>2934</v>
      </c>
      <c r="B905" s="15" t="s">
        <v>2934</v>
      </c>
      <c r="C905" s="16" t="s">
        <v>2935</v>
      </c>
      <c r="D905" s="16" t="s">
        <v>2936</v>
      </c>
      <c r="E905" s="16" t="s">
        <v>192</v>
      </c>
      <c r="F905" s="19" t="s">
        <v>27</v>
      </c>
      <c r="G905" s="18" t="b">
        <v>0</v>
      </c>
      <c r="H905" s="18" t="b">
        <v>0</v>
      </c>
      <c r="I905" s="18" t="b">
        <v>0</v>
      </c>
      <c r="J905" s="18" t="b">
        <v>0</v>
      </c>
      <c r="K905" s="18" t="b">
        <v>0</v>
      </c>
      <c r="L905" s="18" t="b">
        <v>0</v>
      </c>
      <c r="M905" s="18" t="b">
        <v>0</v>
      </c>
      <c r="N905" s="18" t="b">
        <v>0</v>
      </c>
      <c r="O905" s="18" t="b">
        <v>0</v>
      </c>
      <c r="P905" s="18" t="b">
        <v>0</v>
      </c>
      <c r="Q905" s="18" t="b">
        <v>0</v>
      </c>
      <c r="R905" s="18" t="b">
        <v>0</v>
      </c>
    </row>
    <row r="906" spans="1:18" ht="18">
      <c r="A906" s="61" t="s">
        <v>2937</v>
      </c>
      <c r="B906" s="15" t="s">
        <v>2937</v>
      </c>
      <c r="C906" s="16" t="s">
        <v>2938</v>
      </c>
      <c r="D906" s="16" t="s">
        <v>2939</v>
      </c>
      <c r="E906" s="16" t="s">
        <v>60</v>
      </c>
      <c r="F906" s="19" t="s">
        <v>27</v>
      </c>
      <c r="G906" s="18" t="b">
        <v>0</v>
      </c>
      <c r="H906" s="18" t="b">
        <v>0</v>
      </c>
      <c r="I906" s="18" t="b">
        <v>0</v>
      </c>
      <c r="J906" s="18" t="b">
        <v>0</v>
      </c>
      <c r="K906" s="18" t="b">
        <v>0</v>
      </c>
      <c r="L906" s="18" t="b">
        <v>0</v>
      </c>
      <c r="M906" s="18" t="b">
        <v>1</v>
      </c>
      <c r="N906" s="18" t="b">
        <v>1</v>
      </c>
      <c r="O906" s="18" t="b">
        <v>0</v>
      </c>
      <c r="P906" s="18" t="b">
        <v>0</v>
      </c>
      <c r="Q906" s="18" t="b">
        <v>0</v>
      </c>
      <c r="R906" s="18" t="b">
        <v>0</v>
      </c>
    </row>
    <row r="907" spans="1:18" ht="18">
      <c r="A907" s="61" t="s">
        <v>2940</v>
      </c>
      <c r="B907" s="15" t="s">
        <v>2941</v>
      </c>
      <c r="C907" s="16" t="s">
        <v>2942</v>
      </c>
      <c r="D907" s="16" t="s">
        <v>2943</v>
      </c>
      <c r="E907" s="18" t="s">
        <v>304</v>
      </c>
      <c r="F907" s="19" t="s">
        <v>27</v>
      </c>
      <c r="G907" s="18" t="b">
        <v>0</v>
      </c>
      <c r="H907" s="18" t="b">
        <v>0</v>
      </c>
      <c r="I907" s="18" t="b">
        <v>0</v>
      </c>
      <c r="J907" s="18" t="b">
        <v>0</v>
      </c>
      <c r="K907" s="18" t="b">
        <v>0</v>
      </c>
      <c r="L907" s="18" t="b">
        <v>1</v>
      </c>
      <c r="M907" s="18" t="b">
        <v>0</v>
      </c>
      <c r="N907" s="18" t="b">
        <v>0</v>
      </c>
      <c r="O907" s="18" t="b">
        <v>0</v>
      </c>
      <c r="P907" s="18" t="b">
        <v>0</v>
      </c>
      <c r="Q907" s="18" t="b">
        <v>0</v>
      </c>
      <c r="R907" s="18" t="b">
        <v>0</v>
      </c>
    </row>
    <row r="908" spans="1:18" ht="15" hidden="1">
      <c r="A908" s="16" t="s">
        <v>2944</v>
      </c>
      <c r="B908" s="15" t="s">
        <v>2944</v>
      </c>
      <c r="C908" s="16" t="s">
        <v>2945</v>
      </c>
      <c r="D908" s="16" t="s">
        <v>2946</v>
      </c>
      <c r="E908" s="16" t="s">
        <v>192</v>
      </c>
      <c r="F908" s="19" t="s">
        <v>34</v>
      </c>
      <c r="G908" s="18" t="b">
        <v>0</v>
      </c>
      <c r="H908" s="18" t="b">
        <v>0</v>
      </c>
      <c r="I908" s="18" t="b">
        <v>0</v>
      </c>
      <c r="J908" s="18" t="b">
        <v>0</v>
      </c>
      <c r="K908" s="18" t="b">
        <v>0</v>
      </c>
      <c r="L908" s="18" t="b">
        <v>0</v>
      </c>
      <c r="M908" s="18" t="b">
        <v>0</v>
      </c>
      <c r="N908" s="18" t="b">
        <v>0</v>
      </c>
      <c r="O908" s="18" t="b">
        <v>0</v>
      </c>
      <c r="P908" s="18" t="b">
        <v>0</v>
      </c>
      <c r="Q908" s="18" t="b">
        <v>0</v>
      </c>
      <c r="R908" s="18" t="b">
        <v>0</v>
      </c>
    </row>
    <row r="909" spans="1:18" ht="18">
      <c r="A909" s="61" t="s">
        <v>2947</v>
      </c>
      <c r="B909" s="15" t="s">
        <v>2947</v>
      </c>
      <c r="C909" s="31" t="s">
        <v>2948</v>
      </c>
      <c r="D909" s="90" t="s">
        <v>2949</v>
      </c>
      <c r="E909" s="16" t="s">
        <v>154</v>
      </c>
      <c r="F909" s="19" t="s">
        <v>27</v>
      </c>
      <c r="G909" s="18" t="b">
        <v>0</v>
      </c>
      <c r="H909" s="18" t="b">
        <v>0</v>
      </c>
      <c r="I909" s="18" t="b">
        <v>0</v>
      </c>
      <c r="J909" s="18" t="b">
        <v>0</v>
      </c>
      <c r="K909" s="18" t="b">
        <v>1</v>
      </c>
      <c r="L909" s="18" t="b">
        <v>0</v>
      </c>
      <c r="M909" s="18" t="b">
        <v>0</v>
      </c>
      <c r="N909" s="18" t="b">
        <v>0</v>
      </c>
      <c r="O909" s="18" t="b">
        <v>0</v>
      </c>
      <c r="P909" s="18" t="b">
        <v>0</v>
      </c>
      <c r="Q909" s="18" t="b">
        <v>0</v>
      </c>
      <c r="R909" s="18" t="b">
        <v>0</v>
      </c>
    </row>
    <row r="910" spans="1:18" ht="18">
      <c r="A910" s="61" t="s">
        <v>2950</v>
      </c>
      <c r="B910" s="15" t="s">
        <v>2950</v>
      </c>
      <c r="C910" s="31" t="s">
        <v>2951</v>
      </c>
      <c r="D910" s="90" t="s">
        <v>2952</v>
      </c>
      <c r="E910" s="16" t="s">
        <v>990</v>
      </c>
      <c r="F910" s="19" t="s">
        <v>27</v>
      </c>
      <c r="G910" s="18" t="b">
        <v>0</v>
      </c>
      <c r="H910" s="18" t="b">
        <v>0</v>
      </c>
      <c r="I910" s="18" t="b">
        <v>0</v>
      </c>
      <c r="J910" s="18" t="b">
        <v>0</v>
      </c>
      <c r="K910" s="18" t="b">
        <v>0</v>
      </c>
      <c r="L910" s="18" t="b">
        <v>0</v>
      </c>
      <c r="M910" s="18" t="b">
        <v>0</v>
      </c>
      <c r="N910" s="18" t="b">
        <v>0</v>
      </c>
      <c r="O910" s="18" t="b">
        <v>0</v>
      </c>
      <c r="P910" s="18" t="b">
        <v>0</v>
      </c>
      <c r="Q910" s="18" t="b">
        <v>0</v>
      </c>
      <c r="R910" s="18" t="b">
        <v>1</v>
      </c>
    </row>
    <row r="911" spans="1:18" ht="18">
      <c r="A911" s="61" t="s">
        <v>2953</v>
      </c>
      <c r="B911" s="15" t="s">
        <v>2953</v>
      </c>
      <c r="C911" s="31" t="s">
        <v>2954</v>
      </c>
      <c r="D911" s="90" t="s">
        <v>2955</v>
      </c>
      <c r="E911" s="16" t="s">
        <v>192</v>
      </c>
      <c r="F911" s="19" t="s">
        <v>27</v>
      </c>
      <c r="G911" s="18" t="b">
        <v>0</v>
      </c>
      <c r="H911" s="18" t="b">
        <v>0</v>
      </c>
      <c r="I911" s="18" t="b">
        <v>0</v>
      </c>
      <c r="J911" s="18" t="b">
        <v>0</v>
      </c>
      <c r="K911" s="18" t="b">
        <v>0</v>
      </c>
      <c r="L911" s="18" t="b">
        <v>0</v>
      </c>
      <c r="M911" s="18" t="b">
        <v>0</v>
      </c>
      <c r="N911" s="18" t="b">
        <v>0</v>
      </c>
      <c r="O911" s="18" t="b">
        <v>0</v>
      </c>
      <c r="P911" s="18" t="b">
        <v>0</v>
      </c>
      <c r="Q911" s="18" t="b">
        <v>1</v>
      </c>
      <c r="R911" s="18" t="b">
        <v>0</v>
      </c>
    </row>
    <row r="912" spans="1:18" ht="18">
      <c r="A912" s="61" t="s">
        <v>2956</v>
      </c>
      <c r="B912" s="15" t="s">
        <v>2956</v>
      </c>
      <c r="C912" s="31" t="s">
        <v>2957</v>
      </c>
      <c r="D912" s="90" t="s">
        <v>2958</v>
      </c>
      <c r="E912" s="18" t="s">
        <v>304</v>
      </c>
      <c r="F912" s="19" t="s">
        <v>27</v>
      </c>
      <c r="G912" s="18" t="b">
        <v>0</v>
      </c>
      <c r="H912" s="18" t="b">
        <v>0</v>
      </c>
      <c r="I912" s="18" t="b">
        <v>0</v>
      </c>
      <c r="J912" s="18" t="b">
        <v>0</v>
      </c>
      <c r="K912" s="18" t="b">
        <v>0</v>
      </c>
      <c r="L912" s="18" t="b">
        <v>1</v>
      </c>
      <c r="M912" s="18" t="b">
        <v>0</v>
      </c>
      <c r="N912" s="18" t="b">
        <v>0</v>
      </c>
      <c r="O912" s="18" t="b">
        <v>0</v>
      </c>
      <c r="P912" s="18" t="b">
        <v>0</v>
      </c>
      <c r="Q912" s="18" t="b">
        <v>0</v>
      </c>
      <c r="R912" s="18" t="b">
        <v>0</v>
      </c>
    </row>
    <row r="913" spans="1:18" ht="18">
      <c r="A913" s="61" t="s">
        <v>2959</v>
      </c>
      <c r="B913" s="15"/>
      <c r="C913" s="31" t="s">
        <v>2960</v>
      </c>
      <c r="D913" s="90" t="s">
        <v>2961</v>
      </c>
      <c r="E913" s="16" t="s">
        <v>990</v>
      </c>
      <c r="F913" s="19" t="s">
        <v>27</v>
      </c>
      <c r="G913" s="18" t="b">
        <v>0</v>
      </c>
      <c r="H913" s="18" t="b">
        <v>0</v>
      </c>
      <c r="I913" s="18" t="b">
        <v>0</v>
      </c>
      <c r="J913" s="18" t="b">
        <v>0</v>
      </c>
      <c r="K913" s="18" t="b">
        <v>0</v>
      </c>
      <c r="L913" s="18" t="b">
        <v>0</v>
      </c>
      <c r="M913" s="18" t="b">
        <v>0</v>
      </c>
      <c r="N913" s="18" t="b">
        <v>0</v>
      </c>
      <c r="O913" s="18" t="b">
        <v>0</v>
      </c>
      <c r="P913" s="18" t="b">
        <v>0</v>
      </c>
      <c r="Q913" s="18" t="b">
        <v>0</v>
      </c>
      <c r="R913" s="18" t="b">
        <v>1</v>
      </c>
    </row>
    <row r="914" spans="1:18" ht="18" hidden="1">
      <c r="A914" s="61" t="s">
        <v>2962</v>
      </c>
      <c r="B914" s="15"/>
      <c r="C914" s="31" t="s">
        <v>2963</v>
      </c>
      <c r="D914" s="90" t="s">
        <v>2964</v>
      </c>
      <c r="E914" s="16" t="s">
        <v>990</v>
      </c>
      <c r="F914" s="19" t="s">
        <v>34</v>
      </c>
      <c r="G914" s="18" t="b">
        <v>0</v>
      </c>
      <c r="H914" s="18" t="b">
        <v>0</v>
      </c>
      <c r="I914" s="18" t="b">
        <v>0</v>
      </c>
      <c r="J914" s="18" t="b">
        <v>0</v>
      </c>
      <c r="K914" s="18" t="b">
        <v>0</v>
      </c>
      <c r="L914" s="18" t="b">
        <v>0</v>
      </c>
      <c r="M914" s="18" t="b">
        <v>0</v>
      </c>
      <c r="N914" s="18" t="b">
        <v>0</v>
      </c>
      <c r="O914" s="18" t="b">
        <v>0</v>
      </c>
      <c r="P914" s="18" t="b">
        <v>0</v>
      </c>
      <c r="Q914" s="18" t="b">
        <v>0</v>
      </c>
      <c r="R914" s="18" t="b">
        <v>1</v>
      </c>
    </row>
    <row r="915" spans="1:18" ht="18">
      <c r="A915" s="61" t="s">
        <v>2965</v>
      </c>
      <c r="B915" s="15" t="s">
        <v>2965</v>
      </c>
      <c r="C915" s="31" t="s">
        <v>2966</v>
      </c>
      <c r="D915" s="90" t="s">
        <v>2967</v>
      </c>
      <c r="E915" s="18" t="s">
        <v>304</v>
      </c>
      <c r="F915" s="19" t="s">
        <v>27</v>
      </c>
      <c r="G915" s="18" t="b">
        <v>0</v>
      </c>
      <c r="H915" s="18" t="b">
        <v>0</v>
      </c>
      <c r="I915" s="18" t="b">
        <v>0</v>
      </c>
      <c r="J915" s="18" t="b">
        <v>0</v>
      </c>
      <c r="K915" s="18" t="b">
        <v>0</v>
      </c>
      <c r="L915" s="18" t="b">
        <v>1</v>
      </c>
      <c r="M915" s="18" t="b">
        <v>0</v>
      </c>
      <c r="N915" s="18" t="b">
        <v>0</v>
      </c>
      <c r="O915" s="18" t="b">
        <v>0</v>
      </c>
      <c r="P915" s="18" t="b">
        <v>0</v>
      </c>
      <c r="Q915" s="18" t="b">
        <v>0</v>
      </c>
      <c r="R915" s="18" t="b">
        <v>0</v>
      </c>
    </row>
    <row r="916" spans="1:18" ht="18">
      <c r="A916" s="61" t="s">
        <v>2968</v>
      </c>
      <c r="B916" s="15" t="s">
        <v>2968</v>
      </c>
      <c r="C916" s="31" t="s">
        <v>2969</v>
      </c>
      <c r="D916" s="90" t="s">
        <v>2970</v>
      </c>
      <c r="E916" s="18" t="s">
        <v>304</v>
      </c>
      <c r="F916" s="19" t="s">
        <v>27</v>
      </c>
      <c r="G916" s="18" t="b">
        <v>0</v>
      </c>
      <c r="H916" s="18" t="b">
        <v>0</v>
      </c>
      <c r="I916" s="18" t="b">
        <v>0</v>
      </c>
      <c r="J916" s="18" t="b">
        <v>0</v>
      </c>
      <c r="K916" s="18" t="b">
        <v>0</v>
      </c>
      <c r="L916" s="18" t="b">
        <v>1</v>
      </c>
      <c r="M916" s="18" t="b">
        <v>0</v>
      </c>
      <c r="N916" s="18" t="b">
        <v>0</v>
      </c>
      <c r="O916" s="18" t="b">
        <v>0</v>
      </c>
      <c r="P916" s="18" t="b">
        <v>0</v>
      </c>
      <c r="Q916" s="18" t="b">
        <v>0</v>
      </c>
      <c r="R916" s="18" t="b">
        <v>0</v>
      </c>
    </row>
    <row r="917" spans="1:18" ht="18">
      <c r="A917" s="61" t="s">
        <v>2971</v>
      </c>
      <c r="B917" s="15" t="s">
        <v>2971</v>
      </c>
      <c r="C917" s="31" t="s">
        <v>2972</v>
      </c>
      <c r="D917" s="90" t="s">
        <v>2973</v>
      </c>
      <c r="E917" s="16" t="s">
        <v>192</v>
      </c>
      <c r="F917" s="19" t="s">
        <v>27</v>
      </c>
      <c r="G917" s="18" t="b">
        <v>0</v>
      </c>
      <c r="H917" s="18" t="b">
        <v>0</v>
      </c>
      <c r="I917" s="18" t="b">
        <v>0</v>
      </c>
      <c r="J917" s="18" t="b">
        <v>0</v>
      </c>
      <c r="K917" s="18" t="b">
        <v>0</v>
      </c>
      <c r="L917" s="18" t="b">
        <v>0</v>
      </c>
      <c r="M917" s="18" t="b">
        <v>0</v>
      </c>
      <c r="N917" s="18" t="b">
        <v>0</v>
      </c>
      <c r="O917" s="18" t="b">
        <v>0</v>
      </c>
      <c r="P917" s="18" t="b">
        <v>0</v>
      </c>
      <c r="Q917" s="18" t="b">
        <v>0</v>
      </c>
      <c r="R917" s="18" t="b">
        <v>0</v>
      </c>
    </row>
    <row r="918" spans="1:18" ht="15">
      <c r="A918" s="16" t="s">
        <v>2974</v>
      </c>
      <c r="B918" s="15" t="s">
        <v>2975</v>
      </c>
      <c r="C918" s="16" t="s">
        <v>2976</v>
      </c>
      <c r="D918" s="17" t="s">
        <v>2977</v>
      </c>
      <c r="E918" s="16" t="s">
        <v>178</v>
      </c>
      <c r="F918" s="19" t="s">
        <v>27</v>
      </c>
      <c r="G918" s="18" t="b">
        <v>0</v>
      </c>
      <c r="H918" s="18" t="b">
        <v>0</v>
      </c>
      <c r="I918" s="18" t="b">
        <v>0</v>
      </c>
      <c r="J918" s="18" t="b">
        <v>0</v>
      </c>
      <c r="K918" s="18" t="b">
        <v>0</v>
      </c>
      <c r="L918" s="18" t="b">
        <v>0</v>
      </c>
      <c r="M918" s="18" t="b">
        <v>0</v>
      </c>
      <c r="N918" s="18" t="b">
        <v>1</v>
      </c>
      <c r="O918" s="18" t="b">
        <v>0</v>
      </c>
      <c r="P918" s="18" t="b">
        <v>0</v>
      </c>
      <c r="Q918" s="18" t="b">
        <v>0</v>
      </c>
      <c r="R918" s="18" t="b">
        <v>0</v>
      </c>
    </row>
    <row r="919" spans="1:18" ht="15">
      <c r="A919" s="16" t="s">
        <v>2978</v>
      </c>
      <c r="B919" s="15" t="s">
        <v>2978</v>
      </c>
      <c r="C919" s="16" t="s">
        <v>2979</v>
      </c>
      <c r="D919" s="16" t="s">
        <v>2980</v>
      </c>
      <c r="E919" s="16" t="s">
        <v>140</v>
      </c>
      <c r="F919" s="19" t="s">
        <v>27</v>
      </c>
      <c r="G919" s="18" t="b">
        <v>0</v>
      </c>
      <c r="H919" s="18" t="b">
        <v>1</v>
      </c>
      <c r="I919" s="18" t="b">
        <v>0</v>
      </c>
      <c r="J919" s="18" t="b">
        <v>0</v>
      </c>
      <c r="K919" s="18" t="b">
        <v>0</v>
      </c>
      <c r="L919" s="18" t="b">
        <v>0</v>
      </c>
      <c r="M919" s="18" t="b">
        <v>0</v>
      </c>
      <c r="N919" s="18" t="b">
        <v>0</v>
      </c>
      <c r="O919" s="18" t="b">
        <v>0</v>
      </c>
      <c r="P919" s="18" t="b">
        <v>0</v>
      </c>
      <c r="Q919" s="18" t="b">
        <v>0</v>
      </c>
      <c r="R919" s="18" t="b">
        <v>0</v>
      </c>
    </row>
    <row r="920" spans="1:18" ht="15">
      <c r="A920" s="16" t="s">
        <v>2981</v>
      </c>
      <c r="B920" s="15" t="s">
        <v>2981</v>
      </c>
      <c r="C920" s="16" t="s">
        <v>2982</v>
      </c>
      <c r="D920" s="16" t="s">
        <v>2983</v>
      </c>
      <c r="E920" s="16" t="s">
        <v>990</v>
      </c>
      <c r="F920" s="19" t="s">
        <v>27</v>
      </c>
      <c r="G920" s="18" t="b">
        <v>0</v>
      </c>
      <c r="H920" s="18" t="b">
        <v>0</v>
      </c>
      <c r="I920" s="18" t="b">
        <v>0</v>
      </c>
      <c r="J920" s="18" t="b">
        <v>0</v>
      </c>
      <c r="K920" s="18" t="b">
        <v>0</v>
      </c>
      <c r="L920" s="18" t="b">
        <v>0</v>
      </c>
      <c r="M920" s="18" t="b">
        <v>0</v>
      </c>
      <c r="N920" s="18" t="b">
        <v>0</v>
      </c>
      <c r="O920" s="18" t="b">
        <v>0</v>
      </c>
      <c r="P920" s="18" t="b">
        <v>0</v>
      </c>
      <c r="Q920" s="18" t="b">
        <v>0</v>
      </c>
      <c r="R920" s="18" t="b">
        <v>1</v>
      </c>
    </row>
    <row r="921" spans="1:18" ht="15" hidden="1">
      <c r="A921" s="16" t="s">
        <v>2984</v>
      </c>
      <c r="B921" s="15" t="s">
        <v>2984</v>
      </c>
      <c r="C921" s="16" t="s">
        <v>2985</v>
      </c>
      <c r="D921" s="16" t="s">
        <v>2986</v>
      </c>
      <c r="E921" s="16" t="s">
        <v>154</v>
      </c>
      <c r="F921" s="19" t="s">
        <v>38</v>
      </c>
      <c r="G921" s="18" t="b">
        <v>0</v>
      </c>
      <c r="H921" s="18" t="b">
        <v>0</v>
      </c>
      <c r="I921" s="18" t="b">
        <v>0</v>
      </c>
      <c r="J921" s="18" t="b">
        <v>0</v>
      </c>
      <c r="K921" s="18" t="b">
        <v>1</v>
      </c>
      <c r="L921" s="18" t="b">
        <v>0</v>
      </c>
      <c r="M921" s="18" t="b">
        <v>0</v>
      </c>
      <c r="N921" s="18" t="b">
        <v>0</v>
      </c>
      <c r="O921" s="18" t="b">
        <v>0</v>
      </c>
      <c r="P921" s="18" t="b">
        <v>0</v>
      </c>
      <c r="Q921" s="18" t="b">
        <v>0</v>
      </c>
      <c r="R921" s="18" t="b">
        <v>0</v>
      </c>
    </row>
    <row r="922" spans="1:18" ht="15" hidden="1">
      <c r="A922" s="16" t="s">
        <v>2987</v>
      </c>
      <c r="B922" s="15" t="s">
        <v>2988</v>
      </c>
      <c r="C922" s="16" t="s">
        <v>2989</v>
      </c>
      <c r="D922" s="16" t="s">
        <v>2990</v>
      </c>
      <c r="E922" s="16" t="s">
        <v>154</v>
      </c>
      <c r="F922" s="19" t="s">
        <v>38</v>
      </c>
      <c r="G922" s="18" t="b">
        <v>0</v>
      </c>
      <c r="H922" s="18" t="b">
        <v>0</v>
      </c>
      <c r="I922" s="18" t="b">
        <v>0</v>
      </c>
      <c r="J922" s="18" t="b">
        <v>0</v>
      </c>
      <c r="K922" s="18" t="b">
        <v>1</v>
      </c>
      <c r="L922" s="18" t="b">
        <v>0</v>
      </c>
      <c r="M922" s="18" t="b">
        <v>0</v>
      </c>
      <c r="N922" s="18" t="b">
        <v>0</v>
      </c>
      <c r="O922" s="18" t="b">
        <v>0</v>
      </c>
      <c r="P922" s="18" t="b">
        <v>0</v>
      </c>
      <c r="Q922" s="18" t="b">
        <v>0</v>
      </c>
      <c r="R922" s="18" t="b">
        <v>0</v>
      </c>
    </row>
    <row r="923" spans="1:18" ht="15">
      <c r="A923" s="16" t="s">
        <v>2991</v>
      </c>
      <c r="B923" s="15" t="s">
        <v>2991</v>
      </c>
      <c r="C923" s="16" t="s">
        <v>2992</v>
      </c>
      <c r="D923" s="16" t="s">
        <v>2993</v>
      </c>
      <c r="E923" s="16" t="s">
        <v>60</v>
      </c>
      <c r="F923" s="19" t="s">
        <v>27</v>
      </c>
      <c r="G923" s="18" t="b">
        <v>0</v>
      </c>
      <c r="H923" s="18" t="b">
        <v>0</v>
      </c>
      <c r="I923" s="18" t="b">
        <v>0</v>
      </c>
      <c r="J923" s="18" t="b">
        <v>0</v>
      </c>
      <c r="K923" s="18" t="b">
        <v>0</v>
      </c>
      <c r="L923" s="18" t="b">
        <v>0</v>
      </c>
      <c r="M923" s="18" t="b">
        <v>1</v>
      </c>
      <c r="N923" s="18" t="b">
        <v>0</v>
      </c>
      <c r="O923" s="18" t="b">
        <v>0</v>
      </c>
      <c r="P923" s="18" t="b">
        <v>0</v>
      </c>
      <c r="Q923" s="18" t="b">
        <v>0</v>
      </c>
      <c r="R923" s="18" t="b">
        <v>1</v>
      </c>
    </row>
    <row r="924" spans="1:18" ht="15">
      <c r="A924" s="16" t="s">
        <v>2994</v>
      </c>
      <c r="B924" s="15" t="s">
        <v>2994</v>
      </c>
      <c r="C924" s="16" t="s">
        <v>2995</v>
      </c>
      <c r="D924" s="16" t="s">
        <v>2996</v>
      </c>
      <c r="E924" s="16" t="s">
        <v>990</v>
      </c>
      <c r="F924" s="19" t="s">
        <v>27</v>
      </c>
      <c r="G924" s="18" t="b">
        <v>0</v>
      </c>
      <c r="H924" s="18" t="b">
        <v>0</v>
      </c>
      <c r="I924" s="18" t="b">
        <v>0</v>
      </c>
      <c r="J924" s="18" t="b">
        <v>0</v>
      </c>
      <c r="K924" s="18" t="b">
        <v>0</v>
      </c>
      <c r="L924" s="18" t="b">
        <v>0</v>
      </c>
      <c r="M924" s="18" t="b">
        <v>0</v>
      </c>
      <c r="N924" s="18" t="b">
        <v>0</v>
      </c>
      <c r="O924" s="18" t="b">
        <v>0</v>
      </c>
      <c r="P924" s="18" t="b">
        <v>0</v>
      </c>
      <c r="Q924" s="18" t="b">
        <v>0</v>
      </c>
      <c r="R924" s="18" t="b">
        <v>1</v>
      </c>
    </row>
    <row r="925" spans="1:18" ht="15">
      <c r="A925" s="16" t="s">
        <v>2997</v>
      </c>
      <c r="B925" s="15" t="s">
        <v>2997</v>
      </c>
      <c r="C925" s="16" t="s">
        <v>2998</v>
      </c>
      <c r="D925" s="16" t="s">
        <v>2999</v>
      </c>
      <c r="E925" s="18" t="s">
        <v>304</v>
      </c>
      <c r="F925" s="19" t="s">
        <v>27</v>
      </c>
      <c r="G925" s="18" t="b">
        <v>0</v>
      </c>
      <c r="H925" s="18" t="b">
        <v>0</v>
      </c>
      <c r="I925" s="18" t="b">
        <v>0</v>
      </c>
      <c r="J925" s="18" t="b">
        <v>0</v>
      </c>
      <c r="K925" s="18" t="b">
        <v>0</v>
      </c>
      <c r="L925" s="18" t="b">
        <v>1</v>
      </c>
      <c r="M925" s="18" t="b">
        <v>0</v>
      </c>
      <c r="N925" s="18" t="b">
        <v>0</v>
      </c>
      <c r="O925" s="18" t="b">
        <v>0</v>
      </c>
      <c r="P925" s="18" t="b">
        <v>0</v>
      </c>
      <c r="Q925" s="18" t="b">
        <v>0</v>
      </c>
      <c r="R925" s="18" t="b">
        <v>0</v>
      </c>
    </row>
    <row r="926" spans="1:18">
      <c r="A926" s="16" t="s">
        <v>3000</v>
      </c>
      <c r="B926" s="15" t="s">
        <v>3001</v>
      </c>
      <c r="C926" s="101" t="s">
        <v>3002</v>
      </c>
      <c r="D926" s="16" t="s">
        <v>3003</v>
      </c>
      <c r="E926" s="18" t="s">
        <v>304</v>
      </c>
      <c r="F926" s="19" t="s">
        <v>27</v>
      </c>
      <c r="G926" s="18" t="b">
        <v>0</v>
      </c>
      <c r="H926" s="18" t="b">
        <v>0</v>
      </c>
      <c r="I926" s="18" t="b">
        <v>0</v>
      </c>
      <c r="J926" s="18" t="b">
        <v>0</v>
      </c>
      <c r="K926" s="18" t="b">
        <v>0</v>
      </c>
      <c r="L926" s="18" t="b">
        <v>1</v>
      </c>
      <c r="M926" s="18" t="b">
        <v>0</v>
      </c>
      <c r="N926" s="18" t="b">
        <v>0</v>
      </c>
      <c r="O926" s="18" t="b">
        <v>0</v>
      </c>
      <c r="P926" s="18" t="b">
        <v>0</v>
      </c>
      <c r="Q926" s="18" t="b">
        <v>0</v>
      </c>
      <c r="R926" s="18" t="b">
        <v>0</v>
      </c>
    </row>
    <row r="927" spans="1:18" ht="15">
      <c r="A927" s="16" t="s">
        <v>3004</v>
      </c>
      <c r="B927" s="15" t="s">
        <v>3005</v>
      </c>
      <c r="C927" s="16" t="s">
        <v>3006</v>
      </c>
      <c r="D927" s="16" t="s">
        <v>3007</v>
      </c>
      <c r="E927" s="16" t="s">
        <v>990</v>
      </c>
      <c r="F927" s="19" t="s">
        <v>27</v>
      </c>
      <c r="G927" s="18" t="b">
        <v>0</v>
      </c>
      <c r="H927" s="18" t="b">
        <v>0</v>
      </c>
      <c r="I927" s="18" t="b">
        <v>0</v>
      </c>
      <c r="J927" s="18" t="b">
        <v>0</v>
      </c>
      <c r="K927" s="18" t="b">
        <v>0</v>
      </c>
      <c r="L927" s="18" t="b">
        <v>0</v>
      </c>
      <c r="M927" s="18" t="b">
        <v>0</v>
      </c>
      <c r="N927" s="18" t="b">
        <v>0</v>
      </c>
      <c r="O927" s="18" t="b">
        <v>0</v>
      </c>
      <c r="P927" s="18" t="b">
        <v>0</v>
      </c>
      <c r="Q927" s="18" t="b">
        <v>0</v>
      </c>
      <c r="R927" s="18" t="b">
        <v>1</v>
      </c>
    </row>
    <row r="928" spans="1:18" ht="15">
      <c r="A928" s="16" t="s">
        <v>3008</v>
      </c>
      <c r="B928" s="72" t="s">
        <v>3008</v>
      </c>
      <c r="C928" s="16" t="s">
        <v>3009</v>
      </c>
      <c r="D928" s="16" t="s">
        <v>3010</v>
      </c>
      <c r="E928" s="16" t="s">
        <v>69</v>
      </c>
      <c r="F928" s="19" t="s">
        <v>27</v>
      </c>
      <c r="G928" s="18" t="b">
        <v>0</v>
      </c>
      <c r="H928" s="18" t="b">
        <v>0</v>
      </c>
      <c r="I928" s="18" t="b">
        <v>0</v>
      </c>
      <c r="J928" s="18" t="b">
        <v>0</v>
      </c>
      <c r="K928" s="18" t="b">
        <v>0</v>
      </c>
      <c r="L928" s="18" t="b">
        <v>0</v>
      </c>
      <c r="M928" s="18" t="b">
        <v>0</v>
      </c>
      <c r="N928" s="18" t="b">
        <v>0</v>
      </c>
      <c r="O928" s="18" t="b">
        <v>1</v>
      </c>
      <c r="P928" s="18" t="b">
        <v>0</v>
      </c>
      <c r="Q928" s="18" t="b">
        <v>0</v>
      </c>
      <c r="R928" s="18" t="b">
        <v>0</v>
      </c>
    </row>
    <row r="929" spans="1:18" ht="15">
      <c r="A929" s="16" t="s">
        <v>3011</v>
      </c>
      <c r="B929" s="15" t="s">
        <v>3011</v>
      </c>
      <c r="C929" s="16" t="s">
        <v>3012</v>
      </c>
      <c r="D929" s="17" t="s">
        <v>3013</v>
      </c>
      <c r="E929" s="16" t="s">
        <v>178</v>
      </c>
      <c r="F929" s="19" t="s">
        <v>27</v>
      </c>
      <c r="G929" s="18" t="b">
        <v>0</v>
      </c>
      <c r="H929" s="18" t="b">
        <v>0</v>
      </c>
      <c r="I929" s="18" t="b">
        <v>0</v>
      </c>
      <c r="J929" s="18" t="b">
        <v>0</v>
      </c>
      <c r="K929" s="18" t="b">
        <v>0</v>
      </c>
      <c r="L929" s="18" t="b">
        <v>0</v>
      </c>
      <c r="M929" s="18" t="b">
        <v>0</v>
      </c>
      <c r="N929" s="18" t="b">
        <v>1</v>
      </c>
      <c r="O929" s="18" t="b">
        <v>0</v>
      </c>
      <c r="P929" s="18" t="b">
        <v>0</v>
      </c>
      <c r="Q929" s="18" t="b">
        <v>0</v>
      </c>
      <c r="R929" s="18" t="b">
        <v>0</v>
      </c>
    </row>
    <row r="930" spans="1:18" ht="18" hidden="1">
      <c r="A930" s="61" t="s">
        <v>3014</v>
      </c>
      <c r="B930" s="15" t="s">
        <v>3014</v>
      </c>
      <c r="C930" s="16" t="s">
        <v>3015</v>
      </c>
      <c r="D930" s="16" t="s">
        <v>3016</v>
      </c>
      <c r="E930" s="16" t="s">
        <v>69</v>
      </c>
      <c r="F930" s="19" t="s">
        <v>34</v>
      </c>
      <c r="G930" s="18" t="b">
        <v>0</v>
      </c>
      <c r="H930" s="18" t="b">
        <v>0</v>
      </c>
      <c r="I930" s="18" t="b">
        <v>0</v>
      </c>
      <c r="J930" s="18" t="b">
        <v>0</v>
      </c>
      <c r="K930" s="18" t="b">
        <v>0</v>
      </c>
      <c r="L930" s="18" t="b">
        <v>0</v>
      </c>
      <c r="M930" s="18" t="b">
        <v>0</v>
      </c>
      <c r="N930" s="18" t="b">
        <v>0</v>
      </c>
      <c r="O930" s="18" t="b">
        <v>1</v>
      </c>
      <c r="P930" s="18" t="b">
        <v>0</v>
      </c>
      <c r="Q930" s="18" t="b">
        <v>0</v>
      </c>
      <c r="R930" s="18" t="b">
        <v>0</v>
      </c>
    </row>
    <row r="931" spans="1:18" ht="18">
      <c r="A931" s="61" t="s">
        <v>3017</v>
      </c>
      <c r="B931" s="15" t="s">
        <v>3017</v>
      </c>
      <c r="C931" s="16" t="s">
        <v>3018</v>
      </c>
      <c r="D931" s="16" t="s">
        <v>3019</v>
      </c>
      <c r="E931" s="16" t="s">
        <v>990</v>
      </c>
      <c r="F931" s="19" t="s">
        <v>27</v>
      </c>
      <c r="G931" s="18" t="b">
        <v>0</v>
      </c>
      <c r="H931" s="18" t="b">
        <v>0</v>
      </c>
      <c r="I931" s="18" t="b">
        <v>0</v>
      </c>
      <c r="J931" s="18" t="b">
        <v>0</v>
      </c>
      <c r="K931" s="18" t="b">
        <v>0</v>
      </c>
      <c r="L931" s="18" t="b">
        <v>0</v>
      </c>
      <c r="M931" s="18" t="b">
        <v>0</v>
      </c>
      <c r="N931" s="18" t="b">
        <v>0</v>
      </c>
      <c r="O931" s="18" t="b">
        <v>0</v>
      </c>
      <c r="P931" s="18" t="b">
        <v>0</v>
      </c>
      <c r="Q931" s="18" t="b">
        <v>0</v>
      </c>
      <c r="R931" s="18" t="b">
        <v>1</v>
      </c>
    </row>
    <row r="932" spans="1:18" ht="18">
      <c r="A932" s="61" t="s">
        <v>3020</v>
      </c>
      <c r="B932" s="15" t="s">
        <v>3021</v>
      </c>
      <c r="C932" s="16" t="s">
        <v>3022</v>
      </c>
      <c r="D932" s="16" t="s">
        <v>3023</v>
      </c>
      <c r="E932" s="16" t="s">
        <v>26</v>
      </c>
      <c r="F932" s="19" t="s">
        <v>27</v>
      </c>
      <c r="G932" s="18" t="b">
        <v>0</v>
      </c>
      <c r="H932" s="18" t="b">
        <v>0</v>
      </c>
      <c r="I932" s="18" t="b">
        <v>1</v>
      </c>
      <c r="J932" s="18" t="b">
        <v>0</v>
      </c>
      <c r="K932" s="18" t="b">
        <v>0</v>
      </c>
      <c r="L932" s="18" t="b">
        <v>0</v>
      </c>
      <c r="M932" s="18" t="b">
        <v>0</v>
      </c>
      <c r="N932" s="18" t="b">
        <v>0</v>
      </c>
      <c r="O932" s="18" t="b">
        <v>0</v>
      </c>
      <c r="P932" s="18" t="b">
        <v>0</v>
      </c>
      <c r="Q932" s="18" t="b">
        <v>0</v>
      </c>
      <c r="R932" s="18" t="b">
        <v>0</v>
      </c>
    </row>
    <row r="933" spans="1:18" ht="18" hidden="1">
      <c r="A933" s="61" t="s">
        <v>3024</v>
      </c>
      <c r="B933" s="15" t="s">
        <v>3024</v>
      </c>
      <c r="C933" s="16" t="s">
        <v>3025</v>
      </c>
      <c r="D933" s="16" t="s">
        <v>3026</v>
      </c>
      <c r="E933" s="18" t="s">
        <v>304</v>
      </c>
      <c r="F933" s="19" t="s">
        <v>38</v>
      </c>
      <c r="G933" s="18" t="b">
        <v>0</v>
      </c>
      <c r="H933" s="18" t="b">
        <v>0</v>
      </c>
      <c r="I933" s="18" t="b">
        <v>0</v>
      </c>
      <c r="J933" s="18" t="b">
        <v>0</v>
      </c>
      <c r="K933" s="18" t="b">
        <v>0</v>
      </c>
      <c r="L933" s="18" t="b">
        <v>1</v>
      </c>
      <c r="M933" s="18" t="b">
        <v>0</v>
      </c>
      <c r="N933" s="18" t="b">
        <v>0</v>
      </c>
      <c r="O933" s="18" t="b">
        <v>0</v>
      </c>
      <c r="P933" s="18" t="b">
        <v>0</v>
      </c>
      <c r="Q933" s="18" t="b">
        <v>0</v>
      </c>
      <c r="R933" s="18" t="b">
        <v>0</v>
      </c>
    </row>
    <row r="934" spans="1:18" ht="15">
      <c r="A934" s="16" t="s">
        <v>3027</v>
      </c>
      <c r="B934" s="15" t="s">
        <v>3027</v>
      </c>
      <c r="C934" s="16" t="s">
        <v>3028</v>
      </c>
      <c r="D934" s="16" t="s">
        <v>3029</v>
      </c>
      <c r="E934" s="16" t="s">
        <v>192</v>
      </c>
      <c r="F934" s="19" t="s">
        <v>27</v>
      </c>
      <c r="G934" s="18" t="b">
        <v>0</v>
      </c>
      <c r="H934" s="18" t="b">
        <v>0</v>
      </c>
      <c r="I934" s="18" t="b">
        <v>0</v>
      </c>
      <c r="J934" s="18" t="b">
        <v>0</v>
      </c>
      <c r="K934" s="18" t="b">
        <v>0</v>
      </c>
      <c r="L934" s="18" t="b">
        <v>0</v>
      </c>
      <c r="M934" s="18" t="b">
        <v>0</v>
      </c>
      <c r="N934" s="18" t="b">
        <v>0</v>
      </c>
      <c r="O934" s="18" t="b">
        <v>0</v>
      </c>
      <c r="P934" s="18" t="b">
        <v>0</v>
      </c>
      <c r="Q934" s="18" t="b">
        <v>0</v>
      </c>
      <c r="R934" s="18" t="b">
        <v>0</v>
      </c>
    </row>
    <row r="935" spans="1:18" ht="18">
      <c r="A935" s="61" t="s">
        <v>3030</v>
      </c>
      <c r="B935" s="190" t="s">
        <v>3030</v>
      </c>
      <c r="C935" s="31" t="s">
        <v>3031</v>
      </c>
      <c r="D935" s="90" t="s">
        <v>3032</v>
      </c>
      <c r="E935" s="18" t="s">
        <v>304</v>
      </c>
      <c r="F935" s="19" t="s">
        <v>27</v>
      </c>
      <c r="G935" s="18" t="b">
        <v>0</v>
      </c>
      <c r="H935" s="18" t="b">
        <v>0</v>
      </c>
      <c r="I935" s="18" t="b">
        <v>0</v>
      </c>
      <c r="J935" s="18" t="b">
        <v>0</v>
      </c>
      <c r="K935" s="18" t="b">
        <v>0</v>
      </c>
      <c r="L935" s="18" t="b">
        <v>1</v>
      </c>
      <c r="M935" s="18" t="b">
        <v>0</v>
      </c>
      <c r="N935" s="18" t="b">
        <v>0</v>
      </c>
      <c r="O935" s="18" t="b">
        <v>0</v>
      </c>
      <c r="P935" s="18" t="b">
        <v>0</v>
      </c>
      <c r="Q935" s="18" t="b">
        <v>0</v>
      </c>
      <c r="R935" s="18" t="b">
        <v>0</v>
      </c>
    </row>
    <row r="936" spans="1:18" ht="18">
      <c r="A936" s="61" t="s">
        <v>3033</v>
      </c>
      <c r="B936" s="15" t="s">
        <v>3033</v>
      </c>
      <c r="C936" s="31" t="s">
        <v>3034</v>
      </c>
      <c r="D936" s="90" t="s">
        <v>3035</v>
      </c>
      <c r="E936" s="16" t="s">
        <v>154</v>
      </c>
      <c r="F936" s="19" t="s">
        <v>27</v>
      </c>
      <c r="G936" s="18" t="b">
        <v>0</v>
      </c>
      <c r="H936" s="18" t="b">
        <v>0</v>
      </c>
      <c r="I936" s="18" t="b">
        <v>0</v>
      </c>
      <c r="J936" s="18" t="b">
        <v>0</v>
      </c>
      <c r="K936" s="18" t="b">
        <v>1</v>
      </c>
      <c r="L936" s="18" t="b">
        <v>0</v>
      </c>
      <c r="M936" s="18" t="b">
        <v>0</v>
      </c>
      <c r="N936" s="18" t="b">
        <v>0</v>
      </c>
      <c r="O936" s="18" t="b">
        <v>0</v>
      </c>
      <c r="P936" s="18" t="b">
        <v>0</v>
      </c>
      <c r="Q936" s="18" t="b">
        <v>0</v>
      </c>
      <c r="R936" s="18" t="b">
        <v>0</v>
      </c>
    </row>
    <row r="937" spans="1:18" ht="18">
      <c r="A937" s="61" t="s">
        <v>3036</v>
      </c>
      <c r="B937" s="15" t="s">
        <v>3036</v>
      </c>
      <c r="C937" s="31" t="s">
        <v>3037</v>
      </c>
      <c r="D937" s="90" t="s">
        <v>3038</v>
      </c>
      <c r="E937" s="18" t="s">
        <v>304</v>
      </c>
      <c r="F937" s="19" t="s">
        <v>27</v>
      </c>
      <c r="G937" s="18" t="b">
        <v>0</v>
      </c>
      <c r="H937" s="18" t="b">
        <v>0</v>
      </c>
      <c r="I937" s="18" t="b">
        <v>0</v>
      </c>
      <c r="J937" s="18" t="b">
        <v>0</v>
      </c>
      <c r="K937" s="18" t="b">
        <v>0</v>
      </c>
      <c r="L937" s="18" t="b">
        <v>1</v>
      </c>
      <c r="M937" s="18" t="b">
        <v>0</v>
      </c>
      <c r="N937" s="18" t="b">
        <v>0</v>
      </c>
      <c r="O937" s="18" t="b">
        <v>0</v>
      </c>
      <c r="P937" s="18" t="b">
        <v>0</v>
      </c>
      <c r="Q937" s="18" t="b">
        <v>0</v>
      </c>
      <c r="R937" s="18" t="b">
        <v>0</v>
      </c>
    </row>
    <row r="938" spans="1:18" ht="18">
      <c r="A938" s="61" t="s">
        <v>3039</v>
      </c>
      <c r="B938" s="15" t="s">
        <v>3039</v>
      </c>
      <c r="C938" s="31" t="s">
        <v>3040</v>
      </c>
      <c r="D938" s="90" t="s">
        <v>3041</v>
      </c>
      <c r="E938" s="16" t="s">
        <v>990</v>
      </c>
      <c r="F938" s="19" t="s">
        <v>27</v>
      </c>
      <c r="G938" s="18" t="b">
        <v>0</v>
      </c>
      <c r="H938" s="18" t="b">
        <v>0</v>
      </c>
      <c r="I938" s="18" t="b">
        <v>0</v>
      </c>
      <c r="J938" s="18" t="b">
        <v>0</v>
      </c>
      <c r="K938" s="18" t="b">
        <v>0</v>
      </c>
      <c r="L938" s="18" t="b">
        <v>0</v>
      </c>
      <c r="M938" s="18" t="b">
        <v>0</v>
      </c>
      <c r="N938" s="18" t="b">
        <v>0</v>
      </c>
      <c r="O938" s="18" t="b">
        <v>0</v>
      </c>
      <c r="P938" s="18" t="b">
        <v>0</v>
      </c>
      <c r="Q938" s="18" t="b">
        <v>0</v>
      </c>
      <c r="R938" s="18" t="b">
        <v>1</v>
      </c>
    </row>
    <row r="939" spans="1:18" ht="18">
      <c r="A939" s="61" t="s">
        <v>3042</v>
      </c>
      <c r="B939" s="15" t="s">
        <v>3042</v>
      </c>
      <c r="C939" s="16" t="s">
        <v>3043</v>
      </c>
      <c r="D939" s="16" t="s">
        <v>3044</v>
      </c>
      <c r="E939" s="16" t="s">
        <v>990</v>
      </c>
      <c r="F939" s="19" t="s">
        <v>27</v>
      </c>
      <c r="G939" s="18" t="b">
        <v>0</v>
      </c>
      <c r="H939" s="18" t="b">
        <v>0</v>
      </c>
      <c r="I939" s="18" t="b">
        <v>0</v>
      </c>
      <c r="J939" s="18" t="b">
        <v>0</v>
      </c>
      <c r="K939" s="18" t="b">
        <v>0</v>
      </c>
      <c r="L939" s="18" t="b">
        <v>0</v>
      </c>
      <c r="M939" s="18" t="b">
        <v>0</v>
      </c>
      <c r="N939" s="18" t="b">
        <v>0</v>
      </c>
      <c r="O939" s="18" t="b">
        <v>0</v>
      </c>
      <c r="P939" s="18" t="b">
        <v>0</v>
      </c>
      <c r="Q939" s="18" t="b">
        <v>0</v>
      </c>
      <c r="R939" s="18" t="b">
        <v>1</v>
      </c>
    </row>
    <row r="940" spans="1:18" ht="15">
      <c r="A940" s="16" t="s">
        <v>3045</v>
      </c>
      <c r="B940" s="15" t="s">
        <v>3045</v>
      </c>
      <c r="C940" s="16" t="s">
        <v>3046</v>
      </c>
      <c r="D940" s="17" t="s">
        <v>3047</v>
      </c>
      <c r="E940" s="16" t="s">
        <v>178</v>
      </c>
      <c r="F940" s="19" t="s">
        <v>27</v>
      </c>
      <c r="G940" s="18" t="b">
        <v>0</v>
      </c>
      <c r="H940" s="18" t="b">
        <v>0</v>
      </c>
      <c r="I940" s="18" t="b">
        <v>0</v>
      </c>
      <c r="J940" s="18" t="b">
        <v>0</v>
      </c>
      <c r="K940" s="18" t="b">
        <v>0</v>
      </c>
      <c r="L940" s="18" t="b">
        <v>0</v>
      </c>
      <c r="M940" s="18" t="b">
        <v>0</v>
      </c>
      <c r="N940" s="18" t="b">
        <v>1</v>
      </c>
      <c r="O940" s="18" t="b">
        <v>0</v>
      </c>
      <c r="P940" s="18" t="b">
        <v>0</v>
      </c>
      <c r="Q940" s="18" t="b">
        <v>0</v>
      </c>
      <c r="R940" s="18" t="b">
        <v>0</v>
      </c>
    </row>
    <row r="941" spans="1:18" ht="15">
      <c r="A941" s="16" t="s">
        <v>3048</v>
      </c>
      <c r="B941" s="15" t="s">
        <v>3049</v>
      </c>
      <c r="C941" s="16" t="s">
        <v>3050</v>
      </c>
      <c r="D941" s="17" t="s">
        <v>3051</v>
      </c>
      <c r="E941" s="16" t="s">
        <v>178</v>
      </c>
      <c r="F941" s="19" t="s">
        <v>27</v>
      </c>
      <c r="G941" s="18" t="b">
        <v>0</v>
      </c>
      <c r="H941" s="18" t="b">
        <v>0</v>
      </c>
      <c r="I941" s="18" t="b">
        <v>0</v>
      </c>
      <c r="J941" s="18" t="b">
        <v>0</v>
      </c>
      <c r="K941" s="18" t="b">
        <v>0</v>
      </c>
      <c r="L941" s="18" t="b">
        <v>0</v>
      </c>
      <c r="M941" s="18" t="b">
        <v>0</v>
      </c>
      <c r="N941" s="18" t="b">
        <v>1</v>
      </c>
      <c r="O941" s="18" t="b">
        <v>0</v>
      </c>
      <c r="P941" s="18" t="b">
        <v>0</v>
      </c>
      <c r="Q941" s="18" t="b">
        <v>0</v>
      </c>
      <c r="R941" s="18" t="b">
        <v>0</v>
      </c>
    </row>
    <row r="942" spans="1:18" ht="15">
      <c r="A942" s="16" t="s">
        <v>3052</v>
      </c>
      <c r="B942" s="15" t="s">
        <v>3052</v>
      </c>
      <c r="C942" s="16" t="s">
        <v>3053</v>
      </c>
      <c r="D942" s="17" t="s">
        <v>3054</v>
      </c>
      <c r="E942" s="16" t="s">
        <v>178</v>
      </c>
      <c r="F942" s="19" t="s">
        <v>27</v>
      </c>
      <c r="G942" s="18" t="b">
        <v>0</v>
      </c>
      <c r="H942" s="18" t="b">
        <v>0</v>
      </c>
      <c r="I942" s="18" t="b">
        <v>0</v>
      </c>
      <c r="J942" s="18" t="b">
        <v>0</v>
      </c>
      <c r="K942" s="18" t="b">
        <v>0</v>
      </c>
      <c r="L942" s="18" t="b">
        <v>0</v>
      </c>
      <c r="M942" s="18" t="b">
        <v>0</v>
      </c>
      <c r="N942" s="18" t="b">
        <v>1</v>
      </c>
      <c r="O942" s="18" t="b">
        <v>0</v>
      </c>
      <c r="P942" s="18" t="b">
        <v>0</v>
      </c>
      <c r="Q942" s="18" t="b">
        <v>0</v>
      </c>
      <c r="R942" s="18" t="b">
        <v>0</v>
      </c>
    </row>
    <row r="943" spans="1:18" ht="15">
      <c r="A943" s="16" t="s">
        <v>3055</v>
      </c>
      <c r="B943" s="15" t="s">
        <v>3055</v>
      </c>
      <c r="C943" s="16" t="s">
        <v>3056</v>
      </c>
      <c r="D943" s="16" t="s">
        <v>3057</v>
      </c>
      <c r="E943" s="16" t="s">
        <v>990</v>
      </c>
      <c r="F943" s="19" t="s">
        <v>27</v>
      </c>
      <c r="G943" s="18" t="b">
        <v>0</v>
      </c>
      <c r="H943" s="18" t="b">
        <v>0</v>
      </c>
      <c r="I943" s="18" t="b">
        <v>0</v>
      </c>
      <c r="J943" s="18" t="b">
        <v>0</v>
      </c>
      <c r="K943" s="18" t="b">
        <v>0</v>
      </c>
      <c r="L943" s="18" t="b">
        <v>0</v>
      </c>
      <c r="M943" s="18" t="b">
        <v>0</v>
      </c>
      <c r="N943" s="18" t="b">
        <v>0</v>
      </c>
      <c r="O943" s="18" t="b">
        <v>0</v>
      </c>
      <c r="P943" s="18" t="b">
        <v>0</v>
      </c>
      <c r="Q943" s="18" t="b">
        <v>0</v>
      </c>
      <c r="R943" s="18" t="b">
        <v>1</v>
      </c>
    </row>
    <row r="944" spans="1:18" ht="15">
      <c r="A944" s="16" t="s">
        <v>3058</v>
      </c>
      <c r="B944" s="15" t="s">
        <v>3058</v>
      </c>
      <c r="C944" s="16" t="s">
        <v>3059</v>
      </c>
      <c r="D944" s="16" t="s">
        <v>3060</v>
      </c>
      <c r="E944" s="16" t="s">
        <v>154</v>
      </c>
      <c r="F944" s="19" t="s">
        <v>27</v>
      </c>
      <c r="G944" s="18" t="b">
        <v>0</v>
      </c>
      <c r="H944" s="18" t="b">
        <v>0</v>
      </c>
      <c r="I944" s="18" t="b">
        <v>0</v>
      </c>
      <c r="J944" s="18" t="b">
        <v>0</v>
      </c>
      <c r="K944" s="18" t="b">
        <v>1</v>
      </c>
      <c r="L944" s="18" t="b">
        <v>0</v>
      </c>
      <c r="M944" s="18" t="b">
        <v>0</v>
      </c>
      <c r="N944" s="18" t="b">
        <v>0</v>
      </c>
      <c r="O944" s="18" t="b">
        <v>0</v>
      </c>
      <c r="P944" s="18" t="b">
        <v>0</v>
      </c>
      <c r="Q944" s="18" t="b">
        <v>0</v>
      </c>
      <c r="R944" s="18" t="b">
        <v>1</v>
      </c>
    </row>
    <row r="945" spans="1:18" ht="15">
      <c r="A945" s="16" t="s">
        <v>3062</v>
      </c>
      <c r="B945" s="15" t="s">
        <v>3062</v>
      </c>
      <c r="C945" s="16" t="s">
        <v>3063</v>
      </c>
      <c r="D945" s="16" t="s">
        <v>3064</v>
      </c>
      <c r="E945" s="16" t="s">
        <v>69</v>
      </c>
      <c r="F945" s="19" t="s">
        <v>27</v>
      </c>
      <c r="G945" s="18" t="b">
        <v>0</v>
      </c>
      <c r="H945" s="18" t="b">
        <v>0</v>
      </c>
      <c r="I945" s="18" t="b">
        <v>0</v>
      </c>
      <c r="J945" s="18" t="b">
        <v>0</v>
      </c>
      <c r="K945" s="18" t="b">
        <v>0</v>
      </c>
      <c r="L945" s="18" t="b">
        <v>0</v>
      </c>
      <c r="M945" s="18" t="b">
        <v>0</v>
      </c>
      <c r="N945" s="18" t="b">
        <v>0</v>
      </c>
      <c r="O945" s="18" t="b">
        <v>1</v>
      </c>
      <c r="P945" s="18" t="b">
        <v>0</v>
      </c>
      <c r="Q945" s="18" t="b">
        <v>0</v>
      </c>
      <c r="R945" s="18" t="b">
        <v>0</v>
      </c>
    </row>
    <row r="946" spans="1:18" ht="15" hidden="1">
      <c r="A946" s="16" t="s">
        <v>3065</v>
      </c>
      <c r="B946" s="15" t="s">
        <v>3065</v>
      </c>
      <c r="C946" s="16" t="s">
        <v>3066</v>
      </c>
      <c r="D946" s="16" t="s">
        <v>3067</v>
      </c>
      <c r="E946" s="16" t="s">
        <v>990</v>
      </c>
      <c r="F946" s="19" t="s">
        <v>38</v>
      </c>
      <c r="G946" s="18" t="b">
        <v>0</v>
      </c>
      <c r="H946" s="18" t="b">
        <v>0</v>
      </c>
      <c r="I946" s="18" t="b">
        <v>0</v>
      </c>
      <c r="J946" s="18" t="b">
        <v>0</v>
      </c>
      <c r="K946" s="18" t="b">
        <v>0</v>
      </c>
      <c r="L946" s="18" t="b">
        <v>0</v>
      </c>
      <c r="M946" s="18" t="b">
        <v>0</v>
      </c>
      <c r="N946" s="18" t="b">
        <v>0</v>
      </c>
      <c r="O946" s="18" t="b">
        <v>0</v>
      </c>
      <c r="P946" s="18" t="b">
        <v>0</v>
      </c>
      <c r="Q946" s="18" t="b">
        <v>0</v>
      </c>
      <c r="R946" s="18" t="b">
        <v>1</v>
      </c>
    </row>
    <row r="947" spans="1:18" ht="15">
      <c r="A947" s="16" t="s">
        <v>3068</v>
      </c>
      <c r="B947" s="15" t="s">
        <v>3068</v>
      </c>
      <c r="C947" s="16" t="s">
        <v>3069</v>
      </c>
      <c r="D947" s="16" t="s">
        <v>3070</v>
      </c>
      <c r="E947" s="18" t="s">
        <v>304</v>
      </c>
      <c r="F947" s="19" t="s">
        <v>27</v>
      </c>
      <c r="G947" s="18" t="b">
        <v>0</v>
      </c>
      <c r="H947" s="18" t="b">
        <v>0</v>
      </c>
      <c r="I947" s="18" t="b">
        <v>0</v>
      </c>
      <c r="J947" s="18" t="b">
        <v>0</v>
      </c>
      <c r="K947" s="18" t="b">
        <v>0</v>
      </c>
      <c r="L947" s="18" t="b">
        <v>1</v>
      </c>
      <c r="M947" s="18" t="b">
        <v>0</v>
      </c>
      <c r="N947" s="18" t="b">
        <v>0</v>
      </c>
      <c r="O947" s="18" t="b">
        <v>0</v>
      </c>
      <c r="P947" s="18" t="b">
        <v>0</v>
      </c>
      <c r="Q947" s="18" t="b">
        <v>0</v>
      </c>
      <c r="R947" s="18" t="b">
        <v>0</v>
      </c>
    </row>
    <row r="948" spans="1:18" ht="15">
      <c r="A948" s="16" t="s">
        <v>3071</v>
      </c>
      <c r="B948" s="15" t="s">
        <v>3071</v>
      </c>
      <c r="C948" s="16" t="s">
        <v>3072</v>
      </c>
      <c r="D948" s="16" t="s">
        <v>3073</v>
      </c>
      <c r="E948" s="16" t="s">
        <v>990</v>
      </c>
      <c r="F948" s="19" t="s">
        <v>27</v>
      </c>
      <c r="G948" s="18" t="b">
        <v>0</v>
      </c>
      <c r="H948" s="18" t="b">
        <v>0</v>
      </c>
      <c r="I948" s="18" t="b">
        <v>0</v>
      </c>
      <c r="J948" s="18" t="b">
        <v>0</v>
      </c>
      <c r="K948" s="18" t="b">
        <v>0</v>
      </c>
      <c r="L948" s="18" t="b">
        <v>0</v>
      </c>
      <c r="M948" s="18" t="b">
        <v>0</v>
      </c>
      <c r="N948" s="18" t="b">
        <v>0</v>
      </c>
      <c r="O948" s="18" t="b">
        <v>0</v>
      </c>
      <c r="P948" s="18" t="b">
        <v>0</v>
      </c>
      <c r="Q948" s="18" t="b">
        <v>0</v>
      </c>
      <c r="R948" s="18" t="b">
        <v>1</v>
      </c>
    </row>
    <row r="949" spans="1:18" ht="15">
      <c r="A949" s="16" t="s">
        <v>3074</v>
      </c>
      <c r="B949" s="15"/>
      <c r="C949" s="16" t="s">
        <v>3075</v>
      </c>
      <c r="D949" s="16" t="s">
        <v>3076</v>
      </c>
      <c r="E949" s="16" t="s">
        <v>52</v>
      </c>
      <c r="F949" s="19" t="s">
        <v>27</v>
      </c>
      <c r="G949" s="18" t="b">
        <v>0</v>
      </c>
      <c r="H949" s="18" t="b">
        <v>0</v>
      </c>
      <c r="I949" s="18" t="b">
        <v>0</v>
      </c>
      <c r="J949" s="18" t="b">
        <v>1</v>
      </c>
      <c r="K949" s="18" t="b">
        <v>1</v>
      </c>
      <c r="L949" s="18" t="b">
        <v>0</v>
      </c>
      <c r="M949" s="18" t="b">
        <v>0</v>
      </c>
      <c r="N949" s="18" t="b">
        <v>0</v>
      </c>
      <c r="O949" s="18" t="b">
        <v>0</v>
      </c>
      <c r="P949" s="18" t="b">
        <v>0</v>
      </c>
      <c r="Q949" s="18" t="b">
        <v>0</v>
      </c>
      <c r="R949" s="18" t="b">
        <v>0</v>
      </c>
    </row>
    <row r="950" spans="1:18" ht="15">
      <c r="A950" s="16" t="s">
        <v>3077</v>
      </c>
      <c r="B950" s="15" t="s">
        <v>3077</v>
      </c>
      <c r="C950" s="16" t="s">
        <v>3078</v>
      </c>
      <c r="D950" s="16" t="s">
        <v>3079</v>
      </c>
      <c r="E950" s="16" t="s">
        <v>60</v>
      </c>
      <c r="F950" s="19" t="s">
        <v>27</v>
      </c>
      <c r="G950" s="18" t="b">
        <v>0</v>
      </c>
      <c r="H950" s="18" t="b">
        <v>0</v>
      </c>
      <c r="I950" s="18" t="b">
        <v>0</v>
      </c>
      <c r="J950" s="18" t="b">
        <v>0</v>
      </c>
      <c r="K950" s="18" t="b">
        <v>0</v>
      </c>
      <c r="L950" s="18" t="b">
        <v>0</v>
      </c>
      <c r="M950" s="18" t="b">
        <v>0</v>
      </c>
      <c r="N950" s="18" t="b">
        <v>0</v>
      </c>
      <c r="O950" s="18" t="b">
        <v>0</v>
      </c>
      <c r="P950" s="18" t="b">
        <v>0</v>
      </c>
      <c r="Q950" s="18" t="b">
        <v>0</v>
      </c>
      <c r="R950" s="18" t="b">
        <v>0</v>
      </c>
    </row>
    <row r="951" spans="1:18" ht="15">
      <c r="A951" s="16" t="s">
        <v>3080</v>
      </c>
      <c r="B951" s="15" t="s">
        <v>3080</v>
      </c>
      <c r="C951" s="16" t="s">
        <v>3081</v>
      </c>
      <c r="D951" s="16" t="s">
        <v>3082</v>
      </c>
      <c r="E951" s="16" t="s">
        <v>43</v>
      </c>
      <c r="F951" s="19" t="s">
        <v>27</v>
      </c>
      <c r="G951" s="18" t="b">
        <v>1</v>
      </c>
      <c r="H951" s="18" t="b">
        <v>0</v>
      </c>
      <c r="I951" s="18" t="b">
        <v>0</v>
      </c>
      <c r="J951" s="18" t="b">
        <v>0</v>
      </c>
      <c r="K951" s="18" t="b">
        <v>0</v>
      </c>
      <c r="L951" s="18" t="b">
        <v>0</v>
      </c>
      <c r="M951" s="18" t="b">
        <v>0</v>
      </c>
      <c r="N951" s="18" t="b">
        <v>0</v>
      </c>
      <c r="O951" s="18" t="b">
        <v>0</v>
      </c>
      <c r="P951" s="18" t="b">
        <v>0</v>
      </c>
      <c r="Q951" s="18" t="b">
        <v>0</v>
      </c>
      <c r="R951" s="18" t="b">
        <v>0</v>
      </c>
    </row>
    <row r="952" spans="1:18" ht="15">
      <c r="A952" s="16" t="s">
        <v>3083</v>
      </c>
      <c r="B952" s="15" t="s">
        <v>3083</v>
      </c>
      <c r="C952" s="16" t="s">
        <v>3084</v>
      </c>
      <c r="D952" s="16" t="s">
        <v>3085</v>
      </c>
      <c r="E952" s="16" t="s">
        <v>60</v>
      </c>
      <c r="F952" s="19" t="s">
        <v>27</v>
      </c>
      <c r="G952" s="18" t="b">
        <v>0</v>
      </c>
      <c r="H952" s="18" t="b">
        <v>0</v>
      </c>
      <c r="I952" s="18" t="b">
        <v>0</v>
      </c>
      <c r="J952" s="18" t="b">
        <v>0</v>
      </c>
      <c r="K952" s="18" t="b">
        <v>0</v>
      </c>
      <c r="L952" s="18" t="b">
        <v>0</v>
      </c>
      <c r="M952" s="18" t="b">
        <v>0</v>
      </c>
      <c r="N952" s="18" t="b">
        <v>0</v>
      </c>
      <c r="O952" s="18" t="b">
        <v>0</v>
      </c>
      <c r="P952" s="18" t="b">
        <v>0</v>
      </c>
      <c r="Q952" s="18" t="b">
        <v>0</v>
      </c>
      <c r="R952" s="18" t="b">
        <v>0</v>
      </c>
    </row>
    <row r="953" spans="1:18" ht="15">
      <c r="A953" s="16" t="s">
        <v>3086</v>
      </c>
      <c r="B953" s="15" t="s">
        <v>3086</v>
      </c>
      <c r="C953" s="16" t="s">
        <v>3087</v>
      </c>
      <c r="D953" s="17" t="s">
        <v>3088</v>
      </c>
      <c r="E953" s="16" t="s">
        <v>178</v>
      </c>
      <c r="F953" s="19" t="s">
        <v>27</v>
      </c>
      <c r="G953" s="18" t="b">
        <v>0</v>
      </c>
      <c r="H953" s="18" t="b">
        <v>0</v>
      </c>
      <c r="I953" s="18" t="b">
        <v>0</v>
      </c>
      <c r="J953" s="18" t="b">
        <v>0</v>
      </c>
      <c r="K953" s="18" t="b">
        <v>0</v>
      </c>
      <c r="L953" s="18" t="b">
        <v>0</v>
      </c>
      <c r="M953" s="18" t="b">
        <v>0</v>
      </c>
      <c r="N953" s="18" t="b">
        <v>1</v>
      </c>
      <c r="O953" s="18" t="b">
        <v>0</v>
      </c>
      <c r="P953" s="18" t="b">
        <v>0</v>
      </c>
      <c r="Q953" s="18" t="b">
        <v>0</v>
      </c>
      <c r="R953" s="18" t="b">
        <v>0</v>
      </c>
    </row>
    <row r="954" spans="1:18" ht="15" hidden="1">
      <c r="A954" s="16" t="s">
        <v>3089</v>
      </c>
      <c r="B954" s="15" t="s">
        <v>3089</v>
      </c>
      <c r="C954" s="16" t="s">
        <v>3090</v>
      </c>
      <c r="D954" s="16" t="s">
        <v>3091</v>
      </c>
      <c r="E954" s="16" t="s">
        <v>192</v>
      </c>
      <c r="F954" s="19" t="s">
        <v>38</v>
      </c>
      <c r="G954" s="18" t="b">
        <v>0</v>
      </c>
      <c r="H954" s="18" t="b">
        <v>0</v>
      </c>
      <c r="I954" s="18" t="b">
        <v>0</v>
      </c>
      <c r="J954" s="18" t="b">
        <v>0</v>
      </c>
      <c r="K954" s="18" t="b">
        <v>0</v>
      </c>
      <c r="L954" s="18" t="b">
        <v>0</v>
      </c>
      <c r="M954" s="18" t="b">
        <v>0</v>
      </c>
      <c r="N954" s="18" t="b">
        <v>0</v>
      </c>
      <c r="O954" s="18" t="b">
        <v>0</v>
      </c>
      <c r="P954" s="18" t="b">
        <v>1</v>
      </c>
      <c r="Q954" s="18" t="b">
        <v>0</v>
      </c>
      <c r="R954" s="18" t="b">
        <v>0</v>
      </c>
    </row>
    <row r="955" spans="1:18" ht="15">
      <c r="A955" s="16" t="s">
        <v>3092</v>
      </c>
      <c r="B955" s="15" t="s">
        <v>3092</v>
      </c>
      <c r="C955" s="16" t="s">
        <v>3093</v>
      </c>
      <c r="D955" s="16" t="s">
        <v>3094</v>
      </c>
      <c r="E955" s="16" t="s">
        <v>60</v>
      </c>
      <c r="F955" s="19" t="s">
        <v>27</v>
      </c>
      <c r="G955" s="18" t="b">
        <v>0</v>
      </c>
      <c r="H955" s="18" t="b">
        <v>0</v>
      </c>
      <c r="I955" s="18" t="b">
        <v>0</v>
      </c>
      <c r="J955" s="18" t="b">
        <v>0</v>
      </c>
      <c r="K955" s="18" t="b">
        <v>0</v>
      </c>
      <c r="L955" s="18" t="b">
        <v>0</v>
      </c>
      <c r="M955" s="18" t="b">
        <v>0</v>
      </c>
      <c r="N955" s="18" t="b">
        <v>0</v>
      </c>
      <c r="O955" s="18" t="b">
        <v>0</v>
      </c>
      <c r="P955" s="18" t="b">
        <v>0</v>
      </c>
      <c r="Q955" s="18" t="b">
        <v>0</v>
      </c>
      <c r="R955" s="18" t="b">
        <v>0</v>
      </c>
    </row>
    <row r="956" spans="1:18" ht="18">
      <c r="A956" s="111" t="s">
        <v>3095</v>
      </c>
      <c r="B956" s="15" t="s">
        <v>3095</v>
      </c>
      <c r="C956" s="16" t="s">
        <v>3096</v>
      </c>
      <c r="D956" s="16" t="s">
        <v>3097</v>
      </c>
      <c r="E956" s="16" t="s">
        <v>26</v>
      </c>
      <c r="F956" s="19" t="s">
        <v>27</v>
      </c>
      <c r="G956" s="18" t="b">
        <v>0</v>
      </c>
      <c r="H956" s="18" t="b">
        <v>0</v>
      </c>
      <c r="I956" s="18" t="b">
        <v>1</v>
      </c>
      <c r="J956" s="18" t="b">
        <v>0</v>
      </c>
      <c r="K956" s="18" t="b">
        <v>0</v>
      </c>
      <c r="L956" s="18" t="b">
        <v>0</v>
      </c>
      <c r="M956" s="18" t="b">
        <v>0</v>
      </c>
      <c r="N956" s="18" t="b">
        <v>0</v>
      </c>
      <c r="O956" s="18" t="b">
        <v>0</v>
      </c>
      <c r="P956" s="18" t="b">
        <v>0</v>
      </c>
      <c r="Q956" s="18" t="b">
        <v>0</v>
      </c>
      <c r="R956" s="18" t="b">
        <v>0</v>
      </c>
    </row>
    <row r="957" spans="1:18" ht="18">
      <c r="A957" s="61" t="s">
        <v>3098</v>
      </c>
      <c r="B957" s="15" t="s">
        <v>3099</v>
      </c>
      <c r="C957" s="31" t="s">
        <v>3100</v>
      </c>
      <c r="D957" s="90" t="s">
        <v>3101</v>
      </c>
      <c r="E957" s="16" t="s">
        <v>990</v>
      </c>
      <c r="F957" s="19" t="s">
        <v>27</v>
      </c>
      <c r="G957" s="18" t="b">
        <v>0</v>
      </c>
      <c r="H957" s="18" t="b">
        <v>0</v>
      </c>
      <c r="I957" s="18" t="b">
        <v>0</v>
      </c>
      <c r="J957" s="18" t="b">
        <v>0</v>
      </c>
      <c r="K957" s="18" t="b">
        <v>0</v>
      </c>
      <c r="L957" s="18" t="b">
        <v>0</v>
      </c>
      <c r="M957" s="18" t="b">
        <v>0</v>
      </c>
      <c r="N957" s="18" t="b">
        <v>0</v>
      </c>
      <c r="O957" s="18" t="b">
        <v>0</v>
      </c>
      <c r="P957" s="18" t="b">
        <v>0</v>
      </c>
      <c r="Q957" s="18" t="b">
        <v>0</v>
      </c>
      <c r="R957" s="18" t="b">
        <v>1</v>
      </c>
    </row>
    <row r="958" spans="1:18" ht="18">
      <c r="A958" s="61" t="s">
        <v>3102</v>
      </c>
      <c r="B958" s="15" t="s">
        <v>3102</v>
      </c>
      <c r="C958" s="31" t="s">
        <v>3103</v>
      </c>
      <c r="D958" s="90" t="s">
        <v>3104</v>
      </c>
      <c r="E958" s="16" t="s">
        <v>43</v>
      </c>
      <c r="F958" s="19" t="s">
        <v>27</v>
      </c>
      <c r="G958" s="18" t="b">
        <v>1</v>
      </c>
      <c r="H958" s="18" t="b">
        <v>0</v>
      </c>
      <c r="I958" s="18" t="b">
        <v>0</v>
      </c>
      <c r="J958" s="18" t="b">
        <v>0</v>
      </c>
      <c r="K958" s="18" t="b">
        <v>0</v>
      </c>
      <c r="L958" s="18" t="b">
        <v>0</v>
      </c>
      <c r="M958" s="18" t="b">
        <v>0</v>
      </c>
      <c r="N958" s="18" t="b">
        <v>0</v>
      </c>
      <c r="O958" s="18" t="b">
        <v>0</v>
      </c>
      <c r="P958" s="18" t="b">
        <v>0</v>
      </c>
      <c r="Q958" s="18" t="b">
        <v>0</v>
      </c>
      <c r="R958" s="18" t="b">
        <v>0</v>
      </c>
    </row>
    <row r="959" spans="1:18" ht="18">
      <c r="A959" s="61" t="s">
        <v>3105</v>
      </c>
      <c r="B959" s="15" t="s">
        <v>3105</v>
      </c>
      <c r="C959" s="31" t="s">
        <v>3106</v>
      </c>
      <c r="D959" s="90" t="s">
        <v>3107</v>
      </c>
      <c r="E959" s="18" t="s">
        <v>304</v>
      </c>
      <c r="F959" s="19" t="s">
        <v>27</v>
      </c>
      <c r="G959" s="18" t="b">
        <v>0</v>
      </c>
      <c r="H959" s="18" t="b">
        <v>0</v>
      </c>
      <c r="I959" s="18" t="b">
        <v>0</v>
      </c>
      <c r="J959" s="18" t="b">
        <v>0</v>
      </c>
      <c r="K959" s="18" t="b">
        <v>0</v>
      </c>
      <c r="L959" s="18" t="b">
        <v>1</v>
      </c>
      <c r="M959" s="18" t="b">
        <v>0</v>
      </c>
      <c r="N959" s="18" t="b">
        <v>0</v>
      </c>
      <c r="O959" s="18" t="b">
        <v>0</v>
      </c>
      <c r="P959" s="18" t="b">
        <v>0</v>
      </c>
      <c r="Q959" s="18" t="b">
        <v>0</v>
      </c>
      <c r="R959" s="18" t="b">
        <v>0</v>
      </c>
    </row>
    <row r="960" spans="1:18" ht="18">
      <c r="A960" s="61" t="s">
        <v>3108</v>
      </c>
      <c r="B960" s="15" t="s">
        <v>3108</v>
      </c>
      <c r="C960" s="31" t="s">
        <v>3109</v>
      </c>
      <c r="D960" s="90" t="s">
        <v>3110</v>
      </c>
      <c r="E960" s="18" t="s">
        <v>304</v>
      </c>
      <c r="F960" s="19" t="s">
        <v>27</v>
      </c>
      <c r="G960" s="18" t="b">
        <v>0</v>
      </c>
      <c r="H960" s="18" t="b">
        <v>0</v>
      </c>
      <c r="I960" s="18" t="b">
        <v>0</v>
      </c>
      <c r="J960" s="18" t="b">
        <v>0</v>
      </c>
      <c r="K960" s="18" t="b">
        <v>0</v>
      </c>
      <c r="L960" s="18" t="b">
        <v>1</v>
      </c>
      <c r="M960" s="18" t="b">
        <v>0</v>
      </c>
      <c r="N960" s="18" t="b">
        <v>0</v>
      </c>
      <c r="O960" s="18" t="b">
        <v>0</v>
      </c>
      <c r="P960" s="18" t="b">
        <v>0</v>
      </c>
      <c r="Q960" s="18" t="b">
        <v>0</v>
      </c>
      <c r="R960" s="18" t="b">
        <v>0</v>
      </c>
    </row>
    <row r="961" spans="1:18" ht="18">
      <c r="A961" s="61" t="s">
        <v>3111</v>
      </c>
      <c r="B961" s="15" t="s">
        <v>3111</v>
      </c>
      <c r="C961" s="31" t="s">
        <v>3112</v>
      </c>
      <c r="D961" s="90" t="s">
        <v>3113</v>
      </c>
      <c r="E961" s="18" t="s">
        <v>304</v>
      </c>
      <c r="F961" s="19" t="s">
        <v>27</v>
      </c>
      <c r="G961" s="18" t="b">
        <v>0</v>
      </c>
      <c r="H961" s="18" t="b">
        <v>0</v>
      </c>
      <c r="I961" s="18" t="b">
        <v>0</v>
      </c>
      <c r="J961" s="18" t="b">
        <v>0</v>
      </c>
      <c r="K961" s="18" t="b">
        <v>0</v>
      </c>
      <c r="L961" s="18" t="b">
        <v>1</v>
      </c>
      <c r="M961" s="18" t="b">
        <v>0</v>
      </c>
      <c r="N961" s="18" t="b">
        <v>0</v>
      </c>
      <c r="O961" s="18" t="b">
        <v>0</v>
      </c>
      <c r="P961" s="18" t="b">
        <v>0</v>
      </c>
      <c r="Q961" s="18" t="b">
        <v>0</v>
      </c>
      <c r="R961" s="18" t="b">
        <v>0</v>
      </c>
    </row>
    <row r="962" spans="1:18" ht="18">
      <c r="A962" s="61" t="s">
        <v>3114</v>
      </c>
      <c r="B962" s="15" t="s">
        <v>3115</v>
      </c>
      <c r="C962" s="31" t="s">
        <v>3116</v>
      </c>
      <c r="D962" s="90" t="s">
        <v>3117</v>
      </c>
      <c r="E962" s="16" t="s">
        <v>154</v>
      </c>
      <c r="F962" s="19" t="s">
        <v>27</v>
      </c>
      <c r="G962" s="18" t="b">
        <v>0</v>
      </c>
      <c r="H962" s="18" t="b">
        <v>0</v>
      </c>
      <c r="I962" s="18" t="b">
        <v>0</v>
      </c>
      <c r="J962" s="18" t="b">
        <v>0</v>
      </c>
      <c r="K962" s="18" t="b">
        <v>1</v>
      </c>
      <c r="L962" s="18" t="b">
        <v>0</v>
      </c>
      <c r="M962" s="18" t="b">
        <v>0</v>
      </c>
      <c r="N962" s="18" t="b">
        <v>0</v>
      </c>
      <c r="O962" s="18" t="b">
        <v>0</v>
      </c>
      <c r="P962" s="18" t="b">
        <v>0</v>
      </c>
      <c r="Q962" s="18" t="b">
        <v>0</v>
      </c>
      <c r="R962" s="18" t="b">
        <v>0</v>
      </c>
    </row>
    <row r="963" spans="1:18" ht="15">
      <c r="A963" s="16" t="s">
        <v>3118</v>
      </c>
      <c r="B963" s="15" t="s">
        <v>3118</v>
      </c>
      <c r="C963" s="31" t="s">
        <v>3119</v>
      </c>
      <c r="D963" s="90" t="s">
        <v>3120</v>
      </c>
      <c r="E963" s="18" t="s">
        <v>304</v>
      </c>
      <c r="F963" s="19" t="s">
        <v>27</v>
      </c>
      <c r="G963" s="18" t="b">
        <v>0</v>
      </c>
      <c r="H963" s="18" t="b">
        <v>0</v>
      </c>
      <c r="I963" s="18" t="b">
        <v>0</v>
      </c>
      <c r="J963" s="18" t="b">
        <v>0</v>
      </c>
      <c r="K963" s="18" t="b">
        <v>0</v>
      </c>
      <c r="L963" s="18" t="b">
        <v>1</v>
      </c>
      <c r="M963" s="18" t="b">
        <v>0</v>
      </c>
      <c r="N963" s="18" t="b">
        <v>0</v>
      </c>
      <c r="O963" s="18" t="b">
        <v>0</v>
      </c>
      <c r="P963" s="18" t="b">
        <v>0</v>
      </c>
      <c r="Q963" s="18" t="b">
        <v>0</v>
      </c>
      <c r="R963" s="18" t="b">
        <v>0</v>
      </c>
    </row>
    <row r="964" spans="1:18" ht="15">
      <c r="A964" s="16" t="s">
        <v>3121</v>
      </c>
      <c r="B964" s="15" t="s">
        <v>3121</v>
      </c>
      <c r="C964" s="16" t="s">
        <v>3122</v>
      </c>
      <c r="D964" s="16" t="s">
        <v>3123</v>
      </c>
      <c r="E964" s="16" t="s">
        <v>43</v>
      </c>
      <c r="F964" s="19" t="s">
        <v>27</v>
      </c>
      <c r="G964" s="18" t="b">
        <v>1</v>
      </c>
      <c r="H964" s="18" t="b">
        <v>0</v>
      </c>
      <c r="I964" s="18" t="b">
        <v>0</v>
      </c>
      <c r="J964" s="18" t="b">
        <v>0</v>
      </c>
      <c r="K964" s="18" t="b">
        <v>0</v>
      </c>
      <c r="L964" s="18" t="b">
        <v>0</v>
      </c>
      <c r="M964" s="18" t="b">
        <v>0</v>
      </c>
      <c r="N964" s="18" t="b">
        <v>0</v>
      </c>
      <c r="O964" s="18" t="b">
        <v>0</v>
      </c>
      <c r="P964" s="18" t="b">
        <v>0</v>
      </c>
      <c r="Q964" s="18" t="b">
        <v>0</v>
      </c>
      <c r="R964" s="18" t="b">
        <v>0</v>
      </c>
    </row>
    <row r="965" spans="1:18" ht="15">
      <c r="A965" s="17" t="s">
        <v>3124</v>
      </c>
      <c r="B965" s="15" t="s">
        <v>3124</v>
      </c>
      <c r="C965" s="16" t="s">
        <v>3125</v>
      </c>
      <c r="D965" s="16" t="s">
        <v>3126</v>
      </c>
      <c r="E965" s="18" t="s">
        <v>304</v>
      </c>
      <c r="F965" s="19" t="s">
        <v>27</v>
      </c>
      <c r="G965" s="18" t="b">
        <v>0</v>
      </c>
      <c r="H965" s="18" t="b">
        <v>0</v>
      </c>
      <c r="I965" s="18" t="b">
        <v>0</v>
      </c>
      <c r="J965" s="18" t="b">
        <v>0</v>
      </c>
      <c r="K965" s="18" t="b">
        <v>0</v>
      </c>
      <c r="L965" s="18" t="b">
        <v>1</v>
      </c>
      <c r="M965" s="18" t="b">
        <v>0</v>
      </c>
      <c r="N965" s="18" t="b">
        <v>0</v>
      </c>
      <c r="O965" s="18" t="b">
        <v>0</v>
      </c>
      <c r="P965" s="18" t="b">
        <v>0</v>
      </c>
      <c r="Q965" s="18" t="b">
        <v>0</v>
      </c>
      <c r="R965" s="18" t="b">
        <v>0</v>
      </c>
    </row>
    <row r="966" spans="1:18" ht="15">
      <c r="A966" s="16" t="s">
        <v>3127</v>
      </c>
      <c r="B966" s="15" t="s">
        <v>3127</v>
      </c>
      <c r="C966" s="16" t="s">
        <v>3128</v>
      </c>
      <c r="D966" s="16" t="s">
        <v>3129</v>
      </c>
      <c r="E966" s="16" t="s">
        <v>990</v>
      </c>
      <c r="F966" s="19" t="s">
        <v>27</v>
      </c>
      <c r="G966" s="18" t="b">
        <v>0</v>
      </c>
      <c r="H966" s="18" t="b">
        <v>0</v>
      </c>
      <c r="I966" s="18" t="b">
        <v>0</v>
      </c>
      <c r="J966" s="18" t="b">
        <v>0</v>
      </c>
      <c r="K966" s="18" t="b">
        <v>0</v>
      </c>
      <c r="L966" s="18" t="b">
        <v>0</v>
      </c>
      <c r="M966" s="18" t="b">
        <v>0</v>
      </c>
      <c r="N966" s="18" t="b">
        <v>0</v>
      </c>
      <c r="O966" s="18" t="b">
        <v>0</v>
      </c>
      <c r="P966" s="18" t="b">
        <v>0</v>
      </c>
      <c r="Q966" s="18" t="b">
        <v>0</v>
      </c>
      <c r="R966" s="18" t="b">
        <v>1</v>
      </c>
    </row>
    <row r="967" spans="1:18" ht="15">
      <c r="A967" s="16" t="s">
        <v>3130</v>
      </c>
      <c r="B967" s="15" t="s">
        <v>3130</v>
      </c>
      <c r="C967" s="16" t="s">
        <v>3131</v>
      </c>
      <c r="D967" s="16" t="s">
        <v>3132</v>
      </c>
      <c r="E967" s="16" t="s">
        <v>304</v>
      </c>
      <c r="F967" s="19" t="s">
        <v>27</v>
      </c>
      <c r="G967" s="18" t="b">
        <v>0</v>
      </c>
      <c r="H967" s="18" t="b">
        <v>0</v>
      </c>
      <c r="I967" s="18" t="b">
        <v>0</v>
      </c>
      <c r="J967" s="18" t="b">
        <v>0</v>
      </c>
      <c r="K967" s="18" t="b">
        <v>0</v>
      </c>
      <c r="L967" s="18" t="b">
        <v>1</v>
      </c>
      <c r="M967" s="18" t="b">
        <v>0</v>
      </c>
      <c r="N967" s="18" t="b">
        <v>0</v>
      </c>
      <c r="O967" s="18" t="b">
        <v>0</v>
      </c>
      <c r="P967" s="18" t="b">
        <v>0</v>
      </c>
      <c r="Q967" s="18" t="b">
        <v>0</v>
      </c>
      <c r="R967" s="18" t="b">
        <v>0</v>
      </c>
    </row>
    <row r="968" spans="1:18" ht="15">
      <c r="A968" s="16" t="s">
        <v>3133</v>
      </c>
      <c r="B968" s="15" t="s">
        <v>3133</v>
      </c>
      <c r="C968" s="16" t="s">
        <v>3134</v>
      </c>
      <c r="D968" s="16" t="s">
        <v>3135</v>
      </c>
      <c r="E968" s="16" t="s">
        <v>990</v>
      </c>
      <c r="F968" s="19" t="s">
        <v>27</v>
      </c>
      <c r="G968" s="18" t="b">
        <v>0</v>
      </c>
      <c r="H968" s="18" t="b">
        <v>0</v>
      </c>
      <c r="I968" s="18" t="b">
        <v>0</v>
      </c>
      <c r="J968" s="18" t="b">
        <v>0</v>
      </c>
      <c r="K968" s="18" t="b">
        <v>0</v>
      </c>
      <c r="L968" s="18" t="b">
        <v>0</v>
      </c>
      <c r="M968" s="18" t="b">
        <v>0</v>
      </c>
      <c r="N968" s="18" t="b">
        <v>0</v>
      </c>
      <c r="O968" s="18" t="b">
        <v>0</v>
      </c>
      <c r="P968" s="18" t="b">
        <v>0</v>
      </c>
      <c r="Q968" s="18" t="b">
        <v>0</v>
      </c>
      <c r="R968" s="18" t="b">
        <v>1</v>
      </c>
    </row>
    <row r="969" spans="1:18" ht="18">
      <c r="A969" s="111" t="s">
        <v>3136</v>
      </c>
      <c r="B969" s="15" t="s">
        <v>3137</v>
      </c>
      <c r="C969" s="16" t="s">
        <v>3138</v>
      </c>
      <c r="D969" s="16" t="s">
        <v>3139</v>
      </c>
      <c r="E969" s="16" t="s">
        <v>26</v>
      </c>
      <c r="F969" s="19" t="s">
        <v>27</v>
      </c>
      <c r="G969" s="18" t="b">
        <v>0</v>
      </c>
      <c r="H969" s="18" t="b">
        <v>0</v>
      </c>
      <c r="I969" s="18" t="b">
        <v>1</v>
      </c>
      <c r="J969" s="18" t="b">
        <v>0</v>
      </c>
      <c r="K969" s="18" t="b">
        <v>0</v>
      </c>
      <c r="L969" s="18" t="b">
        <v>0</v>
      </c>
      <c r="M969" s="18" t="b">
        <v>0</v>
      </c>
      <c r="N969" s="18" t="b">
        <v>0</v>
      </c>
      <c r="O969" s="18" t="b">
        <v>0</v>
      </c>
      <c r="P969" s="18" t="b">
        <v>0</v>
      </c>
      <c r="Q969" s="18" t="b">
        <v>0</v>
      </c>
      <c r="R969" s="18" t="b">
        <v>0</v>
      </c>
    </row>
    <row r="970" spans="1:18" ht="15">
      <c r="A970" s="16" t="s">
        <v>3140</v>
      </c>
      <c r="B970" s="15" t="s">
        <v>3141</v>
      </c>
      <c r="C970" s="16" t="s">
        <v>3142</v>
      </c>
      <c r="D970" s="17" t="s">
        <v>3143</v>
      </c>
      <c r="E970" s="16" t="s">
        <v>178</v>
      </c>
      <c r="F970" s="19" t="s">
        <v>27</v>
      </c>
      <c r="G970" s="18" t="b">
        <v>0</v>
      </c>
      <c r="H970" s="18" t="b">
        <v>0</v>
      </c>
      <c r="I970" s="18" t="b">
        <v>0</v>
      </c>
      <c r="J970" s="18" t="b">
        <v>0</v>
      </c>
      <c r="K970" s="18" t="b">
        <v>0</v>
      </c>
      <c r="L970" s="18" t="b">
        <v>0</v>
      </c>
      <c r="M970" s="18" t="b">
        <v>0</v>
      </c>
      <c r="N970" s="18" t="b">
        <v>1</v>
      </c>
      <c r="O970" s="18" t="b">
        <v>0</v>
      </c>
      <c r="P970" s="18" t="b">
        <v>0</v>
      </c>
      <c r="Q970" s="18" t="b">
        <v>0</v>
      </c>
      <c r="R970" s="18" t="b">
        <v>0</v>
      </c>
    </row>
    <row r="971" spans="1:18" ht="18">
      <c r="A971" s="111" t="s">
        <v>3144</v>
      </c>
      <c r="B971" s="15" t="s">
        <v>3144</v>
      </c>
      <c r="C971" s="16" t="s">
        <v>3145</v>
      </c>
      <c r="D971" s="16" t="s">
        <v>3146</v>
      </c>
      <c r="E971" s="16" t="s">
        <v>26</v>
      </c>
      <c r="F971" s="19" t="s">
        <v>27</v>
      </c>
      <c r="G971" s="18" t="b">
        <v>0</v>
      </c>
      <c r="H971" s="18" t="b">
        <v>0</v>
      </c>
      <c r="I971" s="18" t="b">
        <v>1</v>
      </c>
      <c r="J971" s="18" t="b">
        <v>0</v>
      </c>
      <c r="K971" s="18" t="b">
        <v>0</v>
      </c>
      <c r="L971" s="18" t="b">
        <v>0</v>
      </c>
      <c r="M971" s="18" t="b">
        <v>0</v>
      </c>
      <c r="N971" s="18" t="b">
        <v>0</v>
      </c>
      <c r="O971" s="18" t="b">
        <v>0</v>
      </c>
      <c r="P971" s="18" t="b">
        <v>0</v>
      </c>
      <c r="Q971" s="18" t="b">
        <v>0</v>
      </c>
      <c r="R971" s="18" t="b">
        <v>0</v>
      </c>
    </row>
    <row r="972" spans="1:18" ht="15">
      <c r="A972" s="16" t="s">
        <v>3147</v>
      </c>
      <c r="B972" s="15" t="s">
        <v>3147</v>
      </c>
      <c r="C972" s="16" t="s">
        <v>3148</v>
      </c>
      <c r="D972" s="16" t="s">
        <v>3149</v>
      </c>
      <c r="E972" s="16" t="s">
        <v>304</v>
      </c>
      <c r="F972" s="19" t="s">
        <v>27</v>
      </c>
      <c r="G972" s="18" t="b">
        <v>0</v>
      </c>
      <c r="H972" s="18" t="b">
        <v>0</v>
      </c>
      <c r="I972" s="18" t="b">
        <v>0</v>
      </c>
      <c r="J972" s="18" t="b">
        <v>0</v>
      </c>
      <c r="K972" s="18" t="b">
        <v>0</v>
      </c>
      <c r="L972" s="18" t="b">
        <v>1</v>
      </c>
      <c r="M972" s="18" t="b">
        <v>0</v>
      </c>
      <c r="N972" s="18" t="b">
        <v>0</v>
      </c>
      <c r="O972" s="18" t="b">
        <v>0</v>
      </c>
      <c r="P972" s="18" t="b">
        <v>0</v>
      </c>
      <c r="Q972" s="18" t="b">
        <v>0</v>
      </c>
      <c r="R972" s="18" t="b">
        <v>0</v>
      </c>
    </row>
    <row r="973" spans="1:18" ht="15">
      <c r="A973" s="16" t="s">
        <v>3150</v>
      </c>
      <c r="B973" s="15" t="s">
        <v>3150</v>
      </c>
      <c r="C973" s="16" t="s">
        <v>3151</v>
      </c>
      <c r="D973" s="16" t="s">
        <v>3152</v>
      </c>
      <c r="E973" s="16" t="s">
        <v>43</v>
      </c>
      <c r="F973" s="19" t="s">
        <v>27</v>
      </c>
      <c r="G973" s="18" t="b">
        <v>1</v>
      </c>
      <c r="H973" s="18" t="b">
        <v>0</v>
      </c>
      <c r="I973" s="18" t="b">
        <v>0</v>
      </c>
      <c r="J973" s="18" t="b">
        <v>0</v>
      </c>
      <c r="K973" s="18" t="b">
        <v>0</v>
      </c>
      <c r="L973" s="18" t="b">
        <v>0</v>
      </c>
      <c r="M973" s="18" t="b">
        <v>0</v>
      </c>
      <c r="N973" s="18" t="b">
        <v>0</v>
      </c>
      <c r="O973" s="18" t="b">
        <v>0</v>
      </c>
      <c r="P973" s="18" t="b">
        <v>0</v>
      </c>
      <c r="Q973" s="18" t="b">
        <v>0</v>
      </c>
      <c r="R973" s="18" t="b">
        <v>0</v>
      </c>
    </row>
    <row r="974" spans="1:18" ht="15">
      <c r="A974" s="16" t="s">
        <v>3153</v>
      </c>
      <c r="B974" s="15" t="s">
        <v>3153</v>
      </c>
      <c r="C974" s="16" t="s">
        <v>3154</v>
      </c>
      <c r="D974" s="16" t="s">
        <v>3155</v>
      </c>
      <c r="E974" s="16" t="s">
        <v>304</v>
      </c>
      <c r="F974" s="19" t="s">
        <v>27</v>
      </c>
      <c r="G974" s="18" t="b">
        <v>0</v>
      </c>
      <c r="H974" s="18" t="b">
        <v>0</v>
      </c>
      <c r="I974" s="18" t="b">
        <v>0</v>
      </c>
      <c r="J974" s="18" t="b">
        <v>0</v>
      </c>
      <c r="K974" s="18" t="b">
        <v>0</v>
      </c>
      <c r="L974" s="18" t="b">
        <v>1</v>
      </c>
      <c r="M974" s="18" t="b">
        <v>0</v>
      </c>
      <c r="N974" s="18" t="b">
        <v>0</v>
      </c>
      <c r="O974" s="18" t="b">
        <v>0</v>
      </c>
      <c r="P974" s="18" t="b">
        <v>0</v>
      </c>
      <c r="Q974" s="18" t="b">
        <v>0</v>
      </c>
      <c r="R974" s="18" t="b">
        <v>0</v>
      </c>
    </row>
    <row r="975" spans="1:18" ht="15">
      <c r="A975" s="16" t="s">
        <v>3156</v>
      </c>
      <c r="B975" s="15" t="s">
        <v>3156</v>
      </c>
      <c r="C975" s="16" t="s">
        <v>3157</v>
      </c>
      <c r="D975" s="16" t="s">
        <v>3158</v>
      </c>
      <c r="E975" s="16" t="s">
        <v>154</v>
      </c>
      <c r="F975" s="19" t="s">
        <v>27</v>
      </c>
      <c r="G975" s="18" t="b">
        <v>0</v>
      </c>
      <c r="H975" s="18" t="b">
        <v>0</v>
      </c>
      <c r="I975" s="18" t="b">
        <v>1</v>
      </c>
      <c r="J975" s="18" t="b">
        <v>0</v>
      </c>
      <c r="K975" s="18" t="b">
        <v>1</v>
      </c>
      <c r="L975" s="18" t="b">
        <v>0</v>
      </c>
      <c r="M975" s="18" t="b">
        <v>0</v>
      </c>
      <c r="N975" s="18" t="b">
        <v>0</v>
      </c>
      <c r="O975" s="18" t="b">
        <v>0</v>
      </c>
      <c r="P975" s="18" t="b">
        <v>0</v>
      </c>
      <c r="Q975" s="18" t="b">
        <v>0</v>
      </c>
      <c r="R975" s="18" t="b">
        <v>0</v>
      </c>
    </row>
    <row r="976" spans="1:18" ht="15">
      <c r="A976" s="16" t="s">
        <v>3159</v>
      </c>
      <c r="B976" s="15" t="s">
        <v>3159</v>
      </c>
      <c r="C976" s="16" t="s">
        <v>3160</v>
      </c>
      <c r="D976" s="16" t="s">
        <v>3161</v>
      </c>
      <c r="E976" s="16" t="s">
        <v>192</v>
      </c>
      <c r="F976" s="19" t="s">
        <v>27</v>
      </c>
      <c r="G976" s="18" t="b">
        <v>0</v>
      </c>
      <c r="H976" s="18" t="b">
        <v>0</v>
      </c>
      <c r="I976" s="18" t="b">
        <v>0</v>
      </c>
      <c r="J976" s="18" t="b">
        <v>0</v>
      </c>
      <c r="K976" s="18" t="b">
        <v>0</v>
      </c>
      <c r="L976" s="18" t="b">
        <v>0</v>
      </c>
      <c r="M976" s="18" t="b">
        <v>0</v>
      </c>
      <c r="N976" s="18" t="b">
        <v>0</v>
      </c>
      <c r="O976" s="18" t="b">
        <v>0</v>
      </c>
      <c r="P976" s="18" t="b">
        <v>0</v>
      </c>
      <c r="Q976" s="18" t="b">
        <v>1</v>
      </c>
      <c r="R976" s="18" t="b">
        <v>0</v>
      </c>
    </row>
    <row r="977" spans="1:18" ht="15">
      <c r="A977" s="16" t="s">
        <v>3162</v>
      </c>
      <c r="B977" s="15" t="s">
        <v>3163</v>
      </c>
      <c r="C977" s="16" t="s">
        <v>3164</v>
      </c>
      <c r="D977" s="16" t="s">
        <v>3165</v>
      </c>
      <c r="E977" s="16" t="s">
        <v>990</v>
      </c>
      <c r="F977" s="19" t="s">
        <v>27</v>
      </c>
      <c r="G977" s="18" t="b">
        <v>0</v>
      </c>
      <c r="H977" s="18" t="b">
        <v>0</v>
      </c>
      <c r="I977" s="18" t="b">
        <v>0</v>
      </c>
      <c r="J977" s="18" t="b">
        <v>0</v>
      </c>
      <c r="K977" s="18" t="b">
        <v>0</v>
      </c>
      <c r="L977" s="18" t="b">
        <v>0</v>
      </c>
      <c r="M977" s="18" t="b">
        <v>0</v>
      </c>
      <c r="N977" s="18" t="b">
        <v>0</v>
      </c>
      <c r="O977" s="18" t="b">
        <v>0</v>
      </c>
      <c r="P977" s="18" t="b">
        <v>0</v>
      </c>
      <c r="Q977" s="18" t="b">
        <v>0</v>
      </c>
      <c r="R977" s="18" t="b">
        <v>1</v>
      </c>
    </row>
    <row r="978" spans="1:18" ht="15">
      <c r="A978" s="16" t="s">
        <v>3166</v>
      </c>
      <c r="B978" s="15" t="s">
        <v>3166</v>
      </c>
      <c r="C978" s="16" t="s">
        <v>3167</v>
      </c>
      <c r="D978" s="16" t="s">
        <v>3168</v>
      </c>
      <c r="E978" s="16" t="s">
        <v>304</v>
      </c>
      <c r="F978" s="19" t="s">
        <v>27</v>
      </c>
      <c r="G978" s="18" t="b">
        <v>0</v>
      </c>
      <c r="H978" s="18" t="b">
        <v>0</v>
      </c>
      <c r="I978" s="18" t="b">
        <v>0</v>
      </c>
      <c r="J978" s="18" t="b">
        <v>0</v>
      </c>
      <c r="K978" s="18" t="b">
        <v>0</v>
      </c>
      <c r="L978" s="18" t="b">
        <v>1</v>
      </c>
      <c r="M978" s="18" t="b">
        <v>0</v>
      </c>
      <c r="N978" s="18" t="b">
        <v>0</v>
      </c>
      <c r="O978" s="18" t="b">
        <v>0</v>
      </c>
      <c r="P978" s="18" t="b">
        <v>0</v>
      </c>
      <c r="Q978" s="18" t="b">
        <v>0</v>
      </c>
      <c r="R978" s="18" t="b">
        <v>0</v>
      </c>
    </row>
    <row r="979" spans="1:18" ht="15">
      <c r="A979" s="16" t="s">
        <v>3169</v>
      </c>
      <c r="B979" s="15" t="s">
        <v>3169</v>
      </c>
      <c r="C979" s="16" t="s">
        <v>3170</v>
      </c>
      <c r="D979" s="16" t="s">
        <v>3171</v>
      </c>
      <c r="E979" s="16" t="s">
        <v>43</v>
      </c>
      <c r="F979" s="19" t="s">
        <v>27</v>
      </c>
      <c r="G979" s="18" t="b">
        <v>1</v>
      </c>
      <c r="H979" s="18" t="b">
        <v>0</v>
      </c>
      <c r="I979" s="18" t="b">
        <v>0</v>
      </c>
      <c r="J979" s="18" t="b">
        <v>0</v>
      </c>
      <c r="K979" s="18" t="b">
        <v>0</v>
      </c>
      <c r="L979" s="18" t="b">
        <v>0</v>
      </c>
      <c r="M979" s="18" t="b">
        <v>0</v>
      </c>
      <c r="N979" s="18" t="b">
        <v>0</v>
      </c>
      <c r="O979" s="18" t="b">
        <v>0</v>
      </c>
      <c r="P979" s="18" t="b">
        <v>0</v>
      </c>
      <c r="Q979" s="18" t="b">
        <v>0</v>
      </c>
      <c r="R979" s="18" t="b">
        <v>0</v>
      </c>
    </row>
    <row r="980" spans="1:18" ht="15">
      <c r="A980" s="16" t="s">
        <v>3172</v>
      </c>
      <c r="B980" s="15"/>
      <c r="C980" s="16" t="s">
        <v>3173</v>
      </c>
      <c r="D980" s="16" t="s">
        <v>3174</v>
      </c>
      <c r="E980" s="16" t="s">
        <v>304</v>
      </c>
      <c r="F980" s="19" t="s">
        <v>27</v>
      </c>
      <c r="G980" s="18" t="b">
        <v>0</v>
      </c>
      <c r="H980" s="18" t="b">
        <v>0</v>
      </c>
      <c r="I980" s="18" t="b">
        <v>0</v>
      </c>
      <c r="J980" s="18" t="b">
        <v>0</v>
      </c>
      <c r="K980" s="18" t="b">
        <v>0</v>
      </c>
      <c r="L980" s="18" t="b">
        <v>1</v>
      </c>
      <c r="M980" s="18" t="b">
        <v>0</v>
      </c>
      <c r="N980" s="18" t="b">
        <v>0</v>
      </c>
      <c r="O980" s="18" t="b">
        <v>0</v>
      </c>
      <c r="P980" s="18" t="b">
        <v>0</v>
      </c>
      <c r="Q980" s="18" t="b">
        <v>0</v>
      </c>
      <c r="R980" s="18" t="b">
        <v>0</v>
      </c>
    </row>
    <row r="981" spans="1:18" ht="18">
      <c r="A981" s="111" t="s">
        <v>3175</v>
      </c>
      <c r="B981" s="195" t="s">
        <v>3175</v>
      </c>
      <c r="C981" s="16" t="s">
        <v>3176</v>
      </c>
      <c r="D981" s="16" t="s">
        <v>3177</v>
      </c>
      <c r="E981" s="16" t="s">
        <v>26</v>
      </c>
      <c r="F981" s="19" t="s">
        <v>27</v>
      </c>
      <c r="G981" s="18" t="b">
        <v>0</v>
      </c>
      <c r="H981" s="18" t="b">
        <v>0</v>
      </c>
      <c r="I981" s="18" t="b">
        <v>1</v>
      </c>
      <c r="J981" s="18" t="b">
        <v>0</v>
      </c>
      <c r="K981" s="18" t="b">
        <v>0</v>
      </c>
      <c r="L981" s="18" t="b">
        <v>0</v>
      </c>
      <c r="M981" s="18" t="b">
        <v>0</v>
      </c>
      <c r="N981" s="18" t="b">
        <v>0</v>
      </c>
      <c r="O981" s="18" t="b">
        <v>0</v>
      </c>
      <c r="P981" s="18" t="b">
        <v>0</v>
      </c>
      <c r="Q981" s="18" t="b">
        <v>0</v>
      </c>
      <c r="R981" s="18" t="b">
        <v>0</v>
      </c>
    </row>
    <row r="982" spans="1:18" ht="15">
      <c r="A982" s="16" t="s">
        <v>3178</v>
      </c>
      <c r="B982" s="196" t="s">
        <v>3179</v>
      </c>
      <c r="C982" s="16" t="s">
        <v>3180</v>
      </c>
      <c r="D982" s="16" t="s">
        <v>3181</v>
      </c>
      <c r="E982" s="16" t="s">
        <v>990</v>
      </c>
      <c r="F982" s="19" t="s">
        <v>27</v>
      </c>
      <c r="G982" s="18" t="b">
        <v>0</v>
      </c>
      <c r="H982" s="18" t="b">
        <v>0</v>
      </c>
      <c r="I982" s="18" t="b">
        <v>0</v>
      </c>
      <c r="J982" s="18" t="b">
        <v>0</v>
      </c>
      <c r="K982" s="18" t="b">
        <v>0</v>
      </c>
      <c r="L982" s="18" t="b">
        <v>0</v>
      </c>
      <c r="M982" s="18" t="b">
        <v>0</v>
      </c>
      <c r="N982" s="18" t="b">
        <v>0</v>
      </c>
      <c r="O982" s="18" t="b">
        <v>0</v>
      </c>
      <c r="P982" s="18" t="b">
        <v>0</v>
      </c>
      <c r="Q982" s="18" t="b">
        <v>0</v>
      </c>
      <c r="R982" s="18" t="b">
        <v>1</v>
      </c>
    </row>
    <row r="983" spans="1:18" ht="15">
      <c r="A983" s="16" t="s">
        <v>3182</v>
      </c>
      <c r="B983" s="15" t="s">
        <v>3182</v>
      </c>
      <c r="C983" s="16" t="s">
        <v>3183</v>
      </c>
      <c r="D983" s="16" t="s">
        <v>3184</v>
      </c>
      <c r="E983" s="16" t="s">
        <v>192</v>
      </c>
      <c r="F983" s="19" t="s">
        <v>27</v>
      </c>
      <c r="G983" s="18" t="b">
        <v>0</v>
      </c>
      <c r="H983" s="18" t="b">
        <v>0</v>
      </c>
      <c r="I983" s="18" t="b">
        <v>0</v>
      </c>
      <c r="J983" s="18" t="b">
        <v>0</v>
      </c>
      <c r="K983" s="18" t="b">
        <v>0</v>
      </c>
      <c r="L983" s="18" t="b">
        <v>0</v>
      </c>
      <c r="M983" s="18" t="b">
        <v>0</v>
      </c>
      <c r="N983" s="18" t="b">
        <v>0</v>
      </c>
      <c r="O983" s="18" t="b">
        <v>0</v>
      </c>
      <c r="P983" s="18" t="b">
        <v>1</v>
      </c>
      <c r="Q983" s="18" t="b">
        <v>0</v>
      </c>
      <c r="R983" s="18" t="b">
        <v>0</v>
      </c>
    </row>
    <row r="984" spans="1:18" ht="15">
      <c r="A984" s="16" t="s">
        <v>3185</v>
      </c>
      <c r="B984" s="197" t="s">
        <v>3185</v>
      </c>
      <c r="C984" s="16" t="s">
        <v>3186</v>
      </c>
      <c r="D984" s="16" t="s">
        <v>3187</v>
      </c>
      <c r="E984" s="16" t="s">
        <v>154</v>
      </c>
      <c r="F984" s="19" t="s">
        <v>27</v>
      </c>
      <c r="G984" s="18" t="b">
        <v>0</v>
      </c>
      <c r="H984" s="18" t="b">
        <v>0</v>
      </c>
      <c r="I984" s="18" t="b">
        <v>0</v>
      </c>
      <c r="J984" s="18" t="b">
        <v>0</v>
      </c>
      <c r="K984" s="18" t="b">
        <v>1</v>
      </c>
      <c r="L984" s="18" t="b">
        <v>0</v>
      </c>
      <c r="M984" s="18" t="b">
        <v>0</v>
      </c>
      <c r="N984" s="18" t="b">
        <v>0</v>
      </c>
      <c r="O984" s="18" t="b">
        <v>0</v>
      </c>
      <c r="P984" s="18" t="b">
        <v>0</v>
      </c>
      <c r="Q984" s="18" t="b">
        <v>0</v>
      </c>
      <c r="R984" s="18" t="b">
        <v>0</v>
      </c>
    </row>
    <row r="985" spans="1:18" ht="15">
      <c r="A985" s="16" t="s">
        <v>3188</v>
      </c>
      <c r="B985" s="15" t="s">
        <v>3188</v>
      </c>
      <c r="C985" s="16" t="s">
        <v>3189</v>
      </c>
      <c r="D985" s="17" t="s">
        <v>3190</v>
      </c>
      <c r="E985" s="16" t="s">
        <v>178</v>
      </c>
      <c r="F985" s="19" t="s">
        <v>27</v>
      </c>
      <c r="G985" s="18" t="b">
        <v>0</v>
      </c>
      <c r="H985" s="18" t="b">
        <v>0</v>
      </c>
      <c r="I985" s="18" t="b">
        <v>0</v>
      </c>
      <c r="J985" s="18" t="b">
        <v>0</v>
      </c>
      <c r="K985" s="18" t="b">
        <v>0</v>
      </c>
      <c r="L985" s="18" t="b">
        <v>0</v>
      </c>
      <c r="M985" s="18" t="b">
        <v>0</v>
      </c>
      <c r="N985" s="18" t="b">
        <v>1</v>
      </c>
      <c r="O985" s="18" t="b">
        <v>0</v>
      </c>
      <c r="P985" s="18" t="b">
        <v>0</v>
      </c>
      <c r="Q985" s="18" t="b">
        <v>0</v>
      </c>
      <c r="R985" s="18" t="b">
        <v>0</v>
      </c>
    </row>
    <row r="986" spans="1:18" ht="15">
      <c r="A986" s="16" t="s">
        <v>3191</v>
      </c>
      <c r="B986" s="15" t="s">
        <v>3191</v>
      </c>
      <c r="C986" s="16" t="s">
        <v>3192</v>
      </c>
      <c r="D986" s="16" t="s">
        <v>3193</v>
      </c>
      <c r="E986" s="16" t="s">
        <v>990</v>
      </c>
      <c r="F986" s="19" t="s">
        <v>27</v>
      </c>
      <c r="G986" s="18" t="b">
        <v>0</v>
      </c>
      <c r="H986" s="18" t="b">
        <v>0</v>
      </c>
      <c r="I986" s="18" t="b">
        <v>0</v>
      </c>
      <c r="J986" s="18" t="b">
        <v>0</v>
      </c>
      <c r="K986" s="18" t="b">
        <v>0</v>
      </c>
      <c r="L986" s="18" t="b">
        <v>0</v>
      </c>
      <c r="M986" s="18" t="b">
        <v>0</v>
      </c>
      <c r="N986" s="18" t="b">
        <v>0</v>
      </c>
      <c r="O986" s="18" t="b">
        <v>0</v>
      </c>
      <c r="P986" s="18" t="b">
        <v>0</v>
      </c>
      <c r="Q986" s="18" t="b">
        <v>0</v>
      </c>
      <c r="R986" s="18" t="b">
        <v>1</v>
      </c>
    </row>
    <row r="987" spans="1:18" ht="15">
      <c r="A987" s="16" t="s">
        <v>3195</v>
      </c>
      <c r="B987" s="15" t="s">
        <v>3195</v>
      </c>
      <c r="C987" s="16" t="s">
        <v>3196</v>
      </c>
      <c r="D987" s="16" t="s">
        <v>3197</v>
      </c>
      <c r="E987" s="16" t="s">
        <v>43</v>
      </c>
      <c r="F987" s="19" t="s">
        <v>27</v>
      </c>
      <c r="G987" s="18" t="b">
        <v>1</v>
      </c>
      <c r="H987" s="18" t="b">
        <v>0</v>
      </c>
      <c r="I987" s="18" t="b">
        <v>0</v>
      </c>
      <c r="J987" s="18" t="b">
        <v>0</v>
      </c>
      <c r="K987" s="18" t="b">
        <v>0</v>
      </c>
      <c r="L987" s="18" t="b">
        <v>0</v>
      </c>
      <c r="M987" s="18" t="b">
        <v>0</v>
      </c>
      <c r="N987" s="18" t="b">
        <v>0</v>
      </c>
      <c r="O987" s="18" t="b">
        <v>0</v>
      </c>
      <c r="P987" s="18" t="b">
        <v>0</v>
      </c>
      <c r="Q987" s="18" t="b">
        <v>0</v>
      </c>
      <c r="R987" s="18" t="b">
        <v>0</v>
      </c>
    </row>
    <row r="988" spans="1:18" ht="18">
      <c r="A988" s="111" t="s">
        <v>3198</v>
      </c>
      <c r="B988" s="15"/>
      <c r="C988" s="16" t="s">
        <v>3199</v>
      </c>
      <c r="D988" s="16" t="s">
        <v>3200</v>
      </c>
      <c r="E988" s="16" t="s">
        <v>26</v>
      </c>
      <c r="F988" s="19" t="s">
        <v>27</v>
      </c>
      <c r="G988" s="18" t="b">
        <v>0</v>
      </c>
      <c r="H988" s="18" t="b">
        <v>0</v>
      </c>
      <c r="I988" s="18" t="b">
        <v>1</v>
      </c>
      <c r="J988" s="18" t="b">
        <v>0</v>
      </c>
      <c r="K988" s="18" t="b">
        <v>0</v>
      </c>
      <c r="L988" s="18" t="b">
        <v>0</v>
      </c>
      <c r="M988" s="18" t="b">
        <v>0</v>
      </c>
      <c r="N988" s="18" t="b">
        <v>0</v>
      </c>
      <c r="O988" s="18" t="b">
        <v>0</v>
      </c>
      <c r="P988" s="18" t="b">
        <v>0</v>
      </c>
      <c r="Q988" s="18" t="b">
        <v>0</v>
      </c>
      <c r="R988" s="18" t="b">
        <v>0</v>
      </c>
    </row>
    <row r="989" spans="1:18" ht="15">
      <c r="A989" s="16" t="s">
        <v>3201</v>
      </c>
      <c r="B989" s="15" t="s">
        <v>3201</v>
      </c>
      <c r="C989" s="16" t="s">
        <v>3202</v>
      </c>
      <c r="D989" s="16" t="s">
        <v>3203</v>
      </c>
      <c r="E989" s="16" t="s">
        <v>304</v>
      </c>
      <c r="F989" s="19" t="s">
        <v>27</v>
      </c>
      <c r="G989" s="18" t="b">
        <v>0</v>
      </c>
      <c r="H989" s="18" t="b">
        <v>0</v>
      </c>
      <c r="I989" s="18" t="b">
        <v>0</v>
      </c>
      <c r="J989" s="18" t="b">
        <v>0</v>
      </c>
      <c r="K989" s="18" t="b">
        <v>0</v>
      </c>
      <c r="L989" s="18" t="b">
        <v>1</v>
      </c>
      <c r="M989" s="18" t="b">
        <v>0</v>
      </c>
      <c r="N989" s="18" t="b">
        <v>0</v>
      </c>
      <c r="O989" s="18" t="b">
        <v>0</v>
      </c>
      <c r="P989" s="18" t="b">
        <v>0</v>
      </c>
      <c r="Q989" s="18" t="b">
        <v>0</v>
      </c>
      <c r="R989" s="18" t="b">
        <v>0</v>
      </c>
    </row>
    <row r="990" spans="1:18" ht="15">
      <c r="A990" s="16" t="s">
        <v>3204</v>
      </c>
      <c r="B990" s="15" t="s">
        <v>3204</v>
      </c>
      <c r="C990" s="16" t="s">
        <v>3205</v>
      </c>
      <c r="D990" s="16" t="s">
        <v>3206</v>
      </c>
      <c r="E990" s="16" t="s">
        <v>990</v>
      </c>
      <c r="F990" s="19" t="s">
        <v>27</v>
      </c>
      <c r="G990" s="18" t="b">
        <v>0</v>
      </c>
      <c r="H990" s="18" t="b">
        <v>0</v>
      </c>
      <c r="I990" s="18" t="b">
        <v>0</v>
      </c>
      <c r="J990" s="18" t="b">
        <v>0</v>
      </c>
      <c r="K990" s="18" t="b">
        <v>0</v>
      </c>
      <c r="L990" s="18" t="b">
        <v>0</v>
      </c>
      <c r="M990" s="18" t="b">
        <v>0</v>
      </c>
      <c r="N990" s="18" t="b">
        <v>0</v>
      </c>
      <c r="O990" s="18" t="b">
        <v>0</v>
      </c>
      <c r="P990" s="18" t="b">
        <v>0</v>
      </c>
      <c r="Q990" s="18" t="b">
        <v>0</v>
      </c>
      <c r="R990" s="18" t="b">
        <v>1</v>
      </c>
    </row>
    <row r="991" spans="1:18" ht="15">
      <c r="A991" s="16" t="s">
        <v>3207</v>
      </c>
      <c r="B991" s="15" t="s">
        <v>3207</v>
      </c>
      <c r="C991" s="16" t="s">
        <v>3208</v>
      </c>
      <c r="D991" s="16" t="s">
        <v>3209</v>
      </c>
      <c r="E991" s="16" t="s">
        <v>60</v>
      </c>
      <c r="F991" s="19" t="s">
        <v>27</v>
      </c>
      <c r="G991" s="18" t="b">
        <v>0</v>
      </c>
      <c r="H991" s="18" t="b">
        <v>0</v>
      </c>
      <c r="I991" s="18" t="b">
        <v>0</v>
      </c>
      <c r="J991" s="18" t="b">
        <v>0</v>
      </c>
      <c r="K991" s="18" t="b">
        <v>0</v>
      </c>
      <c r="L991" s="18" t="b">
        <v>0</v>
      </c>
      <c r="M991" s="18" t="b">
        <v>1</v>
      </c>
      <c r="N991" s="18" t="b">
        <v>0</v>
      </c>
      <c r="O991" s="18" t="b">
        <v>0</v>
      </c>
      <c r="P991" s="18" t="b">
        <v>0</v>
      </c>
      <c r="Q991" s="18" t="b">
        <v>0</v>
      </c>
      <c r="R991" s="18" t="b">
        <v>0</v>
      </c>
    </row>
    <row r="992" spans="1:18" ht="15">
      <c r="A992" s="16" t="s">
        <v>3210</v>
      </c>
      <c r="B992" s="15" t="s">
        <v>3210</v>
      </c>
      <c r="C992" s="16" t="s">
        <v>3211</v>
      </c>
      <c r="D992" s="16" t="s">
        <v>3212</v>
      </c>
      <c r="E992" s="16" t="s">
        <v>192</v>
      </c>
      <c r="F992" s="19" t="s">
        <v>27</v>
      </c>
      <c r="G992" s="18" t="b">
        <v>0</v>
      </c>
      <c r="H992" s="18" t="b">
        <v>0</v>
      </c>
      <c r="I992" s="18" t="b">
        <v>0</v>
      </c>
      <c r="J992" s="18" t="b">
        <v>0</v>
      </c>
      <c r="K992" s="18" t="b">
        <v>0</v>
      </c>
      <c r="L992" s="18" t="b">
        <v>0</v>
      </c>
      <c r="M992" s="18" t="b">
        <v>0</v>
      </c>
      <c r="N992" s="18" t="b">
        <v>0</v>
      </c>
      <c r="O992" s="18" t="b">
        <v>0</v>
      </c>
      <c r="P992" s="18" t="b">
        <v>1</v>
      </c>
      <c r="Q992" s="18" t="b">
        <v>1</v>
      </c>
      <c r="R992" s="18" t="b">
        <v>0</v>
      </c>
    </row>
    <row r="993" spans="1:18" ht="15">
      <c r="A993" s="16" t="s">
        <v>3213</v>
      </c>
      <c r="B993" s="15" t="s">
        <v>3213</v>
      </c>
      <c r="C993" s="16" t="s">
        <v>3214</v>
      </c>
      <c r="D993" s="16" t="s">
        <v>3215</v>
      </c>
      <c r="E993" s="16" t="s">
        <v>192</v>
      </c>
      <c r="F993" s="19" t="s">
        <v>27</v>
      </c>
      <c r="G993" s="18" t="b">
        <v>0</v>
      </c>
      <c r="H993" s="18" t="b">
        <v>0</v>
      </c>
      <c r="I993" s="18" t="b">
        <v>0</v>
      </c>
      <c r="J993" s="18" t="b">
        <v>0</v>
      </c>
      <c r="K993" s="18" t="b">
        <v>0</v>
      </c>
      <c r="L993" s="18" t="b">
        <v>0</v>
      </c>
      <c r="M993" s="18" t="b">
        <v>0</v>
      </c>
      <c r="N993" s="18" t="b">
        <v>0</v>
      </c>
      <c r="O993" s="18" t="b">
        <v>0</v>
      </c>
      <c r="P993" s="18" t="b">
        <v>1</v>
      </c>
      <c r="Q993" s="18" t="b">
        <v>1</v>
      </c>
      <c r="R993" s="18" t="b">
        <v>0</v>
      </c>
    </row>
    <row r="994" spans="1:18" ht="15">
      <c r="A994" s="16" t="s">
        <v>3216</v>
      </c>
      <c r="B994" s="15" t="s">
        <v>3216</v>
      </c>
      <c r="C994" s="16" t="s">
        <v>3217</v>
      </c>
      <c r="D994" s="16" t="s">
        <v>3218</v>
      </c>
      <c r="E994" s="16" t="s">
        <v>192</v>
      </c>
      <c r="F994" s="19" t="s">
        <v>27</v>
      </c>
      <c r="G994" s="18" t="b">
        <v>0</v>
      </c>
      <c r="H994" s="18" t="b">
        <v>0</v>
      </c>
      <c r="I994" s="18" t="b">
        <v>0</v>
      </c>
      <c r="J994" s="18" t="b">
        <v>0</v>
      </c>
      <c r="K994" s="18" t="b">
        <v>0</v>
      </c>
      <c r="L994" s="18" t="b">
        <v>0</v>
      </c>
      <c r="M994" s="18" t="b">
        <v>0</v>
      </c>
      <c r="N994" s="18" t="b">
        <v>0</v>
      </c>
      <c r="O994" s="18" t="b">
        <v>0</v>
      </c>
      <c r="P994" s="18" t="b">
        <v>1</v>
      </c>
      <c r="Q994" s="18" t="b">
        <v>0</v>
      </c>
      <c r="R994" s="18" t="b">
        <v>0</v>
      </c>
    </row>
    <row r="995" spans="1:18" ht="15">
      <c r="A995" s="16" t="s">
        <v>3219</v>
      </c>
      <c r="B995" s="15" t="s">
        <v>3219</v>
      </c>
      <c r="C995" s="16" t="s">
        <v>3220</v>
      </c>
      <c r="D995" s="16" t="s">
        <v>3221</v>
      </c>
      <c r="E995" s="16" t="s">
        <v>304</v>
      </c>
      <c r="F995" s="19" t="s">
        <v>27</v>
      </c>
      <c r="G995" s="18" t="b">
        <v>0</v>
      </c>
      <c r="H995" s="18" t="b">
        <v>0</v>
      </c>
      <c r="I995" s="18" t="b">
        <v>0</v>
      </c>
      <c r="J995" s="18" t="b">
        <v>0</v>
      </c>
      <c r="K995" s="18" t="b">
        <v>0</v>
      </c>
      <c r="L995" s="18" t="b">
        <v>1</v>
      </c>
      <c r="M995" s="18" t="b">
        <v>0</v>
      </c>
      <c r="N995" s="18" t="b">
        <v>0</v>
      </c>
      <c r="O995" s="18" t="b">
        <v>0</v>
      </c>
      <c r="P995" s="18" t="b">
        <v>0</v>
      </c>
      <c r="Q995" s="18" t="b">
        <v>0</v>
      </c>
      <c r="R995" s="18" t="b">
        <v>0</v>
      </c>
    </row>
    <row r="996" spans="1:18" ht="15">
      <c r="A996" s="16" t="s">
        <v>3222</v>
      </c>
      <c r="B996" s="15" t="s">
        <v>3222</v>
      </c>
      <c r="C996" s="16" t="s">
        <v>3223</v>
      </c>
      <c r="D996" s="16" t="s">
        <v>3224</v>
      </c>
      <c r="E996" s="16" t="s">
        <v>60</v>
      </c>
      <c r="F996" s="19" t="s">
        <v>27</v>
      </c>
      <c r="G996" s="18" t="b">
        <v>0</v>
      </c>
      <c r="H996" s="18" t="b">
        <v>0</v>
      </c>
      <c r="I996" s="18" t="b">
        <v>0</v>
      </c>
      <c r="J996" s="18" t="b">
        <v>0</v>
      </c>
      <c r="K996" s="18" t="b">
        <v>0</v>
      </c>
      <c r="L996" s="18" t="b">
        <v>0</v>
      </c>
      <c r="M996" s="18" t="b">
        <v>1</v>
      </c>
      <c r="N996" s="18" t="b">
        <v>0</v>
      </c>
      <c r="O996" s="18" t="b">
        <v>0</v>
      </c>
      <c r="P996" s="18" t="b">
        <v>0</v>
      </c>
      <c r="Q996" s="18" t="b">
        <v>0</v>
      </c>
      <c r="R996" s="18" t="b">
        <v>0</v>
      </c>
    </row>
    <row r="997" spans="1:18" ht="15">
      <c r="A997" s="16" t="s">
        <v>3225</v>
      </c>
      <c r="B997" s="15" t="s">
        <v>3225</v>
      </c>
      <c r="C997" s="16" t="s">
        <v>3226</v>
      </c>
      <c r="D997" s="17" t="s">
        <v>3227</v>
      </c>
      <c r="E997" s="16" t="s">
        <v>178</v>
      </c>
      <c r="F997" s="19" t="s">
        <v>27</v>
      </c>
      <c r="G997" s="18" t="b">
        <v>0</v>
      </c>
      <c r="H997" s="18" t="b">
        <v>0</v>
      </c>
      <c r="I997" s="18" t="b">
        <v>0</v>
      </c>
      <c r="J997" s="18" t="b">
        <v>0</v>
      </c>
      <c r="K997" s="18" t="b">
        <v>0</v>
      </c>
      <c r="L997" s="18" t="b">
        <v>0</v>
      </c>
      <c r="M997" s="18" t="b">
        <v>0</v>
      </c>
      <c r="N997" s="18" t="b">
        <v>1</v>
      </c>
      <c r="O997" s="18" t="b">
        <v>0</v>
      </c>
      <c r="P997" s="18" t="b">
        <v>0</v>
      </c>
      <c r="Q997" s="18" t="b">
        <v>0</v>
      </c>
      <c r="R997" s="18" t="b">
        <v>0</v>
      </c>
    </row>
    <row r="998" spans="1:18" ht="15">
      <c r="A998" s="16" t="s">
        <v>3228</v>
      </c>
      <c r="B998" s="15" t="s">
        <v>3229</v>
      </c>
      <c r="C998" s="16" t="s">
        <v>3230</v>
      </c>
      <c r="D998" s="16" t="s">
        <v>3231</v>
      </c>
      <c r="E998" s="16" t="s">
        <v>990</v>
      </c>
      <c r="F998" s="19" t="s">
        <v>27</v>
      </c>
      <c r="G998" s="18" t="b">
        <v>0</v>
      </c>
      <c r="H998" s="18" t="b">
        <v>0</v>
      </c>
      <c r="I998" s="18" t="b">
        <v>0</v>
      </c>
      <c r="J998" s="18" t="b">
        <v>0</v>
      </c>
      <c r="K998" s="18" t="b">
        <v>0</v>
      </c>
      <c r="L998" s="18" t="b">
        <v>0</v>
      </c>
      <c r="M998" s="18" t="b">
        <v>0</v>
      </c>
      <c r="N998" s="18" t="b">
        <v>0</v>
      </c>
      <c r="O998" s="18" t="b">
        <v>0</v>
      </c>
      <c r="P998" s="18" t="b">
        <v>0</v>
      </c>
      <c r="Q998" s="18" t="b">
        <v>0</v>
      </c>
      <c r="R998" s="18" t="b">
        <v>1</v>
      </c>
    </row>
    <row r="999" spans="1:18" ht="15">
      <c r="A999" s="16" t="s">
        <v>3232</v>
      </c>
      <c r="B999" s="15" t="s">
        <v>3232</v>
      </c>
      <c r="C999" s="16" t="s">
        <v>3233</v>
      </c>
      <c r="D999" s="16" t="s">
        <v>3234</v>
      </c>
      <c r="E999" s="16" t="s">
        <v>192</v>
      </c>
      <c r="F999" s="19" t="s">
        <v>27</v>
      </c>
      <c r="G999" s="18" t="b">
        <v>0</v>
      </c>
      <c r="H999" s="18" t="b">
        <v>0</v>
      </c>
      <c r="I999" s="18" t="b">
        <v>0</v>
      </c>
      <c r="J999" s="18" t="b">
        <v>0</v>
      </c>
      <c r="K999" s="18" t="b">
        <v>0</v>
      </c>
      <c r="L999" s="18" t="b">
        <v>0</v>
      </c>
      <c r="M999" s="18" t="b">
        <v>0</v>
      </c>
      <c r="N999" s="18" t="b">
        <v>0</v>
      </c>
      <c r="O999" s="18" t="b">
        <v>0</v>
      </c>
      <c r="P999" s="18" t="b">
        <v>1</v>
      </c>
      <c r="Q999" s="18" t="b">
        <v>0</v>
      </c>
      <c r="R999" s="18" t="b">
        <v>0</v>
      </c>
    </row>
    <row r="1000" spans="1:18" ht="18">
      <c r="A1000" s="111" t="s">
        <v>3235</v>
      </c>
      <c r="B1000" s="15"/>
      <c r="C1000" s="16" t="s">
        <v>3236</v>
      </c>
      <c r="D1000" s="16" t="s">
        <v>3237</v>
      </c>
      <c r="E1000" s="16" t="s">
        <v>26</v>
      </c>
      <c r="F1000" s="19" t="s">
        <v>27</v>
      </c>
      <c r="G1000" s="18" t="b">
        <v>0</v>
      </c>
      <c r="H1000" s="18" t="b">
        <v>0</v>
      </c>
      <c r="I1000" s="18" t="b">
        <v>1</v>
      </c>
      <c r="J1000" s="18" t="b">
        <v>0</v>
      </c>
      <c r="K1000" s="18" t="b">
        <v>0</v>
      </c>
      <c r="L1000" s="18" t="b">
        <v>0</v>
      </c>
      <c r="M1000" s="18" t="b">
        <v>0</v>
      </c>
      <c r="N1000" s="18" t="b">
        <v>0</v>
      </c>
      <c r="O1000" s="18" t="b">
        <v>0</v>
      </c>
      <c r="P1000" s="18" t="b">
        <v>0</v>
      </c>
      <c r="Q1000" s="18" t="b">
        <v>0</v>
      </c>
      <c r="R1000" s="18" t="b">
        <v>0</v>
      </c>
    </row>
    <row r="1001" spans="1:18" ht="15">
      <c r="A1001" s="16" t="s">
        <v>3238</v>
      </c>
      <c r="B1001" s="15" t="s">
        <v>3238</v>
      </c>
      <c r="C1001" s="16" t="s">
        <v>3239</v>
      </c>
      <c r="D1001" s="16" t="s">
        <v>3240</v>
      </c>
      <c r="E1001" s="16" t="s">
        <v>304</v>
      </c>
      <c r="F1001" s="19" t="s">
        <v>27</v>
      </c>
      <c r="G1001" s="18" t="b">
        <v>0</v>
      </c>
      <c r="H1001" s="18" t="b">
        <v>0</v>
      </c>
      <c r="I1001" s="18" t="b">
        <v>0</v>
      </c>
      <c r="J1001" s="18" t="b">
        <v>0</v>
      </c>
      <c r="K1001" s="18" t="b">
        <v>0</v>
      </c>
      <c r="L1001" s="18" t="b">
        <v>1</v>
      </c>
      <c r="M1001" s="18" t="b">
        <v>0</v>
      </c>
      <c r="N1001" s="18" t="b">
        <v>0</v>
      </c>
      <c r="O1001" s="18" t="b">
        <v>0</v>
      </c>
      <c r="P1001" s="18" t="b">
        <v>0</v>
      </c>
      <c r="Q1001" s="18" t="b">
        <v>0</v>
      </c>
      <c r="R1001" s="18" t="b">
        <v>0</v>
      </c>
    </row>
    <row r="1002" spans="1:18" ht="15" hidden="1">
      <c r="A1002" s="16" t="s">
        <v>3241</v>
      </c>
      <c r="B1002" s="15"/>
      <c r="C1002" s="16" t="s">
        <v>3242</v>
      </c>
      <c r="D1002" s="16" t="s">
        <v>3243</v>
      </c>
      <c r="E1002" s="16" t="s">
        <v>990</v>
      </c>
      <c r="F1002" s="19" t="s">
        <v>38</v>
      </c>
      <c r="G1002" s="18" t="b">
        <v>0</v>
      </c>
      <c r="H1002" s="18" t="b">
        <v>0</v>
      </c>
      <c r="I1002" s="18" t="b">
        <v>0</v>
      </c>
      <c r="J1002" s="18" t="b">
        <v>0</v>
      </c>
      <c r="K1002" s="18" t="b">
        <v>0</v>
      </c>
      <c r="L1002" s="18" t="b">
        <v>0</v>
      </c>
      <c r="M1002" s="18" t="b">
        <v>0</v>
      </c>
      <c r="N1002" s="18" t="b">
        <v>0</v>
      </c>
      <c r="O1002" s="18" t="b">
        <v>0</v>
      </c>
      <c r="P1002" s="18" t="b">
        <v>0</v>
      </c>
      <c r="Q1002" s="18" t="b">
        <v>0</v>
      </c>
      <c r="R1002" s="18" t="b">
        <v>1</v>
      </c>
    </row>
    <row r="1003" spans="1:18" ht="15">
      <c r="A1003" s="16" t="s">
        <v>3244</v>
      </c>
      <c r="B1003" s="15" t="s">
        <v>3244</v>
      </c>
      <c r="C1003" s="16" t="s">
        <v>3245</v>
      </c>
      <c r="D1003" s="16" t="s">
        <v>3246</v>
      </c>
      <c r="E1003" s="16" t="s">
        <v>154</v>
      </c>
      <c r="F1003" s="19" t="s">
        <v>27</v>
      </c>
      <c r="G1003" s="18" t="b">
        <v>0</v>
      </c>
      <c r="H1003" s="18" t="b">
        <v>0</v>
      </c>
      <c r="I1003" s="18" t="b">
        <v>0</v>
      </c>
      <c r="J1003" s="18" t="b">
        <v>0</v>
      </c>
      <c r="K1003" s="18" t="b">
        <v>1</v>
      </c>
      <c r="L1003" s="18" t="b">
        <v>0</v>
      </c>
      <c r="M1003" s="18" t="b">
        <v>0</v>
      </c>
      <c r="N1003" s="18" t="b">
        <v>0</v>
      </c>
      <c r="O1003" s="18" t="b">
        <v>0</v>
      </c>
      <c r="P1003" s="18" t="b">
        <v>0</v>
      </c>
      <c r="Q1003" s="18" t="b">
        <v>0</v>
      </c>
      <c r="R1003" s="18" t="b">
        <v>0</v>
      </c>
    </row>
    <row r="1004" spans="1:18" ht="15">
      <c r="A1004" s="16" t="s">
        <v>3247</v>
      </c>
      <c r="B1004" s="15" t="s">
        <v>3248</v>
      </c>
      <c r="C1004" s="16" t="s">
        <v>3249</v>
      </c>
      <c r="D1004" s="16" t="s">
        <v>3250</v>
      </c>
      <c r="E1004" s="16" t="s">
        <v>192</v>
      </c>
      <c r="F1004" s="19" t="s">
        <v>27</v>
      </c>
      <c r="G1004" s="18" t="b">
        <v>0</v>
      </c>
      <c r="H1004" s="18" t="b">
        <v>0</v>
      </c>
      <c r="I1004" s="18" t="b">
        <v>0</v>
      </c>
      <c r="J1004" s="18" t="b">
        <v>0</v>
      </c>
      <c r="K1004" s="18" t="b">
        <v>0</v>
      </c>
      <c r="L1004" s="18" t="b">
        <v>0</v>
      </c>
      <c r="M1004" s="18" t="b">
        <v>0</v>
      </c>
      <c r="N1004" s="18" t="b">
        <v>0</v>
      </c>
      <c r="O1004" s="18" t="b">
        <v>0</v>
      </c>
      <c r="P1004" s="18" t="b">
        <v>1</v>
      </c>
      <c r="Q1004" s="18" t="b">
        <v>0</v>
      </c>
      <c r="R1004" s="18" t="b">
        <v>0</v>
      </c>
    </row>
    <row r="1005" spans="1:18" ht="15">
      <c r="A1005" s="16" t="s">
        <v>3251</v>
      </c>
      <c r="B1005" s="15" t="s">
        <v>3252</v>
      </c>
      <c r="C1005" s="16" t="s">
        <v>3253</v>
      </c>
      <c r="D1005" s="16" t="s">
        <v>3254</v>
      </c>
      <c r="E1005" s="16" t="s">
        <v>304</v>
      </c>
      <c r="F1005" s="19" t="s">
        <v>27</v>
      </c>
      <c r="G1005" s="18" t="b">
        <v>0</v>
      </c>
      <c r="H1005" s="18" t="b">
        <v>0</v>
      </c>
      <c r="I1005" s="18" t="b">
        <v>0</v>
      </c>
      <c r="J1005" s="18" t="b">
        <v>0</v>
      </c>
      <c r="K1005" s="18" t="b">
        <v>0</v>
      </c>
      <c r="L1005" s="18" t="b">
        <v>1</v>
      </c>
      <c r="M1005" s="18" t="b">
        <v>0</v>
      </c>
      <c r="N1005" s="18" t="b">
        <v>0</v>
      </c>
      <c r="O1005" s="18" t="b">
        <v>0</v>
      </c>
      <c r="P1005" s="18" t="b">
        <v>0</v>
      </c>
      <c r="Q1005" s="18" t="b">
        <v>0</v>
      </c>
      <c r="R1005" s="18" t="b">
        <v>0</v>
      </c>
    </row>
    <row r="1006" spans="1:18" ht="15">
      <c r="A1006" s="16" t="s">
        <v>3255</v>
      </c>
      <c r="B1006" s="15" t="s">
        <v>3255</v>
      </c>
      <c r="C1006" s="16" t="s">
        <v>3256</v>
      </c>
      <c r="D1006" s="16" t="s">
        <v>3257</v>
      </c>
      <c r="E1006" s="16" t="s">
        <v>60</v>
      </c>
      <c r="F1006" s="19" t="s">
        <v>27</v>
      </c>
      <c r="G1006" s="18" t="b">
        <v>0</v>
      </c>
      <c r="H1006" s="18" t="b">
        <v>0</v>
      </c>
      <c r="I1006" s="18" t="b">
        <v>0</v>
      </c>
      <c r="J1006" s="18" t="b">
        <v>0</v>
      </c>
      <c r="K1006" s="18" t="b">
        <v>0</v>
      </c>
      <c r="L1006" s="18" t="b">
        <v>0</v>
      </c>
      <c r="M1006" s="18" t="b">
        <v>1</v>
      </c>
      <c r="N1006" s="18" t="b">
        <v>0</v>
      </c>
      <c r="O1006" s="18" t="b">
        <v>0</v>
      </c>
      <c r="P1006" s="18" t="b">
        <v>0</v>
      </c>
      <c r="Q1006" s="18" t="b">
        <v>0</v>
      </c>
      <c r="R1006" s="18" t="b">
        <v>0</v>
      </c>
    </row>
    <row r="1007" spans="1:18" ht="18">
      <c r="A1007" s="111" t="s">
        <v>3258</v>
      </c>
      <c r="B1007" s="15" t="s">
        <v>3258</v>
      </c>
      <c r="C1007" s="16" t="s">
        <v>3259</v>
      </c>
      <c r="D1007" s="16" t="s">
        <v>3260</v>
      </c>
      <c r="E1007" s="16" t="s">
        <v>26</v>
      </c>
      <c r="F1007" s="19" t="s">
        <v>27</v>
      </c>
      <c r="G1007" s="18" t="b">
        <v>0</v>
      </c>
      <c r="H1007" s="18" t="b">
        <v>0</v>
      </c>
      <c r="I1007" s="18" t="b">
        <v>1</v>
      </c>
      <c r="J1007" s="18" t="b">
        <v>0</v>
      </c>
      <c r="K1007" s="18" t="b">
        <v>0</v>
      </c>
      <c r="L1007" s="18" t="b">
        <v>0</v>
      </c>
      <c r="M1007" s="18" t="b">
        <v>0</v>
      </c>
      <c r="N1007" s="18" t="b">
        <v>0</v>
      </c>
      <c r="O1007" s="18" t="b">
        <v>0</v>
      </c>
      <c r="P1007" s="18" t="b">
        <v>0</v>
      </c>
      <c r="Q1007" s="18" t="b">
        <v>0</v>
      </c>
      <c r="R1007" s="18" t="b">
        <v>0</v>
      </c>
    </row>
    <row r="1008" spans="1:18" ht="18">
      <c r="A1008" s="111" t="s">
        <v>3261</v>
      </c>
      <c r="B1008" s="15" t="s">
        <v>3261</v>
      </c>
      <c r="C1008" s="16" t="s">
        <v>3262</v>
      </c>
      <c r="D1008" s="16" t="s">
        <v>3263</v>
      </c>
      <c r="E1008" s="16" t="s">
        <v>26</v>
      </c>
      <c r="F1008" s="19" t="s">
        <v>27</v>
      </c>
      <c r="G1008" s="18" t="b">
        <v>0</v>
      </c>
      <c r="H1008" s="18" t="b">
        <v>0</v>
      </c>
      <c r="I1008" s="18" t="b">
        <v>1</v>
      </c>
      <c r="J1008" s="18" t="b">
        <v>0</v>
      </c>
      <c r="K1008" s="18" t="b">
        <v>0</v>
      </c>
      <c r="L1008" s="18" t="b">
        <v>0</v>
      </c>
      <c r="M1008" s="18" t="b">
        <v>0</v>
      </c>
      <c r="N1008" s="18" t="b">
        <v>0</v>
      </c>
      <c r="O1008" s="18" t="b">
        <v>0</v>
      </c>
      <c r="P1008" s="18" t="b">
        <v>0</v>
      </c>
      <c r="Q1008" s="18" t="b">
        <v>0</v>
      </c>
      <c r="R1008" s="18" t="b">
        <v>0</v>
      </c>
    </row>
    <row r="1009" spans="1:18" ht="15">
      <c r="A1009" s="16" t="s">
        <v>3264</v>
      </c>
      <c r="B1009" s="15" t="s">
        <v>3265</v>
      </c>
      <c r="C1009" s="16" t="s">
        <v>3266</v>
      </c>
      <c r="D1009" s="16" t="s">
        <v>3267</v>
      </c>
      <c r="E1009" s="16" t="s">
        <v>990</v>
      </c>
      <c r="F1009" s="19" t="s">
        <v>27</v>
      </c>
      <c r="G1009" s="18" t="b">
        <v>0</v>
      </c>
      <c r="H1009" s="18" t="b">
        <v>0</v>
      </c>
      <c r="I1009" s="18" t="b">
        <v>0</v>
      </c>
      <c r="J1009" s="18" t="b">
        <v>0</v>
      </c>
      <c r="K1009" s="18" t="b">
        <v>0</v>
      </c>
      <c r="L1009" s="18" t="b">
        <v>0</v>
      </c>
      <c r="M1009" s="18" t="b">
        <v>0</v>
      </c>
      <c r="N1009" s="18" t="b">
        <v>0</v>
      </c>
      <c r="O1009" s="18" t="b">
        <v>0</v>
      </c>
      <c r="P1009" s="18" t="b">
        <v>0</v>
      </c>
      <c r="Q1009" s="18" t="b">
        <v>0</v>
      </c>
      <c r="R1009" s="18" t="b">
        <v>1</v>
      </c>
    </row>
    <row r="1010" spans="1:18" ht="15">
      <c r="A1010" s="16" t="s">
        <v>3268</v>
      </c>
      <c r="B1010" s="15"/>
      <c r="C1010" s="16" t="s">
        <v>3269</v>
      </c>
      <c r="D1010" s="16" t="s">
        <v>3270</v>
      </c>
      <c r="E1010" s="16" t="s">
        <v>990</v>
      </c>
      <c r="F1010" s="19" t="s">
        <v>27</v>
      </c>
      <c r="G1010" s="18" t="b">
        <v>0</v>
      </c>
      <c r="H1010" s="18" t="b">
        <v>0</v>
      </c>
      <c r="I1010" s="18" t="b">
        <v>0</v>
      </c>
      <c r="J1010" s="18" t="b">
        <v>0</v>
      </c>
      <c r="K1010" s="18" t="b">
        <v>0</v>
      </c>
      <c r="L1010" s="18" t="b">
        <v>0</v>
      </c>
      <c r="M1010" s="18" t="b">
        <v>0</v>
      </c>
      <c r="N1010" s="18" t="b">
        <v>0</v>
      </c>
      <c r="O1010" s="18" t="b">
        <v>0</v>
      </c>
      <c r="P1010" s="18" t="b">
        <v>0</v>
      </c>
      <c r="Q1010" s="18" t="b">
        <v>0</v>
      </c>
      <c r="R1010" s="18" t="b">
        <v>1</v>
      </c>
    </row>
    <row r="1011" spans="1:18" ht="15">
      <c r="A1011" s="16" t="s">
        <v>3271</v>
      </c>
      <c r="B1011" s="15" t="s">
        <v>3271</v>
      </c>
      <c r="C1011" s="16" t="s">
        <v>3272</v>
      </c>
      <c r="D1011" s="16" t="s">
        <v>3273</v>
      </c>
      <c r="E1011" s="16" t="s">
        <v>304</v>
      </c>
      <c r="F1011" s="19" t="s">
        <v>27</v>
      </c>
      <c r="G1011" s="18" t="b">
        <v>0</v>
      </c>
      <c r="H1011" s="18" t="b">
        <v>0</v>
      </c>
      <c r="I1011" s="18" t="b">
        <v>0</v>
      </c>
      <c r="J1011" s="18" t="b">
        <v>0</v>
      </c>
      <c r="K1011" s="18" t="b">
        <v>0</v>
      </c>
      <c r="L1011" s="18" t="b">
        <v>1</v>
      </c>
      <c r="M1011" s="18" t="b">
        <v>0</v>
      </c>
      <c r="N1011" s="18" t="b">
        <v>0</v>
      </c>
      <c r="O1011" s="18" t="b">
        <v>0</v>
      </c>
      <c r="P1011" s="18" t="b">
        <v>0</v>
      </c>
      <c r="Q1011" s="18" t="b">
        <v>0</v>
      </c>
      <c r="R1011" s="18" t="b">
        <v>0</v>
      </c>
    </row>
    <row r="1012" spans="1:18" ht="18">
      <c r="A1012" s="111" t="s">
        <v>3274</v>
      </c>
      <c r="B1012" s="15" t="s">
        <v>3274</v>
      </c>
      <c r="C1012" s="31" t="s">
        <v>3275</v>
      </c>
      <c r="D1012" s="90" t="s">
        <v>3276</v>
      </c>
      <c r="E1012" s="16" t="s">
        <v>26</v>
      </c>
      <c r="F1012" s="19" t="s">
        <v>27</v>
      </c>
      <c r="G1012" s="18" t="b">
        <v>0</v>
      </c>
      <c r="H1012" s="18" t="b">
        <v>0</v>
      </c>
      <c r="I1012" s="18" t="b">
        <v>1</v>
      </c>
      <c r="J1012" s="18" t="b">
        <v>0</v>
      </c>
      <c r="K1012" s="18" t="b">
        <v>0</v>
      </c>
      <c r="L1012" s="18" t="b">
        <v>0</v>
      </c>
      <c r="M1012" s="18" t="b">
        <v>0</v>
      </c>
      <c r="N1012" s="18" t="b">
        <v>0</v>
      </c>
      <c r="O1012" s="18" t="b">
        <v>0</v>
      </c>
      <c r="P1012" s="18" t="b">
        <v>0</v>
      </c>
      <c r="Q1012" s="18" t="b">
        <v>0</v>
      </c>
      <c r="R1012" s="18" t="b">
        <v>0</v>
      </c>
    </row>
    <row r="1013" spans="1:18" ht="15">
      <c r="A1013" s="16" t="s">
        <v>3277</v>
      </c>
      <c r="B1013" s="15" t="s">
        <v>3277</v>
      </c>
      <c r="C1013" s="31" t="s">
        <v>3278</v>
      </c>
      <c r="D1013" s="90" t="s">
        <v>3279</v>
      </c>
      <c r="E1013" s="16" t="s">
        <v>304</v>
      </c>
      <c r="F1013" s="19" t="s">
        <v>27</v>
      </c>
      <c r="G1013" s="18" t="b">
        <v>0</v>
      </c>
      <c r="H1013" s="18" t="b">
        <v>0</v>
      </c>
      <c r="I1013" s="18" t="b">
        <v>0</v>
      </c>
      <c r="J1013" s="18" t="b">
        <v>0</v>
      </c>
      <c r="K1013" s="18" t="b">
        <v>0</v>
      </c>
      <c r="L1013" s="18" t="b">
        <v>1</v>
      </c>
      <c r="M1013" s="18" t="b">
        <v>0</v>
      </c>
      <c r="N1013" s="18" t="b">
        <v>0</v>
      </c>
      <c r="O1013" s="18" t="b">
        <v>0</v>
      </c>
      <c r="P1013" s="18" t="b">
        <v>0</v>
      </c>
      <c r="Q1013" s="18" t="b">
        <v>0</v>
      </c>
      <c r="R1013" s="18" t="b">
        <v>0</v>
      </c>
    </row>
    <row r="1014" spans="1:18" ht="18">
      <c r="A1014" s="61" t="s">
        <v>3280</v>
      </c>
      <c r="B1014" s="15" t="s">
        <v>3280</v>
      </c>
      <c r="C1014" s="16" t="s">
        <v>3281</v>
      </c>
      <c r="D1014" s="16" t="s">
        <v>3282</v>
      </c>
      <c r="E1014" s="16" t="s">
        <v>990</v>
      </c>
      <c r="F1014" s="19" t="s">
        <v>27</v>
      </c>
      <c r="G1014" s="18" t="b">
        <v>0</v>
      </c>
      <c r="H1014" s="18" t="b">
        <v>0</v>
      </c>
      <c r="I1014" s="18" t="b">
        <v>0</v>
      </c>
      <c r="J1014" s="18" t="b">
        <v>0</v>
      </c>
      <c r="K1014" s="18" t="b">
        <v>0</v>
      </c>
      <c r="L1014" s="18" t="b">
        <v>0</v>
      </c>
      <c r="M1014" s="18" t="b">
        <v>0</v>
      </c>
      <c r="N1014" s="18" t="b">
        <v>0</v>
      </c>
      <c r="O1014" s="18" t="b">
        <v>0</v>
      </c>
      <c r="P1014" s="18" t="b">
        <v>0</v>
      </c>
      <c r="Q1014" s="18" t="b">
        <v>0</v>
      </c>
      <c r="R1014" s="18" t="b">
        <v>1</v>
      </c>
    </row>
    <row r="1015" spans="1:18" ht="18">
      <c r="A1015" s="61" t="s">
        <v>3283</v>
      </c>
      <c r="B1015" s="15"/>
      <c r="C1015" s="16" t="s">
        <v>3284</v>
      </c>
      <c r="D1015" s="16" t="s">
        <v>3285</v>
      </c>
      <c r="E1015" s="16" t="s">
        <v>304</v>
      </c>
      <c r="F1015" s="19" t="s">
        <v>27</v>
      </c>
      <c r="G1015" s="18" t="b">
        <v>0</v>
      </c>
      <c r="H1015" s="18" t="b">
        <v>0</v>
      </c>
      <c r="I1015" s="18" t="b">
        <v>0</v>
      </c>
      <c r="J1015" s="18" t="b">
        <v>0</v>
      </c>
      <c r="K1015" s="18" t="b">
        <v>0</v>
      </c>
      <c r="L1015" s="18" t="b">
        <v>1</v>
      </c>
      <c r="M1015" s="18" t="b">
        <v>0</v>
      </c>
      <c r="N1015" s="18" t="b">
        <v>0</v>
      </c>
      <c r="O1015" s="18" t="b">
        <v>0</v>
      </c>
      <c r="P1015" s="18" t="b">
        <v>0</v>
      </c>
      <c r="Q1015" s="18" t="b">
        <v>0</v>
      </c>
      <c r="R1015" s="18" t="b">
        <v>0</v>
      </c>
    </row>
    <row r="1016" spans="1:18" ht="15">
      <c r="A1016" s="16" t="s">
        <v>3286</v>
      </c>
      <c r="B1016" s="15" t="s">
        <v>3287</v>
      </c>
      <c r="C1016" s="16" t="s">
        <v>3288</v>
      </c>
      <c r="D1016" s="16" t="s">
        <v>3289</v>
      </c>
      <c r="E1016" s="16" t="s">
        <v>60</v>
      </c>
      <c r="F1016" s="19" t="s">
        <v>27</v>
      </c>
      <c r="G1016" s="18" t="b">
        <v>0</v>
      </c>
      <c r="H1016" s="18" t="b">
        <v>0</v>
      </c>
      <c r="I1016" s="18" t="b">
        <v>0</v>
      </c>
      <c r="J1016" s="18" t="b">
        <v>0</v>
      </c>
      <c r="K1016" s="18" t="b">
        <v>0</v>
      </c>
      <c r="L1016" s="18" t="b">
        <v>0</v>
      </c>
      <c r="M1016" s="18" t="b">
        <v>1</v>
      </c>
      <c r="N1016" s="18" t="b">
        <v>0</v>
      </c>
      <c r="O1016" s="18" t="b">
        <v>0</v>
      </c>
      <c r="P1016" s="18" t="b">
        <v>0</v>
      </c>
      <c r="Q1016" s="18" t="b">
        <v>0</v>
      </c>
      <c r="R1016" s="18" t="b">
        <v>0</v>
      </c>
    </row>
    <row r="1017" spans="1:18" ht="15">
      <c r="A1017" s="16" t="s">
        <v>3290</v>
      </c>
      <c r="B1017" s="15" t="s">
        <v>3291</v>
      </c>
      <c r="C1017" s="67" t="s">
        <v>3292</v>
      </c>
      <c r="D1017" s="16" t="s">
        <v>3293</v>
      </c>
      <c r="E1017" s="16" t="s">
        <v>304</v>
      </c>
      <c r="F1017" s="19" t="s">
        <v>27</v>
      </c>
      <c r="G1017" s="18" t="b">
        <v>0</v>
      </c>
      <c r="H1017" s="18" t="b">
        <v>0</v>
      </c>
      <c r="I1017" s="18" t="b">
        <v>0</v>
      </c>
      <c r="J1017" s="18" t="b">
        <v>0</v>
      </c>
      <c r="K1017" s="18" t="b">
        <v>0</v>
      </c>
      <c r="L1017" s="18" t="b">
        <v>1</v>
      </c>
      <c r="M1017" s="18" t="b">
        <v>0</v>
      </c>
      <c r="N1017" s="18" t="b">
        <v>0</v>
      </c>
      <c r="O1017" s="18" t="b">
        <v>0</v>
      </c>
      <c r="P1017" s="18" t="b">
        <v>0</v>
      </c>
      <c r="Q1017" s="18" t="b">
        <v>0</v>
      </c>
      <c r="R1017" s="18" t="b">
        <v>0</v>
      </c>
    </row>
    <row r="1018" spans="1:18" ht="15">
      <c r="A1018" s="16" t="s">
        <v>3294</v>
      </c>
      <c r="B1018" s="15" t="s">
        <v>3295</v>
      </c>
      <c r="C1018" s="16" t="s">
        <v>3296</v>
      </c>
      <c r="D1018" s="16" t="s">
        <v>3297</v>
      </c>
      <c r="E1018" s="16" t="s">
        <v>304</v>
      </c>
      <c r="F1018" s="19" t="s">
        <v>27</v>
      </c>
      <c r="G1018" s="18" t="b">
        <v>0</v>
      </c>
      <c r="H1018" s="18" t="b">
        <v>0</v>
      </c>
      <c r="I1018" s="18" t="b">
        <v>0</v>
      </c>
      <c r="J1018" s="18" t="b">
        <v>0</v>
      </c>
      <c r="K1018" s="18" t="b">
        <v>0</v>
      </c>
      <c r="L1018" s="18" t="b">
        <v>1</v>
      </c>
      <c r="M1018" s="18" t="b">
        <v>0</v>
      </c>
      <c r="N1018" s="18" t="b">
        <v>0</v>
      </c>
      <c r="O1018" s="18" t="b">
        <v>0</v>
      </c>
      <c r="P1018" s="18" t="b">
        <v>0</v>
      </c>
      <c r="Q1018" s="18" t="b">
        <v>0</v>
      </c>
      <c r="R1018" s="18" t="b">
        <v>0</v>
      </c>
    </row>
    <row r="1019" spans="1:18" ht="18">
      <c r="A1019" s="61" t="s">
        <v>3298</v>
      </c>
      <c r="B1019" s="15" t="s">
        <v>3299</v>
      </c>
      <c r="C1019" s="16" t="s">
        <v>3300</v>
      </c>
      <c r="D1019" s="16" t="s">
        <v>3301</v>
      </c>
      <c r="E1019" s="16" t="s">
        <v>304</v>
      </c>
      <c r="F1019" s="19" t="s">
        <v>27</v>
      </c>
      <c r="G1019" s="18" t="b">
        <v>0</v>
      </c>
      <c r="H1019" s="18" t="b">
        <v>0</v>
      </c>
      <c r="I1019" s="18" t="b">
        <v>0</v>
      </c>
      <c r="J1019" s="18" t="b">
        <v>0</v>
      </c>
      <c r="K1019" s="18" t="b">
        <v>0</v>
      </c>
      <c r="L1019" s="18" t="b">
        <v>1</v>
      </c>
      <c r="M1019" s="18" t="b">
        <v>0</v>
      </c>
      <c r="N1019" s="18" t="b">
        <v>0</v>
      </c>
      <c r="O1019" s="18" t="b">
        <v>0</v>
      </c>
      <c r="P1019" s="18" t="b">
        <v>0</v>
      </c>
      <c r="Q1019" s="18" t="b">
        <v>0</v>
      </c>
      <c r="R1019" s="18" t="b">
        <v>0</v>
      </c>
    </row>
    <row r="1020" spans="1:18" ht="18">
      <c r="A1020" s="61" t="s">
        <v>3302</v>
      </c>
      <c r="B1020" s="15" t="s">
        <v>3302</v>
      </c>
      <c r="C1020" s="16" t="s">
        <v>3303</v>
      </c>
      <c r="D1020" s="16" t="s">
        <v>3304</v>
      </c>
      <c r="E1020" s="16" t="s">
        <v>304</v>
      </c>
      <c r="F1020" s="19" t="s">
        <v>27</v>
      </c>
      <c r="G1020" s="18" t="b">
        <v>0</v>
      </c>
      <c r="H1020" s="18" t="b">
        <v>0</v>
      </c>
      <c r="I1020" s="18" t="b">
        <v>0</v>
      </c>
      <c r="J1020" s="18" t="b">
        <v>0</v>
      </c>
      <c r="K1020" s="18" t="b">
        <v>0</v>
      </c>
      <c r="L1020" s="18" t="b">
        <v>1</v>
      </c>
      <c r="M1020" s="18" t="b">
        <v>0</v>
      </c>
      <c r="N1020" s="18" t="b">
        <v>0</v>
      </c>
      <c r="O1020" s="18" t="b">
        <v>0</v>
      </c>
      <c r="P1020" s="18" t="b">
        <v>0</v>
      </c>
      <c r="Q1020" s="18" t="b">
        <v>0</v>
      </c>
      <c r="R1020" s="18" t="b">
        <v>0</v>
      </c>
    </row>
    <row r="1021" spans="1:18" ht="18">
      <c r="A1021" s="61" t="s">
        <v>3305</v>
      </c>
      <c r="B1021" s="15" t="s">
        <v>3305</v>
      </c>
      <c r="C1021" s="16" t="s">
        <v>3306</v>
      </c>
      <c r="D1021" s="16" t="s">
        <v>3307</v>
      </c>
      <c r="E1021" s="16" t="s">
        <v>43</v>
      </c>
      <c r="F1021" s="19" t="s">
        <v>27</v>
      </c>
      <c r="G1021" s="18" t="b">
        <v>1</v>
      </c>
      <c r="H1021" s="18" t="b">
        <v>0</v>
      </c>
      <c r="I1021" s="18" t="b">
        <v>0</v>
      </c>
      <c r="J1021" s="18" t="b">
        <v>0</v>
      </c>
      <c r="K1021" s="18" t="b">
        <v>0</v>
      </c>
      <c r="L1021" s="18" t="b">
        <v>0</v>
      </c>
      <c r="M1021" s="18" t="b">
        <v>0</v>
      </c>
      <c r="N1021" s="18" t="b">
        <v>0</v>
      </c>
      <c r="O1021" s="18" t="b">
        <v>0</v>
      </c>
      <c r="P1021" s="18" t="b">
        <v>0</v>
      </c>
      <c r="Q1021" s="18" t="b">
        <v>0</v>
      </c>
      <c r="R1021" s="18" t="b">
        <v>0</v>
      </c>
    </row>
    <row r="1022" spans="1:18" ht="18">
      <c r="A1022" s="61" t="s">
        <v>3308</v>
      </c>
      <c r="B1022" s="15" t="s">
        <v>3308</v>
      </c>
      <c r="C1022" s="16" t="s">
        <v>3309</v>
      </c>
      <c r="D1022" s="16" t="s">
        <v>3310</v>
      </c>
      <c r="E1022" s="16" t="s">
        <v>990</v>
      </c>
      <c r="F1022" s="19" t="s">
        <v>27</v>
      </c>
      <c r="G1022" s="18" t="b">
        <v>0</v>
      </c>
      <c r="H1022" s="18" t="b">
        <v>0</v>
      </c>
      <c r="I1022" s="18" t="b">
        <v>0</v>
      </c>
      <c r="J1022" s="18" t="b">
        <v>0</v>
      </c>
      <c r="K1022" s="18" t="b">
        <v>0</v>
      </c>
      <c r="L1022" s="18" t="b">
        <v>0</v>
      </c>
      <c r="M1022" s="18" t="b">
        <v>0</v>
      </c>
      <c r="N1022" s="18" t="b">
        <v>0</v>
      </c>
      <c r="O1022" s="18" t="b">
        <v>0</v>
      </c>
      <c r="P1022" s="18" t="b">
        <v>0</v>
      </c>
      <c r="Q1022" s="18" t="b">
        <v>0</v>
      </c>
      <c r="R1022" s="18" t="b">
        <v>1</v>
      </c>
    </row>
    <row r="1023" spans="1:18" ht="15">
      <c r="A1023" s="16" t="s">
        <v>3311</v>
      </c>
      <c r="B1023" s="15"/>
      <c r="C1023" s="16" t="s">
        <v>3312</v>
      </c>
      <c r="D1023" s="16" t="s">
        <v>3313</v>
      </c>
      <c r="E1023" s="16" t="s">
        <v>154</v>
      </c>
      <c r="F1023" s="19" t="s">
        <v>27</v>
      </c>
      <c r="G1023" s="18" t="b">
        <v>0</v>
      </c>
      <c r="H1023" s="18" t="b">
        <v>0</v>
      </c>
      <c r="I1023" s="18" t="b">
        <v>0</v>
      </c>
      <c r="J1023" s="18" t="b">
        <v>0</v>
      </c>
      <c r="K1023" s="18" t="b">
        <v>1</v>
      </c>
      <c r="L1023" s="18" t="b">
        <v>0</v>
      </c>
      <c r="M1023" s="18" t="b">
        <v>0</v>
      </c>
      <c r="N1023" s="18" t="b">
        <v>0</v>
      </c>
      <c r="O1023" s="18" t="b">
        <v>0</v>
      </c>
      <c r="P1023" s="18" t="b">
        <v>0</v>
      </c>
      <c r="Q1023" s="18" t="b">
        <v>0</v>
      </c>
      <c r="R1023" s="18" t="b">
        <v>0</v>
      </c>
    </row>
    <row r="1024" spans="1:18" ht="15">
      <c r="A1024" s="16" t="s">
        <v>3314</v>
      </c>
      <c r="B1024" s="15"/>
      <c r="C1024" s="16" t="s">
        <v>3315</v>
      </c>
      <c r="D1024" s="16" t="s">
        <v>3316</v>
      </c>
      <c r="E1024" s="16" t="s">
        <v>26</v>
      </c>
      <c r="F1024" s="19" t="s">
        <v>27</v>
      </c>
      <c r="G1024" s="18" t="b">
        <v>0</v>
      </c>
      <c r="H1024" s="18" t="b">
        <v>0</v>
      </c>
      <c r="I1024" s="18" t="b">
        <v>1</v>
      </c>
      <c r="J1024" s="18" t="b">
        <v>0</v>
      </c>
      <c r="K1024" s="18" t="b">
        <v>0</v>
      </c>
      <c r="L1024" s="18" t="b">
        <v>0</v>
      </c>
      <c r="M1024" s="18" t="b">
        <v>0</v>
      </c>
      <c r="N1024" s="18" t="b">
        <v>0</v>
      </c>
      <c r="O1024" s="18" t="b">
        <v>0</v>
      </c>
      <c r="P1024" s="18" t="b">
        <v>0</v>
      </c>
      <c r="Q1024" s="18" t="b">
        <v>0</v>
      </c>
      <c r="R1024" s="18" t="b">
        <v>0</v>
      </c>
    </row>
    <row r="1025" spans="1:18" ht="15">
      <c r="A1025" s="16" t="s">
        <v>3317</v>
      </c>
      <c r="B1025" s="15" t="s">
        <v>3317</v>
      </c>
      <c r="C1025" s="16" t="s">
        <v>3318</v>
      </c>
      <c r="D1025" s="16" t="s">
        <v>3319</v>
      </c>
      <c r="E1025" s="16" t="s">
        <v>304</v>
      </c>
      <c r="F1025" s="19" t="s">
        <v>27</v>
      </c>
      <c r="G1025" s="18" t="b">
        <v>0</v>
      </c>
      <c r="H1025" s="18" t="b">
        <v>0</v>
      </c>
      <c r="I1025" s="18" t="b">
        <v>0</v>
      </c>
      <c r="J1025" s="18" t="b">
        <v>0</v>
      </c>
      <c r="K1025" s="18" t="b">
        <v>0</v>
      </c>
      <c r="L1025" s="18" t="b">
        <v>1</v>
      </c>
      <c r="M1025" s="18" t="b">
        <v>0</v>
      </c>
      <c r="N1025" s="18" t="b">
        <v>0</v>
      </c>
      <c r="O1025" s="18" t="b">
        <v>0</v>
      </c>
      <c r="P1025" s="18" t="b">
        <v>0</v>
      </c>
      <c r="Q1025" s="18" t="b">
        <v>0</v>
      </c>
      <c r="R1025" s="18" t="b">
        <v>0</v>
      </c>
    </row>
    <row r="1026" spans="1:18" ht="15">
      <c r="A1026" s="16" t="s">
        <v>3320</v>
      </c>
      <c r="B1026" s="15" t="s">
        <v>3320</v>
      </c>
      <c r="C1026" s="31" t="s">
        <v>3321</v>
      </c>
      <c r="D1026" s="90" t="s">
        <v>3322</v>
      </c>
      <c r="E1026" s="16" t="s">
        <v>69</v>
      </c>
      <c r="F1026" s="19" t="s">
        <v>27</v>
      </c>
      <c r="G1026" s="18" t="b">
        <v>0</v>
      </c>
      <c r="H1026" s="18" t="b">
        <v>0</v>
      </c>
      <c r="I1026" s="18" t="b">
        <v>0</v>
      </c>
      <c r="J1026" s="18" t="b">
        <v>0</v>
      </c>
      <c r="K1026" s="18" t="b">
        <v>0</v>
      </c>
      <c r="L1026" s="18" t="b">
        <v>0</v>
      </c>
      <c r="M1026" s="18" t="b">
        <v>0</v>
      </c>
      <c r="N1026" s="18" t="b">
        <v>0</v>
      </c>
      <c r="O1026" s="18" t="b">
        <v>1</v>
      </c>
      <c r="P1026" s="18" t="b">
        <v>0</v>
      </c>
      <c r="Q1026" s="18" t="b">
        <v>0</v>
      </c>
      <c r="R1026" s="18" t="b">
        <v>0</v>
      </c>
    </row>
    <row r="1027" spans="1:18" ht="15">
      <c r="A1027" s="16" t="s">
        <v>3323</v>
      </c>
      <c r="B1027" s="15"/>
      <c r="C1027" s="16" t="s">
        <v>3324</v>
      </c>
      <c r="D1027" s="16" t="s">
        <v>3325</v>
      </c>
      <c r="E1027" s="16" t="s">
        <v>69</v>
      </c>
      <c r="F1027" s="19" t="s">
        <v>27</v>
      </c>
      <c r="G1027" s="18" t="b">
        <v>0</v>
      </c>
      <c r="H1027" s="18" t="b">
        <v>0</v>
      </c>
      <c r="I1027" s="18" t="b">
        <v>0</v>
      </c>
      <c r="J1027" s="18" t="b">
        <v>0</v>
      </c>
      <c r="K1027" s="18" t="b">
        <v>0</v>
      </c>
      <c r="L1027" s="18" t="b">
        <v>0</v>
      </c>
      <c r="M1027" s="18" t="b">
        <v>0</v>
      </c>
      <c r="N1027" s="18" t="b">
        <v>0</v>
      </c>
      <c r="O1027" s="18" t="b">
        <v>1</v>
      </c>
      <c r="P1027" s="18" t="b">
        <v>0</v>
      </c>
      <c r="Q1027" s="18" t="b">
        <v>0</v>
      </c>
      <c r="R1027" s="18" t="b">
        <v>0</v>
      </c>
    </row>
    <row r="1028" spans="1:18" ht="15">
      <c r="A1028" s="16" t="s">
        <v>3326</v>
      </c>
      <c r="B1028" s="15"/>
      <c r="C1028" s="16" t="s">
        <v>3327</v>
      </c>
      <c r="D1028" s="16" t="s">
        <v>3328</v>
      </c>
      <c r="E1028" s="16" t="s">
        <v>43</v>
      </c>
      <c r="F1028" s="19" t="s">
        <v>27</v>
      </c>
      <c r="G1028" s="18" t="b">
        <v>1</v>
      </c>
      <c r="H1028" s="18" t="b">
        <v>0</v>
      </c>
      <c r="I1028" s="18" t="b">
        <v>0</v>
      </c>
      <c r="J1028" s="18" t="b">
        <v>0</v>
      </c>
      <c r="K1028" s="18" t="b">
        <v>0</v>
      </c>
      <c r="L1028" s="18" t="b">
        <v>0</v>
      </c>
      <c r="M1028" s="18" t="b">
        <v>0</v>
      </c>
      <c r="N1028" s="18" t="b">
        <v>0</v>
      </c>
      <c r="O1028" s="18" t="b">
        <v>0</v>
      </c>
      <c r="P1028" s="18" t="b">
        <v>0</v>
      </c>
      <c r="Q1028" s="18" t="b">
        <v>0</v>
      </c>
      <c r="R1028" s="18" t="b">
        <v>0</v>
      </c>
    </row>
    <row r="1029" spans="1:18" ht="15">
      <c r="A1029" s="16" t="s">
        <v>3329</v>
      </c>
      <c r="B1029" s="15"/>
      <c r="C1029" s="16" t="s">
        <v>3330</v>
      </c>
      <c r="D1029" s="16" t="s">
        <v>3331</v>
      </c>
      <c r="E1029" s="16" t="s">
        <v>304</v>
      </c>
      <c r="F1029" s="19" t="s">
        <v>27</v>
      </c>
      <c r="G1029" s="18" t="b">
        <v>0</v>
      </c>
      <c r="H1029" s="18" t="b">
        <v>0</v>
      </c>
      <c r="I1029" s="18" t="b">
        <v>0</v>
      </c>
      <c r="J1029" s="18" t="b">
        <v>0</v>
      </c>
      <c r="K1029" s="18" t="b">
        <v>0</v>
      </c>
      <c r="L1029" s="18" t="b">
        <v>1</v>
      </c>
      <c r="M1029" s="18" t="b">
        <v>0</v>
      </c>
      <c r="N1029" s="18" t="b">
        <v>0</v>
      </c>
      <c r="O1029" s="18" t="b">
        <v>0</v>
      </c>
      <c r="P1029" s="18" t="b">
        <v>0</v>
      </c>
      <c r="Q1029" s="18" t="b">
        <v>0</v>
      </c>
      <c r="R1029" s="18" t="b">
        <v>0</v>
      </c>
    </row>
    <row r="1030" spans="1:18" ht="15">
      <c r="A1030" s="16" t="s">
        <v>3333</v>
      </c>
      <c r="B1030" s="15"/>
      <c r="C1030" s="16" t="s">
        <v>3334</v>
      </c>
      <c r="D1030" s="16" t="s">
        <v>3335</v>
      </c>
      <c r="E1030" s="16" t="s">
        <v>154</v>
      </c>
      <c r="F1030" s="19" t="s">
        <v>27</v>
      </c>
      <c r="G1030" s="18" t="b">
        <v>0</v>
      </c>
      <c r="H1030" s="18" t="b">
        <v>0</v>
      </c>
      <c r="I1030" s="18" t="b">
        <v>0</v>
      </c>
      <c r="J1030" s="18" t="b">
        <v>0</v>
      </c>
      <c r="K1030" s="18" t="b">
        <v>1</v>
      </c>
      <c r="L1030" s="18" t="b">
        <v>0</v>
      </c>
      <c r="M1030" s="18" t="b">
        <v>0</v>
      </c>
      <c r="N1030" s="18" t="b">
        <v>0</v>
      </c>
      <c r="O1030" s="18" t="b">
        <v>0</v>
      </c>
      <c r="P1030" s="18" t="b">
        <v>0</v>
      </c>
      <c r="Q1030" s="18" t="b">
        <v>0</v>
      </c>
      <c r="R1030" s="18" t="b">
        <v>0</v>
      </c>
    </row>
    <row r="1031" spans="1:18" ht="15">
      <c r="A1031" s="16" t="s">
        <v>3336</v>
      </c>
      <c r="B1031" s="15"/>
      <c r="C1031" s="16" t="s">
        <v>3337</v>
      </c>
      <c r="D1031" s="16" t="s">
        <v>3338</v>
      </c>
      <c r="E1031" s="16" t="s">
        <v>304</v>
      </c>
      <c r="F1031" s="19" t="s">
        <v>27</v>
      </c>
      <c r="G1031" s="18" t="b">
        <v>0</v>
      </c>
      <c r="H1031" s="18" t="b">
        <v>0</v>
      </c>
      <c r="I1031" s="18" t="b">
        <v>0</v>
      </c>
      <c r="J1031" s="18" t="b">
        <v>0</v>
      </c>
      <c r="K1031" s="18" t="b">
        <v>0</v>
      </c>
      <c r="L1031" s="18" t="b">
        <v>1</v>
      </c>
      <c r="M1031" s="18" t="b">
        <v>0</v>
      </c>
      <c r="N1031" s="18" t="b">
        <v>0</v>
      </c>
      <c r="O1031" s="18" t="b">
        <v>0</v>
      </c>
      <c r="P1031" s="18" t="b">
        <v>0</v>
      </c>
      <c r="Q1031" s="18" t="b">
        <v>0</v>
      </c>
      <c r="R1031" s="18" t="b">
        <v>0</v>
      </c>
    </row>
    <row r="1032" spans="1:18" ht="18">
      <c r="A1032" s="16" t="s">
        <v>3339</v>
      </c>
      <c r="B1032" s="15"/>
      <c r="C1032" s="16" t="s">
        <v>3340</v>
      </c>
      <c r="D1032" s="198" t="s">
        <v>3341</v>
      </c>
      <c r="E1032" s="16" t="s">
        <v>26</v>
      </c>
      <c r="F1032" s="19" t="s">
        <v>27</v>
      </c>
      <c r="G1032" s="18" t="b">
        <v>0</v>
      </c>
      <c r="H1032" s="18" t="b">
        <v>0</v>
      </c>
      <c r="I1032" s="18" t="b">
        <v>1</v>
      </c>
      <c r="J1032" s="18" t="b">
        <v>0</v>
      </c>
      <c r="K1032" s="18" t="b">
        <v>0</v>
      </c>
      <c r="L1032" s="18" t="b">
        <v>0</v>
      </c>
      <c r="M1032" s="18" t="b">
        <v>0</v>
      </c>
      <c r="N1032" s="18" t="b">
        <v>0</v>
      </c>
      <c r="O1032" s="18" t="b">
        <v>0</v>
      </c>
      <c r="P1032" s="18" t="b">
        <v>0</v>
      </c>
      <c r="Q1032" s="18" t="b">
        <v>0</v>
      </c>
      <c r="R1032" s="18" t="b">
        <v>0</v>
      </c>
    </row>
    <row r="1033" spans="1:18" ht="15">
      <c r="A1033" s="16" t="s">
        <v>3342</v>
      </c>
      <c r="B1033" s="15"/>
      <c r="C1033" s="16" t="s">
        <v>3343</v>
      </c>
      <c r="D1033" s="16" t="s">
        <v>3344</v>
      </c>
      <c r="E1033" s="16" t="s">
        <v>140</v>
      </c>
      <c r="F1033" s="19" t="s">
        <v>27</v>
      </c>
      <c r="G1033" s="18" t="b">
        <v>0</v>
      </c>
      <c r="H1033" s="18" t="b">
        <v>1</v>
      </c>
      <c r="I1033" s="18" t="b">
        <v>0</v>
      </c>
      <c r="J1033" s="18" t="b">
        <v>0</v>
      </c>
      <c r="K1033" s="18" t="b">
        <v>0</v>
      </c>
      <c r="L1033" s="18" t="b">
        <v>0</v>
      </c>
      <c r="M1033" s="18" t="b">
        <v>0</v>
      </c>
      <c r="N1033" s="18" t="b">
        <v>0</v>
      </c>
      <c r="O1033" s="18" t="b">
        <v>0</v>
      </c>
      <c r="P1033" s="18" t="b">
        <v>0</v>
      </c>
      <c r="Q1033" s="18" t="b">
        <v>0</v>
      </c>
      <c r="R1033" s="18" t="b">
        <v>0</v>
      </c>
    </row>
    <row r="1034" spans="1:18" ht="15">
      <c r="A1034" s="16" t="s">
        <v>3345</v>
      </c>
      <c r="B1034" s="15"/>
      <c r="C1034" s="16" t="s">
        <v>3346</v>
      </c>
      <c r="D1034" s="16" t="s">
        <v>3347</v>
      </c>
      <c r="E1034" s="16" t="s">
        <v>140</v>
      </c>
      <c r="F1034" s="19" t="s">
        <v>27</v>
      </c>
      <c r="G1034" s="18" t="b">
        <v>0</v>
      </c>
      <c r="H1034" s="18" t="b">
        <v>1</v>
      </c>
      <c r="I1034" s="18" t="b">
        <v>0</v>
      </c>
      <c r="J1034" s="18" t="b">
        <v>0</v>
      </c>
      <c r="K1034" s="18" t="b">
        <v>0</v>
      </c>
      <c r="L1034" s="18" t="b">
        <v>0</v>
      </c>
      <c r="M1034" s="18" t="b">
        <v>0</v>
      </c>
      <c r="N1034" s="18" t="b">
        <v>0</v>
      </c>
      <c r="O1034" s="18" t="b">
        <v>0</v>
      </c>
      <c r="P1034" s="18" t="b">
        <v>0</v>
      </c>
      <c r="Q1034" s="18" t="b">
        <v>0</v>
      </c>
      <c r="R1034" s="18" t="b">
        <v>0</v>
      </c>
    </row>
    <row r="1035" spans="1:18" ht="18">
      <c r="A1035" s="61" t="s">
        <v>3348</v>
      </c>
      <c r="B1035" s="15"/>
      <c r="C1035" s="31" t="s">
        <v>3349</v>
      </c>
      <c r="D1035" s="90" t="s">
        <v>3350</v>
      </c>
      <c r="E1035" s="16" t="s">
        <v>69</v>
      </c>
      <c r="F1035" s="19" t="s">
        <v>27</v>
      </c>
      <c r="G1035" s="18" t="b">
        <v>0</v>
      </c>
      <c r="H1035" s="18" t="b">
        <v>0</v>
      </c>
      <c r="I1035" s="18" t="b">
        <v>0</v>
      </c>
      <c r="J1035" s="18" t="b">
        <v>0</v>
      </c>
      <c r="K1035" s="18" t="b">
        <v>0</v>
      </c>
      <c r="L1035" s="18" t="b">
        <v>0</v>
      </c>
      <c r="M1035" s="18" t="b">
        <v>0</v>
      </c>
      <c r="N1035" s="18" t="b">
        <v>0</v>
      </c>
      <c r="O1035" s="18" t="b">
        <v>1</v>
      </c>
      <c r="P1035" s="18" t="b">
        <v>0</v>
      </c>
      <c r="Q1035" s="18" t="b">
        <v>0</v>
      </c>
      <c r="R1035" s="18" t="b">
        <v>0</v>
      </c>
    </row>
    <row r="1036" spans="1:18" ht="18">
      <c r="A1036" s="61" t="s">
        <v>3351</v>
      </c>
      <c r="B1036" s="15"/>
      <c r="C1036" s="31" t="s">
        <v>3352</v>
      </c>
      <c r="D1036" s="90" t="s">
        <v>3353</v>
      </c>
      <c r="E1036" s="16" t="s">
        <v>69</v>
      </c>
      <c r="F1036" s="19" t="s">
        <v>27</v>
      </c>
      <c r="G1036" s="18" t="b">
        <v>0</v>
      </c>
      <c r="H1036" s="18" t="b">
        <v>0</v>
      </c>
      <c r="I1036" s="18" t="b">
        <v>0</v>
      </c>
      <c r="J1036" s="18" t="b">
        <v>0</v>
      </c>
      <c r="K1036" s="18" t="b">
        <v>0</v>
      </c>
      <c r="L1036" s="18" t="b">
        <v>0</v>
      </c>
      <c r="M1036" s="18" t="b">
        <v>0</v>
      </c>
      <c r="N1036" s="18" t="b">
        <v>0</v>
      </c>
      <c r="O1036" s="18" t="b">
        <v>1</v>
      </c>
      <c r="P1036" s="18" t="b">
        <v>0</v>
      </c>
      <c r="Q1036" s="18" t="b">
        <v>0</v>
      </c>
      <c r="R1036" s="18" t="b">
        <v>0</v>
      </c>
    </row>
    <row r="1037" spans="1:18" ht="18">
      <c r="A1037" s="61" t="s">
        <v>3354</v>
      </c>
      <c r="B1037" s="15"/>
      <c r="C1037" s="31" t="s">
        <v>3355</v>
      </c>
      <c r="D1037" s="90" t="s">
        <v>3356</v>
      </c>
      <c r="E1037" s="16" t="s">
        <v>60</v>
      </c>
      <c r="F1037" s="19" t="s">
        <v>27</v>
      </c>
      <c r="G1037" s="18" t="b">
        <v>0</v>
      </c>
      <c r="H1037" s="18" t="b">
        <v>0</v>
      </c>
      <c r="I1037" s="18" t="b">
        <v>0</v>
      </c>
      <c r="J1037" s="18" t="b">
        <v>0</v>
      </c>
      <c r="K1037" s="18" t="b">
        <v>0</v>
      </c>
      <c r="L1037" s="18" t="b">
        <v>0</v>
      </c>
      <c r="M1037" s="18" t="b">
        <v>1</v>
      </c>
      <c r="N1037" s="18" t="b">
        <v>0</v>
      </c>
      <c r="O1037" s="18" t="b">
        <v>0</v>
      </c>
      <c r="P1037" s="18" t="b">
        <v>0</v>
      </c>
      <c r="Q1037" s="18" t="b">
        <v>0</v>
      </c>
      <c r="R1037" s="18" t="b">
        <v>0</v>
      </c>
    </row>
    <row r="1038" spans="1:18" ht="18">
      <c r="A1038" s="61" t="s">
        <v>3357</v>
      </c>
      <c r="B1038" s="15"/>
      <c r="C1038" s="31" t="s">
        <v>3358</v>
      </c>
      <c r="D1038" s="90" t="s">
        <v>3359</v>
      </c>
      <c r="E1038" s="16" t="s">
        <v>26</v>
      </c>
      <c r="F1038" s="19" t="s">
        <v>27</v>
      </c>
      <c r="G1038" s="18" t="b">
        <v>0</v>
      </c>
      <c r="H1038" s="18" t="b">
        <v>0</v>
      </c>
      <c r="I1038" s="18" t="b">
        <v>1</v>
      </c>
      <c r="J1038" s="18" t="b">
        <v>0</v>
      </c>
      <c r="K1038" s="18" t="b">
        <v>0</v>
      </c>
      <c r="L1038" s="18" t="b">
        <v>0</v>
      </c>
      <c r="M1038" s="18" t="b">
        <v>0</v>
      </c>
      <c r="N1038" s="18" t="b">
        <v>0</v>
      </c>
      <c r="O1038" s="18" t="b">
        <v>0</v>
      </c>
      <c r="P1038" s="18" t="b">
        <v>0</v>
      </c>
      <c r="Q1038" s="18" t="b">
        <v>0</v>
      </c>
      <c r="R1038" s="18" t="b">
        <v>0</v>
      </c>
    </row>
    <row r="1039" spans="1:18" ht="18">
      <c r="A1039" s="61" t="s">
        <v>3360</v>
      </c>
      <c r="B1039" s="15"/>
      <c r="C1039" s="31" t="s">
        <v>3361</v>
      </c>
      <c r="D1039" s="90" t="s">
        <v>3362</v>
      </c>
      <c r="E1039" s="16" t="s">
        <v>43</v>
      </c>
      <c r="F1039" s="19" t="s">
        <v>27</v>
      </c>
      <c r="G1039" s="18" t="b">
        <v>1</v>
      </c>
      <c r="H1039" s="18" t="b">
        <v>0</v>
      </c>
      <c r="I1039" s="18" t="b">
        <v>0</v>
      </c>
      <c r="J1039" s="18" t="b">
        <v>0</v>
      </c>
      <c r="K1039" s="18" t="b">
        <v>0</v>
      </c>
      <c r="L1039" s="18" t="b">
        <v>0</v>
      </c>
      <c r="M1039" s="18" t="b">
        <v>0</v>
      </c>
      <c r="N1039" s="18" t="b">
        <v>0</v>
      </c>
      <c r="O1039" s="18" t="b">
        <v>0</v>
      </c>
      <c r="P1039" s="18" t="b">
        <v>0</v>
      </c>
      <c r="Q1039" s="18" t="b">
        <v>0</v>
      </c>
      <c r="R1039" s="18" t="b">
        <v>0</v>
      </c>
    </row>
    <row r="1040" spans="1:18" ht="18">
      <c r="A1040" s="61" t="s">
        <v>3363</v>
      </c>
      <c r="B1040" s="15"/>
      <c r="C1040" s="31" t="s">
        <v>3364</v>
      </c>
      <c r="D1040" s="90" t="s">
        <v>3365</v>
      </c>
      <c r="E1040" s="16" t="s">
        <v>304</v>
      </c>
      <c r="F1040" s="19" t="s">
        <v>27</v>
      </c>
      <c r="G1040" s="18" t="b">
        <v>0</v>
      </c>
      <c r="H1040" s="18" t="b">
        <v>0</v>
      </c>
      <c r="I1040" s="18" t="b">
        <v>0</v>
      </c>
      <c r="J1040" s="18" t="b">
        <v>0</v>
      </c>
      <c r="K1040" s="18" t="b">
        <v>0</v>
      </c>
      <c r="L1040" s="18" t="b">
        <v>1</v>
      </c>
      <c r="M1040" s="18" t="b">
        <v>0</v>
      </c>
      <c r="N1040" s="18" t="b">
        <v>0</v>
      </c>
      <c r="O1040" s="18" t="b">
        <v>0</v>
      </c>
      <c r="P1040" s="18" t="b">
        <v>0</v>
      </c>
      <c r="Q1040" s="18" t="b">
        <v>0</v>
      </c>
      <c r="R1040" s="18" t="b">
        <v>0</v>
      </c>
    </row>
    <row r="1041" spans="1:18" ht="18">
      <c r="A1041" s="61" t="s">
        <v>3366</v>
      </c>
      <c r="B1041" s="15"/>
      <c r="C1041" s="31" t="s">
        <v>3367</v>
      </c>
      <c r="D1041" s="90" t="s">
        <v>3368</v>
      </c>
      <c r="E1041" s="16" t="s">
        <v>43</v>
      </c>
      <c r="F1041" s="19" t="s">
        <v>27</v>
      </c>
      <c r="G1041" s="18" t="b">
        <v>1</v>
      </c>
      <c r="H1041" s="18" t="b">
        <v>0</v>
      </c>
      <c r="I1041" s="18" t="b">
        <v>0</v>
      </c>
      <c r="J1041" s="18" t="b">
        <v>0</v>
      </c>
      <c r="K1041" s="18" t="b">
        <v>0</v>
      </c>
      <c r="L1041" s="18" t="b">
        <v>0</v>
      </c>
      <c r="M1041" s="18" t="b">
        <v>0</v>
      </c>
      <c r="N1041" s="18" t="b">
        <v>0</v>
      </c>
      <c r="O1041" s="18" t="b">
        <v>0</v>
      </c>
      <c r="P1041" s="18" t="b">
        <v>0</v>
      </c>
      <c r="Q1041" s="18" t="b">
        <v>0</v>
      </c>
      <c r="R1041" s="18" t="b">
        <v>0</v>
      </c>
    </row>
    <row r="1042" spans="1:18" ht="18">
      <c r="A1042" s="61"/>
      <c r="B1042" s="15"/>
      <c r="C1042" s="31"/>
      <c r="D1042" s="90"/>
      <c r="E1042" s="16"/>
      <c r="F1042" s="33"/>
      <c r="G1042" s="16"/>
      <c r="H1042" s="16"/>
      <c r="I1042" s="16"/>
      <c r="J1042" s="16"/>
      <c r="K1042" s="16"/>
      <c r="L1042" s="16"/>
      <c r="M1042" s="16"/>
      <c r="N1042" s="16"/>
      <c r="O1042" s="16"/>
      <c r="P1042" s="16"/>
      <c r="Q1042" s="16"/>
      <c r="R1042" s="16"/>
    </row>
    <row r="1043" spans="1:18" ht="18">
      <c r="A1043" s="61"/>
      <c r="B1043" s="15"/>
      <c r="C1043" s="31"/>
      <c r="D1043" s="90"/>
      <c r="E1043" s="16"/>
      <c r="F1043" s="33"/>
      <c r="G1043" s="16"/>
      <c r="H1043" s="16"/>
      <c r="I1043" s="16"/>
      <c r="J1043" s="16"/>
      <c r="K1043" s="16"/>
      <c r="L1043" s="16"/>
      <c r="M1043" s="16"/>
      <c r="N1043" s="16"/>
      <c r="O1043" s="16"/>
      <c r="P1043" s="16"/>
      <c r="Q1043" s="16"/>
      <c r="R1043" s="16"/>
    </row>
    <row r="1044" spans="1:18" ht="18">
      <c r="A1044" s="61"/>
      <c r="B1044" s="15"/>
      <c r="C1044" s="31"/>
      <c r="D1044" s="90"/>
      <c r="E1044" s="16"/>
      <c r="F1044" s="33"/>
      <c r="G1044" s="16"/>
      <c r="H1044" s="16"/>
      <c r="I1044" s="16"/>
      <c r="J1044" s="16"/>
      <c r="K1044" s="16"/>
      <c r="L1044" s="16"/>
      <c r="M1044" s="16"/>
      <c r="N1044" s="16"/>
      <c r="O1044" s="16"/>
      <c r="P1044" s="16"/>
      <c r="Q1044" s="16"/>
      <c r="R1044" s="16"/>
    </row>
    <row r="1045" spans="1:18" ht="18">
      <c r="A1045" s="61"/>
      <c r="B1045" s="15"/>
      <c r="C1045" s="31"/>
      <c r="D1045" s="90"/>
      <c r="E1045" s="16"/>
      <c r="F1045" s="33"/>
      <c r="G1045" s="16"/>
      <c r="H1045" s="16"/>
      <c r="I1045" s="16"/>
      <c r="J1045" s="16"/>
      <c r="K1045" s="16"/>
      <c r="L1045" s="16"/>
      <c r="M1045" s="16"/>
      <c r="N1045" s="16"/>
      <c r="O1045" s="16"/>
      <c r="P1045" s="16"/>
      <c r="Q1045" s="16"/>
      <c r="R1045" s="16"/>
    </row>
    <row r="1046" spans="1:18" ht="18">
      <c r="A1046" s="61"/>
      <c r="B1046" s="15"/>
      <c r="C1046" s="31"/>
      <c r="D1046" s="90"/>
      <c r="E1046" s="16"/>
      <c r="F1046" s="33"/>
      <c r="G1046" s="16"/>
      <c r="H1046" s="16"/>
      <c r="I1046" s="16"/>
      <c r="J1046" s="16"/>
      <c r="K1046" s="16"/>
      <c r="L1046" s="16"/>
      <c r="M1046" s="16"/>
      <c r="N1046" s="16"/>
      <c r="O1046" s="16"/>
      <c r="P1046" s="16"/>
      <c r="Q1046" s="16"/>
      <c r="R1046" s="16"/>
    </row>
    <row r="1047" spans="1:18" ht="18">
      <c r="A1047" s="61"/>
      <c r="B1047" s="15"/>
      <c r="C1047" s="31"/>
      <c r="D1047" s="90"/>
      <c r="E1047" s="16"/>
      <c r="F1047" s="33"/>
      <c r="G1047" s="16"/>
      <c r="H1047" s="16"/>
      <c r="I1047" s="16"/>
      <c r="J1047" s="16"/>
      <c r="K1047" s="16"/>
      <c r="L1047" s="16"/>
      <c r="M1047" s="16"/>
      <c r="N1047" s="16"/>
      <c r="O1047" s="16"/>
      <c r="P1047" s="16"/>
      <c r="Q1047" s="16"/>
      <c r="R1047" s="16"/>
    </row>
    <row r="1048" spans="1:18" ht="18">
      <c r="A1048" s="61"/>
      <c r="B1048" s="15"/>
      <c r="C1048" s="31"/>
      <c r="D1048" s="90"/>
      <c r="E1048" s="16"/>
      <c r="F1048" s="33"/>
      <c r="G1048" s="16"/>
      <c r="H1048" s="16"/>
      <c r="I1048" s="16"/>
      <c r="J1048" s="16"/>
      <c r="K1048" s="16"/>
      <c r="L1048" s="16"/>
      <c r="M1048" s="16"/>
      <c r="N1048" s="16"/>
      <c r="O1048" s="16"/>
      <c r="P1048" s="16"/>
      <c r="Q1048" s="16"/>
      <c r="R1048" s="16"/>
    </row>
    <row r="1049" spans="1:18" ht="18">
      <c r="A1049" s="61"/>
      <c r="B1049" s="15"/>
      <c r="C1049" s="31"/>
      <c r="D1049" s="90"/>
      <c r="E1049" s="16"/>
      <c r="F1049" s="33"/>
      <c r="G1049" s="16"/>
      <c r="H1049" s="16"/>
      <c r="I1049" s="16"/>
      <c r="J1049" s="16"/>
      <c r="K1049" s="16"/>
      <c r="L1049" s="16"/>
      <c r="M1049" s="16"/>
      <c r="N1049" s="16"/>
      <c r="O1049" s="16"/>
      <c r="P1049" s="16"/>
      <c r="Q1049" s="16"/>
      <c r="R1049" s="16"/>
    </row>
    <row r="1050" spans="1:18" ht="18">
      <c r="A1050" s="61"/>
      <c r="B1050" s="15"/>
      <c r="C1050" s="31"/>
      <c r="D1050" s="90"/>
      <c r="E1050" s="16"/>
      <c r="F1050" s="33"/>
      <c r="G1050" s="16"/>
      <c r="H1050" s="16"/>
      <c r="I1050" s="16"/>
      <c r="J1050" s="16"/>
      <c r="K1050" s="16"/>
      <c r="L1050" s="16"/>
      <c r="M1050" s="16"/>
      <c r="N1050" s="16"/>
      <c r="O1050" s="16"/>
      <c r="P1050" s="16"/>
      <c r="Q1050" s="16"/>
      <c r="R1050" s="16"/>
    </row>
    <row r="1051" spans="1:18" ht="18">
      <c r="A1051" s="61"/>
      <c r="B1051" s="15"/>
      <c r="C1051" s="31"/>
      <c r="D1051" s="90"/>
      <c r="E1051" s="16"/>
      <c r="F1051" s="33"/>
      <c r="G1051" s="16"/>
      <c r="H1051" s="16"/>
      <c r="I1051" s="16"/>
      <c r="J1051" s="16"/>
      <c r="K1051" s="16"/>
      <c r="L1051" s="16"/>
      <c r="M1051" s="16"/>
      <c r="N1051" s="16"/>
      <c r="O1051" s="16"/>
      <c r="P1051" s="16"/>
      <c r="Q1051" s="16"/>
      <c r="R1051" s="16"/>
    </row>
    <row r="1052" spans="1:18" ht="18">
      <c r="A1052" s="61"/>
      <c r="B1052" s="15"/>
      <c r="C1052" s="31"/>
      <c r="D1052" s="90"/>
      <c r="E1052" s="16"/>
      <c r="F1052" s="33"/>
      <c r="G1052" s="16"/>
      <c r="H1052" s="16"/>
      <c r="I1052" s="16"/>
      <c r="J1052" s="16"/>
      <c r="K1052" s="16"/>
      <c r="L1052" s="16"/>
      <c r="M1052" s="16"/>
      <c r="N1052" s="16"/>
      <c r="O1052" s="16"/>
      <c r="P1052" s="16"/>
      <c r="Q1052" s="16"/>
      <c r="R1052" s="16"/>
    </row>
    <row r="1053" spans="1:18" ht="18">
      <c r="A1053" s="61"/>
      <c r="B1053" s="15"/>
      <c r="C1053" s="31"/>
      <c r="D1053" s="90"/>
      <c r="E1053" s="16"/>
      <c r="F1053" s="33"/>
      <c r="G1053" s="16"/>
      <c r="H1053" s="16"/>
      <c r="I1053" s="16"/>
      <c r="J1053" s="16"/>
      <c r="K1053" s="16"/>
      <c r="L1053" s="16"/>
      <c r="M1053" s="16"/>
      <c r="N1053" s="16"/>
      <c r="O1053" s="16"/>
      <c r="P1053" s="16"/>
      <c r="Q1053" s="16"/>
      <c r="R1053" s="16"/>
    </row>
    <row r="1054" spans="1:18" ht="18">
      <c r="A1054" s="61"/>
      <c r="B1054" s="15"/>
      <c r="C1054" s="31"/>
      <c r="D1054" s="90"/>
      <c r="E1054" s="16"/>
      <c r="F1054" s="33"/>
      <c r="G1054" s="16"/>
      <c r="H1054" s="16"/>
      <c r="I1054" s="16"/>
      <c r="J1054" s="16"/>
      <c r="K1054" s="16"/>
      <c r="L1054" s="16"/>
      <c r="M1054" s="16"/>
      <c r="N1054" s="16"/>
      <c r="O1054" s="16"/>
      <c r="P1054" s="16"/>
      <c r="Q1054" s="16"/>
      <c r="R1054" s="16"/>
    </row>
    <row r="1055" spans="1:18" ht="18">
      <c r="A1055" s="61"/>
      <c r="B1055" s="15"/>
      <c r="C1055" s="31"/>
      <c r="D1055" s="90"/>
      <c r="E1055" s="16"/>
      <c r="F1055" s="33"/>
      <c r="G1055" s="16"/>
      <c r="H1055" s="16"/>
      <c r="I1055" s="16"/>
      <c r="J1055" s="16"/>
      <c r="K1055" s="16"/>
      <c r="L1055" s="16"/>
      <c r="M1055" s="16"/>
      <c r="N1055" s="16"/>
      <c r="O1055" s="16"/>
      <c r="P1055" s="16"/>
      <c r="Q1055" s="16"/>
      <c r="R1055" s="16"/>
    </row>
    <row r="1056" spans="1:18" ht="18">
      <c r="A1056" s="61"/>
      <c r="B1056" s="15"/>
      <c r="C1056" s="31"/>
      <c r="D1056" s="90"/>
      <c r="E1056" s="16"/>
      <c r="F1056" s="33"/>
      <c r="G1056" s="16"/>
      <c r="H1056" s="16"/>
      <c r="I1056" s="16"/>
      <c r="J1056" s="16"/>
      <c r="K1056" s="16"/>
      <c r="L1056" s="16"/>
      <c r="M1056" s="16"/>
      <c r="N1056" s="16"/>
      <c r="O1056" s="16"/>
      <c r="P1056" s="16"/>
      <c r="Q1056" s="16"/>
      <c r="R1056" s="16"/>
    </row>
    <row r="1057" spans="1:18" ht="18">
      <c r="A1057" s="61"/>
      <c r="B1057" s="15"/>
      <c r="C1057" s="31"/>
      <c r="D1057" s="90"/>
      <c r="E1057" s="16"/>
      <c r="F1057" s="33"/>
      <c r="G1057" s="16"/>
      <c r="H1057" s="16"/>
      <c r="I1057" s="16"/>
      <c r="J1057" s="16"/>
      <c r="K1057" s="16"/>
      <c r="L1057" s="16"/>
      <c r="M1057" s="16"/>
      <c r="N1057" s="16"/>
      <c r="O1057" s="16"/>
      <c r="P1057" s="16"/>
      <c r="Q1057" s="16"/>
      <c r="R1057" s="16"/>
    </row>
    <row r="1058" spans="1:18" ht="18">
      <c r="A1058" s="61"/>
      <c r="B1058" s="15"/>
      <c r="C1058" s="31"/>
      <c r="D1058" s="90"/>
      <c r="E1058" s="16"/>
      <c r="F1058" s="33"/>
      <c r="G1058" s="16"/>
      <c r="H1058" s="16"/>
      <c r="I1058" s="16"/>
      <c r="J1058" s="16"/>
      <c r="K1058" s="16"/>
      <c r="L1058" s="16"/>
      <c r="M1058" s="16"/>
      <c r="N1058" s="16"/>
      <c r="O1058" s="16"/>
      <c r="P1058" s="16"/>
      <c r="Q1058" s="16"/>
      <c r="R1058" s="16"/>
    </row>
    <row r="1059" spans="1:18" ht="18">
      <c r="A1059" s="61"/>
      <c r="B1059" s="15"/>
      <c r="C1059" s="31"/>
      <c r="D1059" s="90"/>
      <c r="E1059" s="16"/>
      <c r="F1059" s="33"/>
      <c r="G1059" s="16"/>
      <c r="H1059" s="16"/>
      <c r="I1059" s="16"/>
      <c r="J1059" s="16"/>
      <c r="K1059" s="16"/>
      <c r="L1059" s="16"/>
      <c r="M1059" s="16"/>
      <c r="N1059" s="16"/>
      <c r="O1059" s="16"/>
      <c r="P1059" s="16"/>
      <c r="Q1059" s="16"/>
      <c r="R1059" s="16"/>
    </row>
    <row r="1060" spans="1:18" ht="18">
      <c r="A1060" s="61"/>
      <c r="B1060" s="15"/>
      <c r="C1060" s="31"/>
      <c r="D1060" s="90"/>
      <c r="E1060" s="16"/>
      <c r="F1060" s="33"/>
      <c r="G1060" s="16"/>
      <c r="H1060" s="16"/>
      <c r="I1060" s="16"/>
      <c r="J1060" s="16"/>
      <c r="K1060" s="16"/>
      <c r="L1060" s="16"/>
      <c r="M1060" s="16"/>
      <c r="N1060" s="16"/>
      <c r="O1060" s="16"/>
      <c r="P1060" s="16"/>
      <c r="Q1060" s="16"/>
      <c r="R1060" s="16"/>
    </row>
    <row r="1061" spans="1:18" ht="18">
      <c r="A1061" s="61"/>
      <c r="B1061" s="15"/>
      <c r="C1061" s="31"/>
      <c r="D1061" s="90"/>
      <c r="E1061" s="16"/>
      <c r="F1061" s="33"/>
      <c r="G1061" s="16"/>
      <c r="H1061" s="16"/>
      <c r="I1061" s="16"/>
      <c r="J1061" s="16"/>
      <c r="K1061" s="16"/>
      <c r="L1061" s="16"/>
      <c r="M1061" s="16"/>
      <c r="N1061" s="16"/>
      <c r="O1061" s="16"/>
      <c r="P1061" s="16"/>
      <c r="Q1061" s="16"/>
      <c r="R1061" s="16"/>
    </row>
    <row r="1062" spans="1:18" ht="18">
      <c r="A1062" s="61"/>
      <c r="B1062" s="15"/>
      <c r="C1062" s="31"/>
      <c r="D1062" s="90"/>
      <c r="E1062" s="16"/>
      <c r="F1062" s="33"/>
      <c r="G1062" s="16"/>
      <c r="H1062" s="16"/>
      <c r="I1062" s="16"/>
      <c r="J1062" s="16"/>
      <c r="K1062" s="16"/>
      <c r="L1062" s="16"/>
      <c r="M1062" s="16"/>
      <c r="N1062" s="16"/>
      <c r="O1062" s="16"/>
      <c r="P1062" s="16"/>
      <c r="Q1062" s="16"/>
      <c r="R1062" s="16"/>
    </row>
    <row r="1063" spans="1:18" ht="18">
      <c r="A1063" s="61"/>
      <c r="B1063" s="15"/>
      <c r="C1063" s="31"/>
      <c r="D1063" s="90"/>
      <c r="E1063" s="16"/>
      <c r="F1063" s="33"/>
      <c r="G1063" s="16"/>
      <c r="H1063" s="16"/>
      <c r="I1063" s="16"/>
      <c r="J1063" s="16"/>
      <c r="K1063" s="16"/>
      <c r="L1063" s="16"/>
      <c r="M1063" s="16"/>
      <c r="N1063" s="16"/>
      <c r="O1063" s="16"/>
      <c r="P1063" s="16"/>
      <c r="Q1063" s="16"/>
      <c r="R1063" s="16"/>
    </row>
    <row r="1064" spans="1:18" ht="18">
      <c r="A1064" s="61"/>
      <c r="B1064" s="15"/>
      <c r="C1064" s="31"/>
      <c r="D1064" s="90"/>
      <c r="E1064" s="16"/>
      <c r="F1064" s="33"/>
      <c r="G1064" s="16"/>
      <c r="H1064" s="16"/>
      <c r="I1064" s="16"/>
      <c r="J1064" s="16"/>
      <c r="K1064" s="16"/>
      <c r="L1064" s="16"/>
      <c r="M1064" s="16"/>
      <c r="N1064" s="16"/>
      <c r="O1064" s="16"/>
      <c r="P1064" s="16"/>
      <c r="Q1064" s="16"/>
      <c r="R1064" s="16"/>
    </row>
    <row r="1065" spans="1:18" ht="18">
      <c r="A1065" s="61"/>
      <c r="B1065" s="15"/>
      <c r="C1065" s="31"/>
      <c r="D1065" s="90"/>
      <c r="E1065" s="16"/>
      <c r="F1065" s="33"/>
      <c r="G1065" s="16"/>
      <c r="H1065" s="16"/>
      <c r="I1065" s="16"/>
      <c r="J1065" s="16"/>
      <c r="K1065" s="16"/>
      <c r="L1065" s="16"/>
      <c r="M1065" s="16"/>
      <c r="N1065" s="16"/>
      <c r="O1065" s="16"/>
      <c r="P1065" s="16"/>
      <c r="Q1065" s="16"/>
      <c r="R1065" s="16"/>
    </row>
    <row r="1066" spans="1:18" ht="18">
      <c r="A1066" s="61"/>
      <c r="B1066" s="15"/>
      <c r="C1066" s="31"/>
      <c r="D1066" s="90"/>
      <c r="E1066" s="16"/>
      <c r="F1066" s="33"/>
      <c r="G1066" s="16"/>
      <c r="H1066" s="16"/>
      <c r="I1066" s="16"/>
      <c r="J1066" s="16"/>
      <c r="K1066" s="16"/>
      <c r="L1066" s="16"/>
      <c r="M1066" s="16"/>
      <c r="N1066" s="16"/>
      <c r="O1066" s="16"/>
      <c r="P1066" s="16"/>
      <c r="Q1066" s="16"/>
      <c r="R1066" s="16"/>
    </row>
    <row r="1067" spans="1:18" ht="18">
      <c r="A1067" s="61"/>
      <c r="B1067" s="15"/>
      <c r="C1067" s="31"/>
      <c r="D1067" s="90"/>
      <c r="E1067" s="16"/>
      <c r="F1067" s="33"/>
      <c r="G1067" s="16"/>
      <c r="H1067" s="16"/>
      <c r="I1067" s="16"/>
      <c r="J1067" s="16"/>
      <c r="K1067" s="16"/>
      <c r="L1067" s="16"/>
      <c r="M1067" s="16"/>
      <c r="N1067" s="16"/>
      <c r="O1067" s="16"/>
      <c r="P1067" s="16"/>
      <c r="Q1067" s="16"/>
      <c r="R1067" s="16"/>
    </row>
    <row r="1068" spans="1:18" ht="18">
      <c r="A1068" s="61"/>
      <c r="B1068" s="15"/>
      <c r="C1068" s="31"/>
      <c r="D1068" s="90"/>
      <c r="E1068" s="16"/>
      <c r="F1068" s="33"/>
      <c r="G1068" s="16"/>
      <c r="H1068" s="16"/>
      <c r="I1068" s="16"/>
      <c r="J1068" s="16"/>
      <c r="K1068" s="16"/>
      <c r="L1068" s="16"/>
      <c r="M1068" s="16"/>
      <c r="N1068" s="16"/>
      <c r="O1068" s="16"/>
      <c r="P1068" s="16"/>
      <c r="Q1068" s="16"/>
      <c r="R1068" s="16"/>
    </row>
    <row r="1069" spans="1:18" ht="18">
      <c r="A1069" s="61"/>
      <c r="B1069" s="15"/>
      <c r="C1069" s="31"/>
      <c r="D1069" s="90"/>
      <c r="E1069" s="16"/>
      <c r="F1069" s="33"/>
      <c r="G1069" s="16"/>
      <c r="H1069" s="16"/>
      <c r="I1069" s="16"/>
      <c r="J1069" s="16"/>
      <c r="K1069" s="16"/>
      <c r="L1069" s="16"/>
      <c r="M1069" s="16"/>
      <c r="N1069" s="16"/>
      <c r="O1069" s="16"/>
      <c r="P1069" s="16"/>
      <c r="Q1069" s="16"/>
      <c r="R1069" s="16"/>
    </row>
    <row r="1070" spans="1:18" ht="18">
      <c r="A1070" s="61"/>
      <c r="B1070" s="15"/>
      <c r="C1070" s="31"/>
      <c r="D1070" s="90"/>
      <c r="E1070" s="16"/>
      <c r="F1070" s="33"/>
      <c r="G1070" s="16"/>
      <c r="H1070" s="16"/>
      <c r="I1070" s="16"/>
      <c r="J1070" s="16"/>
      <c r="K1070" s="16"/>
      <c r="L1070" s="16"/>
      <c r="M1070" s="16"/>
      <c r="N1070" s="16"/>
      <c r="O1070" s="16"/>
      <c r="P1070" s="16"/>
      <c r="Q1070" s="16"/>
      <c r="R1070" s="16"/>
    </row>
    <row r="1071" spans="1:18" ht="18">
      <c r="A1071" s="61"/>
      <c r="B1071" s="15"/>
      <c r="C1071" s="31"/>
      <c r="D1071" s="90"/>
      <c r="E1071" s="16"/>
      <c r="F1071" s="33"/>
      <c r="G1071" s="16"/>
      <c r="H1071" s="16"/>
      <c r="I1071" s="16"/>
      <c r="J1071" s="16"/>
      <c r="K1071" s="16"/>
      <c r="L1071" s="16"/>
      <c r="M1071" s="16"/>
      <c r="N1071" s="16"/>
      <c r="O1071" s="16"/>
      <c r="P1071" s="16"/>
      <c r="Q1071" s="16"/>
      <c r="R1071" s="16"/>
    </row>
    <row r="1072" spans="1:18" ht="18">
      <c r="A1072" s="61"/>
      <c r="B1072" s="15"/>
      <c r="C1072" s="31"/>
      <c r="D1072" s="90"/>
      <c r="E1072" s="16"/>
      <c r="F1072" s="33"/>
      <c r="G1072" s="16"/>
      <c r="H1072" s="16"/>
      <c r="I1072" s="16"/>
      <c r="J1072" s="16"/>
      <c r="K1072" s="16"/>
      <c r="L1072" s="16"/>
      <c r="M1072" s="16"/>
      <c r="N1072" s="16"/>
      <c r="O1072" s="16"/>
      <c r="P1072" s="16"/>
      <c r="Q1072" s="16"/>
      <c r="R1072" s="16"/>
    </row>
    <row r="1073" spans="1:18" ht="18">
      <c r="A1073" s="61"/>
      <c r="B1073" s="15"/>
      <c r="C1073" s="31"/>
      <c r="D1073" s="90"/>
      <c r="E1073" s="16"/>
      <c r="F1073" s="33"/>
      <c r="G1073" s="16"/>
      <c r="H1073" s="16"/>
      <c r="I1073" s="16"/>
      <c r="J1073" s="16"/>
      <c r="K1073" s="16"/>
      <c r="L1073" s="16"/>
      <c r="M1073" s="16"/>
      <c r="N1073" s="16"/>
      <c r="O1073" s="16"/>
      <c r="P1073" s="16"/>
      <c r="Q1073" s="16"/>
      <c r="R1073" s="16"/>
    </row>
    <row r="1074" spans="1:18" ht="18">
      <c r="A1074" s="61"/>
      <c r="B1074" s="15"/>
      <c r="C1074" s="31"/>
      <c r="D1074" s="90"/>
      <c r="E1074" s="16"/>
      <c r="F1074" s="33"/>
      <c r="G1074" s="16"/>
      <c r="H1074" s="16"/>
      <c r="I1074" s="16"/>
      <c r="J1074" s="16"/>
      <c r="K1074" s="16"/>
      <c r="L1074" s="16"/>
      <c r="M1074" s="16"/>
      <c r="N1074" s="16"/>
      <c r="O1074" s="16"/>
      <c r="P1074" s="16"/>
      <c r="Q1074" s="16"/>
      <c r="R1074" s="16"/>
    </row>
    <row r="1075" spans="1:18" ht="18">
      <c r="A1075" s="61"/>
      <c r="B1075" s="15"/>
      <c r="C1075" s="31"/>
      <c r="D1075" s="90"/>
      <c r="E1075" s="16"/>
      <c r="F1075" s="33"/>
      <c r="G1075" s="16"/>
      <c r="H1075" s="16"/>
      <c r="I1075" s="16"/>
      <c r="J1075" s="16"/>
      <c r="K1075" s="16"/>
      <c r="L1075" s="16"/>
      <c r="M1075" s="16"/>
      <c r="N1075" s="16"/>
      <c r="O1075" s="16"/>
      <c r="P1075" s="16"/>
      <c r="Q1075" s="16"/>
      <c r="R1075" s="16"/>
    </row>
    <row r="1076" spans="1:18" ht="18">
      <c r="A1076" s="61"/>
      <c r="B1076" s="15"/>
      <c r="C1076" s="31"/>
      <c r="D1076" s="90"/>
      <c r="E1076" s="16"/>
      <c r="F1076" s="33"/>
      <c r="G1076" s="16"/>
      <c r="H1076" s="16"/>
      <c r="I1076" s="16"/>
      <c r="J1076" s="16"/>
      <c r="K1076" s="16"/>
      <c r="L1076" s="16"/>
      <c r="M1076" s="16"/>
      <c r="N1076" s="16"/>
      <c r="O1076" s="16"/>
      <c r="P1076" s="16"/>
      <c r="Q1076" s="16"/>
      <c r="R1076" s="16"/>
    </row>
    <row r="1077" spans="1:18" ht="18">
      <c r="A1077" s="61"/>
      <c r="B1077" s="15"/>
      <c r="C1077" s="31"/>
      <c r="D1077" s="90"/>
      <c r="E1077" s="16"/>
      <c r="F1077" s="33"/>
      <c r="G1077" s="16"/>
      <c r="H1077" s="16"/>
      <c r="I1077" s="16"/>
      <c r="J1077" s="16"/>
      <c r="K1077" s="16"/>
      <c r="L1077" s="16"/>
      <c r="M1077" s="16"/>
      <c r="N1077" s="16"/>
      <c r="O1077" s="16"/>
      <c r="P1077" s="16"/>
      <c r="Q1077" s="16"/>
      <c r="R1077" s="16"/>
    </row>
    <row r="1078" spans="1:18" ht="18">
      <c r="A1078" s="61"/>
      <c r="B1078" s="15"/>
      <c r="C1078" s="31"/>
      <c r="D1078" s="90"/>
      <c r="E1078" s="16"/>
      <c r="F1078" s="33"/>
      <c r="G1078" s="16"/>
      <c r="H1078" s="16"/>
      <c r="I1078" s="16"/>
      <c r="J1078" s="16"/>
      <c r="K1078" s="16"/>
      <c r="L1078" s="16"/>
      <c r="M1078" s="16"/>
      <c r="N1078" s="16"/>
      <c r="O1078" s="16"/>
      <c r="P1078" s="16"/>
      <c r="Q1078" s="16"/>
      <c r="R1078" s="16"/>
    </row>
    <row r="1079" spans="1:18" ht="18">
      <c r="A1079" s="61"/>
      <c r="B1079" s="15"/>
      <c r="C1079" s="31"/>
      <c r="D1079" s="90"/>
      <c r="E1079" s="16"/>
      <c r="F1079" s="33"/>
      <c r="G1079" s="16"/>
      <c r="H1079" s="16"/>
      <c r="I1079" s="16"/>
      <c r="J1079" s="16"/>
      <c r="K1079" s="16"/>
      <c r="L1079" s="16"/>
      <c r="M1079" s="16"/>
      <c r="N1079" s="16"/>
      <c r="O1079" s="16"/>
      <c r="P1079" s="16"/>
      <c r="Q1079" s="16"/>
      <c r="R1079" s="16"/>
    </row>
    <row r="1080" spans="1:18" ht="18">
      <c r="A1080" s="61"/>
      <c r="B1080" s="15"/>
      <c r="C1080" s="31"/>
      <c r="D1080" s="90"/>
      <c r="E1080" s="16"/>
      <c r="F1080" s="33"/>
      <c r="G1080" s="16"/>
      <c r="H1080" s="16"/>
      <c r="I1080" s="16"/>
      <c r="J1080" s="16"/>
      <c r="K1080" s="16"/>
      <c r="L1080" s="16"/>
      <c r="M1080" s="16"/>
      <c r="N1080" s="16"/>
      <c r="O1080" s="16"/>
      <c r="P1080" s="16"/>
      <c r="Q1080" s="16"/>
      <c r="R1080" s="16"/>
    </row>
    <row r="1081" spans="1:18" ht="18">
      <c r="A1081" s="61"/>
      <c r="B1081" s="15"/>
      <c r="C1081" s="31"/>
      <c r="D1081" s="90"/>
      <c r="E1081" s="16"/>
      <c r="F1081" s="33"/>
      <c r="G1081" s="16"/>
      <c r="H1081" s="16"/>
      <c r="I1081" s="16"/>
      <c r="J1081" s="16"/>
      <c r="K1081" s="16"/>
      <c r="L1081" s="16"/>
      <c r="M1081" s="16"/>
      <c r="N1081" s="16"/>
      <c r="O1081" s="16"/>
      <c r="P1081" s="16"/>
      <c r="Q1081" s="16"/>
      <c r="R1081" s="16"/>
    </row>
    <row r="1082" spans="1:18" ht="18">
      <c r="A1082" s="61"/>
      <c r="B1082" s="15"/>
      <c r="C1082" s="31"/>
      <c r="D1082" s="90"/>
      <c r="E1082" s="16"/>
      <c r="F1082" s="33"/>
      <c r="G1082" s="16"/>
      <c r="H1082" s="16"/>
      <c r="I1082" s="16"/>
      <c r="J1082" s="16"/>
      <c r="K1082" s="16"/>
      <c r="L1082" s="16"/>
      <c r="M1082" s="16"/>
      <c r="N1082" s="16"/>
      <c r="O1082" s="16"/>
      <c r="P1082" s="16"/>
      <c r="Q1082" s="16"/>
      <c r="R1082" s="16"/>
    </row>
    <row r="1083" spans="1:18" ht="18">
      <c r="A1083" s="61"/>
      <c r="B1083" s="15"/>
      <c r="C1083" s="31"/>
      <c r="D1083" s="90"/>
      <c r="E1083" s="16"/>
      <c r="F1083" s="33"/>
      <c r="G1083" s="16"/>
      <c r="H1083" s="16"/>
      <c r="I1083" s="16"/>
      <c r="J1083" s="16"/>
      <c r="K1083" s="16"/>
      <c r="L1083" s="16"/>
      <c r="M1083" s="16"/>
      <c r="N1083" s="16"/>
      <c r="O1083" s="16"/>
      <c r="P1083" s="16"/>
      <c r="Q1083" s="16"/>
      <c r="R1083" s="16"/>
    </row>
    <row r="1084" spans="1:18" ht="18">
      <c r="A1084" s="61"/>
      <c r="B1084" s="15"/>
      <c r="C1084" s="31"/>
      <c r="D1084" s="90"/>
      <c r="E1084" s="16"/>
      <c r="F1084" s="33"/>
      <c r="G1084" s="16"/>
      <c r="H1084" s="16"/>
      <c r="I1084" s="16"/>
      <c r="J1084" s="16"/>
      <c r="K1084" s="16"/>
      <c r="L1084" s="16"/>
      <c r="M1084" s="16"/>
      <c r="N1084" s="16"/>
      <c r="O1084" s="16"/>
      <c r="P1084" s="16"/>
      <c r="Q1084" s="16"/>
      <c r="R1084" s="16"/>
    </row>
    <row r="1085" spans="1:18" ht="18">
      <c r="A1085" s="61"/>
      <c r="B1085" s="15"/>
      <c r="C1085" s="31"/>
      <c r="D1085" s="90"/>
      <c r="E1085" s="16"/>
      <c r="F1085" s="33"/>
      <c r="G1085" s="16"/>
      <c r="H1085" s="16"/>
      <c r="I1085" s="16"/>
      <c r="J1085" s="16"/>
      <c r="K1085" s="16"/>
      <c r="L1085" s="16"/>
      <c r="M1085" s="16"/>
      <c r="N1085" s="16"/>
      <c r="O1085" s="16"/>
      <c r="P1085" s="16"/>
      <c r="Q1085" s="16"/>
      <c r="R1085" s="16"/>
    </row>
    <row r="1086" spans="1:18" ht="18">
      <c r="A1086" s="61"/>
      <c r="B1086" s="15"/>
      <c r="C1086" s="31"/>
      <c r="D1086" s="90"/>
      <c r="E1086" s="16"/>
      <c r="F1086" s="33"/>
      <c r="G1086" s="16"/>
      <c r="H1086" s="16"/>
      <c r="I1086" s="16"/>
      <c r="J1086" s="16"/>
      <c r="K1086" s="16"/>
      <c r="L1086" s="16"/>
      <c r="M1086" s="16"/>
      <c r="N1086" s="16"/>
      <c r="O1086" s="16"/>
      <c r="P1086" s="16"/>
      <c r="Q1086" s="16"/>
      <c r="R1086" s="16"/>
    </row>
    <row r="1087" spans="1:18" ht="18">
      <c r="A1087" s="61"/>
      <c r="B1087" s="15"/>
      <c r="C1087" s="31"/>
      <c r="D1087" s="90"/>
      <c r="E1087" s="16"/>
      <c r="F1087" s="33"/>
      <c r="G1087" s="16"/>
      <c r="H1087" s="16"/>
      <c r="I1087" s="16"/>
      <c r="J1087" s="16"/>
      <c r="K1087" s="16"/>
      <c r="L1087" s="16"/>
      <c r="M1087" s="16"/>
      <c r="N1087" s="16"/>
      <c r="O1087" s="16"/>
      <c r="P1087" s="16"/>
      <c r="Q1087" s="16"/>
      <c r="R1087" s="16"/>
    </row>
    <row r="1088" spans="1:18" ht="18">
      <c r="A1088" s="61"/>
      <c r="B1088" s="15"/>
      <c r="C1088" s="31"/>
      <c r="D1088" s="90"/>
      <c r="E1088" s="16"/>
      <c r="F1088" s="33"/>
      <c r="G1088" s="16"/>
      <c r="H1088" s="16"/>
      <c r="I1088" s="16"/>
      <c r="J1088" s="16"/>
      <c r="K1088" s="16"/>
      <c r="L1088" s="16"/>
      <c r="M1088" s="16"/>
      <c r="N1088" s="16"/>
      <c r="O1088" s="16"/>
      <c r="P1088" s="16"/>
      <c r="Q1088" s="16"/>
      <c r="R1088" s="16"/>
    </row>
    <row r="1089" spans="1:18" ht="18">
      <c r="A1089" s="61"/>
      <c r="B1089" s="15"/>
      <c r="C1089" s="31"/>
      <c r="D1089" s="90"/>
      <c r="E1089" s="16"/>
      <c r="F1089" s="33"/>
      <c r="G1089" s="16"/>
      <c r="H1089" s="16"/>
      <c r="I1089" s="16"/>
      <c r="J1089" s="16"/>
      <c r="K1089" s="16"/>
      <c r="L1089" s="16"/>
      <c r="M1089" s="16"/>
      <c r="N1089" s="16"/>
      <c r="O1089" s="16"/>
      <c r="P1089" s="16"/>
      <c r="Q1089" s="16"/>
      <c r="R1089" s="16"/>
    </row>
    <row r="1090" spans="1:18" ht="18">
      <c r="A1090" s="61"/>
      <c r="B1090" s="15"/>
      <c r="C1090" s="31"/>
      <c r="D1090" s="90"/>
      <c r="E1090" s="16"/>
      <c r="F1090" s="33"/>
      <c r="G1090" s="16"/>
      <c r="H1090" s="16"/>
      <c r="I1090" s="16"/>
      <c r="J1090" s="16"/>
      <c r="K1090" s="16"/>
      <c r="L1090" s="16"/>
      <c r="M1090" s="16"/>
      <c r="N1090" s="16"/>
      <c r="O1090" s="16"/>
      <c r="P1090" s="16"/>
      <c r="Q1090" s="16"/>
      <c r="R1090" s="16"/>
    </row>
    <row r="1091" spans="1:18" ht="18">
      <c r="A1091" s="61"/>
      <c r="B1091" s="15"/>
      <c r="C1091" s="31"/>
      <c r="D1091" s="90"/>
      <c r="E1091" s="16"/>
      <c r="F1091" s="33"/>
      <c r="G1091" s="16"/>
      <c r="H1091" s="16"/>
      <c r="I1091" s="16"/>
      <c r="J1091" s="16"/>
      <c r="K1091" s="16"/>
      <c r="L1091" s="16"/>
      <c r="M1091" s="16"/>
      <c r="N1091" s="16"/>
      <c r="O1091" s="16"/>
      <c r="P1091" s="16"/>
      <c r="Q1091" s="16"/>
      <c r="R1091" s="16"/>
    </row>
    <row r="1092" spans="1:18" ht="18">
      <c r="A1092" s="61"/>
      <c r="B1092" s="15"/>
      <c r="C1092" s="31"/>
      <c r="D1092" s="90"/>
      <c r="E1092" s="16"/>
      <c r="F1092" s="33"/>
      <c r="G1092" s="16"/>
      <c r="H1092" s="16"/>
      <c r="I1092" s="16"/>
      <c r="J1092" s="16"/>
      <c r="K1092" s="16"/>
      <c r="L1092" s="16"/>
      <c r="M1092" s="16"/>
      <c r="N1092" s="16"/>
      <c r="O1092" s="16"/>
      <c r="P1092" s="16"/>
      <c r="Q1092" s="16"/>
      <c r="R1092" s="16"/>
    </row>
    <row r="1093" spans="1:18" ht="18">
      <c r="A1093" s="61"/>
      <c r="B1093" s="15"/>
      <c r="C1093" s="31"/>
      <c r="D1093" s="90"/>
      <c r="E1093" s="16"/>
      <c r="F1093" s="33"/>
      <c r="G1093" s="16"/>
      <c r="H1093" s="16"/>
      <c r="I1093" s="16"/>
      <c r="J1093" s="16"/>
      <c r="K1093" s="16"/>
      <c r="L1093" s="16"/>
      <c r="M1093" s="16"/>
      <c r="N1093" s="16"/>
      <c r="O1093" s="16"/>
      <c r="P1093" s="16"/>
      <c r="Q1093" s="16"/>
      <c r="R1093" s="16"/>
    </row>
    <row r="1094" spans="1:18" ht="18">
      <c r="A1094" s="61"/>
      <c r="B1094" s="15"/>
      <c r="C1094" s="31"/>
      <c r="D1094" s="90"/>
      <c r="E1094" s="16"/>
      <c r="F1094" s="33"/>
      <c r="G1094" s="16"/>
      <c r="H1094" s="16"/>
      <c r="I1094" s="16"/>
      <c r="J1094" s="16"/>
      <c r="K1094" s="16"/>
      <c r="L1094" s="16"/>
      <c r="M1094" s="16"/>
      <c r="N1094" s="16"/>
      <c r="O1094" s="16"/>
      <c r="P1094" s="16"/>
      <c r="Q1094" s="16"/>
      <c r="R1094" s="16"/>
    </row>
    <row r="1095" spans="1:18" ht="18">
      <c r="A1095" s="61"/>
      <c r="B1095" s="15"/>
      <c r="C1095" s="31"/>
      <c r="D1095" s="90"/>
      <c r="E1095" s="16"/>
      <c r="F1095" s="33"/>
      <c r="G1095" s="16"/>
      <c r="H1095" s="16"/>
      <c r="I1095" s="16"/>
      <c r="J1095" s="16"/>
      <c r="K1095" s="16"/>
      <c r="L1095" s="16"/>
      <c r="M1095" s="16"/>
      <c r="N1095" s="16"/>
      <c r="O1095" s="16"/>
      <c r="P1095" s="16"/>
      <c r="Q1095" s="16"/>
      <c r="R1095" s="16"/>
    </row>
    <row r="1096" spans="1:18" ht="18">
      <c r="A1096" s="61"/>
      <c r="B1096" s="15"/>
      <c r="C1096" s="31"/>
      <c r="D1096" s="90"/>
      <c r="E1096" s="16"/>
      <c r="F1096" s="33"/>
      <c r="G1096" s="16"/>
      <c r="H1096" s="16"/>
      <c r="I1096" s="16"/>
      <c r="J1096" s="16"/>
      <c r="K1096" s="16"/>
      <c r="L1096" s="16"/>
      <c r="M1096" s="16"/>
      <c r="N1096" s="16"/>
      <c r="O1096" s="16"/>
      <c r="P1096" s="16"/>
      <c r="Q1096" s="16"/>
      <c r="R1096" s="16"/>
    </row>
    <row r="1097" spans="1:18" ht="18">
      <c r="A1097" s="61"/>
      <c r="B1097" s="15"/>
      <c r="C1097" s="31"/>
      <c r="D1097" s="90"/>
      <c r="E1097" s="16"/>
      <c r="F1097" s="33"/>
      <c r="G1097" s="16"/>
      <c r="H1097" s="16"/>
      <c r="I1097" s="16"/>
      <c r="J1097" s="16"/>
      <c r="K1097" s="16"/>
      <c r="L1097" s="16"/>
      <c r="M1097" s="16"/>
      <c r="N1097" s="16"/>
      <c r="O1097" s="16"/>
      <c r="P1097" s="16"/>
      <c r="Q1097" s="16"/>
      <c r="R1097" s="16"/>
    </row>
    <row r="1098" spans="1:18" ht="18">
      <c r="A1098" s="61"/>
      <c r="B1098" s="15"/>
      <c r="C1098" s="31"/>
      <c r="D1098" s="90"/>
      <c r="E1098" s="16"/>
      <c r="F1098" s="33"/>
      <c r="G1098" s="16"/>
      <c r="H1098" s="16"/>
      <c r="I1098" s="16"/>
      <c r="J1098" s="16"/>
      <c r="K1098" s="16"/>
      <c r="L1098" s="16"/>
      <c r="M1098" s="16"/>
      <c r="N1098" s="16"/>
      <c r="O1098" s="16"/>
      <c r="P1098" s="16"/>
      <c r="Q1098" s="16"/>
      <c r="R1098" s="16"/>
    </row>
    <row r="1099" spans="1:18" ht="18">
      <c r="A1099" s="61"/>
      <c r="B1099" s="15"/>
      <c r="C1099" s="31"/>
      <c r="D1099" s="90"/>
      <c r="E1099" s="16"/>
      <c r="F1099" s="33"/>
      <c r="G1099" s="16"/>
      <c r="H1099" s="16"/>
      <c r="I1099" s="16"/>
      <c r="J1099" s="16"/>
      <c r="K1099" s="16"/>
      <c r="L1099" s="16"/>
      <c r="M1099" s="16"/>
      <c r="N1099" s="16"/>
      <c r="O1099" s="16"/>
      <c r="P1099" s="16"/>
      <c r="Q1099" s="16"/>
      <c r="R1099" s="16"/>
    </row>
    <row r="1100" spans="1:18" ht="18">
      <c r="A1100" s="61"/>
      <c r="B1100" s="15"/>
      <c r="C1100" s="31"/>
      <c r="D1100" s="90"/>
      <c r="E1100" s="16"/>
      <c r="F1100" s="33"/>
      <c r="G1100" s="16"/>
      <c r="H1100" s="16"/>
      <c r="I1100" s="16"/>
      <c r="J1100" s="16"/>
      <c r="K1100" s="16"/>
      <c r="L1100" s="16"/>
      <c r="M1100" s="16"/>
      <c r="N1100" s="16"/>
      <c r="O1100" s="16"/>
      <c r="P1100" s="16"/>
      <c r="Q1100" s="16"/>
      <c r="R1100" s="16"/>
    </row>
    <row r="1101" spans="1:18" ht="18">
      <c r="A1101" s="61"/>
      <c r="B1101" s="15"/>
      <c r="C1101" s="31"/>
      <c r="D1101" s="90"/>
      <c r="E1101" s="16"/>
      <c r="F1101" s="33"/>
      <c r="G1101" s="16"/>
      <c r="H1101" s="16"/>
      <c r="I1101" s="16"/>
      <c r="J1101" s="16"/>
      <c r="K1101" s="16"/>
      <c r="L1101" s="16"/>
      <c r="M1101" s="16"/>
      <c r="N1101" s="16"/>
      <c r="O1101" s="16"/>
      <c r="P1101" s="16"/>
      <c r="Q1101" s="16"/>
      <c r="R1101" s="16"/>
    </row>
    <row r="1102" spans="1:18" ht="18">
      <c r="A1102" s="61"/>
      <c r="B1102" s="15"/>
      <c r="C1102" s="31"/>
      <c r="D1102" s="90"/>
      <c r="E1102" s="16"/>
      <c r="F1102" s="33"/>
      <c r="G1102" s="16"/>
      <c r="H1102" s="16"/>
      <c r="I1102" s="16"/>
      <c r="J1102" s="16"/>
      <c r="K1102" s="16"/>
      <c r="L1102" s="16"/>
      <c r="M1102" s="16"/>
      <c r="N1102" s="16"/>
      <c r="O1102" s="16"/>
      <c r="P1102" s="16"/>
      <c r="Q1102" s="16"/>
      <c r="R1102" s="16"/>
    </row>
    <row r="1103" spans="1:18" ht="18">
      <c r="A1103" s="61"/>
      <c r="B1103" s="15"/>
      <c r="C1103" s="31"/>
      <c r="D1103" s="90"/>
      <c r="E1103" s="16"/>
      <c r="F1103" s="33"/>
      <c r="G1103" s="16"/>
      <c r="H1103" s="16"/>
      <c r="I1103" s="16"/>
      <c r="J1103" s="16"/>
      <c r="K1103" s="16"/>
      <c r="L1103" s="16"/>
      <c r="M1103" s="16"/>
      <c r="N1103" s="16"/>
      <c r="O1103" s="16"/>
      <c r="P1103" s="16"/>
      <c r="Q1103" s="16"/>
      <c r="R1103" s="16"/>
    </row>
    <row r="1104" spans="1:18" ht="18">
      <c r="A1104" s="61"/>
      <c r="B1104" s="15"/>
      <c r="C1104" s="31"/>
      <c r="D1104" s="90"/>
      <c r="E1104" s="16"/>
      <c r="F1104" s="33"/>
      <c r="G1104" s="16"/>
      <c r="H1104" s="16"/>
      <c r="I1104" s="16"/>
      <c r="J1104" s="16"/>
      <c r="K1104" s="16"/>
      <c r="L1104" s="16"/>
      <c r="M1104" s="16"/>
      <c r="N1104" s="16"/>
      <c r="O1104" s="16"/>
      <c r="P1104" s="16"/>
      <c r="Q1104" s="16"/>
      <c r="R1104" s="16"/>
    </row>
    <row r="1105" spans="1:18" ht="18">
      <c r="A1105" s="61"/>
      <c r="B1105" s="15"/>
      <c r="C1105" s="31"/>
      <c r="D1105" s="90"/>
      <c r="E1105" s="16"/>
      <c r="F1105" s="33"/>
      <c r="G1105" s="16"/>
      <c r="H1105" s="16"/>
      <c r="I1105" s="16"/>
      <c r="J1105" s="16"/>
      <c r="K1105" s="16"/>
      <c r="L1105" s="16"/>
      <c r="M1105" s="16"/>
      <c r="N1105" s="16"/>
      <c r="O1105" s="16"/>
      <c r="P1105" s="16"/>
      <c r="Q1105" s="16"/>
      <c r="R1105" s="16"/>
    </row>
    <row r="1106" spans="1:18" ht="18">
      <c r="A1106" s="61"/>
      <c r="B1106" s="15"/>
      <c r="C1106" s="31"/>
      <c r="D1106" s="90"/>
      <c r="E1106" s="16"/>
      <c r="F1106" s="33"/>
      <c r="G1106" s="16"/>
      <c r="H1106" s="16"/>
      <c r="I1106" s="16"/>
      <c r="J1106" s="16"/>
      <c r="K1106" s="16"/>
      <c r="L1106" s="16"/>
      <c r="M1106" s="16"/>
      <c r="N1106" s="16"/>
      <c r="O1106" s="16"/>
      <c r="P1106" s="16"/>
      <c r="Q1106" s="16"/>
      <c r="R1106" s="16"/>
    </row>
    <row r="1107" spans="1:18" ht="18">
      <c r="A1107" s="61"/>
      <c r="B1107" s="15"/>
      <c r="C1107" s="31"/>
      <c r="D1107" s="90"/>
      <c r="E1107" s="16"/>
      <c r="F1107" s="33"/>
      <c r="G1107" s="16"/>
      <c r="H1107" s="16"/>
      <c r="I1107" s="16"/>
      <c r="J1107" s="16"/>
      <c r="K1107" s="16"/>
      <c r="L1107" s="16"/>
      <c r="M1107" s="16"/>
      <c r="N1107" s="16"/>
      <c r="O1107" s="16"/>
      <c r="P1107" s="16"/>
      <c r="Q1107" s="16"/>
      <c r="R1107" s="16"/>
    </row>
    <row r="1108" spans="1:18" ht="18">
      <c r="A1108" s="61"/>
      <c r="B1108" s="15"/>
      <c r="C1108" s="31"/>
      <c r="D1108" s="90"/>
      <c r="E1108" s="16"/>
      <c r="F1108" s="33"/>
      <c r="G1108" s="16"/>
      <c r="H1108" s="16"/>
      <c r="I1108" s="16"/>
      <c r="J1108" s="16"/>
      <c r="K1108" s="16"/>
      <c r="L1108" s="16"/>
      <c r="M1108" s="16"/>
      <c r="N1108" s="16"/>
      <c r="O1108" s="16"/>
      <c r="P1108" s="16"/>
      <c r="Q1108" s="16"/>
      <c r="R1108" s="16"/>
    </row>
    <row r="1109" spans="1:18" ht="18">
      <c r="A1109" s="61"/>
      <c r="B1109" s="15"/>
      <c r="C1109" s="31"/>
      <c r="D1109" s="90"/>
      <c r="E1109" s="16"/>
      <c r="F1109" s="33"/>
      <c r="G1109" s="16"/>
      <c r="H1109" s="16"/>
      <c r="I1109" s="16"/>
      <c r="J1109" s="16"/>
      <c r="K1109" s="16"/>
      <c r="L1109" s="16"/>
      <c r="M1109" s="16"/>
      <c r="N1109" s="16"/>
      <c r="O1109" s="16"/>
      <c r="P1109" s="16"/>
      <c r="Q1109" s="16"/>
      <c r="R1109" s="16"/>
    </row>
    <row r="1110" spans="1:18" ht="18">
      <c r="A1110" s="61"/>
      <c r="B1110" s="15"/>
      <c r="C1110" s="31"/>
      <c r="D1110" s="90"/>
      <c r="E1110" s="16"/>
      <c r="F1110" s="33"/>
      <c r="G1110" s="16"/>
      <c r="H1110" s="16"/>
      <c r="I1110" s="16"/>
      <c r="J1110" s="16"/>
      <c r="K1110" s="16"/>
      <c r="L1110" s="16"/>
      <c r="M1110" s="16"/>
      <c r="N1110" s="16"/>
      <c r="O1110" s="16"/>
      <c r="P1110" s="16"/>
      <c r="Q1110" s="16"/>
      <c r="R1110" s="16"/>
    </row>
    <row r="1111" spans="1:18" ht="18">
      <c r="A1111" s="61"/>
      <c r="B1111" s="15"/>
      <c r="C1111" s="31"/>
      <c r="D1111" s="90"/>
      <c r="E1111" s="16"/>
      <c r="F1111" s="33"/>
      <c r="G1111" s="16"/>
      <c r="H1111" s="16"/>
      <c r="I1111" s="16"/>
      <c r="J1111" s="16"/>
      <c r="K1111" s="16"/>
      <c r="L1111" s="16"/>
      <c r="M1111" s="16"/>
      <c r="N1111" s="16"/>
      <c r="O1111" s="16"/>
      <c r="P1111" s="16"/>
      <c r="Q1111" s="16"/>
      <c r="R1111" s="16"/>
    </row>
    <row r="1112" spans="1:18" ht="18">
      <c r="A1112" s="61"/>
      <c r="B1112" s="15"/>
      <c r="C1112" s="31"/>
      <c r="D1112" s="90"/>
      <c r="E1112" s="16"/>
      <c r="F1112" s="33"/>
      <c r="G1112" s="16"/>
      <c r="H1112" s="16"/>
      <c r="I1112" s="16"/>
      <c r="J1112" s="16"/>
      <c r="K1112" s="16"/>
      <c r="L1112" s="16"/>
      <c r="M1112" s="16"/>
      <c r="N1112" s="16"/>
      <c r="O1112" s="16"/>
      <c r="P1112" s="16"/>
      <c r="Q1112" s="16"/>
      <c r="R1112" s="16"/>
    </row>
    <row r="1113" spans="1:18" ht="18">
      <c r="A1113" s="61"/>
      <c r="B1113" s="15"/>
      <c r="C1113" s="31"/>
      <c r="D1113" s="90"/>
      <c r="E1113" s="16"/>
      <c r="F1113" s="33"/>
      <c r="G1113" s="16"/>
      <c r="H1113" s="16"/>
      <c r="I1113" s="16"/>
      <c r="J1113" s="16"/>
      <c r="K1113" s="16"/>
      <c r="L1113" s="16"/>
      <c r="M1113" s="16"/>
      <c r="N1113" s="16"/>
      <c r="O1113" s="16"/>
      <c r="P1113" s="16"/>
      <c r="Q1113" s="16"/>
      <c r="R1113" s="16"/>
    </row>
    <row r="1114" spans="1:18" ht="18">
      <c r="A1114" s="61"/>
      <c r="B1114" s="15"/>
      <c r="C1114" s="31"/>
      <c r="D1114" s="90"/>
      <c r="E1114" s="16"/>
      <c r="F1114" s="33"/>
      <c r="G1114" s="16"/>
      <c r="H1114" s="16"/>
      <c r="I1114" s="16"/>
      <c r="J1114" s="16"/>
      <c r="K1114" s="16"/>
      <c r="L1114" s="16"/>
      <c r="M1114" s="16"/>
      <c r="N1114" s="16"/>
      <c r="O1114" s="16"/>
      <c r="P1114" s="16"/>
      <c r="Q1114" s="16"/>
      <c r="R1114" s="16"/>
    </row>
    <row r="1115" spans="1:18" ht="18">
      <c r="A1115" s="61"/>
      <c r="B1115" s="15"/>
      <c r="C1115" s="31"/>
      <c r="D1115" s="90"/>
      <c r="E1115" s="16"/>
      <c r="F1115" s="33"/>
      <c r="G1115" s="16"/>
      <c r="H1115" s="16"/>
      <c r="I1115" s="16"/>
      <c r="J1115" s="16"/>
      <c r="K1115" s="16"/>
      <c r="L1115" s="16"/>
      <c r="M1115" s="16"/>
      <c r="N1115" s="16"/>
      <c r="O1115" s="16"/>
      <c r="P1115" s="16"/>
      <c r="Q1115" s="16"/>
      <c r="R1115" s="16"/>
    </row>
    <row r="1116" spans="1:18" ht="18">
      <c r="A1116" s="61"/>
      <c r="B1116" s="15"/>
      <c r="C1116" s="31"/>
      <c r="D1116" s="90"/>
      <c r="E1116" s="16"/>
      <c r="F1116" s="33"/>
      <c r="G1116" s="16"/>
      <c r="H1116" s="16"/>
      <c r="I1116" s="16"/>
      <c r="J1116" s="16"/>
      <c r="K1116" s="16"/>
      <c r="L1116" s="16"/>
      <c r="M1116" s="16"/>
      <c r="N1116" s="16"/>
      <c r="O1116" s="16"/>
      <c r="P1116" s="16"/>
      <c r="Q1116" s="16"/>
      <c r="R1116" s="16"/>
    </row>
    <row r="1117" spans="1:18" ht="18">
      <c r="A1117" s="61"/>
      <c r="B1117" s="15"/>
      <c r="C1117" s="31"/>
      <c r="D1117" s="90"/>
      <c r="E1117" s="16"/>
      <c r="F1117" s="33"/>
      <c r="G1117" s="16"/>
      <c r="H1117" s="16"/>
      <c r="I1117" s="16"/>
      <c r="J1117" s="16"/>
      <c r="K1117" s="16"/>
      <c r="L1117" s="16"/>
      <c r="M1117" s="16"/>
      <c r="N1117" s="16"/>
      <c r="O1117" s="16"/>
      <c r="P1117" s="16"/>
      <c r="Q1117" s="16"/>
      <c r="R1117" s="16"/>
    </row>
    <row r="1118" spans="1:18" ht="18">
      <c r="A1118" s="61"/>
      <c r="B1118" s="15"/>
      <c r="C1118" s="31"/>
      <c r="D1118" s="90"/>
      <c r="E1118" s="16"/>
      <c r="F1118" s="33"/>
      <c r="G1118" s="16"/>
      <c r="H1118" s="16"/>
      <c r="I1118" s="16"/>
      <c r="J1118" s="16"/>
      <c r="K1118" s="16"/>
      <c r="L1118" s="16"/>
      <c r="M1118" s="16"/>
      <c r="N1118" s="16"/>
      <c r="O1118" s="16"/>
      <c r="P1118" s="16"/>
      <c r="Q1118" s="16"/>
      <c r="R1118" s="16"/>
    </row>
    <row r="1119" spans="1:18" ht="18">
      <c r="A1119" s="61"/>
      <c r="B1119" s="15"/>
      <c r="C1119" s="31"/>
      <c r="D1119" s="90"/>
      <c r="E1119" s="16"/>
      <c r="F1119" s="33"/>
      <c r="G1119" s="16"/>
      <c r="H1119" s="16"/>
      <c r="I1119" s="16"/>
      <c r="J1119" s="16"/>
      <c r="K1119" s="16"/>
      <c r="L1119" s="16"/>
      <c r="M1119" s="16"/>
      <c r="N1119" s="16"/>
      <c r="O1119" s="16"/>
      <c r="P1119" s="16"/>
      <c r="Q1119" s="16"/>
      <c r="R1119" s="16"/>
    </row>
    <row r="1120" spans="1:18" ht="18">
      <c r="A1120" s="61"/>
      <c r="B1120" s="15"/>
      <c r="C1120" s="31"/>
      <c r="D1120" s="90"/>
      <c r="E1120" s="16"/>
      <c r="F1120" s="33"/>
      <c r="G1120" s="16"/>
      <c r="H1120" s="16"/>
      <c r="I1120" s="16"/>
      <c r="J1120" s="16"/>
      <c r="K1120" s="16"/>
      <c r="L1120" s="16"/>
      <c r="M1120" s="16"/>
      <c r="N1120" s="16"/>
      <c r="O1120" s="16"/>
      <c r="P1120" s="16"/>
      <c r="Q1120" s="16"/>
      <c r="R1120" s="16"/>
    </row>
    <row r="1121" spans="1:18" ht="18">
      <c r="A1121" s="61"/>
      <c r="B1121" s="15"/>
      <c r="C1121" s="31"/>
      <c r="D1121" s="90"/>
      <c r="E1121" s="16"/>
      <c r="F1121" s="33"/>
      <c r="G1121" s="16"/>
      <c r="H1121" s="16"/>
      <c r="I1121" s="16"/>
      <c r="J1121" s="16"/>
      <c r="K1121" s="16"/>
      <c r="L1121" s="16"/>
      <c r="M1121" s="16"/>
      <c r="N1121" s="16"/>
      <c r="O1121" s="16"/>
      <c r="P1121" s="16"/>
      <c r="Q1121" s="16"/>
      <c r="R1121" s="16"/>
    </row>
    <row r="1122" spans="1:18" ht="18">
      <c r="A1122" s="61"/>
      <c r="B1122" s="15"/>
      <c r="C1122" s="31"/>
      <c r="D1122" s="90"/>
      <c r="E1122" s="16"/>
      <c r="F1122" s="33"/>
      <c r="G1122" s="16"/>
      <c r="H1122" s="16"/>
      <c r="I1122" s="16"/>
      <c r="J1122" s="16"/>
      <c r="K1122" s="16"/>
      <c r="L1122" s="16"/>
      <c r="M1122" s="16"/>
      <c r="N1122" s="16"/>
      <c r="O1122" s="16"/>
      <c r="P1122" s="16"/>
      <c r="Q1122" s="16"/>
      <c r="R1122" s="16"/>
    </row>
    <row r="1123" spans="1:18" ht="18">
      <c r="A1123" s="61"/>
      <c r="B1123" s="15"/>
      <c r="C1123" s="31"/>
      <c r="D1123" s="90"/>
      <c r="E1123" s="16"/>
      <c r="F1123" s="33"/>
      <c r="G1123" s="16"/>
      <c r="H1123" s="16"/>
      <c r="I1123" s="16"/>
      <c r="J1123" s="16"/>
      <c r="K1123" s="16"/>
      <c r="L1123" s="16"/>
      <c r="M1123" s="16"/>
      <c r="N1123" s="16"/>
      <c r="O1123" s="16"/>
      <c r="P1123" s="16"/>
      <c r="Q1123" s="16"/>
      <c r="R1123" s="16"/>
    </row>
    <row r="1124" spans="1:18" ht="18">
      <c r="A1124" s="61"/>
      <c r="B1124" s="15"/>
      <c r="C1124" s="31"/>
      <c r="D1124" s="90"/>
      <c r="E1124" s="16"/>
      <c r="F1124" s="33"/>
      <c r="G1124" s="16"/>
      <c r="H1124" s="16"/>
      <c r="I1124" s="16"/>
      <c r="J1124" s="16"/>
      <c r="K1124" s="16"/>
      <c r="L1124" s="16"/>
      <c r="M1124" s="16"/>
      <c r="N1124" s="16"/>
      <c r="O1124" s="16"/>
      <c r="P1124" s="16"/>
      <c r="Q1124" s="16"/>
      <c r="R1124" s="16"/>
    </row>
    <row r="1125" spans="1:18" ht="18">
      <c r="A1125" s="61"/>
      <c r="B1125" s="15"/>
      <c r="C1125" s="31"/>
      <c r="D1125" s="90"/>
      <c r="E1125" s="16"/>
      <c r="F1125" s="33"/>
      <c r="G1125" s="16"/>
      <c r="H1125" s="16"/>
      <c r="I1125" s="16"/>
      <c r="J1125" s="16"/>
      <c r="K1125" s="16"/>
      <c r="L1125" s="16"/>
      <c r="M1125" s="16"/>
      <c r="N1125" s="16"/>
      <c r="O1125" s="16"/>
      <c r="P1125" s="16"/>
      <c r="Q1125" s="16"/>
      <c r="R1125" s="16"/>
    </row>
    <row r="1126" spans="1:18" ht="18">
      <c r="A1126" s="61"/>
      <c r="B1126" s="15"/>
      <c r="C1126" s="31"/>
      <c r="D1126" s="90"/>
      <c r="E1126" s="16"/>
      <c r="F1126" s="33"/>
      <c r="G1126" s="16"/>
      <c r="H1126" s="16"/>
      <c r="I1126" s="16"/>
      <c r="J1126" s="16"/>
      <c r="K1126" s="16"/>
      <c r="L1126" s="16"/>
      <c r="M1126" s="16"/>
      <c r="N1126" s="16"/>
      <c r="O1126" s="16"/>
      <c r="P1126" s="16"/>
      <c r="Q1126" s="16"/>
      <c r="R1126" s="16"/>
    </row>
    <row r="1127" spans="1:18" ht="18">
      <c r="A1127" s="61"/>
      <c r="B1127" s="15"/>
      <c r="C1127" s="31"/>
      <c r="D1127" s="90"/>
      <c r="E1127" s="16"/>
      <c r="F1127" s="33"/>
      <c r="G1127" s="16"/>
      <c r="H1127" s="16"/>
      <c r="I1127" s="16"/>
      <c r="J1127" s="16"/>
      <c r="K1127" s="16"/>
      <c r="L1127" s="16"/>
      <c r="M1127" s="16"/>
      <c r="N1127" s="16"/>
      <c r="O1127" s="16"/>
      <c r="P1127" s="16"/>
      <c r="Q1127" s="16"/>
      <c r="R1127" s="16"/>
    </row>
    <row r="1128" spans="1:18" ht="18">
      <c r="A1128" s="61"/>
      <c r="B1128" s="15"/>
      <c r="C1128" s="31"/>
      <c r="D1128" s="90"/>
      <c r="E1128" s="16"/>
      <c r="F1128" s="33"/>
      <c r="G1128" s="16"/>
      <c r="H1128" s="16"/>
      <c r="I1128" s="16"/>
      <c r="J1128" s="16"/>
      <c r="K1128" s="16"/>
      <c r="L1128" s="16"/>
      <c r="M1128" s="16"/>
      <c r="N1128" s="16"/>
      <c r="O1128" s="16"/>
      <c r="P1128" s="16"/>
      <c r="Q1128" s="16"/>
      <c r="R1128" s="16"/>
    </row>
    <row r="1129" spans="1:18" ht="18">
      <c r="A1129" s="61"/>
      <c r="B1129" s="15"/>
      <c r="C1129" s="31"/>
      <c r="D1129" s="90"/>
      <c r="E1129" s="16"/>
      <c r="F1129" s="33"/>
      <c r="G1129" s="16"/>
      <c r="H1129" s="16"/>
      <c r="I1129" s="16"/>
      <c r="J1129" s="16"/>
      <c r="K1129" s="16"/>
      <c r="L1129" s="16"/>
      <c r="M1129" s="16"/>
      <c r="N1129" s="16"/>
      <c r="O1129" s="16"/>
      <c r="P1129" s="16"/>
      <c r="Q1129" s="16"/>
      <c r="R1129" s="16"/>
    </row>
    <row r="1130" spans="1:18" ht="18">
      <c r="A1130" s="61"/>
      <c r="B1130" s="15"/>
      <c r="C1130" s="31"/>
      <c r="D1130" s="90"/>
      <c r="E1130" s="16"/>
      <c r="F1130" s="33"/>
      <c r="G1130" s="16"/>
      <c r="H1130" s="16"/>
      <c r="I1130" s="16"/>
      <c r="J1130" s="16"/>
      <c r="K1130" s="16"/>
      <c r="L1130" s="16"/>
      <c r="M1130" s="16"/>
      <c r="N1130" s="16"/>
      <c r="O1130" s="16"/>
      <c r="P1130" s="16"/>
      <c r="Q1130" s="16"/>
      <c r="R1130" s="16"/>
    </row>
    <row r="1131" spans="1:18" ht="18">
      <c r="A1131" s="61"/>
      <c r="B1131" s="15"/>
      <c r="C1131" s="31"/>
      <c r="D1131" s="90"/>
      <c r="E1131" s="16"/>
      <c r="F1131" s="33"/>
      <c r="G1131" s="16"/>
      <c r="H1131" s="16"/>
      <c r="I1131" s="16"/>
      <c r="J1131" s="16"/>
      <c r="K1131" s="16"/>
      <c r="L1131" s="16"/>
      <c r="M1131" s="16"/>
      <c r="N1131" s="16"/>
      <c r="O1131" s="16"/>
      <c r="P1131" s="16"/>
      <c r="Q1131" s="16"/>
      <c r="R1131" s="16"/>
    </row>
    <row r="1132" spans="1:18" ht="18">
      <c r="A1132" s="61"/>
      <c r="B1132" s="15"/>
      <c r="C1132" s="31"/>
      <c r="D1132" s="90"/>
      <c r="E1132" s="16"/>
      <c r="F1132" s="33"/>
      <c r="G1132" s="16"/>
      <c r="H1132" s="16"/>
      <c r="I1132" s="16"/>
      <c r="J1132" s="16"/>
      <c r="K1132" s="16"/>
      <c r="L1132" s="16"/>
      <c r="M1132" s="16"/>
      <c r="N1132" s="16"/>
      <c r="O1132" s="16"/>
      <c r="P1132" s="16"/>
      <c r="Q1132" s="16"/>
      <c r="R1132" s="16"/>
    </row>
    <row r="1133" spans="1:18" ht="18">
      <c r="A1133" s="61"/>
      <c r="B1133" s="15"/>
      <c r="C1133" s="31"/>
      <c r="D1133" s="90"/>
      <c r="E1133" s="16"/>
      <c r="F1133" s="33"/>
      <c r="G1133" s="16"/>
      <c r="H1133" s="16"/>
      <c r="I1133" s="16"/>
      <c r="J1133" s="16"/>
      <c r="K1133" s="16"/>
      <c r="L1133" s="16"/>
      <c r="M1133" s="16"/>
      <c r="N1133" s="16"/>
      <c r="O1133" s="16"/>
      <c r="P1133" s="16"/>
      <c r="Q1133" s="16"/>
      <c r="R1133" s="16"/>
    </row>
    <row r="1134" spans="1:18" ht="18">
      <c r="A1134" s="61"/>
      <c r="B1134" s="15"/>
      <c r="C1134" s="31"/>
      <c r="D1134" s="90"/>
      <c r="E1134" s="16"/>
      <c r="F1134" s="33"/>
      <c r="G1134" s="16"/>
      <c r="H1134" s="16"/>
      <c r="I1134" s="16"/>
      <c r="J1134" s="16"/>
      <c r="K1134" s="16"/>
      <c r="L1134" s="16"/>
      <c r="M1134" s="16"/>
      <c r="N1134" s="16"/>
      <c r="O1134" s="16"/>
      <c r="P1134" s="16"/>
      <c r="Q1134" s="16"/>
      <c r="R1134" s="16"/>
    </row>
    <row r="1135" spans="1:18" ht="18">
      <c r="A1135" s="61"/>
      <c r="B1135" s="15"/>
      <c r="C1135" s="31"/>
      <c r="D1135" s="90"/>
      <c r="E1135" s="16"/>
      <c r="F1135" s="33"/>
      <c r="G1135" s="16"/>
      <c r="H1135" s="16"/>
      <c r="I1135" s="16"/>
      <c r="J1135" s="16"/>
      <c r="K1135" s="16"/>
      <c r="L1135" s="16"/>
      <c r="M1135" s="16"/>
      <c r="N1135" s="16"/>
      <c r="O1135" s="16"/>
      <c r="P1135" s="16"/>
      <c r="Q1135" s="16"/>
      <c r="R1135" s="16"/>
    </row>
    <row r="1136" spans="1:18" ht="18">
      <c r="A1136" s="61"/>
      <c r="B1136" s="15"/>
      <c r="C1136" s="31"/>
      <c r="D1136" s="90"/>
      <c r="E1136" s="16"/>
      <c r="F1136" s="33"/>
      <c r="G1136" s="16"/>
      <c r="H1136" s="16"/>
      <c r="I1136" s="16"/>
      <c r="J1136" s="16"/>
      <c r="K1136" s="16"/>
      <c r="L1136" s="16"/>
      <c r="M1136" s="16"/>
      <c r="N1136" s="16"/>
      <c r="O1136" s="16"/>
      <c r="P1136" s="16"/>
      <c r="Q1136" s="16"/>
      <c r="R1136" s="16"/>
    </row>
    <row r="1137" spans="1:18" ht="18">
      <c r="A1137" s="61"/>
      <c r="B1137" s="15"/>
      <c r="C1137" s="31"/>
      <c r="D1137" s="90"/>
      <c r="E1137" s="16"/>
      <c r="F1137" s="33"/>
      <c r="G1137" s="16"/>
      <c r="H1137" s="16"/>
      <c r="I1137" s="16"/>
      <c r="J1137" s="16"/>
      <c r="K1137" s="16"/>
      <c r="L1137" s="16"/>
      <c r="M1137" s="16"/>
      <c r="N1137" s="16"/>
      <c r="O1137" s="16"/>
      <c r="P1137" s="16"/>
      <c r="Q1137" s="16"/>
      <c r="R1137" s="16"/>
    </row>
    <row r="1138" spans="1:18" ht="18">
      <c r="A1138" s="61"/>
      <c r="B1138" s="15"/>
      <c r="C1138" s="31"/>
      <c r="D1138" s="90"/>
      <c r="E1138" s="16"/>
      <c r="F1138" s="33"/>
      <c r="G1138" s="16"/>
      <c r="H1138" s="16"/>
      <c r="I1138" s="16"/>
      <c r="J1138" s="16"/>
      <c r="K1138" s="16"/>
      <c r="L1138" s="16"/>
      <c r="M1138" s="16"/>
      <c r="N1138" s="16"/>
      <c r="O1138" s="16"/>
      <c r="P1138" s="16"/>
      <c r="Q1138" s="16"/>
      <c r="R1138" s="16"/>
    </row>
    <row r="1139" spans="1:18" ht="18">
      <c r="A1139" s="61"/>
      <c r="B1139" s="15"/>
      <c r="C1139" s="31"/>
      <c r="D1139" s="90"/>
      <c r="E1139" s="16"/>
      <c r="F1139" s="33"/>
      <c r="G1139" s="16"/>
      <c r="H1139" s="16"/>
      <c r="I1139" s="16"/>
      <c r="J1139" s="16"/>
      <c r="K1139" s="16"/>
      <c r="L1139" s="16"/>
      <c r="M1139" s="16"/>
      <c r="N1139" s="16"/>
      <c r="O1139" s="16"/>
      <c r="P1139" s="16"/>
      <c r="Q1139" s="16"/>
      <c r="R1139" s="16"/>
    </row>
    <row r="1140" spans="1:18" ht="18">
      <c r="A1140" s="61"/>
      <c r="B1140" s="15"/>
      <c r="C1140" s="31"/>
      <c r="D1140" s="90"/>
      <c r="E1140" s="16"/>
      <c r="F1140" s="33"/>
      <c r="G1140" s="16"/>
      <c r="H1140" s="16"/>
      <c r="I1140" s="16"/>
      <c r="J1140" s="16"/>
      <c r="K1140" s="16"/>
      <c r="L1140" s="16"/>
      <c r="M1140" s="16"/>
      <c r="N1140" s="16"/>
      <c r="O1140" s="16"/>
      <c r="P1140" s="16"/>
      <c r="Q1140" s="16"/>
      <c r="R1140" s="16"/>
    </row>
    <row r="1141" spans="1:18" ht="18">
      <c r="A1141" s="61"/>
      <c r="B1141" s="15"/>
      <c r="C1141" s="31"/>
      <c r="D1141" s="90"/>
      <c r="E1141" s="16"/>
      <c r="F1141" s="33"/>
      <c r="G1141" s="16"/>
      <c r="H1141" s="16"/>
      <c r="I1141" s="16"/>
      <c r="J1141" s="16"/>
      <c r="K1141" s="16"/>
      <c r="L1141" s="16"/>
      <c r="M1141" s="16"/>
      <c r="N1141" s="16"/>
      <c r="O1141" s="16"/>
      <c r="P1141" s="16"/>
      <c r="Q1141" s="16"/>
      <c r="R1141" s="16"/>
    </row>
    <row r="1142" spans="1:18" ht="18">
      <c r="A1142" s="61"/>
      <c r="B1142" s="15"/>
      <c r="C1142" s="31"/>
      <c r="D1142" s="90"/>
      <c r="E1142" s="16"/>
      <c r="F1142" s="33"/>
      <c r="G1142" s="16"/>
      <c r="H1142" s="16"/>
      <c r="I1142" s="16"/>
      <c r="J1142" s="16"/>
      <c r="K1142" s="16"/>
      <c r="L1142" s="16"/>
      <c r="M1142" s="16"/>
      <c r="N1142" s="16"/>
      <c r="O1142" s="16"/>
      <c r="P1142" s="16"/>
      <c r="Q1142" s="16"/>
      <c r="R1142" s="16"/>
    </row>
    <row r="1143" spans="1:18" ht="18">
      <c r="A1143" s="61"/>
      <c r="B1143" s="15"/>
      <c r="C1143" s="31"/>
      <c r="D1143" s="90"/>
      <c r="E1143" s="16"/>
      <c r="F1143" s="33"/>
      <c r="G1143" s="16"/>
      <c r="H1143" s="16"/>
      <c r="I1143" s="16"/>
      <c r="J1143" s="16"/>
      <c r="K1143" s="16"/>
      <c r="L1143" s="16"/>
      <c r="M1143" s="16"/>
      <c r="N1143" s="16"/>
      <c r="O1143" s="16"/>
      <c r="P1143" s="16"/>
      <c r="Q1143" s="16"/>
      <c r="R1143" s="16"/>
    </row>
    <row r="1144" spans="1:18" ht="18">
      <c r="A1144" s="61"/>
      <c r="B1144" s="15"/>
      <c r="C1144" s="31"/>
      <c r="D1144" s="90"/>
      <c r="E1144" s="16"/>
      <c r="F1144" s="33"/>
      <c r="G1144" s="16"/>
      <c r="H1144" s="16"/>
      <c r="I1144" s="16"/>
      <c r="J1144" s="16"/>
      <c r="K1144" s="16"/>
      <c r="L1144" s="16"/>
      <c r="M1144" s="16"/>
      <c r="N1144" s="16"/>
      <c r="O1144" s="16"/>
      <c r="P1144" s="16"/>
      <c r="Q1144" s="16"/>
      <c r="R1144" s="16"/>
    </row>
    <row r="1145" spans="1:18" ht="18">
      <c r="A1145" s="61"/>
      <c r="B1145" s="15"/>
      <c r="C1145" s="31"/>
      <c r="D1145" s="90"/>
      <c r="E1145" s="16"/>
      <c r="F1145" s="33"/>
      <c r="G1145" s="16"/>
      <c r="H1145" s="16"/>
      <c r="I1145" s="16"/>
      <c r="J1145" s="16"/>
      <c r="K1145" s="16"/>
      <c r="L1145" s="16"/>
      <c r="M1145" s="16"/>
      <c r="N1145" s="16"/>
      <c r="O1145" s="16"/>
      <c r="P1145" s="16"/>
      <c r="Q1145" s="16"/>
      <c r="R1145" s="16"/>
    </row>
    <row r="1146" spans="1:18" ht="18">
      <c r="A1146" s="61"/>
      <c r="B1146" s="15"/>
      <c r="C1146" s="31"/>
      <c r="D1146" s="90"/>
      <c r="E1146" s="16"/>
      <c r="F1146" s="33"/>
      <c r="G1146" s="16"/>
      <c r="H1146" s="16"/>
      <c r="I1146" s="16"/>
      <c r="J1146" s="16"/>
      <c r="K1146" s="16"/>
      <c r="L1146" s="16"/>
      <c r="M1146" s="16"/>
      <c r="N1146" s="16"/>
      <c r="O1146" s="16"/>
      <c r="P1146" s="16"/>
      <c r="Q1146" s="16"/>
      <c r="R1146" s="16"/>
    </row>
    <row r="1147" spans="1:18" ht="18">
      <c r="A1147" s="61"/>
      <c r="B1147" s="15"/>
      <c r="C1147" s="31"/>
      <c r="D1147" s="90"/>
      <c r="E1147" s="16"/>
      <c r="F1147" s="33"/>
      <c r="G1147" s="16"/>
      <c r="H1147" s="16"/>
      <c r="I1147" s="16"/>
      <c r="J1147" s="16"/>
      <c r="K1147" s="16"/>
      <c r="L1147" s="16"/>
      <c r="M1147" s="16"/>
      <c r="N1147" s="16"/>
      <c r="O1147" s="16"/>
      <c r="P1147" s="16"/>
      <c r="Q1147" s="16"/>
      <c r="R1147" s="16"/>
    </row>
    <row r="1148" spans="1:18" ht="18">
      <c r="A1148" s="61"/>
      <c r="B1148" s="15"/>
      <c r="C1148" s="31"/>
      <c r="D1148" s="90"/>
      <c r="E1148" s="16"/>
      <c r="F1148" s="33"/>
      <c r="G1148" s="16"/>
      <c r="H1148" s="16"/>
      <c r="I1148" s="16"/>
      <c r="J1148" s="16"/>
      <c r="K1148" s="16"/>
      <c r="L1148" s="16"/>
      <c r="M1148" s="16"/>
      <c r="N1148" s="16"/>
      <c r="O1148" s="16"/>
      <c r="P1148" s="16"/>
      <c r="Q1148" s="16"/>
      <c r="R1148" s="16"/>
    </row>
    <row r="1149" spans="1:18" ht="18">
      <c r="A1149" s="61"/>
      <c r="B1149" s="15"/>
      <c r="C1149" s="31"/>
      <c r="D1149" s="90"/>
      <c r="E1149" s="16"/>
      <c r="F1149" s="33"/>
      <c r="G1149" s="16"/>
      <c r="H1149" s="16"/>
      <c r="I1149" s="16"/>
      <c r="J1149" s="16"/>
      <c r="K1149" s="16"/>
      <c r="L1149" s="16"/>
      <c r="M1149" s="16"/>
      <c r="N1149" s="16"/>
      <c r="O1149" s="16"/>
      <c r="P1149" s="16"/>
      <c r="Q1149" s="16"/>
      <c r="R1149" s="16"/>
    </row>
    <row r="1150" spans="1:18" ht="18">
      <c r="A1150" s="61"/>
      <c r="B1150" s="15"/>
      <c r="C1150" s="31"/>
      <c r="D1150" s="90"/>
      <c r="E1150" s="16"/>
      <c r="F1150" s="33"/>
      <c r="G1150" s="16"/>
      <c r="H1150" s="16"/>
      <c r="I1150" s="16"/>
      <c r="J1150" s="16"/>
      <c r="K1150" s="16"/>
      <c r="L1150" s="16"/>
      <c r="M1150" s="16"/>
      <c r="N1150" s="16"/>
      <c r="O1150" s="16"/>
      <c r="P1150" s="16"/>
      <c r="Q1150" s="16"/>
      <c r="R1150" s="16"/>
    </row>
    <row r="1151" spans="1:18" ht="18">
      <c r="A1151" s="61"/>
      <c r="B1151" s="15"/>
      <c r="C1151" s="31"/>
      <c r="D1151" s="90"/>
      <c r="E1151" s="16"/>
      <c r="F1151" s="33"/>
      <c r="G1151" s="16"/>
      <c r="H1151" s="16"/>
      <c r="I1151" s="16"/>
      <c r="J1151" s="16"/>
      <c r="K1151" s="16"/>
      <c r="L1151" s="16"/>
      <c r="M1151" s="16"/>
      <c r="N1151" s="16"/>
      <c r="O1151" s="16"/>
      <c r="P1151" s="16"/>
      <c r="Q1151" s="16"/>
      <c r="R1151" s="16"/>
    </row>
    <row r="1152" spans="1:18" ht="18">
      <c r="A1152" s="61"/>
      <c r="B1152" s="15"/>
      <c r="C1152" s="31"/>
      <c r="D1152" s="90"/>
      <c r="E1152" s="16"/>
      <c r="F1152" s="33"/>
      <c r="G1152" s="16"/>
      <c r="H1152" s="16"/>
      <c r="I1152" s="16"/>
      <c r="J1152" s="16"/>
      <c r="K1152" s="16"/>
      <c r="L1152" s="16"/>
      <c r="M1152" s="16"/>
      <c r="N1152" s="16"/>
      <c r="O1152" s="16"/>
      <c r="P1152" s="16"/>
      <c r="Q1152" s="16"/>
      <c r="R1152" s="16"/>
    </row>
    <row r="1153" spans="1:18" ht="18">
      <c r="A1153" s="61"/>
      <c r="B1153" s="15"/>
      <c r="C1153" s="31"/>
      <c r="D1153" s="90"/>
      <c r="E1153" s="16"/>
      <c r="F1153" s="33"/>
      <c r="G1153" s="16"/>
      <c r="H1153" s="16"/>
      <c r="I1153" s="16"/>
      <c r="J1153" s="16"/>
      <c r="K1153" s="16"/>
      <c r="L1153" s="16"/>
      <c r="M1153" s="16"/>
      <c r="N1153" s="16"/>
      <c r="O1153" s="16"/>
      <c r="P1153" s="16"/>
      <c r="Q1153" s="16"/>
      <c r="R1153" s="16"/>
    </row>
    <row r="1154" spans="1:18" ht="18">
      <c r="A1154" s="61"/>
      <c r="B1154" s="15"/>
      <c r="C1154" s="31"/>
      <c r="D1154" s="90"/>
      <c r="E1154" s="16"/>
      <c r="F1154" s="33"/>
      <c r="G1154" s="16"/>
      <c r="H1154" s="16"/>
      <c r="I1154" s="16"/>
      <c r="J1154" s="16"/>
      <c r="K1154" s="16"/>
      <c r="L1154" s="16"/>
      <c r="M1154" s="16"/>
      <c r="N1154" s="16"/>
      <c r="O1154" s="16"/>
      <c r="P1154" s="16"/>
      <c r="Q1154" s="16"/>
      <c r="R1154" s="16"/>
    </row>
    <row r="1155" spans="1:18" ht="18">
      <c r="A1155" s="61"/>
      <c r="B1155" s="15"/>
      <c r="C1155" s="31"/>
      <c r="D1155" s="90"/>
      <c r="E1155" s="16"/>
      <c r="F1155" s="33"/>
      <c r="G1155" s="16"/>
      <c r="H1155" s="16"/>
      <c r="I1155" s="16"/>
      <c r="J1155" s="16"/>
      <c r="K1155" s="16"/>
      <c r="L1155" s="16"/>
      <c r="M1155" s="16"/>
      <c r="N1155" s="16"/>
      <c r="O1155" s="16"/>
      <c r="P1155" s="16"/>
      <c r="Q1155" s="16"/>
      <c r="R1155" s="16"/>
    </row>
    <row r="1156" spans="1:18" ht="18">
      <c r="A1156" s="61"/>
      <c r="B1156" s="15"/>
      <c r="C1156" s="31"/>
      <c r="D1156" s="90"/>
      <c r="E1156" s="16"/>
      <c r="F1156" s="33"/>
      <c r="G1156" s="16"/>
      <c r="H1156" s="16"/>
      <c r="I1156" s="16"/>
      <c r="J1156" s="16"/>
      <c r="K1156" s="16"/>
      <c r="L1156" s="16"/>
      <c r="M1156" s="16"/>
      <c r="N1156" s="16"/>
      <c r="O1156" s="16"/>
      <c r="P1156" s="16"/>
      <c r="Q1156" s="16"/>
      <c r="R1156" s="16"/>
    </row>
    <row r="1157" spans="1:18" ht="18">
      <c r="A1157" s="61"/>
      <c r="B1157" s="15"/>
      <c r="C1157" s="31"/>
      <c r="D1157" s="90"/>
      <c r="E1157" s="16"/>
      <c r="F1157" s="33"/>
      <c r="G1157" s="16"/>
      <c r="H1157" s="16"/>
      <c r="I1157" s="16"/>
      <c r="J1157" s="16"/>
      <c r="K1157" s="16"/>
      <c r="L1157" s="16"/>
      <c r="M1157" s="16"/>
      <c r="N1157" s="16"/>
      <c r="O1157" s="16"/>
      <c r="P1157" s="16"/>
      <c r="Q1157" s="16"/>
      <c r="R1157" s="16"/>
    </row>
    <row r="1158" spans="1:18" ht="18">
      <c r="A1158" s="61"/>
      <c r="B1158" s="15"/>
      <c r="C1158" s="31"/>
      <c r="D1158" s="90"/>
      <c r="E1158" s="16"/>
      <c r="F1158" s="33"/>
      <c r="G1158" s="16"/>
      <c r="H1158" s="16"/>
      <c r="I1158" s="16"/>
      <c r="J1158" s="16"/>
      <c r="K1158" s="16"/>
      <c r="L1158" s="16"/>
      <c r="M1158" s="16"/>
      <c r="N1158" s="16"/>
      <c r="O1158" s="16"/>
      <c r="P1158" s="16"/>
      <c r="Q1158" s="16"/>
      <c r="R1158" s="16"/>
    </row>
    <row r="1159" spans="1:18" ht="18">
      <c r="A1159" s="61"/>
      <c r="B1159" s="15"/>
      <c r="C1159" s="31"/>
      <c r="D1159" s="90"/>
      <c r="E1159" s="16"/>
      <c r="F1159" s="33"/>
      <c r="G1159" s="16"/>
      <c r="H1159" s="16"/>
      <c r="I1159" s="16"/>
      <c r="J1159" s="16"/>
      <c r="K1159" s="16"/>
      <c r="L1159" s="16"/>
      <c r="M1159" s="16"/>
      <c r="N1159" s="16"/>
      <c r="O1159" s="16"/>
      <c r="P1159" s="16"/>
      <c r="Q1159" s="16"/>
      <c r="R1159" s="16"/>
    </row>
    <row r="1160" spans="1:18" ht="18">
      <c r="A1160" s="61"/>
      <c r="B1160" s="15"/>
      <c r="C1160" s="31"/>
      <c r="D1160" s="90"/>
      <c r="E1160" s="16"/>
      <c r="F1160" s="33"/>
      <c r="G1160" s="16"/>
      <c r="H1160" s="16"/>
      <c r="I1160" s="16"/>
      <c r="J1160" s="16"/>
      <c r="K1160" s="16"/>
      <c r="L1160" s="16"/>
      <c r="M1160" s="16"/>
      <c r="N1160" s="16"/>
      <c r="O1160" s="16"/>
      <c r="P1160" s="16"/>
      <c r="Q1160" s="16"/>
      <c r="R1160" s="16"/>
    </row>
    <row r="1161" spans="1:18" ht="18">
      <c r="A1161" s="61"/>
      <c r="B1161" s="15"/>
      <c r="C1161" s="31"/>
      <c r="D1161" s="90"/>
      <c r="E1161" s="16"/>
      <c r="F1161" s="33"/>
      <c r="G1161" s="16"/>
      <c r="H1161" s="16"/>
      <c r="I1161" s="16"/>
      <c r="J1161" s="16"/>
      <c r="K1161" s="16"/>
      <c r="L1161" s="16"/>
      <c r="M1161" s="16"/>
      <c r="N1161" s="16"/>
      <c r="O1161" s="16"/>
      <c r="P1161" s="16"/>
      <c r="Q1161" s="16"/>
      <c r="R1161" s="16"/>
    </row>
    <row r="1162" spans="1:18" ht="18">
      <c r="A1162" s="61"/>
      <c r="B1162" s="15"/>
      <c r="C1162" s="31"/>
      <c r="D1162" s="90"/>
      <c r="E1162" s="16"/>
      <c r="F1162" s="33"/>
      <c r="G1162" s="16"/>
      <c r="H1162" s="16"/>
      <c r="I1162" s="16"/>
      <c r="J1162" s="16"/>
      <c r="K1162" s="16"/>
      <c r="L1162" s="16"/>
      <c r="M1162" s="16"/>
      <c r="N1162" s="16"/>
      <c r="O1162" s="16"/>
      <c r="P1162" s="16"/>
      <c r="Q1162" s="16"/>
      <c r="R1162" s="16"/>
    </row>
    <row r="1163" spans="1:18" ht="18">
      <c r="A1163" s="61"/>
      <c r="B1163" s="15"/>
      <c r="C1163" s="31"/>
      <c r="D1163" s="90"/>
      <c r="E1163" s="16"/>
      <c r="F1163" s="33"/>
      <c r="G1163" s="16"/>
      <c r="H1163" s="16"/>
      <c r="I1163" s="16"/>
      <c r="J1163" s="16"/>
      <c r="K1163" s="16"/>
      <c r="L1163" s="16"/>
      <c r="M1163" s="16"/>
      <c r="N1163" s="16"/>
      <c r="O1163" s="16"/>
      <c r="P1163" s="16"/>
      <c r="Q1163" s="16"/>
      <c r="R1163" s="16"/>
    </row>
    <row r="1164" spans="1:18" ht="18">
      <c r="A1164" s="61"/>
      <c r="B1164" s="15"/>
      <c r="C1164" s="31"/>
      <c r="D1164" s="90"/>
      <c r="E1164" s="16"/>
      <c r="F1164" s="33"/>
      <c r="G1164" s="16"/>
      <c r="H1164" s="16"/>
      <c r="I1164" s="16"/>
      <c r="J1164" s="16"/>
      <c r="K1164" s="16"/>
      <c r="L1164" s="16"/>
      <c r="M1164" s="16"/>
      <c r="N1164" s="16"/>
      <c r="O1164" s="16"/>
      <c r="P1164" s="16"/>
      <c r="Q1164" s="16"/>
      <c r="R1164" s="16"/>
    </row>
    <row r="1165" spans="1:18" ht="18">
      <c r="A1165" s="61"/>
      <c r="B1165" s="15"/>
      <c r="C1165" s="31"/>
      <c r="D1165" s="90"/>
      <c r="E1165" s="16"/>
      <c r="F1165" s="33"/>
      <c r="G1165" s="16"/>
      <c r="H1165" s="16"/>
      <c r="I1165" s="16"/>
      <c r="J1165" s="16"/>
      <c r="K1165" s="16"/>
      <c r="L1165" s="16"/>
      <c r="M1165" s="16"/>
      <c r="N1165" s="16"/>
      <c r="O1165" s="16"/>
      <c r="P1165" s="16"/>
      <c r="Q1165" s="16"/>
      <c r="R1165" s="16"/>
    </row>
    <row r="1166" spans="1:18" ht="18">
      <c r="A1166" s="61"/>
      <c r="B1166" s="15"/>
      <c r="C1166" s="31"/>
      <c r="D1166" s="90"/>
      <c r="E1166" s="16"/>
      <c r="F1166" s="33"/>
      <c r="G1166" s="16"/>
      <c r="H1166" s="16"/>
      <c r="I1166" s="16"/>
      <c r="J1166" s="16"/>
      <c r="K1166" s="16"/>
      <c r="L1166" s="16"/>
      <c r="M1166" s="16"/>
      <c r="N1166" s="16"/>
      <c r="O1166" s="16"/>
      <c r="P1166" s="16"/>
      <c r="Q1166" s="16"/>
      <c r="R1166" s="16"/>
    </row>
    <row r="1167" spans="1:18" ht="18">
      <c r="A1167" s="61"/>
      <c r="B1167" s="15"/>
      <c r="C1167" s="31"/>
      <c r="D1167" s="90"/>
      <c r="E1167" s="16"/>
      <c r="F1167" s="33"/>
      <c r="G1167" s="16"/>
      <c r="H1167" s="16"/>
      <c r="I1167" s="16"/>
      <c r="J1167" s="16"/>
      <c r="K1167" s="16"/>
      <c r="L1167" s="16"/>
      <c r="M1167" s="16"/>
      <c r="N1167" s="16"/>
      <c r="O1167" s="16"/>
      <c r="P1167" s="16"/>
      <c r="Q1167" s="16"/>
      <c r="R1167" s="16"/>
    </row>
    <row r="1168" spans="1:18" ht="18">
      <c r="A1168" s="61"/>
      <c r="B1168" s="15"/>
      <c r="C1168" s="31"/>
      <c r="D1168" s="90"/>
      <c r="E1168" s="16"/>
      <c r="F1168" s="33"/>
      <c r="G1168" s="16"/>
      <c r="H1168" s="16"/>
      <c r="I1168" s="16"/>
      <c r="J1168" s="16"/>
      <c r="K1168" s="16"/>
      <c r="L1168" s="16"/>
      <c r="M1168" s="16"/>
      <c r="N1168" s="16"/>
      <c r="O1168" s="16"/>
      <c r="P1168" s="16"/>
      <c r="Q1168" s="16"/>
      <c r="R1168" s="16"/>
    </row>
    <row r="1169" spans="1:18" ht="18">
      <c r="A1169" s="61"/>
      <c r="B1169" s="15"/>
      <c r="C1169" s="31"/>
      <c r="D1169" s="90"/>
      <c r="E1169" s="16"/>
      <c r="F1169" s="33"/>
      <c r="G1169" s="16"/>
      <c r="H1169" s="16"/>
      <c r="I1169" s="16"/>
      <c r="J1169" s="16"/>
      <c r="K1169" s="16"/>
      <c r="L1169" s="16"/>
      <c r="M1169" s="16"/>
      <c r="N1169" s="16"/>
      <c r="O1169" s="16"/>
      <c r="P1169" s="16"/>
      <c r="Q1169" s="16"/>
      <c r="R1169" s="16"/>
    </row>
    <row r="1170" spans="1:18" ht="18">
      <c r="A1170" s="61"/>
      <c r="B1170" s="15"/>
      <c r="C1170" s="31"/>
      <c r="D1170" s="90"/>
      <c r="E1170" s="16"/>
      <c r="F1170" s="33"/>
      <c r="G1170" s="16"/>
      <c r="H1170" s="16"/>
      <c r="I1170" s="16"/>
      <c r="J1170" s="16"/>
      <c r="K1170" s="16"/>
      <c r="L1170" s="16"/>
      <c r="M1170" s="16"/>
      <c r="N1170" s="16"/>
      <c r="O1170" s="16"/>
      <c r="P1170" s="16"/>
      <c r="Q1170" s="16"/>
      <c r="R1170" s="16"/>
    </row>
    <row r="1171" spans="1:18" ht="18">
      <c r="A1171" s="61"/>
      <c r="B1171" s="15"/>
      <c r="C1171" s="31"/>
      <c r="D1171" s="90"/>
      <c r="E1171" s="16"/>
      <c r="F1171" s="33"/>
      <c r="G1171" s="16"/>
      <c r="H1171" s="16"/>
      <c r="I1171" s="16"/>
      <c r="J1171" s="16"/>
      <c r="K1171" s="16"/>
      <c r="L1171" s="16"/>
      <c r="M1171" s="16"/>
      <c r="N1171" s="16"/>
      <c r="O1171" s="16"/>
      <c r="P1171" s="16"/>
      <c r="Q1171" s="16"/>
      <c r="R1171" s="16"/>
    </row>
    <row r="1172" spans="1:18" ht="18">
      <c r="A1172" s="61"/>
      <c r="B1172" s="15"/>
      <c r="C1172" s="31"/>
      <c r="D1172" s="90"/>
      <c r="E1172" s="16"/>
      <c r="F1172" s="33"/>
      <c r="G1172" s="16"/>
      <c r="H1172" s="16"/>
      <c r="I1172" s="16"/>
      <c r="J1172" s="16"/>
      <c r="K1172" s="16"/>
      <c r="L1172" s="16"/>
      <c r="M1172" s="16"/>
      <c r="N1172" s="16"/>
      <c r="O1172" s="16"/>
      <c r="P1172" s="16"/>
      <c r="Q1172" s="16"/>
      <c r="R1172" s="16"/>
    </row>
    <row r="1173" spans="1:18" ht="18">
      <c r="A1173" s="61"/>
      <c r="B1173" s="15"/>
      <c r="C1173" s="31"/>
      <c r="D1173" s="90"/>
      <c r="E1173" s="16"/>
      <c r="F1173" s="33"/>
      <c r="G1173" s="16"/>
      <c r="H1173" s="16"/>
      <c r="I1173" s="16"/>
      <c r="J1173" s="16"/>
      <c r="K1173" s="16"/>
      <c r="L1173" s="16"/>
      <c r="M1173" s="16"/>
      <c r="N1173" s="16"/>
      <c r="O1173" s="16"/>
      <c r="P1173" s="16"/>
      <c r="Q1173" s="16"/>
      <c r="R1173" s="16"/>
    </row>
    <row r="1174" spans="1:18" ht="18">
      <c r="A1174" s="61"/>
      <c r="B1174" s="15"/>
      <c r="C1174" s="31"/>
      <c r="D1174" s="90"/>
      <c r="E1174" s="16"/>
      <c r="F1174" s="33"/>
      <c r="G1174" s="16"/>
      <c r="H1174" s="16"/>
      <c r="I1174" s="16"/>
      <c r="J1174" s="16"/>
      <c r="K1174" s="16"/>
      <c r="L1174" s="16"/>
      <c r="M1174" s="16"/>
      <c r="N1174" s="16"/>
      <c r="O1174" s="16"/>
      <c r="P1174" s="16"/>
      <c r="Q1174" s="16"/>
      <c r="R1174" s="16"/>
    </row>
    <row r="1175" spans="1:18" ht="18">
      <c r="A1175" s="61"/>
      <c r="B1175" s="15"/>
      <c r="C1175" s="31"/>
      <c r="D1175" s="90"/>
      <c r="E1175" s="16"/>
      <c r="F1175" s="33"/>
      <c r="G1175" s="16"/>
      <c r="H1175" s="16"/>
      <c r="I1175" s="16"/>
      <c r="J1175" s="16"/>
      <c r="K1175" s="16"/>
      <c r="L1175" s="16"/>
      <c r="M1175" s="16"/>
      <c r="N1175" s="16"/>
      <c r="O1175" s="16"/>
      <c r="P1175" s="16"/>
      <c r="Q1175" s="16"/>
      <c r="R1175" s="16"/>
    </row>
    <row r="1176" spans="1:18" ht="18">
      <c r="A1176" s="61"/>
      <c r="B1176" s="15"/>
      <c r="C1176" s="31"/>
      <c r="D1176" s="90"/>
      <c r="E1176" s="16"/>
      <c r="F1176" s="33"/>
      <c r="G1176" s="16"/>
      <c r="H1176" s="16"/>
      <c r="I1176" s="16"/>
      <c r="J1176" s="16"/>
      <c r="K1176" s="16"/>
      <c r="L1176" s="16"/>
      <c r="M1176" s="16"/>
      <c r="N1176" s="16"/>
      <c r="O1176" s="16"/>
      <c r="P1176" s="16"/>
      <c r="Q1176" s="16"/>
      <c r="R1176" s="16"/>
    </row>
    <row r="1177" spans="1:18" ht="18">
      <c r="A1177" s="61"/>
      <c r="B1177" s="15"/>
      <c r="C1177" s="31"/>
      <c r="D1177" s="90"/>
      <c r="E1177" s="16"/>
      <c r="F1177" s="33"/>
      <c r="G1177" s="16"/>
      <c r="H1177" s="16"/>
      <c r="I1177" s="16"/>
      <c r="J1177" s="16"/>
      <c r="K1177" s="16"/>
      <c r="L1177" s="16"/>
      <c r="M1177" s="16"/>
      <c r="N1177" s="16"/>
      <c r="O1177" s="16"/>
      <c r="P1177" s="16"/>
      <c r="Q1177" s="16"/>
      <c r="R1177" s="16"/>
    </row>
    <row r="1178" spans="1:18" ht="18">
      <c r="A1178" s="61"/>
      <c r="B1178" s="15"/>
      <c r="C1178" s="31"/>
      <c r="D1178" s="90"/>
      <c r="E1178" s="16"/>
      <c r="F1178" s="33"/>
      <c r="G1178" s="16"/>
      <c r="H1178" s="16"/>
      <c r="I1178" s="16"/>
      <c r="J1178" s="16"/>
      <c r="K1178" s="16"/>
      <c r="L1178" s="16"/>
      <c r="M1178" s="16"/>
      <c r="N1178" s="16"/>
      <c r="O1178" s="16"/>
      <c r="P1178" s="16"/>
      <c r="Q1178" s="16"/>
      <c r="R1178" s="16"/>
    </row>
    <row r="1179" spans="1:18" ht="18">
      <c r="A1179" s="61"/>
      <c r="B1179" s="15"/>
      <c r="C1179" s="31"/>
      <c r="D1179" s="90"/>
      <c r="E1179" s="16"/>
      <c r="F1179" s="33"/>
      <c r="G1179" s="16"/>
      <c r="H1179" s="16"/>
      <c r="I1179" s="16"/>
      <c r="J1179" s="16"/>
      <c r="K1179" s="16"/>
      <c r="L1179" s="16"/>
      <c r="M1179" s="16"/>
      <c r="N1179" s="16"/>
      <c r="O1179" s="16"/>
      <c r="P1179" s="16"/>
      <c r="Q1179" s="16"/>
      <c r="R1179" s="16"/>
    </row>
    <row r="1180" spans="1:18" ht="18">
      <c r="A1180" s="61"/>
      <c r="B1180" s="15"/>
      <c r="C1180" s="31"/>
      <c r="D1180" s="90"/>
      <c r="E1180" s="16"/>
      <c r="F1180" s="33"/>
      <c r="G1180" s="16"/>
      <c r="H1180" s="16"/>
      <c r="I1180" s="16"/>
      <c r="J1180" s="16"/>
      <c r="K1180" s="16"/>
      <c r="L1180" s="16"/>
      <c r="M1180" s="16"/>
      <c r="N1180" s="16"/>
      <c r="O1180" s="16"/>
      <c r="P1180" s="16"/>
      <c r="Q1180" s="16"/>
      <c r="R1180" s="16"/>
    </row>
    <row r="1181" spans="1:18" ht="18">
      <c r="A1181" s="61"/>
      <c r="B1181" s="15"/>
      <c r="C1181" s="31"/>
      <c r="D1181" s="90"/>
      <c r="E1181" s="16"/>
      <c r="F1181" s="33"/>
      <c r="G1181" s="16"/>
      <c r="H1181" s="16"/>
      <c r="I1181" s="16"/>
      <c r="J1181" s="16"/>
      <c r="K1181" s="16"/>
      <c r="L1181" s="16"/>
      <c r="M1181" s="16"/>
      <c r="N1181" s="16"/>
      <c r="O1181" s="16"/>
      <c r="P1181" s="16"/>
      <c r="Q1181" s="16"/>
      <c r="R1181" s="16"/>
    </row>
    <row r="1182" spans="1:18" ht="18">
      <c r="A1182" s="61"/>
      <c r="B1182" s="15"/>
      <c r="C1182" s="31"/>
      <c r="D1182" s="90"/>
      <c r="E1182" s="16"/>
      <c r="F1182" s="33"/>
      <c r="G1182" s="16"/>
      <c r="H1182" s="16"/>
      <c r="I1182" s="16"/>
      <c r="J1182" s="16"/>
      <c r="K1182" s="16"/>
      <c r="L1182" s="16"/>
      <c r="M1182" s="16"/>
      <c r="N1182" s="16"/>
      <c r="O1182" s="16"/>
      <c r="P1182" s="16"/>
      <c r="Q1182" s="16"/>
      <c r="R1182" s="16"/>
    </row>
    <row r="1183" spans="1:18" ht="18">
      <c r="A1183" s="61"/>
      <c r="B1183" s="15"/>
      <c r="C1183" s="31"/>
      <c r="D1183" s="90"/>
      <c r="E1183" s="16"/>
      <c r="F1183" s="33"/>
      <c r="G1183" s="16"/>
      <c r="H1183" s="16"/>
      <c r="I1183" s="16"/>
      <c r="J1183" s="16"/>
      <c r="K1183" s="16"/>
      <c r="L1183" s="16"/>
      <c r="M1183" s="16"/>
      <c r="N1183" s="16"/>
      <c r="O1183" s="16"/>
      <c r="P1183" s="16"/>
      <c r="Q1183" s="16"/>
      <c r="R1183" s="16"/>
    </row>
    <row r="1184" spans="1:18" ht="18">
      <c r="A1184" s="61"/>
      <c r="B1184" s="15"/>
      <c r="C1184" s="31"/>
      <c r="D1184" s="90"/>
      <c r="E1184" s="16"/>
      <c r="F1184" s="33"/>
      <c r="G1184" s="16"/>
      <c r="H1184" s="16"/>
      <c r="I1184" s="16"/>
      <c r="J1184" s="16"/>
      <c r="K1184" s="16"/>
      <c r="L1184" s="16"/>
      <c r="M1184" s="16"/>
      <c r="N1184" s="16"/>
      <c r="O1184" s="16"/>
      <c r="P1184" s="16"/>
      <c r="Q1184" s="16"/>
      <c r="R1184" s="16"/>
    </row>
    <row r="1185" spans="1:18" ht="18">
      <c r="A1185" s="61"/>
      <c r="B1185" s="15"/>
      <c r="C1185" s="31"/>
      <c r="D1185" s="90"/>
      <c r="E1185" s="16"/>
      <c r="F1185" s="33"/>
      <c r="G1185" s="16"/>
      <c r="H1185" s="16"/>
      <c r="I1185" s="16"/>
      <c r="J1185" s="16"/>
      <c r="K1185" s="16"/>
      <c r="L1185" s="16"/>
      <c r="M1185" s="16"/>
      <c r="N1185" s="16"/>
      <c r="O1185" s="16"/>
      <c r="P1185" s="16"/>
      <c r="Q1185" s="16"/>
      <c r="R1185" s="16"/>
    </row>
    <row r="1186" spans="1:18" ht="18">
      <c r="A1186" s="61"/>
      <c r="B1186" s="15"/>
      <c r="C1186" s="31"/>
      <c r="D1186" s="90"/>
      <c r="E1186" s="16"/>
      <c r="F1186" s="33"/>
      <c r="G1186" s="16"/>
      <c r="H1186" s="16"/>
      <c r="I1186" s="16"/>
      <c r="J1186" s="16"/>
      <c r="K1186" s="16"/>
      <c r="L1186" s="16"/>
      <c r="M1186" s="16"/>
      <c r="N1186" s="16"/>
      <c r="O1186" s="16"/>
      <c r="P1186" s="16"/>
      <c r="Q1186" s="16"/>
      <c r="R1186" s="16"/>
    </row>
    <row r="1187" spans="1:18" ht="18">
      <c r="A1187" s="61"/>
      <c r="B1187" s="15"/>
      <c r="C1187" s="31"/>
      <c r="D1187" s="90"/>
      <c r="E1187" s="16"/>
      <c r="F1187" s="33"/>
      <c r="G1187" s="16"/>
      <c r="H1187" s="16"/>
      <c r="I1187" s="16"/>
      <c r="J1187" s="16"/>
      <c r="K1187" s="16"/>
      <c r="L1187" s="16"/>
      <c r="M1187" s="16"/>
      <c r="N1187" s="16"/>
      <c r="O1187" s="16"/>
      <c r="P1187" s="16"/>
      <c r="Q1187" s="16"/>
      <c r="R1187" s="16"/>
    </row>
    <row r="1188" spans="1:18" ht="18">
      <c r="A1188" s="61"/>
      <c r="B1188" s="15"/>
      <c r="C1188" s="31"/>
      <c r="D1188" s="90"/>
      <c r="E1188" s="16"/>
      <c r="F1188" s="33"/>
      <c r="G1188" s="16"/>
      <c r="H1188" s="16"/>
      <c r="I1188" s="16"/>
      <c r="J1188" s="16"/>
      <c r="K1188" s="16"/>
      <c r="L1188" s="16"/>
      <c r="M1188" s="16"/>
      <c r="N1188" s="16"/>
      <c r="O1188" s="16"/>
      <c r="P1188" s="16"/>
      <c r="Q1188" s="16"/>
      <c r="R1188" s="16"/>
    </row>
    <row r="1189" spans="1:18" ht="18">
      <c r="A1189" s="61"/>
      <c r="B1189" s="15"/>
      <c r="C1189" s="31"/>
      <c r="D1189" s="90"/>
      <c r="E1189" s="16"/>
      <c r="F1189" s="33"/>
      <c r="G1189" s="16"/>
      <c r="H1189" s="16"/>
      <c r="I1189" s="16"/>
      <c r="J1189" s="16"/>
      <c r="K1189" s="16"/>
      <c r="L1189" s="16"/>
      <c r="M1189" s="16"/>
      <c r="N1189" s="16"/>
      <c r="O1189" s="16"/>
      <c r="P1189" s="16"/>
      <c r="Q1189" s="16"/>
      <c r="R1189" s="16"/>
    </row>
    <row r="1190" spans="1:18" ht="18">
      <c r="A1190" s="61"/>
      <c r="B1190" s="15"/>
      <c r="C1190" s="31"/>
      <c r="D1190" s="90"/>
      <c r="E1190" s="16"/>
      <c r="F1190" s="33"/>
      <c r="G1190" s="16"/>
      <c r="H1190" s="16"/>
      <c r="I1190" s="16"/>
      <c r="J1190" s="16"/>
      <c r="K1190" s="16"/>
      <c r="L1190" s="16"/>
      <c r="M1190" s="16"/>
      <c r="N1190" s="16"/>
      <c r="O1190" s="16"/>
      <c r="P1190" s="16"/>
      <c r="Q1190" s="16"/>
      <c r="R1190" s="16"/>
    </row>
    <row r="1191" spans="1:18" ht="18">
      <c r="A1191" s="61"/>
      <c r="B1191" s="15"/>
      <c r="C1191" s="31"/>
      <c r="D1191" s="90"/>
      <c r="E1191" s="16"/>
      <c r="F1191" s="33"/>
      <c r="G1191" s="16"/>
      <c r="H1191" s="16"/>
      <c r="I1191" s="16"/>
      <c r="J1191" s="16"/>
      <c r="K1191" s="16"/>
      <c r="L1191" s="16"/>
      <c r="M1191" s="16"/>
      <c r="N1191" s="16"/>
      <c r="O1191" s="16"/>
      <c r="P1191" s="16"/>
      <c r="Q1191" s="16"/>
      <c r="R1191" s="16"/>
    </row>
    <row r="1192" spans="1:18" ht="18">
      <c r="A1192" s="61"/>
      <c r="B1192" s="15"/>
      <c r="C1192" s="31"/>
      <c r="D1192" s="90"/>
      <c r="E1192" s="16"/>
      <c r="F1192" s="33"/>
      <c r="G1192" s="16"/>
      <c r="H1192" s="16"/>
      <c r="I1192" s="16"/>
      <c r="J1192" s="16"/>
      <c r="K1192" s="16"/>
      <c r="L1192" s="16"/>
      <c r="M1192" s="16"/>
      <c r="N1192" s="16"/>
      <c r="O1192" s="16"/>
      <c r="P1192" s="16"/>
      <c r="Q1192" s="16"/>
      <c r="R1192" s="16"/>
    </row>
    <row r="1193" spans="1:18" ht="18">
      <c r="A1193" s="61"/>
      <c r="B1193" s="15"/>
      <c r="C1193" s="31"/>
      <c r="D1193" s="90"/>
      <c r="E1193" s="16"/>
      <c r="F1193" s="33"/>
      <c r="G1193" s="16"/>
      <c r="H1193" s="16"/>
      <c r="I1193" s="16"/>
      <c r="J1193" s="16"/>
      <c r="K1193" s="16"/>
      <c r="L1193" s="16"/>
      <c r="M1193" s="16"/>
      <c r="N1193" s="16"/>
      <c r="O1193" s="16"/>
      <c r="P1193" s="16"/>
      <c r="Q1193" s="16"/>
      <c r="R1193" s="16"/>
    </row>
    <row r="1194" spans="1:18" ht="18">
      <c r="A1194" s="61"/>
      <c r="B1194" s="15"/>
      <c r="C1194" s="31"/>
      <c r="D1194" s="90"/>
      <c r="E1194" s="16"/>
      <c r="F1194" s="33"/>
      <c r="G1194" s="16"/>
      <c r="H1194" s="16"/>
      <c r="I1194" s="16"/>
      <c r="J1194" s="16"/>
      <c r="K1194" s="16"/>
      <c r="L1194" s="16"/>
      <c r="M1194" s="16"/>
      <c r="N1194" s="16"/>
      <c r="O1194" s="16"/>
      <c r="P1194" s="16"/>
      <c r="Q1194" s="16"/>
      <c r="R1194" s="16"/>
    </row>
    <row r="1195" spans="1:18" ht="18">
      <c r="A1195" s="61"/>
      <c r="B1195" s="15"/>
      <c r="C1195" s="31"/>
      <c r="D1195" s="90"/>
      <c r="E1195" s="16"/>
      <c r="F1195" s="33"/>
      <c r="G1195" s="16"/>
      <c r="H1195" s="16"/>
      <c r="I1195" s="16"/>
      <c r="J1195" s="16"/>
      <c r="K1195" s="16"/>
      <c r="L1195" s="16"/>
      <c r="M1195" s="16"/>
      <c r="N1195" s="16"/>
      <c r="O1195" s="16"/>
      <c r="P1195" s="16"/>
      <c r="Q1195" s="16"/>
      <c r="R1195" s="16"/>
    </row>
    <row r="1196" spans="1:18" ht="18">
      <c r="A1196" s="61"/>
      <c r="B1196" s="15"/>
      <c r="C1196" s="31"/>
      <c r="D1196" s="90"/>
      <c r="E1196" s="16"/>
      <c r="F1196" s="33"/>
      <c r="G1196" s="16"/>
      <c r="H1196" s="16"/>
      <c r="I1196" s="16"/>
      <c r="J1196" s="16"/>
      <c r="K1196" s="16"/>
      <c r="L1196" s="16"/>
      <c r="M1196" s="16"/>
      <c r="N1196" s="16"/>
      <c r="O1196" s="16"/>
      <c r="P1196" s="16"/>
      <c r="Q1196" s="16"/>
      <c r="R1196" s="16"/>
    </row>
    <row r="1197" spans="1:18" ht="18">
      <c r="A1197" s="61"/>
      <c r="B1197" s="15"/>
      <c r="C1197" s="31"/>
      <c r="D1197" s="90"/>
      <c r="E1197" s="16"/>
      <c r="F1197" s="33"/>
      <c r="G1197" s="16"/>
      <c r="H1197" s="16"/>
      <c r="I1197" s="16"/>
      <c r="J1197" s="16"/>
      <c r="K1197" s="16"/>
      <c r="L1197" s="16"/>
      <c r="M1197" s="16"/>
      <c r="N1197" s="16"/>
      <c r="O1197" s="16"/>
      <c r="P1197" s="16"/>
      <c r="Q1197" s="16"/>
      <c r="R1197" s="16"/>
    </row>
    <row r="1198" spans="1:18" ht="18">
      <c r="A1198" s="61"/>
      <c r="B1198" s="15"/>
      <c r="C1198" s="31"/>
      <c r="D1198" s="90"/>
      <c r="E1198" s="16"/>
      <c r="F1198" s="33"/>
      <c r="G1198" s="16"/>
      <c r="H1198" s="16"/>
      <c r="I1198" s="16"/>
      <c r="J1198" s="16"/>
      <c r="K1198" s="16"/>
      <c r="L1198" s="16"/>
      <c r="M1198" s="16"/>
      <c r="N1198" s="16"/>
      <c r="O1198" s="16"/>
      <c r="P1198" s="16"/>
      <c r="Q1198" s="16"/>
      <c r="R1198" s="16"/>
    </row>
    <row r="1199" spans="1:18" ht="18">
      <c r="A1199" s="61"/>
      <c r="B1199" s="15"/>
      <c r="C1199" s="31"/>
      <c r="D1199" s="90"/>
      <c r="E1199" s="16"/>
      <c r="F1199" s="33"/>
      <c r="G1199" s="16"/>
      <c r="H1199" s="16"/>
      <c r="I1199" s="16"/>
      <c r="J1199" s="16"/>
      <c r="K1199" s="16"/>
      <c r="L1199" s="16"/>
      <c r="M1199" s="16"/>
      <c r="N1199" s="16"/>
      <c r="O1199" s="16"/>
      <c r="P1199" s="16"/>
      <c r="Q1199" s="16"/>
      <c r="R1199" s="16"/>
    </row>
    <row r="1200" spans="1:18" ht="18">
      <c r="A1200" s="61"/>
      <c r="B1200" s="15"/>
      <c r="C1200" s="31"/>
      <c r="D1200" s="90"/>
      <c r="E1200" s="16"/>
      <c r="F1200" s="33"/>
      <c r="G1200" s="16"/>
      <c r="H1200" s="16"/>
      <c r="I1200" s="16"/>
      <c r="J1200" s="16"/>
      <c r="K1200" s="16"/>
      <c r="L1200" s="16"/>
      <c r="M1200" s="16"/>
      <c r="N1200" s="16"/>
      <c r="O1200" s="16"/>
      <c r="P1200" s="16"/>
      <c r="Q1200" s="16"/>
      <c r="R1200" s="16"/>
    </row>
    <row r="1201" spans="1:18" ht="18">
      <c r="A1201" s="61"/>
      <c r="B1201" s="15"/>
      <c r="C1201" s="31"/>
      <c r="D1201" s="90"/>
      <c r="E1201" s="16"/>
      <c r="F1201" s="33"/>
      <c r="G1201" s="16"/>
      <c r="H1201" s="16"/>
      <c r="I1201" s="16"/>
      <c r="J1201" s="16"/>
      <c r="K1201" s="16"/>
      <c r="L1201" s="16"/>
      <c r="M1201" s="16"/>
      <c r="N1201" s="16"/>
      <c r="O1201" s="16"/>
      <c r="P1201" s="16"/>
      <c r="Q1201" s="16"/>
      <c r="R1201" s="16"/>
    </row>
    <row r="1202" spans="1:18" ht="18">
      <c r="A1202" s="61"/>
      <c r="B1202" s="15"/>
      <c r="C1202" s="31"/>
      <c r="D1202" s="90"/>
      <c r="E1202" s="16"/>
      <c r="F1202" s="33"/>
      <c r="G1202" s="16"/>
      <c r="H1202" s="16"/>
      <c r="I1202" s="16"/>
      <c r="J1202" s="16"/>
      <c r="K1202" s="16"/>
      <c r="L1202" s="16"/>
      <c r="M1202" s="16"/>
      <c r="N1202" s="16"/>
      <c r="O1202" s="16"/>
      <c r="P1202" s="16"/>
      <c r="Q1202" s="16"/>
      <c r="R1202" s="16"/>
    </row>
    <row r="1203" spans="1:18" ht="18">
      <c r="A1203" s="61"/>
      <c r="B1203" s="15"/>
      <c r="C1203" s="31"/>
      <c r="D1203" s="90"/>
      <c r="E1203" s="16"/>
      <c r="F1203" s="33"/>
      <c r="G1203" s="16"/>
      <c r="H1203" s="16"/>
      <c r="I1203" s="16"/>
      <c r="J1203" s="16"/>
      <c r="K1203" s="16"/>
      <c r="L1203" s="16"/>
      <c r="M1203" s="16"/>
      <c r="N1203" s="16"/>
      <c r="O1203" s="16"/>
      <c r="P1203" s="16"/>
      <c r="Q1203" s="16"/>
      <c r="R1203" s="16"/>
    </row>
    <row r="1204" spans="1:18" ht="18">
      <c r="A1204" s="61"/>
      <c r="B1204" s="15"/>
      <c r="C1204" s="31"/>
      <c r="D1204" s="90"/>
      <c r="E1204" s="16"/>
      <c r="F1204" s="33"/>
      <c r="G1204" s="16"/>
      <c r="H1204" s="16"/>
      <c r="I1204" s="16"/>
      <c r="J1204" s="16"/>
      <c r="K1204" s="16"/>
      <c r="L1204" s="16"/>
      <c r="M1204" s="16"/>
      <c r="N1204" s="16"/>
      <c r="O1204" s="16"/>
      <c r="P1204" s="16"/>
      <c r="Q1204" s="16"/>
      <c r="R1204" s="16"/>
    </row>
    <row r="1205" spans="1:18" ht="18">
      <c r="A1205" s="61"/>
      <c r="B1205" s="15"/>
      <c r="C1205" s="31"/>
      <c r="D1205" s="90"/>
      <c r="E1205" s="16"/>
      <c r="F1205" s="33"/>
      <c r="G1205" s="16"/>
      <c r="H1205" s="16"/>
      <c r="I1205" s="16"/>
      <c r="J1205" s="16"/>
      <c r="K1205" s="16"/>
      <c r="L1205" s="16"/>
      <c r="M1205" s="16"/>
      <c r="N1205" s="16"/>
      <c r="O1205" s="16"/>
      <c r="P1205" s="16"/>
      <c r="Q1205" s="16"/>
      <c r="R1205" s="16"/>
    </row>
    <row r="1206" spans="1:18" ht="18">
      <c r="A1206" s="61"/>
      <c r="B1206" s="15"/>
      <c r="C1206" s="31"/>
      <c r="D1206" s="90"/>
      <c r="E1206" s="16"/>
      <c r="F1206" s="33"/>
      <c r="G1206" s="16"/>
      <c r="H1206" s="16"/>
      <c r="I1206" s="16"/>
      <c r="J1206" s="16"/>
      <c r="K1206" s="16"/>
      <c r="L1206" s="16"/>
      <c r="M1206" s="16"/>
      <c r="N1206" s="16"/>
      <c r="O1206" s="16"/>
      <c r="P1206" s="16"/>
      <c r="Q1206" s="16"/>
      <c r="R1206" s="16"/>
    </row>
    <row r="1207" spans="1:18" ht="18">
      <c r="A1207" s="61"/>
      <c r="B1207" s="15"/>
      <c r="C1207" s="31"/>
      <c r="D1207" s="90"/>
      <c r="E1207" s="16"/>
      <c r="F1207" s="33"/>
      <c r="G1207" s="16"/>
      <c r="H1207" s="16"/>
      <c r="I1207" s="16"/>
      <c r="J1207" s="16"/>
      <c r="K1207" s="16"/>
      <c r="L1207" s="16"/>
      <c r="M1207" s="16"/>
      <c r="N1207" s="16"/>
      <c r="O1207" s="16"/>
      <c r="P1207" s="16"/>
      <c r="Q1207" s="16"/>
      <c r="R1207" s="16"/>
    </row>
    <row r="1208" spans="1:18" ht="18">
      <c r="A1208" s="61"/>
      <c r="B1208" s="15"/>
      <c r="C1208" s="31"/>
      <c r="D1208" s="90"/>
      <c r="E1208" s="16"/>
      <c r="F1208" s="33"/>
      <c r="G1208" s="16"/>
      <c r="H1208" s="16"/>
      <c r="I1208" s="16"/>
      <c r="J1208" s="16"/>
      <c r="K1208" s="16"/>
      <c r="L1208" s="16"/>
      <c r="M1208" s="16"/>
      <c r="N1208" s="16"/>
      <c r="O1208" s="16"/>
      <c r="P1208" s="16"/>
      <c r="Q1208" s="16"/>
      <c r="R1208" s="16"/>
    </row>
    <row r="1209" spans="1:18" ht="18">
      <c r="A1209" s="61"/>
      <c r="B1209" s="15"/>
      <c r="C1209" s="31"/>
      <c r="D1209" s="90"/>
      <c r="E1209" s="16"/>
      <c r="F1209" s="33"/>
      <c r="G1209" s="16"/>
      <c r="H1209" s="16"/>
      <c r="I1209" s="16"/>
      <c r="J1209" s="16"/>
      <c r="K1209" s="16"/>
      <c r="L1209" s="16"/>
      <c r="M1209" s="16"/>
      <c r="N1209" s="16"/>
      <c r="O1209" s="16"/>
      <c r="P1209" s="16"/>
      <c r="Q1209" s="16"/>
      <c r="R1209" s="16"/>
    </row>
    <row r="1210" spans="1:18" ht="18">
      <c r="A1210" s="61"/>
      <c r="B1210" s="15"/>
      <c r="C1210" s="31"/>
      <c r="D1210" s="90"/>
      <c r="E1210" s="16"/>
      <c r="F1210" s="33"/>
      <c r="G1210" s="16"/>
      <c r="H1210" s="16"/>
      <c r="I1210" s="16"/>
      <c r="J1210" s="16"/>
      <c r="K1210" s="16"/>
      <c r="L1210" s="16"/>
      <c r="M1210" s="16"/>
      <c r="N1210" s="16"/>
      <c r="O1210" s="16"/>
      <c r="P1210" s="16"/>
      <c r="Q1210" s="16"/>
      <c r="R1210" s="16"/>
    </row>
    <row r="1211" spans="1:18" ht="18">
      <c r="A1211" s="61"/>
      <c r="B1211" s="15"/>
      <c r="C1211" s="31"/>
      <c r="D1211" s="90"/>
      <c r="E1211" s="16"/>
      <c r="F1211" s="33"/>
      <c r="G1211" s="16"/>
      <c r="H1211" s="16"/>
      <c r="I1211" s="16"/>
      <c r="J1211" s="16"/>
      <c r="K1211" s="16"/>
      <c r="L1211" s="16"/>
      <c r="M1211" s="16"/>
      <c r="N1211" s="16"/>
      <c r="O1211" s="16"/>
      <c r="P1211" s="16"/>
      <c r="Q1211" s="16"/>
      <c r="R1211" s="16"/>
    </row>
    <row r="1212" spans="1:18" ht="18">
      <c r="A1212" s="61"/>
      <c r="B1212" s="15"/>
      <c r="C1212" s="31"/>
      <c r="D1212" s="90"/>
      <c r="E1212" s="16"/>
      <c r="F1212" s="33"/>
      <c r="G1212" s="16"/>
      <c r="H1212" s="16"/>
      <c r="I1212" s="16"/>
      <c r="J1212" s="16"/>
      <c r="K1212" s="16"/>
      <c r="L1212" s="16"/>
      <c r="M1212" s="16"/>
      <c r="N1212" s="16"/>
      <c r="O1212" s="16"/>
      <c r="P1212" s="16"/>
      <c r="Q1212" s="16"/>
      <c r="R1212" s="16"/>
    </row>
    <row r="1213" spans="1:18" ht="18">
      <c r="A1213" s="61"/>
      <c r="B1213" s="15"/>
      <c r="C1213" s="31"/>
      <c r="D1213" s="90"/>
      <c r="E1213" s="16"/>
      <c r="F1213" s="33"/>
      <c r="G1213" s="16"/>
      <c r="H1213" s="16"/>
      <c r="I1213" s="16"/>
      <c r="J1213" s="16"/>
      <c r="K1213" s="16"/>
      <c r="L1213" s="16"/>
      <c r="M1213" s="16"/>
      <c r="N1213" s="16"/>
      <c r="O1213" s="16"/>
      <c r="P1213" s="16"/>
      <c r="Q1213" s="16"/>
      <c r="R1213" s="16"/>
    </row>
    <row r="1214" spans="1:18" ht="18">
      <c r="A1214" s="61"/>
      <c r="B1214" s="15"/>
      <c r="C1214" s="31"/>
      <c r="D1214" s="90"/>
      <c r="E1214" s="16"/>
      <c r="F1214" s="33"/>
      <c r="G1214" s="16"/>
      <c r="H1214" s="16"/>
      <c r="I1214" s="16"/>
      <c r="J1214" s="16"/>
      <c r="K1214" s="16"/>
      <c r="L1214" s="16"/>
      <c r="M1214" s="16"/>
      <c r="N1214" s="16"/>
      <c r="O1214" s="16"/>
      <c r="P1214" s="16"/>
      <c r="Q1214" s="16"/>
      <c r="R1214" s="16"/>
    </row>
    <row r="1215" spans="1:18" ht="18">
      <c r="A1215" s="61"/>
      <c r="B1215" s="15"/>
      <c r="C1215" s="31"/>
      <c r="D1215" s="90"/>
      <c r="E1215" s="16"/>
      <c r="F1215" s="33"/>
      <c r="G1215" s="16"/>
      <c r="H1215" s="16"/>
      <c r="I1215" s="16"/>
      <c r="J1215" s="16"/>
      <c r="K1215" s="16"/>
      <c r="L1215" s="16"/>
      <c r="M1215" s="16"/>
      <c r="N1215" s="16"/>
      <c r="O1215" s="16"/>
      <c r="P1215" s="16"/>
      <c r="Q1215" s="16"/>
      <c r="R1215" s="16"/>
    </row>
    <row r="1216" spans="1:18" ht="18">
      <c r="A1216" s="61"/>
      <c r="B1216" s="15"/>
      <c r="C1216" s="31"/>
      <c r="D1216" s="90"/>
      <c r="E1216" s="16"/>
      <c r="F1216" s="33"/>
      <c r="G1216" s="16"/>
      <c r="H1216" s="16"/>
      <c r="I1216" s="16"/>
      <c r="J1216" s="16"/>
      <c r="K1216" s="16"/>
      <c r="L1216" s="16"/>
      <c r="M1216" s="16"/>
      <c r="N1216" s="16"/>
      <c r="O1216" s="16"/>
      <c r="P1216" s="16"/>
      <c r="Q1216" s="16"/>
      <c r="R1216" s="16"/>
    </row>
    <row r="1217" spans="1:18" ht="18">
      <c r="A1217" s="61"/>
      <c r="B1217" s="15"/>
      <c r="C1217" s="31"/>
      <c r="D1217" s="90"/>
      <c r="E1217" s="16"/>
      <c r="F1217" s="33"/>
      <c r="G1217" s="16"/>
      <c r="H1217" s="16"/>
      <c r="I1217" s="16"/>
      <c r="J1217" s="16"/>
      <c r="K1217" s="16"/>
      <c r="L1217" s="16"/>
      <c r="M1217" s="16"/>
      <c r="N1217" s="16"/>
      <c r="O1217" s="16"/>
      <c r="P1217" s="16"/>
      <c r="Q1217" s="16"/>
      <c r="R1217" s="16"/>
    </row>
    <row r="1218" spans="1:18" ht="18">
      <c r="A1218" s="61"/>
      <c r="B1218" s="15"/>
      <c r="C1218" s="31"/>
      <c r="D1218" s="90"/>
      <c r="E1218" s="16"/>
      <c r="F1218" s="33"/>
      <c r="G1218" s="16"/>
      <c r="H1218" s="16"/>
      <c r="I1218" s="16"/>
      <c r="J1218" s="16"/>
      <c r="K1218" s="16"/>
      <c r="L1218" s="16"/>
      <c r="M1218" s="16"/>
      <c r="N1218" s="16"/>
      <c r="O1218" s="16"/>
      <c r="P1218" s="16"/>
      <c r="Q1218" s="16"/>
      <c r="R1218" s="16"/>
    </row>
    <row r="1219" spans="1:18" ht="18">
      <c r="A1219" s="61"/>
      <c r="B1219" s="15"/>
      <c r="C1219" s="31"/>
      <c r="D1219" s="90"/>
      <c r="E1219" s="16"/>
      <c r="F1219" s="33"/>
      <c r="G1219" s="16"/>
      <c r="H1219" s="16"/>
      <c r="I1219" s="16"/>
      <c r="J1219" s="16"/>
      <c r="K1219" s="16"/>
      <c r="L1219" s="16"/>
      <c r="M1219" s="16"/>
      <c r="N1219" s="16"/>
      <c r="O1219" s="16"/>
      <c r="P1219" s="16"/>
      <c r="Q1219" s="16"/>
      <c r="R1219" s="16"/>
    </row>
    <row r="1220" spans="1:18" ht="18">
      <c r="A1220" s="61"/>
      <c r="B1220" s="15"/>
      <c r="C1220" s="31"/>
      <c r="D1220" s="90"/>
      <c r="E1220" s="16"/>
      <c r="F1220" s="33"/>
      <c r="G1220" s="16"/>
      <c r="H1220" s="16"/>
      <c r="I1220" s="16"/>
      <c r="J1220" s="16"/>
      <c r="K1220" s="16"/>
      <c r="L1220" s="16"/>
      <c r="M1220" s="16"/>
      <c r="N1220" s="16"/>
      <c r="O1220" s="16"/>
      <c r="P1220" s="16"/>
      <c r="Q1220" s="16"/>
      <c r="R1220" s="16"/>
    </row>
    <row r="1221" spans="1:18" ht="18">
      <c r="A1221" s="61"/>
      <c r="B1221" s="15"/>
      <c r="C1221" s="31"/>
      <c r="D1221" s="90"/>
      <c r="E1221" s="16"/>
      <c r="F1221" s="33"/>
      <c r="G1221" s="16"/>
      <c r="H1221" s="16"/>
      <c r="I1221" s="16"/>
      <c r="J1221" s="16"/>
      <c r="K1221" s="16"/>
      <c r="L1221" s="16"/>
      <c r="M1221" s="16"/>
      <c r="N1221" s="16"/>
      <c r="O1221" s="16"/>
      <c r="P1221" s="16"/>
      <c r="Q1221" s="16"/>
      <c r="R1221" s="16"/>
    </row>
    <row r="1222" spans="1:18" ht="18">
      <c r="A1222" s="61"/>
      <c r="B1222" s="15"/>
      <c r="C1222" s="31"/>
      <c r="D1222" s="90"/>
      <c r="E1222" s="16"/>
      <c r="F1222" s="33"/>
      <c r="G1222" s="16"/>
      <c r="H1222" s="16"/>
      <c r="I1222" s="16"/>
      <c r="J1222" s="16"/>
      <c r="K1222" s="16"/>
      <c r="L1222" s="16"/>
      <c r="M1222" s="16"/>
      <c r="N1222" s="16"/>
      <c r="O1222" s="16"/>
      <c r="P1222" s="16"/>
      <c r="Q1222" s="16"/>
      <c r="R1222" s="16"/>
    </row>
    <row r="1223" spans="1:18" ht="18">
      <c r="A1223" s="61"/>
      <c r="B1223" s="15"/>
      <c r="C1223" s="31"/>
      <c r="D1223" s="90"/>
      <c r="E1223" s="16"/>
      <c r="F1223" s="33"/>
      <c r="G1223" s="16"/>
      <c r="H1223" s="16"/>
      <c r="I1223" s="16"/>
      <c r="J1223" s="16"/>
      <c r="K1223" s="16"/>
      <c r="L1223" s="16"/>
      <c r="M1223" s="16"/>
      <c r="N1223" s="16"/>
      <c r="O1223" s="16"/>
      <c r="P1223" s="16"/>
      <c r="Q1223" s="16"/>
      <c r="R1223" s="16"/>
    </row>
    <row r="1224" spans="1:18" ht="18">
      <c r="A1224" s="61"/>
      <c r="B1224" s="15"/>
      <c r="C1224" s="31"/>
      <c r="D1224" s="90"/>
      <c r="E1224" s="16"/>
      <c r="F1224" s="33"/>
      <c r="G1224" s="16"/>
      <c r="H1224" s="16"/>
      <c r="I1224" s="16"/>
      <c r="J1224" s="16"/>
      <c r="K1224" s="16"/>
      <c r="L1224" s="16"/>
      <c r="M1224" s="16"/>
      <c r="N1224" s="16"/>
      <c r="O1224" s="16"/>
      <c r="P1224" s="16"/>
      <c r="Q1224" s="16"/>
      <c r="R1224" s="16"/>
    </row>
    <row r="1225" spans="1:18" ht="18">
      <c r="A1225" s="61"/>
      <c r="B1225" s="15"/>
      <c r="C1225" s="31"/>
      <c r="D1225" s="90"/>
      <c r="E1225" s="16"/>
      <c r="F1225" s="33"/>
      <c r="G1225" s="16"/>
      <c r="H1225" s="16"/>
      <c r="I1225" s="16"/>
      <c r="J1225" s="16"/>
      <c r="K1225" s="16"/>
      <c r="L1225" s="16"/>
      <c r="M1225" s="16"/>
      <c r="N1225" s="16"/>
      <c r="O1225" s="16"/>
      <c r="P1225" s="16"/>
      <c r="Q1225" s="16"/>
      <c r="R1225" s="16"/>
    </row>
    <row r="1226" spans="1:18" ht="18">
      <c r="A1226" s="61"/>
      <c r="B1226" s="15"/>
      <c r="C1226" s="31"/>
      <c r="D1226" s="90"/>
      <c r="E1226" s="16"/>
      <c r="F1226" s="33"/>
      <c r="G1226" s="16"/>
      <c r="H1226" s="16"/>
      <c r="I1226" s="16"/>
      <c r="J1226" s="16"/>
      <c r="K1226" s="16"/>
      <c r="L1226" s="16"/>
      <c r="M1226" s="16"/>
      <c r="N1226" s="16"/>
      <c r="O1226" s="16"/>
      <c r="P1226" s="16"/>
      <c r="Q1226" s="16"/>
      <c r="R1226" s="16"/>
    </row>
    <row r="1227" spans="1:18" ht="18">
      <c r="A1227" s="61"/>
      <c r="B1227" s="15"/>
      <c r="C1227" s="31"/>
      <c r="D1227" s="90"/>
      <c r="E1227" s="16"/>
      <c r="F1227" s="33"/>
      <c r="G1227" s="16"/>
      <c r="H1227" s="16"/>
      <c r="I1227" s="16"/>
      <c r="J1227" s="16"/>
      <c r="K1227" s="16"/>
      <c r="L1227" s="16"/>
      <c r="M1227" s="16"/>
      <c r="N1227" s="16"/>
      <c r="O1227" s="16"/>
      <c r="P1227" s="16"/>
      <c r="Q1227" s="16"/>
      <c r="R1227" s="16"/>
    </row>
    <row r="1228" spans="1:18" ht="18">
      <c r="A1228" s="61"/>
      <c r="B1228" s="15"/>
      <c r="C1228" s="31"/>
      <c r="D1228" s="90"/>
      <c r="E1228" s="16"/>
      <c r="F1228" s="33"/>
      <c r="G1228" s="16"/>
      <c r="H1228" s="16"/>
      <c r="I1228" s="16"/>
      <c r="J1228" s="16"/>
      <c r="K1228" s="16"/>
      <c r="L1228" s="16"/>
      <c r="M1228" s="16"/>
      <c r="N1228" s="16"/>
      <c r="O1228" s="16"/>
      <c r="P1228" s="16"/>
      <c r="Q1228" s="16"/>
      <c r="R1228" s="16"/>
    </row>
    <row r="1229" spans="1:18" ht="18">
      <c r="A1229" s="61"/>
      <c r="B1229" s="15"/>
      <c r="C1229" s="31"/>
      <c r="D1229" s="90"/>
      <c r="E1229" s="16"/>
      <c r="F1229" s="33"/>
      <c r="G1229" s="16"/>
      <c r="H1229" s="16"/>
      <c r="I1229" s="16"/>
      <c r="J1229" s="16"/>
      <c r="K1229" s="16"/>
      <c r="L1229" s="16"/>
      <c r="M1229" s="16"/>
      <c r="N1229" s="16"/>
      <c r="O1229" s="16"/>
      <c r="P1229" s="16"/>
      <c r="Q1229" s="16"/>
      <c r="R1229" s="16"/>
    </row>
    <row r="1230" spans="1:18" ht="18">
      <c r="A1230" s="61"/>
      <c r="B1230" s="15"/>
      <c r="C1230" s="31"/>
      <c r="D1230" s="90"/>
      <c r="E1230" s="16"/>
      <c r="F1230" s="33"/>
      <c r="G1230" s="16"/>
      <c r="H1230" s="16"/>
      <c r="I1230" s="16"/>
      <c r="J1230" s="16"/>
      <c r="K1230" s="16"/>
      <c r="L1230" s="16"/>
      <c r="M1230" s="16"/>
      <c r="N1230" s="16"/>
      <c r="O1230" s="16"/>
      <c r="P1230" s="16"/>
      <c r="Q1230" s="16"/>
      <c r="R1230" s="16"/>
    </row>
    <row r="1231" spans="1:18" ht="18">
      <c r="A1231" s="61"/>
      <c r="B1231" s="15"/>
      <c r="C1231" s="31"/>
      <c r="D1231" s="90"/>
      <c r="E1231" s="16"/>
      <c r="F1231" s="33"/>
      <c r="G1231" s="16"/>
      <c r="H1231" s="16"/>
      <c r="I1231" s="16"/>
      <c r="J1231" s="16"/>
      <c r="K1231" s="16"/>
      <c r="L1231" s="16"/>
      <c r="M1231" s="16"/>
      <c r="N1231" s="16"/>
      <c r="O1231" s="16"/>
      <c r="P1231" s="16"/>
      <c r="Q1231" s="16"/>
      <c r="R1231" s="16"/>
    </row>
    <row r="1232" spans="1:18" ht="18">
      <c r="A1232" s="61"/>
      <c r="B1232" s="15"/>
      <c r="C1232" s="31"/>
      <c r="D1232" s="90"/>
      <c r="E1232" s="16"/>
      <c r="F1232" s="33"/>
      <c r="G1232" s="16"/>
      <c r="H1232" s="16"/>
      <c r="I1232" s="16"/>
      <c r="J1232" s="16"/>
      <c r="K1232" s="16"/>
      <c r="L1232" s="16"/>
      <c r="M1232" s="16"/>
      <c r="N1232" s="16"/>
      <c r="O1232" s="16"/>
      <c r="P1232" s="16"/>
      <c r="Q1232" s="16"/>
      <c r="R1232" s="16"/>
    </row>
    <row r="1233" spans="1:18" ht="18">
      <c r="A1233" s="61"/>
      <c r="B1233" s="15"/>
      <c r="C1233" s="31"/>
      <c r="D1233" s="90"/>
      <c r="E1233" s="16"/>
      <c r="F1233" s="33"/>
      <c r="G1233" s="16"/>
      <c r="H1233" s="16"/>
      <c r="I1233" s="16"/>
      <c r="J1233" s="16"/>
      <c r="K1233" s="16"/>
      <c r="L1233" s="16"/>
      <c r="M1233" s="16"/>
      <c r="N1233" s="16"/>
      <c r="O1233" s="16"/>
      <c r="P1233" s="16"/>
      <c r="Q1233" s="16"/>
      <c r="R1233" s="16"/>
    </row>
    <row r="1234" spans="1:18" ht="18">
      <c r="A1234" s="61"/>
      <c r="B1234" s="15"/>
      <c r="C1234" s="31"/>
      <c r="D1234" s="90"/>
      <c r="E1234" s="16"/>
      <c r="F1234" s="33"/>
      <c r="G1234" s="16"/>
      <c r="H1234" s="16"/>
      <c r="I1234" s="16"/>
      <c r="J1234" s="16"/>
      <c r="K1234" s="16"/>
      <c r="L1234" s="16"/>
      <c r="M1234" s="16"/>
      <c r="N1234" s="16"/>
      <c r="O1234" s="16"/>
      <c r="P1234" s="16"/>
      <c r="Q1234" s="16"/>
      <c r="R1234" s="16"/>
    </row>
    <row r="1235" spans="1:18" ht="18">
      <c r="A1235" s="61"/>
      <c r="B1235" s="15"/>
      <c r="C1235" s="31"/>
      <c r="D1235" s="90"/>
      <c r="E1235" s="16"/>
      <c r="F1235" s="33"/>
      <c r="G1235" s="16"/>
      <c r="H1235" s="16"/>
      <c r="I1235" s="16"/>
      <c r="J1235" s="16"/>
      <c r="K1235" s="16"/>
      <c r="L1235" s="16"/>
      <c r="M1235" s="16"/>
      <c r="N1235" s="16"/>
      <c r="O1235" s="16"/>
      <c r="P1235" s="16"/>
      <c r="Q1235" s="16"/>
      <c r="R1235" s="16"/>
    </row>
    <row r="1236" spans="1:18" ht="18">
      <c r="A1236" s="61"/>
      <c r="B1236" s="15"/>
      <c r="C1236" s="31"/>
      <c r="D1236" s="90"/>
      <c r="E1236" s="16"/>
      <c r="F1236" s="33"/>
      <c r="G1236" s="16"/>
      <c r="H1236" s="16"/>
      <c r="I1236" s="16"/>
      <c r="J1236" s="16"/>
      <c r="K1236" s="16"/>
      <c r="L1236" s="16"/>
      <c r="M1236" s="16"/>
      <c r="N1236" s="16"/>
      <c r="O1236" s="16"/>
      <c r="P1236" s="16"/>
      <c r="Q1236" s="16"/>
      <c r="R1236" s="16"/>
    </row>
    <row r="1237" spans="1:18" ht="18">
      <c r="A1237" s="61"/>
      <c r="B1237" s="15"/>
      <c r="C1237" s="31"/>
      <c r="D1237" s="90"/>
      <c r="E1237" s="16"/>
      <c r="F1237" s="33"/>
      <c r="G1237" s="16"/>
      <c r="H1237" s="16"/>
      <c r="I1237" s="16"/>
      <c r="J1237" s="16"/>
      <c r="K1237" s="16"/>
      <c r="L1237" s="16"/>
      <c r="M1237" s="16"/>
      <c r="N1237" s="16"/>
      <c r="O1237" s="16"/>
      <c r="P1237" s="16"/>
      <c r="Q1237" s="16"/>
      <c r="R1237" s="16"/>
    </row>
    <row r="1238" spans="1:18" ht="18">
      <c r="A1238" s="61"/>
      <c r="B1238" s="15"/>
      <c r="C1238" s="31"/>
      <c r="D1238" s="90"/>
      <c r="E1238" s="16"/>
      <c r="F1238" s="33"/>
      <c r="G1238" s="16"/>
      <c r="H1238" s="16"/>
      <c r="I1238" s="16"/>
      <c r="J1238" s="16"/>
      <c r="K1238" s="16"/>
      <c r="L1238" s="16"/>
      <c r="M1238" s="16"/>
      <c r="N1238" s="16"/>
      <c r="O1238" s="16"/>
      <c r="P1238" s="16"/>
      <c r="Q1238" s="16"/>
      <c r="R1238" s="16"/>
    </row>
    <row r="1239" spans="1:18" ht="18">
      <c r="A1239" s="61"/>
      <c r="B1239" s="15"/>
      <c r="C1239" s="31"/>
      <c r="D1239" s="90"/>
      <c r="E1239" s="16"/>
      <c r="F1239" s="33"/>
      <c r="G1239" s="16"/>
      <c r="H1239" s="16"/>
      <c r="I1239" s="16"/>
      <c r="J1239" s="16"/>
      <c r="K1239" s="16"/>
      <c r="L1239" s="16"/>
      <c r="M1239" s="16"/>
      <c r="N1239" s="16"/>
      <c r="O1239" s="16"/>
      <c r="P1239" s="16"/>
      <c r="Q1239" s="16"/>
      <c r="R1239" s="16"/>
    </row>
    <row r="1240" spans="1:18" ht="18">
      <c r="A1240" s="61"/>
      <c r="B1240" s="15"/>
      <c r="C1240" s="31"/>
      <c r="D1240" s="90"/>
      <c r="E1240" s="16"/>
      <c r="F1240" s="33"/>
      <c r="G1240" s="16"/>
      <c r="H1240" s="16"/>
      <c r="I1240" s="16"/>
      <c r="J1240" s="16"/>
      <c r="K1240" s="16"/>
      <c r="L1240" s="16"/>
      <c r="M1240" s="16"/>
      <c r="N1240" s="16"/>
      <c r="O1240" s="16"/>
      <c r="P1240" s="16"/>
      <c r="Q1240" s="16"/>
      <c r="R1240" s="16"/>
    </row>
    <row r="1241" spans="1:18" ht="18">
      <c r="A1241" s="61"/>
      <c r="B1241" s="15"/>
      <c r="C1241" s="31"/>
      <c r="D1241" s="90"/>
      <c r="E1241" s="16"/>
      <c r="F1241" s="33"/>
      <c r="G1241" s="16"/>
      <c r="H1241" s="16"/>
      <c r="I1241" s="16"/>
      <c r="J1241" s="16"/>
      <c r="K1241" s="16"/>
      <c r="L1241" s="16"/>
      <c r="M1241" s="16"/>
      <c r="N1241" s="16"/>
      <c r="O1241" s="16"/>
      <c r="P1241" s="16"/>
      <c r="Q1241" s="16"/>
      <c r="R1241" s="16"/>
    </row>
    <row r="1242" spans="1:18" ht="18">
      <c r="A1242" s="61"/>
      <c r="B1242" s="15"/>
      <c r="C1242" s="31"/>
      <c r="D1242" s="90"/>
      <c r="E1242" s="16"/>
      <c r="F1242" s="33"/>
      <c r="G1242" s="16"/>
      <c r="H1242" s="16"/>
      <c r="I1242" s="16"/>
      <c r="J1242" s="16"/>
      <c r="K1242" s="16"/>
      <c r="L1242" s="16"/>
      <c r="M1242" s="16"/>
      <c r="N1242" s="16"/>
      <c r="O1242" s="16"/>
      <c r="P1242" s="16"/>
      <c r="Q1242" s="16"/>
      <c r="R1242" s="16"/>
    </row>
    <row r="1243" spans="1:18" ht="18">
      <c r="A1243" s="61"/>
      <c r="B1243" s="15"/>
      <c r="C1243" s="31"/>
      <c r="D1243" s="90"/>
      <c r="E1243" s="16"/>
      <c r="F1243" s="33"/>
      <c r="G1243" s="16"/>
      <c r="H1243" s="16"/>
      <c r="I1243" s="16"/>
      <c r="J1243" s="16"/>
      <c r="K1243" s="16"/>
      <c r="L1243" s="16"/>
      <c r="M1243" s="16"/>
      <c r="N1243" s="16"/>
      <c r="O1243" s="16"/>
      <c r="P1243" s="16"/>
      <c r="Q1243" s="16"/>
      <c r="R1243" s="16"/>
    </row>
    <row r="1244" spans="1:18" ht="18">
      <c r="A1244" s="61"/>
      <c r="B1244" s="15"/>
      <c r="C1244" s="31"/>
      <c r="D1244" s="90"/>
      <c r="E1244" s="16"/>
      <c r="F1244" s="33"/>
      <c r="G1244" s="16"/>
      <c r="H1244" s="16"/>
      <c r="I1244" s="16"/>
      <c r="J1244" s="16"/>
      <c r="K1244" s="16"/>
      <c r="L1244" s="16"/>
      <c r="M1244" s="16"/>
      <c r="N1244" s="16"/>
      <c r="O1244" s="16"/>
      <c r="P1244" s="16"/>
      <c r="Q1244" s="16"/>
      <c r="R1244" s="16"/>
    </row>
    <row r="1245" spans="1:18" ht="18">
      <c r="A1245" s="61"/>
      <c r="B1245" s="15"/>
      <c r="C1245" s="31"/>
      <c r="D1245" s="90"/>
      <c r="E1245" s="16"/>
      <c r="F1245" s="33"/>
      <c r="G1245" s="16"/>
      <c r="H1245" s="16"/>
      <c r="I1245" s="16"/>
      <c r="J1245" s="16"/>
      <c r="K1245" s="16"/>
      <c r="L1245" s="16"/>
      <c r="M1245" s="16"/>
      <c r="N1245" s="16"/>
      <c r="O1245" s="16"/>
      <c r="P1245" s="16"/>
      <c r="Q1245" s="16"/>
      <c r="R1245" s="16"/>
    </row>
    <row r="1246" spans="1:18" ht="18">
      <c r="A1246" s="61"/>
      <c r="B1246" s="15"/>
      <c r="C1246" s="31"/>
      <c r="D1246" s="90"/>
      <c r="E1246" s="16"/>
      <c r="F1246" s="33"/>
      <c r="G1246" s="16"/>
      <c r="H1246" s="16"/>
      <c r="I1246" s="16"/>
      <c r="J1246" s="16"/>
      <c r="K1246" s="16"/>
      <c r="L1246" s="16"/>
      <c r="M1246" s="16"/>
      <c r="N1246" s="16"/>
      <c r="O1246" s="16"/>
      <c r="P1246" s="16"/>
      <c r="Q1246" s="16"/>
      <c r="R1246" s="16"/>
    </row>
    <row r="1247" spans="1:18" ht="18">
      <c r="A1247" s="61"/>
      <c r="B1247" s="15"/>
      <c r="C1247" s="31"/>
      <c r="D1247" s="90"/>
      <c r="E1247" s="16"/>
      <c r="F1247" s="33"/>
      <c r="G1247" s="16"/>
      <c r="H1247" s="16"/>
      <c r="I1247" s="16"/>
      <c r="J1247" s="16"/>
      <c r="K1247" s="16"/>
      <c r="L1247" s="16"/>
      <c r="M1247" s="16"/>
      <c r="N1247" s="16"/>
      <c r="O1247" s="16"/>
      <c r="P1247" s="16"/>
      <c r="Q1247" s="16"/>
      <c r="R1247" s="16"/>
    </row>
    <row r="1248" spans="1:18" ht="18">
      <c r="A1248" s="61"/>
      <c r="B1248" s="15"/>
      <c r="C1248" s="31"/>
      <c r="D1248" s="90"/>
      <c r="E1248" s="16"/>
      <c r="F1248" s="33"/>
      <c r="G1248" s="16"/>
      <c r="H1248" s="16"/>
      <c r="I1248" s="16"/>
      <c r="J1248" s="16"/>
      <c r="K1248" s="16"/>
      <c r="L1248" s="16"/>
      <c r="M1248" s="16"/>
      <c r="N1248" s="16"/>
      <c r="O1248" s="16"/>
      <c r="P1248" s="16"/>
      <c r="Q1248" s="16"/>
      <c r="R1248" s="16"/>
    </row>
    <row r="1249" spans="1:18" ht="18">
      <c r="A1249" s="61"/>
      <c r="B1249" s="15"/>
      <c r="C1249" s="31"/>
      <c r="D1249" s="90"/>
      <c r="E1249" s="16"/>
      <c r="F1249" s="33"/>
      <c r="G1249" s="16"/>
      <c r="H1249" s="16"/>
      <c r="I1249" s="16"/>
      <c r="J1249" s="16"/>
      <c r="K1249" s="16"/>
      <c r="L1249" s="16"/>
      <c r="M1249" s="16"/>
      <c r="N1249" s="16"/>
      <c r="O1249" s="16"/>
      <c r="P1249" s="16"/>
      <c r="Q1249" s="16"/>
      <c r="R1249" s="16"/>
    </row>
    <row r="1250" spans="1:18" ht="18">
      <c r="A1250" s="61"/>
      <c r="B1250" s="15"/>
      <c r="C1250" s="31"/>
      <c r="D1250" s="90"/>
      <c r="E1250" s="16"/>
      <c r="F1250" s="33"/>
      <c r="G1250" s="16"/>
      <c r="H1250" s="16"/>
      <c r="I1250" s="16"/>
      <c r="J1250" s="16"/>
      <c r="K1250" s="16"/>
      <c r="L1250" s="16"/>
      <c r="M1250" s="16"/>
      <c r="N1250" s="16"/>
      <c r="O1250" s="16"/>
      <c r="P1250" s="16"/>
      <c r="Q1250" s="16"/>
      <c r="R1250" s="16"/>
    </row>
    <row r="1251" spans="1:18" ht="18">
      <c r="A1251" s="61"/>
      <c r="B1251" s="15"/>
      <c r="C1251" s="31"/>
      <c r="D1251" s="90"/>
      <c r="E1251" s="16"/>
      <c r="F1251" s="33"/>
      <c r="G1251" s="16"/>
      <c r="H1251" s="16"/>
      <c r="I1251" s="16"/>
      <c r="J1251" s="16"/>
      <c r="K1251" s="16"/>
      <c r="L1251" s="16"/>
      <c r="M1251" s="16"/>
      <c r="N1251" s="16"/>
      <c r="O1251" s="16"/>
      <c r="P1251" s="16"/>
      <c r="Q1251" s="16"/>
      <c r="R1251" s="16"/>
    </row>
    <row r="1252" spans="1:18" ht="18">
      <c r="A1252" s="61"/>
      <c r="B1252" s="15"/>
      <c r="C1252" s="31"/>
      <c r="D1252" s="90"/>
      <c r="E1252" s="16"/>
      <c r="F1252" s="33"/>
      <c r="G1252" s="16"/>
      <c r="H1252" s="16"/>
      <c r="I1252" s="16"/>
      <c r="J1252" s="16"/>
      <c r="K1252" s="16"/>
      <c r="L1252" s="16"/>
      <c r="M1252" s="16"/>
      <c r="N1252" s="16"/>
      <c r="O1252" s="16"/>
      <c r="P1252" s="16"/>
      <c r="Q1252" s="16"/>
      <c r="R1252" s="16"/>
    </row>
    <row r="1253" spans="1:18" ht="18">
      <c r="A1253" s="61"/>
      <c r="B1253" s="15"/>
      <c r="C1253" s="31"/>
      <c r="D1253" s="90"/>
      <c r="E1253" s="16"/>
      <c r="F1253" s="33"/>
      <c r="G1253" s="16"/>
      <c r="H1253" s="16"/>
      <c r="I1253" s="16"/>
      <c r="J1253" s="16"/>
      <c r="K1253" s="16"/>
      <c r="L1253" s="16"/>
      <c r="M1253" s="16"/>
      <c r="N1253" s="16"/>
      <c r="O1253" s="16"/>
      <c r="P1253" s="16"/>
      <c r="Q1253" s="16"/>
      <c r="R1253" s="16"/>
    </row>
    <row r="1254" spans="1:18" ht="18">
      <c r="A1254" s="61"/>
      <c r="B1254" s="15"/>
      <c r="C1254" s="31"/>
      <c r="D1254" s="90"/>
      <c r="E1254" s="16"/>
      <c r="F1254" s="33"/>
      <c r="G1254" s="16"/>
      <c r="H1254" s="16"/>
      <c r="I1254" s="16"/>
      <c r="J1254" s="16"/>
      <c r="K1254" s="16"/>
      <c r="L1254" s="16"/>
      <c r="M1254" s="16"/>
      <c r="N1254" s="16"/>
      <c r="O1254" s="16"/>
      <c r="P1254" s="16"/>
      <c r="Q1254" s="16"/>
      <c r="R1254" s="16"/>
    </row>
    <row r="1255" spans="1:18" ht="18">
      <c r="A1255" s="61"/>
      <c r="B1255" s="15"/>
      <c r="C1255" s="31"/>
      <c r="D1255" s="90"/>
      <c r="E1255" s="16"/>
      <c r="F1255" s="33"/>
      <c r="G1255" s="16"/>
      <c r="H1255" s="16"/>
      <c r="I1255" s="16"/>
      <c r="J1255" s="16"/>
      <c r="K1255" s="16"/>
      <c r="L1255" s="16"/>
      <c r="M1255" s="16"/>
      <c r="N1255" s="16"/>
      <c r="O1255" s="16"/>
      <c r="P1255" s="16"/>
      <c r="Q1255" s="16"/>
      <c r="R1255" s="16"/>
    </row>
    <row r="1256" spans="1:18" ht="18">
      <c r="A1256" s="61"/>
      <c r="B1256" s="15"/>
      <c r="C1256" s="31"/>
      <c r="D1256" s="90"/>
      <c r="E1256" s="16"/>
      <c r="F1256" s="33"/>
      <c r="G1256" s="16"/>
      <c r="H1256" s="16"/>
      <c r="I1256" s="16"/>
      <c r="J1256" s="16"/>
      <c r="K1256" s="16"/>
      <c r="L1256" s="16"/>
      <c r="M1256" s="16"/>
      <c r="N1256" s="16"/>
      <c r="O1256" s="16"/>
      <c r="P1256" s="16"/>
      <c r="Q1256" s="16"/>
      <c r="R1256" s="16"/>
    </row>
    <row r="1257" spans="1:18" ht="18">
      <c r="A1257" s="61"/>
      <c r="B1257" s="15"/>
      <c r="C1257" s="31"/>
      <c r="D1257" s="90"/>
      <c r="E1257" s="16"/>
      <c r="F1257" s="33"/>
      <c r="G1257" s="16"/>
      <c r="H1257" s="16"/>
      <c r="I1257" s="16"/>
      <c r="J1257" s="16"/>
      <c r="K1257" s="16"/>
      <c r="L1257" s="16"/>
      <c r="M1257" s="16"/>
      <c r="N1257" s="16"/>
      <c r="O1257" s="16"/>
      <c r="P1257" s="16"/>
      <c r="Q1257" s="16"/>
      <c r="R1257" s="16"/>
    </row>
    <row r="1258" spans="1:18" ht="18">
      <c r="A1258" s="61"/>
      <c r="B1258" s="15"/>
      <c r="C1258" s="31"/>
      <c r="D1258" s="90"/>
      <c r="E1258" s="16"/>
      <c r="F1258" s="33"/>
      <c r="G1258" s="16"/>
      <c r="H1258" s="16"/>
      <c r="I1258" s="16"/>
      <c r="J1258" s="16"/>
      <c r="K1258" s="16"/>
      <c r="L1258" s="16"/>
      <c r="M1258" s="16"/>
      <c r="N1258" s="16"/>
      <c r="O1258" s="16"/>
      <c r="P1258" s="16"/>
      <c r="Q1258" s="16"/>
      <c r="R1258" s="16"/>
    </row>
    <row r="1259" spans="1:18" ht="18">
      <c r="A1259" s="61"/>
      <c r="B1259" s="15"/>
      <c r="C1259" s="31"/>
      <c r="D1259" s="90"/>
      <c r="E1259" s="16"/>
      <c r="F1259" s="33"/>
      <c r="G1259" s="16"/>
      <c r="H1259" s="16"/>
      <c r="I1259" s="16"/>
      <c r="J1259" s="16"/>
      <c r="K1259" s="16"/>
      <c r="L1259" s="16"/>
      <c r="M1259" s="16"/>
      <c r="N1259" s="16"/>
      <c r="O1259" s="16"/>
      <c r="P1259" s="16"/>
      <c r="Q1259" s="16"/>
      <c r="R1259" s="16"/>
    </row>
    <row r="1260" spans="1:18" ht="18">
      <c r="A1260" s="61"/>
      <c r="B1260" s="15"/>
      <c r="C1260" s="31"/>
      <c r="D1260" s="90"/>
      <c r="E1260" s="16"/>
      <c r="F1260" s="33"/>
      <c r="G1260" s="16"/>
      <c r="H1260" s="16"/>
      <c r="I1260" s="16"/>
      <c r="J1260" s="16"/>
      <c r="K1260" s="16"/>
      <c r="L1260" s="16"/>
      <c r="M1260" s="16"/>
      <c r="N1260" s="16"/>
      <c r="O1260" s="16"/>
      <c r="P1260" s="16"/>
      <c r="Q1260" s="16"/>
      <c r="R1260" s="16"/>
    </row>
    <row r="1261" spans="1:18" ht="18">
      <c r="A1261" s="61"/>
      <c r="B1261" s="15"/>
      <c r="C1261" s="31"/>
      <c r="D1261" s="90"/>
      <c r="E1261" s="16"/>
      <c r="F1261" s="33"/>
      <c r="G1261" s="16"/>
      <c r="H1261" s="16"/>
      <c r="I1261" s="16"/>
      <c r="J1261" s="16"/>
      <c r="K1261" s="16"/>
      <c r="L1261" s="16"/>
      <c r="M1261" s="16"/>
      <c r="N1261" s="16"/>
      <c r="O1261" s="16"/>
      <c r="P1261" s="16"/>
      <c r="Q1261" s="16"/>
      <c r="R1261" s="16"/>
    </row>
    <row r="1262" spans="1:18" ht="18">
      <c r="A1262" s="61"/>
      <c r="B1262" s="15"/>
      <c r="C1262" s="31"/>
      <c r="D1262" s="90"/>
      <c r="E1262" s="16"/>
      <c r="F1262" s="33"/>
      <c r="G1262" s="16"/>
      <c r="H1262" s="16"/>
      <c r="I1262" s="16"/>
      <c r="J1262" s="16"/>
      <c r="K1262" s="16"/>
      <c r="L1262" s="16"/>
      <c r="M1262" s="16"/>
      <c r="N1262" s="16"/>
      <c r="O1262" s="16"/>
      <c r="P1262" s="16"/>
      <c r="Q1262" s="16"/>
      <c r="R1262" s="16"/>
    </row>
    <row r="1263" spans="1:18" ht="18">
      <c r="A1263" s="61"/>
      <c r="B1263" s="15"/>
      <c r="C1263" s="31"/>
      <c r="D1263" s="90"/>
      <c r="E1263" s="16"/>
      <c r="F1263" s="33"/>
      <c r="G1263" s="16"/>
      <c r="H1263" s="16"/>
      <c r="I1263" s="16"/>
      <c r="J1263" s="16"/>
      <c r="K1263" s="16"/>
      <c r="L1263" s="16"/>
      <c r="M1263" s="16"/>
      <c r="N1263" s="16"/>
      <c r="O1263" s="16"/>
      <c r="P1263" s="16"/>
      <c r="Q1263" s="16"/>
      <c r="R1263" s="16"/>
    </row>
    <row r="1264" spans="1:18" ht="18">
      <c r="A1264" s="61"/>
      <c r="B1264" s="15"/>
      <c r="C1264" s="31"/>
      <c r="D1264" s="90"/>
      <c r="E1264" s="16"/>
      <c r="F1264" s="33"/>
      <c r="G1264" s="16"/>
      <c r="H1264" s="16"/>
      <c r="I1264" s="16"/>
      <c r="J1264" s="16"/>
      <c r="K1264" s="16"/>
      <c r="L1264" s="16"/>
      <c r="M1264" s="16"/>
      <c r="N1264" s="16"/>
      <c r="O1264" s="16"/>
      <c r="P1264" s="16"/>
      <c r="Q1264" s="16"/>
      <c r="R1264" s="16"/>
    </row>
    <row r="1265" spans="1:18" ht="18">
      <c r="A1265" s="61"/>
      <c r="B1265" s="15"/>
      <c r="C1265" s="31"/>
      <c r="D1265" s="90"/>
      <c r="E1265" s="16"/>
      <c r="F1265" s="33"/>
      <c r="G1265" s="16"/>
      <c r="H1265" s="16"/>
      <c r="I1265" s="16"/>
      <c r="J1265" s="16"/>
      <c r="K1265" s="16"/>
      <c r="L1265" s="16"/>
      <c r="M1265" s="16"/>
      <c r="N1265" s="16"/>
      <c r="O1265" s="16"/>
      <c r="P1265" s="16"/>
      <c r="Q1265" s="16"/>
      <c r="R1265" s="16"/>
    </row>
    <row r="1266" spans="1:18" ht="18">
      <c r="A1266" s="61"/>
      <c r="B1266" s="15"/>
      <c r="C1266" s="31"/>
      <c r="D1266" s="90"/>
      <c r="E1266" s="16"/>
      <c r="F1266" s="33"/>
      <c r="G1266" s="16"/>
      <c r="H1266" s="16"/>
      <c r="I1266" s="16"/>
      <c r="J1266" s="16"/>
      <c r="K1266" s="16"/>
      <c r="L1266" s="16"/>
      <c r="M1266" s="16"/>
      <c r="N1266" s="16"/>
      <c r="O1266" s="16"/>
      <c r="P1266" s="16"/>
      <c r="Q1266" s="16"/>
      <c r="R1266" s="16"/>
    </row>
    <row r="1267" spans="1:18" ht="18">
      <c r="A1267" s="61"/>
      <c r="B1267" s="15"/>
      <c r="C1267" s="31"/>
      <c r="D1267" s="90"/>
      <c r="E1267" s="16"/>
      <c r="F1267" s="33"/>
      <c r="G1267" s="16"/>
      <c r="H1267" s="16"/>
      <c r="I1267" s="16"/>
      <c r="J1267" s="16"/>
      <c r="K1267" s="16"/>
      <c r="L1267" s="16"/>
      <c r="M1267" s="16"/>
      <c r="N1267" s="16"/>
      <c r="O1267" s="16"/>
      <c r="P1267" s="16"/>
      <c r="Q1267" s="16"/>
      <c r="R1267" s="16"/>
    </row>
    <row r="1268" spans="1:18" ht="18">
      <c r="A1268" s="61"/>
      <c r="B1268" s="15"/>
      <c r="C1268" s="31"/>
      <c r="D1268" s="90"/>
      <c r="E1268" s="16"/>
      <c r="F1268" s="33"/>
      <c r="G1268" s="16"/>
      <c r="H1268" s="16"/>
      <c r="I1268" s="16"/>
      <c r="J1268" s="16"/>
      <c r="K1268" s="16"/>
      <c r="L1268" s="16"/>
      <c r="M1268" s="16"/>
      <c r="N1268" s="16"/>
      <c r="O1268" s="16"/>
      <c r="P1268" s="16"/>
      <c r="Q1268" s="16"/>
      <c r="R1268" s="16"/>
    </row>
    <row r="1269" spans="1:18" ht="18">
      <c r="A1269" s="61"/>
      <c r="B1269" s="15"/>
      <c r="C1269" s="31"/>
      <c r="D1269" s="90"/>
      <c r="E1269" s="16"/>
      <c r="F1269" s="33"/>
      <c r="G1269" s="16"/>
      <c r="H1269" s="16"/>
      <c r="I1269" s="16"/>
      <c r="J1269" s="16"/>
      <c r="K1269" s="16"/>
      <c r="L1269" s="16"/>
      <c r="M1269" s="16"/>
      <c r="N1269" s="16"/>
      <c r="O1269" s="16"/>
      <c r="P1269" s="16"/>
      <c r="Q1269" s="16"/>
      <c r="R1269" s="16"/>
    </row>
    <row r="1270" spans="1:18" ht="18">
      <c r="A1270" s="61"/>
      <c r="B1270" s="15"/>
      <c r="C1270" s="31"/>
      <c r="D1270" s="90"/>
      <c r="E1270" s="16"/>
      <c r="F1270" s="33"/>
      <c r="G1270" s="16"/>
      <c r="H1270" s="16"/>
      <c r="I1270" s="16"/>
      <c r="J1270" s="16"/>
      <c r="K1270" s="16"/>
      <c r="L1270" s="16"/>
      <c r="M1270" s="16"/>
      <c r="N1270" s="16"/>
      <c r="O1270" s="16"/>
      <c r="P1270" s="16"/>
      <c r="Q1270" s="16"/>
      <c r="R1270" s="16"/>
    </row>
    <row r="1271" spans="1:18" ht="18">
      <c r="A1271" s="61"/>
      <c r="B1271" s="15"/>
      <c r="C1271" s="31"/>
      <c r="D1271" s="90"/>
      <c r="E1271" s="16"/>
      <c r="F1271" s="33"/>
      <c r="G1271" s="16"/>
      <c r="H1271" s="16"/>
      <c r="I1271" s="16"/>
      <c r="J1271" s="16"/>
      <c r="K1271" s="16"/>
      <c r="L1271" s="16"/>
      <c r="M1271" s="16"/>
      <c r="N1271" s="16"/>
      <c r="O1271" s="16"/>
      <c r="P1271" s="16"/>
      <c r="Q1271" s="16"/>
      <c r="R1271" s="16"/>
    </row>
    <row r="1272" spans="1:18" ht="18">
      <c r="A1272" s="61"/>
      <c r="B1272" s="15"/>
      <c r="C1272" s="31"/>
      <c r="D1272" s="90"/>
      <c r="E1272" s="16"/>
      <c r="F1272" s="33"/>
      <c r="G1272" s="16"/>
      <c r="H1272" s="16"/>
      <c r="I1272" s="16"/>
      <c r="J1272" s="16"/>
      <c r="K1272" s="16"/>
      <c r="L1272" s="16"/>
      <c r="M1272" s="16"/>
      <c r="N1272" s="16"/>
      <c r="O1272" s="16"/>
      <c r="P1272" s="16"/>
      <c r="Q1272" s="16"/>
      <c r="R1272" s="16"/>
    </row>
    <row r="1273" spans="1:18" ht="18">
      <c r="A1273" s="61"/>
      <c r="B1273" s="15"/>
      <c r="C1273" s="31"/>
      <c r="D1273" s="90"/>
      <c r="E1273" s="16"/>
      <c r="F1273" s="33"/>
      <c r="G1273" s="16"/>
      <c r="H1273" s="16"/>
      <c r="I1273" s="16"/>
      <c r="J1273" s="16"/>
      <c r="K1273" s="16"/>
      <c r="L1273" s="16"/>
      <c r="M1273" s="16"/>
      <c r="N1273" s="16"/>
      <c r="O1273" s="16"/>
      <c r="P1273" s="16"/>
      <c r="Q1273" s="16"/>
      <c r="R1273" s="16"/>
    </row>
    <row r="1274" spans="1:18" ht="18">
      <c r="A1274" s="61"/>
      <c r="B1274" s="15"/>
      <c r="C1274" s="31"/>
      <c r="D1274" s="90"/>
      <c r="E1274" s="16"/>
      <c r="F1274" s="33"/>
      <c r="G1274" s="16"/>
      <c r="H1274" s="16"/>
      <c r="I1274" s="16"/>
      <c r="J1274" s="16"/>
      <c r="K1274" s="16"/>
      <c r="L1274" s="16"/>
      <c r="M1274" s="16"/>
      <c r="N1274" s="16"/>
      <c r="O1274" s="16"/>
      <c r="P1274" s="16"/>
      <c r="Q1274" s="16"/>
      <c r="R1274" s="16"/>
    </row>
    <row r="1275" spans="1:18" ht="18">
      <c r="A1275" s="61"/>
      <c r="B1275" s="15"/>
      <c r="C1275" s="31"/>
      <c r="D1275" s="90"/>
      <c r="E1275" s="16"/>
      <c r="F1275" s="33"/>
      <c r="G1275" s="16"/>
      <c r="H1275" s="16"/>
      <c r="I1275" s="16"/>
      <c r="J1275" s="16"/>
      <c r="K1275" s="16"/>
      <c r="L1275" s="16"/>
      <c r="M1275" s="16"/>
      <c r="N1275" s="16"/>
      <c r="O1275" s="16"/>
      <c r="P1275" s="16"/>
      <c r="Q1275" s="16"/>
      <c r="R1275" s="16"/>
    </row>
    <row r="1276" spans="1:18" ht="18">
      <c r="A1276" s="61"/>
      <c r="B1276" s="15"/>
      <c r="C1276" s="31"/>
      <c r="D1276" s="90"/>
      <c r="E1276" s="16"/>
      <c r="F1276" s="33"/>
      <c r="G1276" s="16"/>
      <c r="H1276" s="16"/>
      <c r="I1276" s="16"/>
      <c r="J1276" s="16"/>
      <c r="K1276" s="16"/>
      <c r="L1276" s="16"/>
      <c r="M1276" s="16"/>
      <c r="N1276" s="16"/>
      <c r="O1276" s="16"/>
      <c r="P1276" s="16"/>
      <c r="Q1276" s="16"/>
      <c r="R1276" s="16"/>
    </row>
    <row r="1277" spans="1:18" ht="18">
      <c r="A1277" s="61"/>
      <c r="B1277" s="15"/>
      <c r="C1277" s="31"/>
      <c r="D1277" s="90"/>
      <c r="E1277" s="16"/>
      <c r="F1277" s="33"/>
      <c r="G1277" s="16"/>
      <c r="H1277" s="16"/>
      <c r="I1277" s="16"/>
      <c r="J1277" s="16"/>
      <c r="K1277" s="16"/>
      <c r="L1277" s="16"/>
      <c r="M1277" s="16"/>
      <c r="N1277" s="16"/>
      <c r="O1277" s="16"/>
      <c r="P1277" s="16"/>
      <c r="Q1277" s="16"/>
      <c r="R1277" s="16"/>
    </row>
    <row r="1278" spans="1:18" ht="18">
      <c r="A1278" s="61"/>
      <c r="B1278" s="15"/>
      <c r="C1278" s="31"/>
      <c r="D1278" s="90"/>
      <c r="E1278" s="16"/>
      <c r="F1278" s="33"/>
      <c r="G1278" s="16"/>
      <c r="H1278" s="16"/>
      <c r="I1278" s="16"/>
      <c r="J1278" s="16"/>
      <c r="K1278" s="16"/>
      <c r="L1278" s="16"/>
      <c r="M1278" s="16"/>
      <c r="N1278" s="16"/>
      <c r="O1278" s="16"/>
      <c r="P1278" s="16"/>
      <c r="Q1278" s="16"/>
      <c r="R1278" s="16"/>
    </row>
    <row r="1279" spans="1:18" ht="18">
      <c r="A1279" s="61"/>
      <c r="B1279" s="15"/>
      <c r="C1279" s="31"/>
      <c r="D1279" s="90"/>
      <c r="E1279" s="16"/>
      <c r="F1279" s="33"/>
      <c r="G1279" s="16"/>
      <c r="H1279" s="16"/>
      <c r="I1279" s="16"/>
      <c r="J1279" s="16"/>
      <c r="K1279" s="16"/>
      <c r="L1279" s="16"/>
      <c r="M1279" s="16"/>
      <c r="N1279" s="16"/>
      <c r="O1279" s="16"/>
      <c r="P1279" s="16"/>
      <c r="Q1279" s="16"/>
      <c r="R1279" s="16"/>
    </row>
    <row r="1280" spans="1:18" ht="18">
      <c r="A1280" s="61"/>
      <c r="B1280" s="15"/>
      <c r="C1280" s="31"/>
      <c r="D1280" s="90"/>
      <c r="E1280" s="16"/>
      <c r="F1280" s="33"/>
      <c r="G1280" s="16"/>
      <c r="H1280" s="16"/>
      <c r="I1280" s="16"/>
      <c r="J1280" s="16"/>
      <c r="K1280" s="16"/>
      <c r="L1280" s="16"/>
      <c r="M1280" s="16"/>
      <c r="N1280" s="16"/>
      <c r="O1280" s="16"/>
      <c r="P1280" s="16"/>
      <c r="Q1280" s="16"/>
      <c r="R1280" s="16"/>
    </row>
    <row r="1281" spans="1:18" ht="18">
      <c r="A1281" s="61"/>
      <c r="B1281" s="15"/>
      <c r="C1281" s="31"/>
      <c r="D1281" s="90"/>
      <c r="E1281" s="16"/>
      <c r="F1281" s="33"/>
      <c r="G1281" s="16"/>
      <c r="H1281" s="16"/>
      <c r="I1281" s="16"/>
      <c r="J1281" s="16"/>
      <c r="K1281" s="16"/>
      <c r="L1281" s="16"/>
      <c r="M1281" s="16"/>
      <c r="N1281" s="16"/>
      <c r="O1281" s="16"/>
      <c r="P1281" s="16"/>
      <c r="Q1281" s="16"/>
      <c r="R1281" s="16"/>
    </row>
    <row r="1282" spans="1:18" ht="18">
      <c r="A1282" s="61"/>
      <c r="B1282" s="15"/>
      <c r="C1282" s="31"/>
      <c r="D1282" s="90"/>
      <c r="E1282" s="16"/>
      <c r="F1282" s="33"/>
      <c r="G1282" s="16"/>
      <c r="H1282" s="16"/>
      <c r="I1282" s="16"/>
      <c r="J1282" s="16"/>
      <c r="K1282" s="16"/>
      <c r="L1282" s="16"/>
      <c r="M1282" s="16"/>
      <c r="N1282" s="16"/>
      <c r="O1282" s="16"/>
      <c r="P1282" s="16"/>
      <c r="Q1282" s="16"/>
      <c r="R1282" s="16"/>
    </row>
    <row r="1283" spans="1:18" ht="18">
      <c r="A1283" s="61"/>
      <c r="B1283" s="15"/>
      <c r="C1283" s="31"/>
      <c r="D1283" s="90"/>
      <c r="E1283" s="16"/>
      <c r="F1283" s="33"/>
      <c r="G1283" s="16"/>
      <c r="H1283" s="16"/>
      <c r="I1283" s="16"/>
      <c r="J1283" s="16"/>
      <c r="K1283" s="16"/>
      <c r="L1283" s="16"/>
      <c r="M1283" s="16"/>
      <c r="N1283" s="16"/>
      <c r="O1283" s="16"/>
      <c r="P1283" s="16"/>
      <c r="Q1283" s="16"/>
      <c r="R1283" s="16"/>
    </row>
    <row r="1284" spans="1:18" ht="18">
      <c r="A1284" s="61"/>
      <c r="B1284" s="15"/>
      <c r="C1284" s="31"/>
      <c r="D1284" s="90"/>
      <c r="E1284" s="16"/>
      <c r="F1284" s="33"/>
      <c r="G1284" s="16"/>
      <c r="H1284" s="16"/>
      <c r="I1284" s="16"/>
      <c r="J1284" s="16"/>
      <c r="K1284" s="16"/>
      <c r="L1284" s="16"/>
      <c r="M1284" s="16"/>
      <c r="N1284" s="16"/>
      <c r="O1284" s="16"/>
      <c r="P1284" s="16"/>
      <c r="Q1284" s="16"/>
      <c r="R1284" s="16"/>
    </row>
    <row r="1285" spans="1:18" ht="18">
      <c r="A1285" s="61"/>
      <c r="B1285" s="15"/>
      <c r="C1285" s="31"/>
      <c r="D1285" s="90"/>
      <c r="E1285" s="16"/>
      <c r="F1285" s="33"/>
      <c r="G1285" s="16"/>
      <c r="H1285" s="16"/>
      <c r="I1285" s="16"/>
      <c r="J1285" s="16"/>
      <c r="K1285" s="16"/>
      <c r="L1285" s="16"/>
      <c r="M1285" s="16"/>
      <c r="N1285" s="16"/>
      <c r="O1285" s="16"/>
      <c r="P1285" s="16"/>
      <c r="Q1285" s="16"/>
      <c r="R1285" s="16"/>
    </row>
    <row r="1286" spans="1:18" ht="18">
      <c r="A1286" s="61"/>
      <c r="B1286" s="15"/>
      <c r="C1286" s="31"/>
      <c r="D1286" s="90"/>
      <c r="E1286" s="16"/>
      <c r="F1286" s="33"/>
      <c r="G1286" s="16"/>
      <c r="H1286" s="16"/>
      <c r="I1286" s="16"/>
      <c r="J1286" s="16"/>
      <c r="K1286" s="16"/>
      <c r="L1286" s="16"/>
      <c r="M1286" s="16"/>
      <c r="N1286" s="16"/>
      <c r="O1286" s="16"/>
      <c r="P1286" s="16"/>
      <c r="Q1286" s="16"/>
      <c r="R1286" s="16"/>
    </row>
    <row r="1287" spans="1:18" ht="18">
      <c r="A1287" s="61"/>
      <c r="B1287" s="15"/>
      <c r="C1287" s="31"/>
      <c r="D1287" s="90"/>
      <c r="E1287" s="16"/>
      <c r="F1287" s="33"/>
      <c r="G1287" s="16"/>
      <c r="H1287" s="16"/>
      <c r="I1287" s="16"/>
      <c r="J1287" s="16"/>
      <c r="K1287" s="16"/>
      <c r="L1287" s="16"/>
      <c r="M1287" s="16"/>
      <c r="N1287" s="16"/>
      <c r="O1287" s="16"/>
      <c r="P1287" s="16"/>
      <c r="Q1287" s="16"/>
      <c r="R1287" s="16"/>
    </row>
    <row r="1288" spans="1:18" ht="18">
      <c r="A1288" s="61"/>
      <c r="B1288" s="15"/>
      <c r="C1288" s="31"/>
      <c r="D1288" s="90"/>
      <c r="E1288" s="16"/>
      <c r="F1288" s="33"/>
      <c r="G1288" s="16"/>
      <c r="H1288" s="16"/>
      <c r="I1288" s="16"/>
      <c r="J1288" s="16"/>
      <c r="K1288" s="16"/>
      <c r="L1288" s="16"/>
      <c r="M1288" s="16"/>
      <c r="N1288" s="16"/>
      <c r="O1288" s="16"/>
      <c r="P1288" s="16"/>
      <c r="Q1288" s="16"/>
      <c r="R1288" s="16"/>
    </row>
    <row r="1289" spans="1:18" ht="18">
      <c r="A1289" s="61"/>
      <c r="B1289" s="15"/>
      <c r="C1289" s="31"/>
      <c r="D1289" s="90"/>
      <c r="E1289" s="16"/>
      <c r="F1289" s="33"/>
      <c r="G1289" s="16"/>
      <c r="H1289" s="16"/>
      <c r="I1289" s="16"/>
      <c r="J1289" s="16"/>
      <c r="K1289" s="16"/>
      <c r="L1289" s="16"/>
      <c r="M1289" s="16"/>
      <c r="N1289" s="16"/>
      <c r="O1289" s="16"/>
      <c r="P1289" s="16"/>
      <c r="Q1289" s="16"/>
      <c r="R1289" s="16"/>
    </row>
    <row r="1290" spans="1:18" ht="18">
      <c r="A1290" s="61"/>
      <c r="B1290" s="15"/>
      <c r="C1290" s="31"/>
      <c r="D1290" s="90"/>
      <c r="E1290" s="16"/>
      <c r="F1290" s="33"/>
      <c r="G1290" s="16"/>
      <c r="H1290" s="16"/>
      <c r="I1290" s="16"/>
      <c r="J1290" s="16"/>
      <c r="K1290" s="16"/>
      <c r="L1290" s="16"/>
      <c r="M1290" s="16"/>
      <c r="N1290" s="16"/>
      <c r="O1290" s="16"/>
      <c r="P1290" s="16"/>
      <c r="Q1290" s="16"/>
      <c r="R1290" s="16"/>
    </row>
    <row r="1291" spans="1:18" ht="18">
      <c r="A1291" s="61"/>
      <c r="B1291" s="15"/>
      <c r="C1291" s="31"/>
      <c r="D1291" s="90"/>
      <c r="E1291" s="16"/>
      <c r="F1291" s="33"/>
      <c r="G1291" s="16"/>
      <c r="H1291" s="16"/>
      <c r="I1291" s="16"/>
      <c r="J1291" s="16"/>
      <c r="K1291" s="16"/>
      <c r="L1291" s="16"/>
      <c r="M1291" s="16"/>
      <c r="N1291" s="16"/>
      <c r="O1291" s="16"/>
      <c r="P1291" s="16"/>
      <c r="Q1291" s="16"/>
      <c r="R1291" s="16"/>
    </row>
    <row r="1292" spans="1:18" ht="18">
      <c r="A1292" s="61"/>
      <c r="B1292" s="15"/>
      <c r="C1292" s="31"/>
      <c r="D1292" s="90"/>
      <c r="E1292" s="16"/>
      <c r="F1292" s="33"/>
      <c r="G1292" s="16"/>
      <c r="H1292" s="16"/>
      <c r="I1292" s="16"/>
      <c r="J1292" s="16"/>
      <c r="K1292" s="16"/>
      <c r="L1292" s="16"/>
      <c r="M1292" s="16"/>
      <c r="N1292" s="16"/>
      <c r="O1292" s="16"/>
      <c r="P1292" s="16"/>
      <c r="Q1292" s="16"/>
      <c r="R1292" s="16"/>
    </row>
    <row r="1293" spans="1:18" ht="18">
      <c r="A1293" s="61"/>
      <c r="B1293" s="15"/>
      <c r="C1293" s="31"/>
      <c r="D1293" s="90"/>
      <c r="E1293" s="16"/>
      <c r="F1293" s="33"/>
      <c r="G1293" s="16"/>
      <c r="H1293" s="16"/>
      <c r="I1293" s="16"/>
      <c r="J1293" s="16"/>
      <c r="K1293" s="16"/>
      <c r="L1293" s="16"/>
      <c r="M1293" s="16"/>
      <c r="N1293" s="16"/>
      <c r="O1293" s="16"/>
      <c r="P1293" s="16"/>
      <c r="Q1293" s="16"/>
      <c r="R1293" s="16"/>
    </row>
    <row r="1294" spans="1:18" ht="18">
      <c r="A1294" s="61"/>
      <c r="B1294" s="15"/>
      <c r="C1294" s="31"/>
      <c r="D1294" s="90"/>
      <c r="E1294" s="16"/>
      <c r="F1294" s="33"/>
      <c r="G1294" s="16"/>
      <c r="H1294" s="16"/>
      <c r="I1294" s="16"/>
      <c r="J1294" s="16"/>
      <c r="K1294" s="16"/>
      <c r="L1294" s="16"/>
      <c r="M1294" s="16"/>
      <c r="N1294" s="16"/>
      <c r="O1294" s="16"/>
      <c r="P1294" s="16"/>
      <c r="Q1294" s="16"/>
      <c r="R1294" s="16"/>
    </row>
    <row r="1295" spans="1:18" ht="18">
      <c r="A1295" s="61"/>
      <c r="B1295" s="15"/>
      <c r="C1295" s="31"/>
      <c r="D1295" s="90"/>
      <c r="E1295" s="16"/>
      <c r="F1295" s="33"/>
      <c r="G1295" s="16"/>
      <c r="H1295" s="16"/>
      <c r="I1295" s="16"/>
      <c r="J1295" s="16"/>
      <c r="K1295" s="16"/>
      <c r="L1295" s="16"/>
      <c r="M1295" s="16"/>
      <c r="N1295" s="16"/>
      <c r="O1295" s="16"/>
      <c r="P1295" s="16"/>
      <c r="Q1295" s="16"/>
      <c r="R1295" s="16"/>
    </row>
    <row r="1296" spans="1:18" ht="18">
      <c r="A1296" s="61"/>
      <c r="B1296" s="15"/>
      <c r="C1296" s="31"/>
      <c r="D1296" s="90"/>
      <c r="E1296" s="16"/>
      <c r="F1296" s="33"/>
      <c r="G1296" s="16"/>
      <c r="H1296" s="16"/>
      <c r="I1296" s="16"/>
      <c r="J1296" s="16"/>
      <c r="K1296" s="16"/>
      <c r="L1296" s="16"/>
      <c r="M1296" s="16"/>
      <c r="N1296" s="16"/>
      <c r="O1296" s="16"/>
      <c r="P1296" s="16"/>
      <c r="Q1296" s="16"/>
      <c r="R1296" s="16"/>
    </row>
    <row r="1297" spans="1:18" ht="18">
      <c r="A1297" s="61"/>
      <c r="B1297" s="15"/>
      <c r="C1297" s="31"/>
      <c r="D1297" s="90"/>
      <c r="E1297" s="16"/>
      <c r="F1297" s="33"/>
      <c r="G1297" s="16"/>
      <c r="H1297" s="16"/>
      <c r="I1297" s="16"/>
      <c r="J1297" s="16"/>
      <c r="K1297" s="16"/>
      <c r="L1297" s="16"/>
      <c r="M1297" s="16"/>
      <c r="N1297" s="16"/>
      <c r="O1297" s="16"/>
      <c r="P1297" s="16"/>
      <c r="Q1297" s="16"/>
      <c r="R1297" s="16"/>
    </row>
    <row r="1298" spans="1:18" ht="18">
      <c r="A1298" s="61"/>
      <c r="B1298" s="15"/>
      <c r="C1298" s="31"/>
      <c r="D1298" s="90"/>
      <c r="E1298" s="16"/>
      <c r="F1298" s="33"/>
      <c r="G1298" s="16"/>
      <c r="H1298" s="16"/>
      <c r="I1298" s="16"/>
      <c r="J1298" s="16"/>
      <c r="K1298" s="16"/>
      <c r="L1298" s="16"/>
      <c r="M1298" s="16"/>
      <c r="N1298" s="16"/>
      <c r="O1298" s="16"/>
      <c r="P1298" s="16"/>
      <c r="Q1298" s="16"/>
      <c r="R1298" s="16"/>
    </row>
    <row r="1299" spans="1:18" ht="18">
      <c r="A1299" s="61"/>
      <c r="B1299" s="15"/>
      <c r="C1299" s="31"/>
      <c r="D1299" s="90"/>
      <c r="E1299" s="16"/>
      <c r="F1299" s="33"/>
      <c r="G1299" s="16"/>
      <c r="H1299" s="16"/>
      <c r="I1299" s="16"/>
      <c r="J1299" s="16"/>
      <c r="K1299" s="16"/>
      <c r="L1299" s="16"/>
      <c r="M1299" s="16"/>
      <c r="N1299" s="16"/>
      <c r="O1299" s="16"/>
      <c r="P1299" s="16"/>
      <c r="Q1299" s="16"/>
      <c r="R1299" s="16"/>
    </row>
    <row r="1300" spans="1:18" ht="18">
      <c r="A1300" s="61"/>
      <c r="B1300" s="15"/>
      <c r="C1300" s="31"/>
      <c r="D1300" s="90"/>
      <c r="E1300" s="16"/>
      <c r="F1300" s="33"/>
      <c r="G1300" s="16"/>
      <c r="H1300" s="16"/>
      <c r="I1300" s="16"/>
      <c r="J1300" s="16"/>
      <c r="K1300" s="16"/>
      <c r="L1300" s="16"/>
      <c r="M1300" s="16"/>
      <c r="N1300" s="16"/>
      <c r="O1300" s="16"/>
      <c r="P1300" s="16"/>
      <c r="Q1300" s="16"/>
      <c r="R1300" s="16"/>
    </row>
    <row r="1301" spans="1:18" ht="18">
      <c r="A1301" s="61"/>
      <c r="B1301" s="15"/>
      <c r="C1301" s="31"/>
      <c r="D1301" s="90"/>
      <c r="E1301" s="16"/>
      <c r="F1301" s="33"/>
      <c r="G1301" s="16"/>
      <c r="H1301" s="16"/>
      <c r="I1301" s="16"/>
      <c r="J1301" s="16"/>
      <c r="K1301" s="16"/>
      <c r="L1301" s="16"/>
      <c r="M1301" s="16"/>
      <c r="N1301" s="16"/>
      <c r="O1301" s="16"/>
      <c r="P1301" s="16"/>
      <c r="Q1301" s="16"/>
      <c r="R1301" s="16"/>
    </row>
    <row r="1302" spans="1:18" ht="18">
      <c r="A1302" s="61"/>
      <c r="B1302" s="15"/>
      <c r="C1302" s="31"/>
      <c r="D1302" s="90"/>
      <c r="E1302" s="16"/>
      <c r="F1302" s="33"/>
      <c r="G1302" s="16"/>
      <c r="H1302" s="16"/>
      <c r="I1302" s="16"/>
      <c r="J1302" s="16"/>
      <c r="K1302" s="16"/>
      <c r="L1302" s="16"/>
      <c r="M1302" s="16"/>
      <c r="N1302" s="16"/>
      <c r="O1302" s="16"/>
      <c r="P1302" s="16"/>
      <c r="Q1302" s="16"/>
      <c r="R1302" s="16"/>
    </row>
    <row r="1303" spans="1:18" ht="18">
      <c r="A1303" s="61"/>
      <c r="B1303" s="15"/>
      <c r="C1303" s="31"/>
      <c r="D1303" s="90"/>
      <c r="E1303" s="16"/>
      <c r="F1303" s="33"/>
      <c r="G1303" s="16"/>
      <c r="H1303" s="16"/>
      <c r="I1303" s="16"/>
      <c r="J1303" s="16"/>
      <c r="K1303" s="16"/>
      <c r="L1303" s="16"/>
      <c r="M1303" s="16"/>
      <c r="N1303" s="16"/>
      <c r="O1303" s="16"/>
      <c r="P1303" s="16"/>
      <c r="Q1303" s="16"/>
      <c r="R1303" s="16"/>
    </row>
    <row r="1304" spans="1:18" ht="18">
      <c r="A1304" s="61"/>
      <c r="B1304" s="15"/>
      <c r="C1304" s="31"/>
      <c r="D1304" s="90"/>
      <c r="E1304" s="16"/>
      <c r="F1304" s="33"/>
      <c r="G1304" s="16"/>
      <c r="H1304" s="16"/>
      <c r="I1304" s="16"/>
      <c r="J1304" s="16"/>
      <c r="K1304" s="16"/>
      <c r="L1304" s="16"/>
      <c r="M1304" s="16"/>
      <c r="N1304" s="16"/>
      <c r="O1304" s="16"/>
      <c r="P1304" s="16"/>
      <c r="Q1304" s="16"/>
      <c r="R1304" s="16"/>
    </row>
    <row r="1305" spans="1:18" ht="18">
      <c r="A1305" s="61"/>
      <c r="B1305" s="15"/>
      <c r="C1305" s="31"/>
      <c r="D1305" s="90"/>
      <c r="E1305" s="16"/>
      <c r="F1305" s="33"/>
      <c r="G1305" s="16"/>
      <c r="H1305" s="16"/>
      <c r="I1305" s="16"/>
      <c r="J1305" s="16"/>
      <c r="K1305" s="16"/>
      <c r="L1305" s="16"/>
      <c r="M1305" s="16"/>
      <c r="N1305" s="16"/>
      <c r="O1305" s="16"/>
      <c r="P1305" s="16"/>
      <c r="Q1305" s="16"/>
      <c r="R1305" s="16"/>
    </row>
    <row r="1306" spans="1:18" ht="18">
      <c r="A1306" s="61"/>
      <c r="B1306" s="15"/>
      <c r="C1306" s="31"/>
      <c r="D1306" s="90"/>
      <c r="E1306" s="16"/>
      <c r="F1306" s="33"/>
      <c r="G1306" s="16"/>
      <c r="H1306" s="16"/>
      <c r="I1306" s="16"/>
      <c r="J1306" s="16"/>
      <c r="K1306" s="16"/>
      <c r="L1306" s="16"/>
      <c r="M1306" s="16"/>
      <c r="N1306" s="16"/>
      <c r="O1306" s="16"/>
      <c r="P1306" s="16"/>
      <c r="Q1306" s="16"/>
      <c r="R1306" s="16"/>
    </row>
    <row r="1307" spans="1:18" ht="18">
      <c r="A1307" s="61"/>
      <c r="B1307" s="15"/>
      <c r="C1307" s="31"/>
      <c r="D1307" s="90"/>
      <c r="E1307" s="16"/>
      <c r="F1307" s="33"/>
      <c r="G1307" s="16"/>
      <c r="H1307" s="16"/>
      <c r="I1307" s="16"/>
      <c r="J1307" s="16"/>
      <c r="K1307" s="16"/>
      <c r="L1307" s="16"/>
      <c r="M1307" s="16"/>
      <c r="N1307" s="16"/>
      <c r="O1307" s="16"/>
      <c r="P1307" s="16"/>
      <c r="Q1307" s="16"/>
      <c r="R1307" s="16"/>
    </row>
    <row r="1308" spans="1:18" ht="18">
      <c r="A1308" s="61"/>
      <c r="B1308" s="15"/>
      <c r="C1308" s="31"/>
      <c r="D1308" s="90"/>
      <c r="E1308" s="16"/>
      <c r="F1308" s="33"/>
      <c r="G1308" s="16"/>
      <c r="H1308" s="16"/>
      <c r="I1308" s="16"/>
      <c r="J1308" s="16"/>
      <c r="K1308" s="16"/>
      <c r="L1308" s="16"/>
      <c r="M1308" s="16"/>
      <c r="N1308" s="16"/>
      <c r="O1308" s="16"/>
      <c r="P1308" s="16"/>
      <c r="Q1308" s="16"/>
      <c r="R1308" s="16"/>
    </row>
    <row r="1309" spans="1:18" ht="18">
      <c r="A1309" s="61"/>
      <c r="B1309" s="15"/>
      <c r="C1309" s="31"/>
      <c r="D1309" s="90"/>
      <c r="E1309" s="16"/>
      <c r="F1309" s="33"/>
      <c r="G1309" s="16"/>
      <c r="H1309" s="16"/>
      <c r="I1309" s="16"/>
      <c r="J1309" s="16"/>
      <c r="K1309" s="16"/>
      <c r="L1309" s="16"/>
      <c r="M1309" s="16"/>
      <c r="N1309" s="16"/>
      <c r="O1309" s="16"/>
      <c r="P1309" s="16"/>
      <c r="Q1309" s="16"/>
      <c r="R1309" s="16"/>
    </row>
    <row r="1310" spans="1:18" ht="18">
      <c r="A1310" s="61"/>
      <c r="B1310" s="15"/>
      <c r="C1310" s="31"/>
      <c r="D1310" s="90"/>
      <c r="E1310" s="16"/>
      <c r="F1310" s="33"/>
      <c r="G1310" s="16"/>
      <c r="H1310" s="16"/>
      <c r="I1310" s="16"/>
      <c r="J1310" s="16"/>
      <c r="K1310" s="16"/>
      <c r="L1310" s="16"/>
      <c r="M1310" s="16"/>
      <c r="N1310" s="16"/>
      <c r="O1310" s="16"/>
      <c r="P1310" s="16"/>
      <c r="Q1310" s="16"/>
      <c r="R1310" s="16"/>
    </row>
    <row r="1311" spans="1:18" ht="18">
      <c r="A1311" s="61"/>
      <c r="B1311" s="15"/>
      <c r="C1311" s="31"/>
      <c r="D1311" s="90"/>
      <c r="E1311" s="16"/>
      <c r="F1311" s="33"/>
      <c r="G1311" s="16"/>
      <c r="H1311" s="16"/>
      <c r="I1311" s="16"/>
      <c r="J1311" s="16"/>
      <c r="K1311" s="16"/>
      <c r="L1311" s="16"/>
      <c r="M1311" s="16"/>
      <c r="N1311" s="16"/>
      <c r="O1311" s="16"/>
      <c r="P1311" s="16"/>
      <c r="Q1311" s="16"/>
      <c r="R1311" s="16"/>
    </row>
    <row r="1312" spans="1:18" ht="18">
      <c r="A1312" s="61"/>
      <c r="B1312" s="15"/>
      <c r="C1312" s="31"/>
      <c r="D1312" s="90"/>
      <c r="E1312" s="16"/>
      <c r="F1312" s="33"/>
      <c r="G1312" s="16"/>
      <c r="H1312" s="16"/>
      <c r="I1312" s="16"/>
      <c r="J1312" s="16"/>
      <c r="K1312" s="16"/>
      <c r="L1312" s="16"/>
      <c r="M1312" s="16"/>
      <c r="N1312" s="16"/>
      <c r="O1312" s="16"/>
      <c r="P1312" s="16"/>
      <c r="Q1312" s="16"/>
      <c r="R1312" s="16"/>
    </row>
    <row r="1313" spans="1:18" ht="18">
      <c r="A1313" s="61"/>
      <c r="B1313" s="15"/>
      <c r="C1313" s="31"/>
      <c r="D1313" s="90"/>
      <c r="E1313" s="16"/>
      <c r="F1313" s="33"/>
      <c r="G1313" s="16"/>
      <c r="H1313" s="16"/>
      <c r="I1313" s="16"/>
      <c r="J1313" s="16"/>
      <c r="K1313" s="16"/>
      <c r="L1313" s="16"/>
      <c r="M1313" s="16"/>
      <c r="N1313" s="16"/>
      <c r="O1313" s="16"/>
      <c r="P1313" s="16"/>
      <c r="Q1313" s="16"/>
      <c r="R1313" s="16"/>
    </row>
    <row r="1314" spans="1:18" ht="18">
      <c r="A1314" s="61"/>
      <c r="B1314" s="15"/>
      <c r="C1314" s="31"/>
      <c r="D1314" s="90"/>
      <c r="E1314" s="16"/>
      <c r="F1314" s="33"/>
      <c r="G1314" s="16"/>
      <c r="H1314" s="16"/>
      <c r="I1314" s="16"/>
      <c r="J1314" s="16"/>
      <c r="K1314" s="16"/>
      <c r="L1314" s="16"/>
      <c r="M1314" s="16"/>
      <c r="N1314" s="16"/>
      <c r="O1314" s="16"/>
      <c r="P1314" s="16"/>
      <c r="Q1314" s="16"/>
      <c r="R1314" s="16"/>
    </row>
    <row r="1315" spans="1:18" ht="18">
      <c r="A1315" s="61"/>
      <c r="B1315" s="15"/>
      <c r="C1315" s="31"/>
      <c r="D1315" s="90"/>
      <c r="E1315" s="16"/>
      <c r="F1315" s="33"/>
      <c r="G1315" s="16"/>
      <c r="H1315" s="16"/>
      <c r="I1315" s="16"/>
      <c r="J1315" s="16"/>
      <c r="K1315" s="16"/>
      <c r="L1315" s="16"/>
      <c r="M1315" s="16"/>
      <c r="N1315" s="16"/>
      <c r="O1315" s="16"/>
      <c r="P1315" s="16"/>
      <c r="Q1315" s="16"/>
      <c r="R1315" s="16"/>
    </row>
    <row r="1316" spans="1:18" ht="18">
      <c r="A1316" s="61"/>
      <c r="B1316" s="15"/>
      <c r="C1316" s="31"/>
      <c r="D1316" s="90"/>
      <c r="E1316" s="16"/>
      <c r="F1316" s="33"/>
      <c r="G1316" s="16"/>
      <c r="H1316" s="16"/>
      <c r="I1316" s="16"/>
      <c r="J1316" s="16"/>
      <c r="K1316" s="16"/>
      <c r="L1316" s="16"/>
      <c r="M1316" s="16"/>
      <c r="N1316" s="16"/>
      <c r="O1316" s="16"/>
      <c r="P1316" s="16"/>
      <c r="Q1316" s="16"/>
      <c r="R1316" s="16"/>
    </row>
    <row r="1317" spans="1:18" ht="18">
      <c r="A1317" s="61"/>
      <c r="B1317" s="15"/>
      <c r="C1317" s="31"/>
      <c r="D1317" s="90"/>
      <c r="E1317" s="16"/>
      <c r="F1317" s="33"/>
      <c r="G1317" s="16"/>
      <c r="H1317" s="16"/>
      <c r="I1317" s="16"/>
      <c r="J1317" s="16"/>
      <c r="K1317" s="16"/>
      <c r="L1317" s="16"/>
      <c r="M1317" s="16"/>
      <c r="N1317" s="16"/>
      <c r="O1317" s="16"/>
      <c r="P1317" s="16"/>
      <c r="Q1317" s="16"/>
      <c r="R1317" s="16"/>
    </row>
    <row r="1318" spans="1:18" ht="18">
      <c r="A1318" s="61"/>
      <c r="B1318" s="15"/>
      <c r="C1318" s="31"/>
      <c r="D1318" s="90"/>
      <c r="E1318" s="16"/>
      <c r="F1318" s="33"/>
      <c r="G1318" s="16"/>
      <c r="H1318" s="16"/>
      <c r="I1318" s="16"/>
      <c r="J1318" s="16"/>
      <c r="K1318" s="16"/>
      <c r="L1318" s="16"/>
      <c r="M1318" s="16"/>
      <c r="N1318" s="16"/>
      <c r="O1318" s="16"/>
      <c r="P1318" s="16"/>
      <c r="Q1318" s="16"/>
      <c r="R1318" s="16"/>
    </row>
    <row r="1319" spans="1:18" ht="18">
      <c r="A1319" s="61"/>
      <c r="B1319" s="15"/>
      <c r="C1319" s="31"/>
      <c r="D1319" s="90"/>
      <c r="E1319" s="16"/>
      <c r="F1319" s="33"/>
      <c r="G1319" s="16"/>
      <c r="H1319" s="16"/>
      <c r="I1319" s="16"/>
      <c r="J1319" s="16"/>
      <c r="K1319" s="16"/>
      <c r="L1319" s="16"/>
      <c r="M1319" s="16"/>
      <c r="N1319" s="16"/>
      <c r="O1319" s="16"/>
      <c r="P1319" s="16"/>
      <c r="Q1319" s="16"/>
      <c r="R1319" s="16"/>
    </row>
    <row r="1320" spans="1:18" ht="18">
      <c r="A1320" s="61"/>
      <c r="B1320" s="15"/>
      <c r="C1320" s="31"/>
      <c r="D1320" s="90"/>
      <c r="E1320" s="16"/>
      <c r="F1320" s="33"/>
      <c r="G1320" s="16"/>
      <c r="H1320" s="16"/>
      <c r="I1320" s="16"/>
      <c r="J1320" s="16"/>
      <c r="K1320" s="16"/>
      <c r="L1320" s="16"/>
      <c r="M1320" s="16"/>
      <c r="N1320" s="16"/>
      <c r="O1320" s="16"/>
      <c r="P1320" s="16"/>
      <c r="Q1320" s="16"/>
      <c r="R1320" s="16"/>
    </row>
    <row r="1321" spans="1:18" ht="18">
      <c r="A1321" s="61"/>
      <c r="B1321" s="15"/>
      <c r="C1321" s="31"/>
      <c r="D1321" s="90"/>
      <c r="E1321" s="16"/>
      <c r="F1321" s="33"/>
      <c r="G1321" s="16"/>
      <c r="H1321" s="16"/>
      <c r="I1321" s="16"/>
      <c r="J1321" s="16"/>
      <c r="K1321" s="16"/>
      <c r="L1321" s="16"/>
      <c r="M1321" s="16"/>
      <c r="N1321" s="16"/>
      <c r="O1321" s="16"/>
      <c r="P1321" s="16"/>
      <c r="Q1321" s="16"/>
      <c r="R1321" s="16"/>
    </row>
    <row r="1322" spans="1:18" ht="18">
      <c r="A1322" s="61"/>
      <c r="B1322" s="15"/>
      <c r="C1322" s="31"/>
      <c r="D1322" s="90"/>
      <c r="E1322" s="16"/>
      <c r="F1322" s="33"/>
      <c r="G1322" s="16"/>
      <c r="H1322" s="16"/>
      <c r="I1322" s="16"/>
      <c r="J1322" s="16"/>
      <c r="K1322" s="16"/>
      <c r="L1322" s="16"/>
      <c r="M1322" s="16"/>
      <c r="N1322" s="16"/>
      <c r="O1322" s="16"/>
      <c r="P1322" s="16"/>
      <c r="Q1322" s="16"/>
      <c r="R1322" s="16"/>
    </row>
    <row r="1323" spans="1:18" ht="18">
      <c r="A1323" s="61"/>
      <c r="B1323" s="15"/>
      <c r="C1323" s="31"/>
      <c r="D1323" s="90"/>
      <c r="E1323" s="16"/>
      <c r="F1323" s="33"/>
      <c r="G1323" s="16"/>
      <c r="H1323" s="16"/>
      <c r="I1323" s="16"/>
      <c r="J1323" s="16"/>
      <c r="K1323" s="16"/>
      <c r="L1323" s="16"/>
      <c r="M1323" s="16"/>
      <c r="N1323" s="16"/>
      <c r="O1323" s="16"/>
      <c r="P1323" s="16"/>
      <c r="Q1323" s="16"/>
      <c r="R1323" s="16"/>
    </row>
    <row r="1324" spans="1:18" ht="18">
      <c r="A1324" s="61"/>
      <c r="B1324" s="15"/>
      <c r="C1324" s="31"/>
      <c r="D1324" s="90"/>
      <c r="E1324" s="16"/>
      <c r="F1324" s="33"/>
      <c r="G1324" s="16"/>
      <c r="H1324" s="16"/>
      <c r="I1324" s="16"/>
      <c r="J1324" s="16"/>
      <c r="K1324" s="16"/>
      <c r="L1324" s="16"/>
      <c r="M1324" s="16"/>
      <c r="N1324" s="16"/>
      <c r="O1324" s="16"/>
      <c r="P1324" s="16"/>
      <c r="Q1324" s="16"/>
      <c r="R1324" s="16"/>
    </row>
    <row r="1325" spans="1:18" ht="18">
      <c r="A1325" s="61"/>
      <c r="B1325" s="15"/>
      <c r="C1325" s="31"/>
      <c r="D1325" s="90"/>
      <c r="E1325" s="16"/>
      <c r="F1325" s="33"/>
      <c r="G1325" s="16"/>
      <c r="H1325" s="16"/>
      <c r="I1325" s="16"/>
      <c r="J1325" s="16"/>
      <c r="K1325" s="16"/>
      <c r="L1325" s="16"/>
      <c r="M1325" s="16"/>
      <c r="N1325" s="16"/>
      <c r="O1325" s="16"/>
      <c r="P1325" s="16"/>
      <c r="Q1325" s="16"/>
      <c r="R1325" s="16"/>
    </row>
    <row r="1326" spans="1:18" ht="18">
      <c r="A1326" s="61"/>
      <c r="B1326" s="15"/>
      <c r="C1326" s="31"/>
      <c r="D1326" s="90"/>
      <c r="E1326" s="16"/>
      <c r="F1326" s="33"/>
      <c r="G1326" s="16"/>
      <c r="H1326" s="16"/>
      <c r="I1326" s="16"/>
      <c r="J1326" s="16"/>
      <c r="K1326" s="16"/>
      <c r="L1326" s="16"/>
      <c r="M1326" s="16"/>
      <c r="N1326" s="16"/>
      <c r="O1326" s="16"/>
      <c r="P1326" s="16"/>
      <c r="Q1326" s="16"/>
      <c r="R1326" s="16"/>
    </row>
    <row r="1327" spans="1:18" ht="18">
      <c r="A1327" s="61"/>
      <c r="B1327" s="15"/>
      <c r="C1327" s="31"/>
      <c r="D1327" s="90"/>
      <c r="E1327" s="16"/>
      <c r="F1327" s="33"/>
      <c r="G1327" s="16"/>
      <c r="H1327" s="16"/>
      <c r="I1327" s="16"/>
      <c r="J1327" s="16"/>
      <c r="K1327" s="16"/>
      <c r="L1327" s="16"/>
      <c r="M1327" s="16"/>
      <c r="N1327" s="16"/>
      <c r="O1327" s="16"/>
      <c r="P1327" s="16"/>
      <c r="Q1327" s="16"/>
      <c r="R1327" s="16"/>
    </row>
    <row r="1328" spans="1:18" ht="18">
      <c r="A1328" s="61"/>
      <c r="B1328" s="15"/>
      <c r="C1328" s="31"/>
      <c r="D1328" s="90"/>
      <c r="E1328" s="16"/>
      <c r="F1328" s="33"/>
      <c r="G1328" s="16"/>
      <c r="H1328" s="16"/>
      <c r="I1328" s="16"/>
      <c r="J1328" s="16"/>
      <c r="K1328" s="16"/>
      <c r="L1328" s="16"/>
      <c r="M1328" s="16"/>
      <c r="N1328" s="16"/>
      <c r="O1328" s="16"/>
      <c r="P1328" s="16"/>
      <c r="Q1328" s="16"/>
      <c r="R1328" s="16"/>
    </row>
    <row r="1329" spans="1:18" ht="18">
      <c r="A1329" s="61"/>
      <c r="B1329" s="15"/>
      <c r="C1329" s="31"/>
      <c r="D1329" s="90"/>
      <c r="E1329" s="16"/>
      <c r="F1329" s="33"/>
      <c r="G1329" s="16"/>
      <c r="H1329" s="16"/>
      <c r="I1329" s="16"/>
      <c r="J1329" s="16"/>
      <c r="K1329" s="16"/>
      <c r="L1329" s="16"/>
      <c r="M1329" s="16"/>
      <c r="N1329" s="16"/>
      <c r="O1329" s="16"/>
      <c r="P1329" s="16"/>
      <c r="Q1329" s="16"/>
      <c r="R1329" s="16"/>
    </row>
    <row r="1330" spans="1:18" ht="18">
      <c r="A1330" s="61"/>
      <c r="B1330" s="15"/>
      <c r="C1330" s="31"/>
      <c r="D1330" s="90"/>
      <c r="E1330" s="16"/>
      <c r="F1330" s="33"/>
      <c r="G1330" s="16"/>
      <c r="H1330" s="16"/>
      <c r="I1330" s="16"/>
      <c r="J1330" s="16"/>
      <c r="K1330" s="16"/>
      <c r="L1330" s="16"/>
      <c r="M1330" s="16"/>
      <c r="N1330" s="16"/>
      <c r="O1330" s="16"/>
      <c r="P1330" s="16"/>
      <c r="Q1330" s="16"/>
      <c r="R1330" s="16"/>
    </row>
    <row r="1331" spans="1:18" ht="18">
      <c r="A1331" s="61"/>
      <c r="B1331" s="15"/>
      <c r="C1331" s="31"/>
      <c r="D1331" s="90"/>
      <c r="E1331" s="16"/>
      <c r="F1331" s="33"/>
      <c r="G1331" s="16"/>
      <c r="H1331" s="16"/>
      <c r="I1331" s="16"/>
      <c r="J1331" s="16"/>
      <c r="K1331" s="16"/>
      <c r="L1331" s="16"/>
      <c r="M1331" s="16"/>
      <c r="N1331" s="16"/>
      <c r="O1331" s="16"/>
      <c r="P1331" s="16"/>
      <c r="Q1331" s="16"/>
      <c r="R1331" s="16"/>
    </row>
    <row r="1332" spans="1:18" ht="18">
      <c r="A1332" s="61"/>
      <c r="B1332" s="15"/>
      <c r="C1332" s="31"/>
      <c r="D1332" s="90"/>
      <c r="E1332" s="16"/>
      <c r="F1332" s="33"/>
      <c r="G1332" s="16"/>
      <c r="H1332" s="16"/>
      <c r="I1332" s="16"/>
      <c r="J1332" s="16"/>
      <c r="K1332" s="16"/>
      <c r="L1332" s="16"/>
      <c r="M1332" s="16"/>
      <c r="N1332" s="16"/>
      <c r="O1332" s="16"/>
      <c r="P1332" s="16"/>
      <c r="Q1332" s="16"/>
      <c r="R1332" s="16"/>
    </row>
    <row r="1333" spans="1:18" ht="18">
      <c r="A1333" s="61"/>
      <c r="B1333" s="15"/>
      <c r="C1333" s="31"/>
      <c r="D1333" s="90"/>
      <c r="E1333" s="16"/>
      <c r="F1333" s="33"/>
      <c r="G1333" s="16"/>
      <c r="H1333" s="16"/>
      <c r="I1333" s="16"/>
      <c r="J1333" s="16"/>
      <c r="K1333" s="16"/>
      <c r="L1333" s="16"/>
      <c r="M1333" s="16"/>
      <c r="N1333" s="16"/>
      <c r="O1333" s="16"/>
      <c r="P1333" s="16"/>
      <c r="Q1333" s="16"/>
      <c r="R1333" s="16"/>
    </row>
    <row r="1334" spans="1:18" ht="18">
      <c r="A1334" s="61"/>
      <c r="B1334" s="15"/>
      <c r="C1334" s="31"/>
      <c r="D1334" s="90"/>
      <c r="E1334" s="16"/>
      <c r="F1334" s="33"/>
      <c r="G1334" s="16"/>
      <c r="H1334" s="16"/>
      <c r="I1334" s="16"/>
      <c r="J1334" s="16"/>
      <c r="K1334" s="16"/>
      <c r="L1334" s="16"/>
      <c r="M1334" s="16"/>
      <c r="N1334" s="16"/>
      <c r="O1334" s="16"/>
      <c r="P1334" s="16"/>
      <c r="Q1334" s="16"/>
      <c r="R1334" s="16"/>
    </row>
    <row r="1335" spans="1:18" ht="18">
      <c r="A1335" s="61"/>
      <c r="B1335" s="15"/>
      <c r="C1335" s="31"/>
      <c r="D1335" s="90"/>
      <c r="E1335" s="16"/>
      <c r="F1335" s="33"/>
      <c r="G1335" s="16"/>
      <c r="H1335" s="16"/>
      <c r="I1335" s="16"/>
      <c r="J1335" s="16"/>
      <c r="K1335" s="16"/>
      <c r="L1335" s="16"/>
      <c r="M1335" s="16"/>
      <c r="N1335" s="16"/>
      <c r="O1335" s="16"/>
      <c r="P1335" s="16"/>
      <c r="Q1335" s="16"/>
      <c r="R1335" s="16"/>
    </row>
    <row r="1336" spans="1:18" ht="18">
      <c r="A1336" s="61"/>
      <c r="B1336" s="15"/>
      <c r="C1336" s="31"/>
      <c r="D1336" s="90"/>
      <c r="E1336" s="16"/>
      <c r="F1336" s="33"/>
      <c r="G1336" s="16"/>
      <c r="H1336" s="16"/>
      <c r="I1336" s="16"/>
      <c r="J1336" s="16"/>
      <c r="K1336" s="16"/>
      <c r="L1336" s="16"/>
      <c r="M1336" s="16"/>
      <c r="N1336" s="16"/>
      <c r="O1336" s="16"/>
      <c r="P1336" s="16"/>
      <c r="Q1336" s="16"/>
      <c r="R1336" s="16"/>
    </row>
    <row r="1337" spans="1:18" ht="18">
      <c r="A1337" s="61"/>
      <c r="B1337" s="15"/>
      <c r="C1337" s="31"/>
      <c r="D1337" s="90"/>
      <c r="E1337" s="16"/>
      <c r="F1337" s="33"/>
      <c r="G1337" s="16"/>
      <c r="H1337" s="16"/>
      <c r="I1337" s="16"/>
      <c r="J1337" s="16"/>
      <c r="K1337" s="16"/>
      <c r="L1337" s="16"/>
      <c r="M1337" s="16"/>
      <c r="N1337" s="16"/>
      <c r="O1337" s="16"/>
      <c r="P1337" s="16"/>
      <c r="Q1337" s="16"/>
      <c r="R1337" s="16"/>
    </row>
    <row r="1338" spans="1:18" ht="18">
      <c r="A1338" s="61"/>
      <c r="B1338" s="15"/>
      <c r="C1338" s="31"/>
      <c r="D1338" s="90"/>
      <c r="E1338" s="16"/>
      <c r="F1338" s="33"/>
      <c r="G1338" s="16"/>
      <c r="H1338" s="16"/>
      <c r="I1338" s="16"/>
      <c r="J1338" s="16"/>
      <c r="K1338" s="16"/>
      <c r="L1338" s="16"/>
      <c r="M1338" s="16"/>
      <c r="N1338" s="16"/>
      <c r="O1338" s="16"/>
      <c r="P1338" s="16"/>
      <c r="Q1338" s="16"/>
      <c r="R1338" s="16"/>
    </row>
    <row r="1339" spans="1:18" ht="18">
      <c r="A1339" s="61"/>
      <c r="B1339" s="15"/>
      <c r="C1339" s="31"/>
      <c r="D1339" s="90"/>
      <c r="E1339" s="16"/>
      <c r="F1339" s="33"/>
      <c r="G1339" s="16"/>
      <c r="H1339" s="16"/>
      <c r="I1339" s="16"/>
      <c r="J1339" s="16"/>
      <c r="K1339" s="16"/>
      <c r="L1339" s="16"/>
      <c r="M1339" s="16"/>
      <c r="N1339" s="16"/>
      <c r="O1339" s="16"/>
      <c r="P1339" s="16"/>
      <c r="Q1339" s="16"/>
      <c r="R1339" s="16"/>
    </row>
    <row r="1340" spans="1:18" ht="18">
      <c r="A1340" s="61"/>
      <c r="B1340" s="15"/>
      <c r="C1340" s="31"/>
      <c r="D1340" s="90"/>
      <c r="E1340" s="16"/>
      <c r="F1340" s="33"/>
      <c r="G1340" s="16"/>
      <c r="H1340" s="16"/>
      <c r="I1340" s="16"/>
      <c r="J1340" s="16"/>
      <c r="K1340" s="16"/>
      <c r="L1340" s="16"/>
      <c r="M1340" s="16"/>
      <c r="N1340" s="16"/>
      <c r="O1340" s="16"/>
      <c r="P1340" s="16"/>
      <c r="Q1340" s="16"/>
      <c r="R1340" s="16"/>
    </row>
    <row r="1341" spans="1:18" ht="18">
      <c r="A1341" s="61"/>
      <c r="B1341" s="15"/>
      <c r="C1341" s="31"/>
      <c r="D1341" s="90"/>
      <c r="E1341" s="16"/>
      <c r="F1341" s="33"/>
      <c r="G1341" s="16"/>
      <c r="H1341" s="16"/>
      <c r="I1341" s="16"/>
      <c r="J1341" s="16"/>
      <c r="K1341" s="16"/>
      <c r="L1341" s="16"/>
      <c r="M1341" s="16"/>
      <c r="N1341" s="16"/>
      <c r="O1341" s="16"/>
      <c r="P1341" s="16"/>
      <c r="Q1341" s="16"/>
      <c r="R1341" s="16"/>
    </row>
    <row r="1342" spans="1:18" ht="18">
      <c r="A1342" s="61"/>
      <c r="B1342" s="15"/>
      <c r="C1342" s="31"/>
      <c r="D1342" s="90"/>
      <c r="E1342" s="16"/>
      <c r="F1342" s="33"/>
      <c r="G1342" s="16"/>
      <c r="H1342" s="16"/>
      <c r="I1342" s="16"/>
      <c r="J1342" s="16"/>
      <c r="K1342" s="16"/>
      <c r="L1342" s="16"/>
      <c r="M1342" s="16"/>
      <c r="N1342" s="16"/>
      <c r="O1342" s="16"/>
      <c r="P1342" s="16"/>
      <c r="Q1342" s="16"/>
      <c r="R1342" s="16"/>
    </row>
    <row r="1343" spans="1:18" ht="18">
      <c r="A1343" s="61"/>
      <c r="B1343" s="15"/>
      <c r="C1343" s="31"/>
      <c r="D1343" s="90"/>
      <c r="E1343" s="16"/>
      <c r="F1343" s="33"/>
      <c r="G1343" s="16"/>
      <c r="H1343" s="16"/>
      <c r="I1343" s="16"/>
      <c r="J1343" s="16"/>
      <c r="K1343" s="16"/>
      <c r="L1343" s="16"/>
      <c r="M1343" s="16"/>
      <c r="N1343" s="16"/>
      <c r="O1343" s="16"/>
      <c r="P1343" s="16"/>
      <c r="Q1343" s="16"/>
      <c r="R1343" s="16"/>
    </row>
    <row r="1344" spans="1:18" ht="18">
      <c r="A1344" s="61"/>
      <c r="B1344" s="15"/>
      <c r="C1344" s="31"/>
      <c r="D1344" s="90"/>
      <c r="E1344" s="16"/>
      <c r="F1344" s="33"/>
      <c r="G1344" s="16"/>
      <c r="H1344" s="16"/>
      <c r="I1344" s="16"/>
      <c r="J1344" s="16"/>
      <c r="K1344" s="16"/>
      <c r="L1344" s="16"/>
      <c r="M1344" s="16"/>
      <c r="N1344" s="16"/>
      <c r="O1344" s="16"/>
      <c r="P1344" s="16"/>
      <c r="Q1344" s="16"/>
      <c r="R1344" s="16"/>
    </row>
    <row r="1345" spans="1:18" ht="18">
      <c r="A1345" s="61"/>
      <c r="B1345" s="15"/>
      <c r="C1345" s="31"/>
      <c r="D1345" s="90"/>
      <c r="E1345" s="16"/>
      <c r="F1345" s="33"/>
      <c r="G1345" s="16"/>
      <c r="H1345" s="16"/>
      <c r="I1345" s="16"/>
      <c r="J1345" s="16"/>
      <c r="K1345" s="16"/>
      <c r="L1345" s="16"/>
      <c r="M1345" s="16"/>
      <c r="N1345" s="16"/>
      <c r="O1345" s="16"/>
      <c r="P1345" s="16"/>
      <c r="Q1345" s="16"/>
      <c r="R1345" s="16"/>
    </row>
    <row r="1346" spans="1:18" ht="18">
      <c r="A1346" s="61"/>
      <c r="B1346" s="15"/>
      <c r="C1346" s="31"/>
      <c r="D1346" s="90"/>
      <c r="E1346" s="16"/>
      <c r="F1346" s="33"/>
      <c r="G1346" s="16"/>
      <c r="H1346" s="16"/>
      <c r="I1346" s="16"/>
      <c r="J1346" s="16"/>
      <c r="K1346" s="16"/>
      <c r="L1346" s="16"/>
      <c r="M1346" s="16"/>
      <c r="N1346" s="16"/>
      <c r="O1346" s="16"/>
      <c r="P1346" s="16"/>
      <c r="Q1346" s="16"/>
      <c r="R1346" s="16"/>
    </row>
    <row r="1347" spans="1:18" ht="18">
      <c r="A1347" s="61"/>
      <c r="B1347" s="15"/>
      <c r="C1347" s="31"/>
      <c r="D1347" s="90"/>
      <c r="E1347" s="16"/>
      <c r="F1347" s="33"/>
      <c r="G1347" s="16"/>
      <c r="H1347" s="16"/>
      <c r="I1347" s="16"/>
      <c r="J1347" s="16"/>
      <c r="K1347" s="16"/>
      <c r="L1347" s="16"/>
      <c r="M1347" s="16"/>
      <c r="N1347" s="16"/>
      <c r="O1347" s="16"/>
      <c r="P1347" s="16"/>
      <c r="Q1347" s="16"/>
      <c r="R1347" s="16"/>
    </row>
    <row r="1348" spans="1:18" ht="18">
      <c r="A1348" s="61"/>
      <c r="B1348" s="15"/>
      <c r="C1348" s="31"/>
      <c r="D1348" s="90"/>
      <c r="E1348" s="16"/>
      <c r="F1348" s="33"/>
      <c r="G1348" s="16"/>
      <c r="H1348" s="16"/>
      <c r="I1348" s="16"/>
      <c r="J1348" s="16"/>
      <c r="K1348" s="16"/>
      <c r="L1348" s="16"/>
      <c r="M1348" s="16"/>
      <c r="N1348" s="16"/>
      <c r="O1348" s="16"/>
      <c r="P1348" s="16"/>
      <c r="Q1348" s="16"/>
      <c r="R1348" s="16"/>
    </row>
    <row r="1349" spans="1:18" ht="18">
      <c r="A1349" s="61"/>
      <c r="B1349" s="15"/>
      <c r="C1349" s="31"/>
      <c r="D1349" s="90"/>
      <c r="E1349" s="16"/>
      <c r="F1349" s="33"/>
      <c r="G1349" s="16"/>
      <c r="H1349" s="16"/>
      <c r="I1349" s="16"/>
      <c r="J1349" s="16"/>
      <c r="K1349" s="16"/>
      <c r="L1349" s="16"/>
      <c r="M1349" s="16"/>
      <c r="N1349" s="16"/>
      <c r="O1349" s="16"/>
      <c r="P1349" s="16"/>
      <c r="Q1349" s="16"/>
      <c r="R1349" s="16"/>
    </row>
    <row r="1350" spans="1:18" ht="18">
      <c r="A1350" s="61"/>
      <c r="B1350" s="15"/>
      <c r="C1350" s="31"/>
      <c r="D1350" s="90"/>
      <c r="E1350" s="16"/>
      <c r="F1350" s="33"/>
      <c r="G1350" s="16"/>
      <c r="H1350" s="16"/>
      <c r="I1350" s="16"/>
      <c r="J1350" s="16"/>
      <c r="K1350" s="16"/>
      <c r="L1350" s="16"/>
      <c r="M1350" s="16"/>
      <c r="N1350" s="16"/>
      <c r="O1350" s="16"/>
      <c r="P1350" s="16"/>
      <c r="Q1350" s="16"/>
      <c r="R1350" s="16"/>
    </row>
    <row r="1351" spans="1:18" ht="18">
      <c r="A1351" s="61"/>
      <c r="B1351" s="15"/>
      <c r="C1351" s="31"/>
      <c r="D1351" s="90"/>
      <c r="E1351" s="16"/>
      <c r="F1351" s="33"/>
      <c r="G1351" s="16"/>
      <c r="H1351" s="16"/>
      <c r="I1351" s="16"/>
      <c r="J1351" s="16"/>
      <c r="K1351" s="16"/>
      <c r="L1351" s="16"/>
      <c r="M1351" s="16"/>
      <c r="N1351" s="16"/>
      <c r="O1351" s="16"/>
      <c r="P1351" s="16"/>
      <c r="Q1351" s="16"/>
      <c r="R1351" s="16"/>
    </row>
    <row r="1352" spans="1:18" ht="18">
      <c r="A1352" s="61"/>
      <c r="B1352" s="15"/>
      <c r="C1352" s="31"/>
      <c r="D1352" s="90"/>
      <c r="E1352" s="16"/>
      <c r="F1352" s="33"/>
      <c r="G1352" s="16"/>
      <c r="H1352" s="16"/>
      <c r="I1352" s="16"/>
      <c r="J1352" s="16"/>
      <c r="K1352" s="16"/>
      <c r="L1352" s="16"/>
      <c r="M1352" s="16"/>
      <c r="N1352" s="16"/>
      <c r="O1352" s="16"/>
      <c r="P1352" s="16"/>
      <c r="Q1352" s="16"/>
      <c r="R1352" s="16"/>
    </row>
    <row r="1353" spans="1:18" ht="18">
      <c r="A1353" s="61"/>
      <c r="B1353" s="15"/>
      <c r="C1353" s="31"/>
      <c r="D1353" s="90"/>
      <c r="E1353" s="16"/>
      <c r="F1353" s="33"/>
      <c r="G1353" s="16"/>
      <c r="H1353" s="16"/>
      <c r="I1353" s="16"/>
      <c r="J1353" s="16"/>
      <c r="K1353" s="16"/>
      <c r="L1353" s="16"/>
      <c r="M1353" s="16"/>
      <c r="N1353" s="16"/>
      <c r="O1353" s="16"/>
      <c r="P1353" s="16"/>
      <c r="Q1353" s="16"/>
      <c r="R1353" s="16"/>
    </row>
    <row r="1354" spans="1:18" ht="18">
      <c r="A1354" s="61"/>
      <c r="B1354" s="15"/>
      <c r="C1354" s="31"/>
      <c r="D1354" s="90"/>
      <c r="E1354" s="16"/>
      <c r="F1354" s="33"/>
      <c r="G1354" s="16"/>
      <c r="H1354" s="16"/>
      <c r="I1354" s="16"/>
      <c r="J1354" s="16"/>
      <c r="K1354" s="16"/>
      <c r="L1354" s="16"/>
      <c r="M1354" s="16"/>
      <c r="N1354" s="16"/>
      <c r="O1354" s="16"/>
      <c r="P1354" s="16"/>
      <c r="Q1354" s="16"/>
      <c r="R1354" s="16"/>
    </row>
    <row r="1355" spans="1:18" ht="18">
      <c r="A1355" s="61"/>
      <c r="B1355" s="15"/>
      <c r="C1355" s="31"/>
      <c r="D1355" s="90"/>
      <c r="E1355" s="16"/>
      <c r="F1355" s="33"/>
      <c r="G1355" s="16"/>
      <c r="H1355" s="16"/>
      <c r="I1355" s="16"/>
      <c r="J1355" s="16"/>
      <c r="K1355" s="16"/>
      <c r="L1355" s="16"/>
      <c r="M1355" s="16"/>
      <c r="N1355" s="16"/>
      <c r="O1355" s="16"/>
      <c r="P1355" s="16"/>
      <c r="Q1355" s="16"/>
      <c r="R1355" s="16"/>
    </row>
    <row r="1356" spans="1:18" ht="18">
      <c r="A1356" s="61"/>
      <c r="B1356" s="15"/>
      <c r="C1356" s="31"/>
      <c r="D1356" s="90"/>
      <c r="E1356" s="16"/>
      <c r="F1356" s="33"/>
      <c r="G1356" s="16"/>
      <c r="H1356" s="16"/>
      <c r="I1356" s="16"/>
      <c r="J1356" s="16"/>
      <c r="K1356" s="16"/>
      <c r="L1356" s="16"/>
      <c r="M1356" s="16"/>
      <c r="N1356" s="16"/>
      <c r="O1356" s="16"/>
      <c r="P1356" s="16"/>
      <c r="Q1356" s="16"/>
      <c r="R1356" s="16"/>
    </row>
    <row r="1357" spans="1:18" ht="18">
      <c r="A1357" s="61"/>
      <c r="B1357" s="15"/>
      <c r="C1357" s="31"/>
      <c r="D1357" s="90"/>
      <c r="E1357" s="16"/>
      <c r="F1357" s="33"/>
      <c r="G1357" s="16"/>
      <c r="H1357" s="16"/>
      <c r="I1357" s="16"/>
      <c r="J1357" s="16"/>
      <c r="K1357" s="16"/>
      <c r="L1357" s="16"/>
      <c r="M1357" s="16"/>
      <c r="N1357" s="16"/>
      <c r="O1357" s="16"/>
      <c r="P1357" s="16"/>
      <c r="Q1357" s="16"/>
      <c r="R1357" s="16"/>
    </row>
    <row r="1358" spans="1:18" ht="18">
      <c r="A1358" s="61"/>
      <c r="B1358" s="15"/>
      <c r="C1358" s="31"/>
      <c r="D1358" s="90"/>
      <c r="E1358" s="16"/>
      <c r="F1358" s="33"/>
      <c r="G1358" s="16"/>
      <c r="H1358" s="16"/>
      <c r="I1358" s="16"/>
      <c r="J1358" s="16"/>
      <c r="K1358" s="16"/>
      <c r="L1358" s="16"/>
      <c r="M1358" s="16"/>
      <c r="N1358" s="16"/>
      <c r="O1358" s="16"/>
      <c r="P1358" s="16"/>
      <c r="Q1358" s="16"/>
      <c r="R1358" s="16"/>
    </row>
    <row r="1359" spans="1:18" ht="18">
      <c r="A1359" s="61"/>
      <c r="B1359" s="15"/>
      <c r="C1359" s="31"/>
      <c r="D1359" s="90"/>
      <c r="E1359" s="16"/>
      <c r="F1359" s="33"/>
      <c r="G1359" s="16"/>
      <c r="H1359" s="16"/>
      <c r="I1359" s="16"/>
      <c r="J1359" s="16"/>
      <c r="K1359" s="16"/>
      <c r="L1359" s="16"/>
      <c r="M1359" s="16"/>
      <c r="N1359" s="16"/>
      <c r="O1359" s="16"/>
      <c r="P1359" s="16"/>
      <c r="Q1359" s="16"/>
      <c r="R1359" s="16"/>
    </row>
    <row r="1360" spans="1:18" ht="18">
      <c r="A1360" s="61"/>
      <c r="B1360" s="15"/>
      <c r="C1360" s="31"/>
      <c r="D1360" s="90"/>
      <c r="E1360" s="16"/>
      <c r="F1360" s="33"/>
      <c r="G1360" s="16"/>
      <c r="H1360" s="16"/>
      <c r="I1360" s="16"/>
      <c r="J1360" s="16"/>
      <c r="K1360" s="16"/>
      <c r="L1360" s="16"/>
      <c r="M1360" s="16"/>
      <c r="N1360" s="16"/>
      <c r="O1360" s="16"/>
      <c r="P1360" s="16"/>
      <c r="Q1360" s="16"/>
      <c r="R1360" s="16"/>
    </row>
    <row r="1361" spans="1:18" ht="18">
      <c r="A1361" s="61"/>
      <c r="B1361" s="15"/>
      <c r="C1361" s="31"/>
      <c r="D1361" s="90"/>
      <c r="E1361" s="16"/>
      <c r="F1361" s="33"/>
      <c r="G1361" s="16"/>
      <c r="H1361" s="16"/>
      <c r="I1361" s="16"/>
      <c r="J1361" s="16"/>
      <c r="K1361" s="16"/>
      <c r="L1361" s="16"/>
      <c r="M1361" s="16"/>
      <c r="N1361" s="16"/>
      <c r="O1361" s="16"/>
      <c r="P1361" s="16"/>
      <c r="Q1361" s="16"/>
      <c r="R1361" s="16"/>
    </row>
    <row r="1362" spans="1:18" ht="18">
      <c r="A1362" s="61"/>
      <c r="B1362" s="15"/>
      <c r="C1362" s="31"/>
      <c r="D1362" s="90"/>
      <c r="E1362" s="16"/>
      <c r="F1362" s="33"/>
      <c r="G1362" s="16"/>
      <c r="H1362" s="16"/>
      <c r="I1362" s="16"/>
      <c r="J1362" s="16"/>
      <c r="K1362" s="16"/>
      <c r="L1362" s="16"/>
      <c r="M1362" s="16"/>
      <c r="N1362" s="16"/>
      <c r="O1362" s="16"/>
      <c r="P1362" s="16"/>
      <c r="Q1362" s="16"/>
      <c r="R1362" s="16"/>
    </row>
    <row r="1363" spans="1:18" ht="18">
      <c r="A1363" s="61"/>
      <c r="B1363" s="15"/>
      <c r="C1363" s="31"/>
      <c r="D1363" s="90"/>
      <c r="E1363" s="16"/>
      <c r="F1363" s="33"/>
      <c r="G1363" s="16"/>
      <c r="H1363" s="16"/>
      <c r="I1363" s="16"/>
      <c r="J1363" s="16"/>
      <c r="K1363" s="16"/>
      <c r="L1363" s="16"/>
      <c r="M1363" s="16"/>
      <c r="N1363" s="16"/>
      <c r="O1363" s="16"/>
      <c r="P1363" s="16"/>
      <c r="Q1363" s="16"/>
      <c r="R1363" s="16"/>
    </row>
    <row r="1364" spans="1:18" ht="18">
      <c r="A1364" s="61"/>
      <c r="B1364" s="15"/>
      <c r="C1364" s="31"/>
      <c r="D1364" s="90"/>
      <c r="E1364" s="16"/>
      <c r="F1364" s="33"/>
      <c r="G1364" s="16"/>
      <c r="H1364" s="16"/>
      <c r="I1364" s="16"/>
      <c r="J1364" s="16"/>
      <c r="K1364" s="16"/>
      <c r="L1364" s="16"/>
      <c r="M1364" s="16"/>
      <c r="N1364" s="16"/>
      <c r="O1364" s="16"/>
      <c r="P1364" s="16"/>
      <c r="Q1364" s="16"/>
      <c r="R1364" s="16"/>
    </row>
    <row r="1365" spans="1:18" ht="18">
      <c r="A1365" s="61"/>
      <c r="B1365" s="15"/>
      <c r="C1365" s="31"/>
      <c r="D1365" s="90"/>
      <c r="E1365" s="16"/>
      <c r="F1365" s="33"/>
      <c r="G1365" s="16"/>
      <c r="H1365" s="16"/>
      <c r="I1365" s="16"/>
      <c r="J1365" s="16"/>
      <c r="K1365" s="16"/>
      <c r="L1365" s="16"/>
      <c r="M1365" s="16"/>
      <c r="N1365" s="16"/>
      <c r="O1365" s="16"/>
      <c r="P1365" s="16"/>
      <c r="Q1365" s="16"/>
      <c r="R1365" s="16"/>
    </row>
    <row r="1366" spans="1:18" ht="18">
      <c r="A1366" s="61"/>
      <c r="B1366" s="15"/>
      <c r="C1366" s="31"/>
      <c r="D1366" s="90"/>
      <c r="E1366" s="16"/>
      <c r="F1366" s="33"/>
      <c r="G1366" s="16"/>
      <c r="H1366" s="16"/>
      <c r="I1366" s="16"/>
      <c r="J1366" s="16"/>
      <c r="K1366" s="16"/>
      <c r="L1366" s="16"/>
      <c r="M1366" s="16"/>
      <c r="N1366" s="16"/>
      <c r="O1366" s="16"/>
      <c r="P1366" s="16"/>
      <c r="Q1366" s="16"/>
      <c r="R1366" s="16"/>
    </row>
    <row r="1367" spans="1:18" ht="18">
      <c r="A1367" s="61"/>
      <c r="B1367" s="15"/>
      <c r="C1367" s="31"/>
      <c r="D1367" s="90"/>
      <c r="E1367" s="16"/>
      <c r="F1367" s="33"/>
      <c r="G1367" s="16"/>
      <c r="H1367" s="16"/>
      <c r="I1367" s="16"/>
      <c r="J1367" s="16"/>
      <c r="K1367" s="16"/>
      <c r="L1367" s="16"/>
      <c r="M1367" s="16"/>
      <c r="N1367" s="16"/>
      <c r="O1367" s="16"/>
      <c r="P1367" s="16"/>
      <c r="Q1367" s="16"/>
      <c r="R1367" s="16"/>
    </row>
    <row r="1368" spans="1:18" ht="18">
      <c r="A1368" s="61"/>
      <c r="B1368" s="15"/>
      <c r="C1368" s="31"/>
      <c r="D1368" s="90"/>
      <c r="E1368" s="16"/>
      <c r="F1368" s="33"/>
      <c r="G1368" s="16"/>
      <c r="H1368" s="16"/>
      <c r="I1368" s="16"/>
      <c r="J1368" s="16"/>
      <c r="K1368" s="16"/>
      <c r="L1368" s="16"/>
      <c r="M1368" s="16"/>
      <c r="N1368" s="16"/>
      <c r="O1368" s="16"/>
      <c r="P1368" s="16"/>
      <c r="Q1368" s="16"/>
      <c r="R1368" s="16"/>
    </row>
    <row r="1369" spans="1:18" ht="18">
      <c r="A1369" s="61"/>
      <c r="B1369" s="15"/>
      <c r="C1369" s="31"/>
      <c r="D1369" s="90"/>
      <c r="E1369" s="16"/>
      <c r="F1369" s="33"/>
      <c r="G1369" s="16"/>
      <c r="H1369" s="16"/>
      <c r="I1369" s="16"/>
      <c r="J1369" s="16"/>
      <c r="K1369" s="16"/>
      <c r="L1369" s="16"/>
      <c r="M1369" s="16"/>
      <c r="N1369" s="16"/>
      <c r="O1369" s="16"/>
      <c r="P1369" s="16"/>
      <c r="Q1369" s="16"/>
      <c r="R1369" s="16"/>
    </row>
    <row r="1370" spans="1:18" ht="18">
      <c r="A1370" s="61"/>
      <c r="B1370" s="15"/>
      <c r="C1370" s="31"/>
      <c r="D1370" s="90"/>
      <c r="E1370" s="16"/>
      <c r="F1370" s="33"/>
      <c r="G1370" s="16"/>
      <c r="H1370" s="16"/>
      <c r="I1370" s="16"/>
      <c r="J1370" s="16"/>
      <c r="K1370" s="16"/>
      <c r="L1370" s="16"/>
      <c r="M1370" s="16"/>
      <c r="N1370" s="16"/>
      <c r="O1370" s="16"/>
      <c r="P1370" s="16"/>
      <c r="Q1370" s="16"/>
      <c r="R1370" s="16"/>
    </row>
    <row r="1371" spans="1:18" ht="18">
      <c r="A1371" s="61"/>
      <c r="B1371" s="15"/>
      <c r="C1371" s="31"/>
      <c r="D1371" s="90"/>
      <c r="E1371" s="16"/>
      <c r="F1371" s="33"/>
      <c r="G1371" s="16"/>
      <c r="H1371" s="16"/>
      <c r="I1371" s="16"/>
      <c r="J1371" s="16"/>
      <c r="K1371" s="16"/>
      <c r="L1371" s="16"/>
      <c r="M1371" s="16"/>
      <c r="N1371" s="16"/>
      <c r="O1371" s="16"/>
      <c r="P1371" s="16"/>
      <c r="Q1371" s="16"/>
      <c r="R1371" s="16"/>
    </row>
    <row r="1372" spans="1:18" ht="18">
      <c r="A1372" s="61"/>
      <c r="B1372" s="15"/>
      <c r="C1372" s="31"/>
      <c r="D1372" s="90"/>
      <c r="E1372" s="16"/>
      <c r="F1372" s="33"/>
      <c r="G1372" s="16"/>
      <c r="H1372" s="16"/>
      <c r="I1372" s="16"/>
      <c r="J1372" s="16"/>
      <c r="K1372" s="16"/>
      <c r="L1372" s="16"/>
      <c r="M1372" s="16"/>
      <c r="N1372" s="16"/>
      <c r="O1372" s="16"/>
      <c r="P1372" s="16"/>
      <c r="Q1372" s="16"/>
      <c r="R1372" s="16"/>
    </row>
    <row r="1373" spans="1:18" ht="18">
      <c r="A1373" s="61"/>
      <c r="B1373" s="15"/>
      <c r="C1373" s="31"/>
      <c r="D1373" s="90"/>
      <c r="E1373" s="16"/>
      <c r="F1373" s="33"/>
      <c r="G1373" s="16"/>
      <c r="H1373" s="16"/>
      <c r="I1373" s="16"/>
      <c r="J1373" s="16"/>
      <c r="K1373" s="16"/>
      <c r="L1373" s="16"/>
      <c r="M1373" s="16"/>
      <c r="N1373" s="16"/>
      <c r="O1373" s="16"/>
      <c r="P1373" s="16"/>
      <c r="Q1373" s="16"/>
      <c r="R1373" s="16"/>
    </row>
    <row r="1374" spans="1:18" ht="18">
      <c r="A1374" s="61"/>
      <c r="B1374" s="15"/>
      <c r="C1374" s="31"/>
      <c r="D1374" s="90"/>
      <c r="E1374" s="16"/>
      <c r="F1374" s="33"/>
      <c r="G1374" s="16"/>
      <c r="H1374" s="16"/>
      <c r="I1374" s="16"/>
      <c r="J1374" s="16"/>
      <c r="K1374" s="16"/>
      <c r="L1374" s="16"/>
      <c r="M1374" s="16"/>
      <c r="N1374" s="16"/>
      <c r="O1374" s="16"/>
      <c r="P1374" s="16"/>
      <c r="Q1374" s="16"/>
      <c r="R1374" s="16"/>
    </row>
    <row r="1375" spans="1:18" ht="18">
      <c r="A1375" s="61"/>
      <c r="B1375" s="15"/>
      <c r="C1375" s="31"/>
      <c r="D1375" s="90"/>
      <c r="E1375" s="16"/>
      <c r="F1375" s="33"/>
      <c r="G1375" s="16"/>
      <c r="H1375" s="16"/>
      <c r="I1375" s="16"/>
      <c r="J1375" s="16"/>
      <c r="K1375" s="16"/>
      <c r="L1375" s="16"/>
      <c r="M1375" s="16"/>
      <c r="N1375" s="16"/>
      <c r="O1375" s="16"/>
      <c r="P1375" s="16"/>
      <c r="Q1375" s="16"/>
      <c r="R1375" s="16"/>
    </row>
    <row r="1376" spans="1:18" ht="18">
      <c r="A1376" s="61"/>
      <c r="B1376" s="15"/>
      <c r="C1376" s="31"/>
      <c r="D1376" s="90"/>
      <c r="E1376" s="16"/>
      <c r="F1376" s="33"/>
      <c r="G1376" s="16"/>
      <c r="H1376" s="16"/>
      <c r="I1376" s="16"/>
      <c r="J1376" s="16"/>
      <c r="K1376" s="16"/>
      <c r="L1376" s="16"/>
      <c r="M1376" s="16"/>
      <c r="N1376" s="16"/>
      <c r="O1376" s="16"/>
      <c r="P1376" s="16"/>
      <c r="Q1376" s="16"/>
      <c r="R1376" s="16"/>
    </row>
    <row r="1377" spans="1:18" ht="18">
      <c r="A1377" s="61"/>
      <c r="B1377" s="15"/>
      <c r="C1377" s="31"/>
      <c r="D1377" s="90"/>
      <c r="E1377" s="16"/>
      <c r="F1377" s="33"/>
      <c r="G1377" s="16"/>
      <c r="H1377" s="16"/>
      <c r="I1377" s="16"/>
      <c r="J1377" s="16"/>
      <c r="K1377" s="16"/>
      <c r="L1377" s="16"/>
      <c r="M1377" s="16"/>
      <c r="N1377" s="16"/>
      <c r="O1377" s="16"/>
      <c r="P1377" s="16"/>
      <c r="Q1377" s="16"/>
      <c r="R1377" s="16"/>
    </row>
    <row r="1378" spans="1:18" ht="18">
      <c r="A1378" s="61"/>
      <c r="B1378" s="15"/>
      <c r="C1378" s="31"/>
      <c r="D1378" s="90"/>
      <c r="E1378" s="16"/>
      <c r="F1378" s="33"/>
      <c r="G1378" s="16"/>
      <c r="H1378" s="16"/>
      <c r="I1378" s="16"/>
      <c r="J1378" s="16"/>
      <c r="K1378" s="16"/>
      <c r="L1378" s="16"/>
      <c r="M1378" s="16"/>
      <c r="N1378" s="16"/>
      <c r="O1378" s="16"/>
      <c r="P1378" s="16"/>
      <c r="Q1378" s="16"/>
      <c r="R1378" s="16"/>
    </row>
    <row r="1379" spans="1:18" ht="18">
      <c r="A1379" s="61"/>
      <c r="B1379" s="15"/>
      <c r="C1379" s="31"/>
      <c r="D1379" s="90"/>
      <c r="E1379" s="16"/>
      <c r="F1379" s="33"/>
      <c r="G1379" s="16"/>
      <c r="H1379" s="16"/>
      <c r="I1379" s="16"/>
      <c r="J1379" s="16"/>
      <c r="K1379" s="16"/>
      <c r="L1379" s="16"/>
      <c r="M1379" s="16"/>
      <c r="N1379" s="16"/>
      <c r="O1379" s="16"/>
      <c r="P1379" s="16"/>
      <c r="Q1379" s="16"/>
      <c r="R1379" s="16"/>
    </row>
    <row r="1380" spans="1:18" ht="18">
      <c r="A1380" s="61"/>
      <c r="B1380" s="15"/>
      <c r="C1380" s="31"/>
      <c r="D1380" s="90"/>
      <c r="E1380" s="16"/>
      <c r="F1380" s="33"/>
      <c r="G1380" s="16"/>
      <c r="H1380" s="16"/>
      <c r="I1380" s="16"/>
      <c r="J1380" s="16"/>
      <c r="K1380" s="16"/>
      <c r="L1380" s="16"/>
      <c r="M1380" s="16"/>
      <c r="N1380" s="16"/>
      <c r="O1380" s="16"/>
      <c r="P1380" s="16"/>
      <c r="Q1380" s="16"/>
      <c r="R1380" s="16"/>
    </row>
    <row r="1381" spans="1:18" ht="18">
      <c r="A1381" s="61"/>
      <c r="B1381" s="15"/>
      <c r="C1381" s="31"/>
      <c r="D1381" s="90"/>
      <c r="E1381" s="16"/>
      <c r="F1381" s="33"/>
      <c r="G1381" s="16"/>
      <c r="H1381" s="16"/>
      <c r="I1381" s="16"/>
      <c r="J1381" s="16"/>
      <c r="K1381" s="16"/>
      <c r="L1381" s="16"/>
      <c r="M1381" s="16"/>
      <c r="N1381" s="16"/>
      <c r="O1381" s="16"/>
      <c r="P1381" s="16"/>
      <c r="Q1381" s="16"/>
      <c r="R1381" s="16"/>
    </row>
    <row r="1382" spans="1:18" ht="18">
      <c r="A1382" s="61"/>
      <c r="B1382" s="15"/>
      <c r="C1382" s="31"/>
      <c r="D1382" s="90"/>
      <c r="E1382" s="16"/>
      <c r="F1382" s="33"/>
      <c r="G1382" s="16"/>
      <c r="H1382" s="16"/>
      <c r="I1382" s="16"/>
      <c r="J1382" s="16"/>
      <c r="K1382" s="16"/>
      <c r="L1382" s="16"/>
      <c r="M1382" s="16"/>
      <c r="N1382" s="16"/>
      <c r="O1382" s="16"/>
      <c r="P1382" s="16"/>
      <c r="Q1382" s="16"/>
      <c r="R1382" s="16"/>
    </row>
    <row r="1383" spans="1:18" ht="18">
      <c r="A1383" s="61"/>
      <c r="B1383" s="15"/>
      <c r="C1383" s="31"/>
      <c r="D1383" s="90"/>
      <c r="E1383" s="16"/>
      <c r="F1383" s="33"/>
      <c r="G1383" s="16"/>
      <c r="H1383" s="16"/>
      <c r="I1383" s="16"/>
      <c r="J1383" s="16"/>
      <c r="K1383" s="16"/>
      <c r="L1383" s="16"/>
      <c r="M1383" s="16"/>
      <c r="N1383" s="16"/>
      <c r="O1383" s="16"/>
      <c r="P1383" s="16"/>
      <c r="Q1383" s="16"/>
      <c r="R1383" s="16"/>
    </row>
    <row r="1384" spans="1:18" ht="18">
      <c r="A1384" s="61"/>
      <c r="B1384" s="15"/>
      <c r="C1384" s="31"/>
      <c r="D1384" s="90"/>
      <c r="E1384" s="16"/>
      <c r="F1384" s="33"/>
      <c r="G1384" s="16"/>
      <c r="H1384" s="16"/>
      <c r="I1384" s="16"/>
      <c r="J1384" s="16"/>
      <c r="K1384" s="16"/>
      <c r="L1384" s="16"/>
      <c r="M1384" s="16"/>
      <c r="N1384" s="16"/>
      <c r="O1384" s="16"/>
      <c r="P1384" s="16"/>
      <c r="Q1384" s="16"/>
      <c r="R1384" s="16"/>
    </row>
    <row r="1385" spans="1:18" ht="18">
      <c r="A1385" s="61"/>
      <c r="B1385" s="15"/>
      <c r="C1385" s="31"/>
      <c r="D1385" s="90"/>
      <c r="E1385" s="16"/>
      <c r="F1385" s="33"/>
      <c r="G1385" s="16"/>
      <c r="H1385" s="16"/>
      <c r="I1385" s="16"/>
      <c r="J1385" s="16"/>
      <c r="K1385" s="16"/>
      <c r="L1385" s="16"/>
      <c r="M1385" s="16"/>
      <c r="N1385" s="16"/>
      <c r="O1385" s="16"/>
      <c r="P1385" s="16"/>
      <c r="Q1385" s="16"/>
      <c r="R1385" s="16"/>
    </row>
    <row r="1386" spans="1:18" ht="18">
      <c r="A1386" s="61"/>
      <c r="B1386" s="15"/>
      <c r="C1386" s="31"/>
      <c r="D1386" s="90"/>
      <c r="E1386" s="16"/>
      <c r="F1386" s="33"/>
      <c r="G1386" s="16"/>
      <c r="H1386" s="16"/>
      <c r="I1386" s="16"/>
      <c r="J1386" s="16"/>
      <c r="K1386" s="16"/>
      <c r="L1386" s="16"/>
      <c r="M1386" s="16"/>
      <c r="N1386" s="16"/>
      <c r="O1386" s="16"/>
      <c r="P1386" s="16"/>
      <c r="Q1386" s="16"/>
      <c r="R1386" s="16"/>
    </row>
    <row r="1387" spans="1:18" ht="18">
      <c r="A1387" s="61"/>
      <c r="B1387" s="15"/>
      <c r="C1387" s="31"/>
      <c r="D1387" s="90"/>
      <c r="E1387" s="16"/>
      <c r="F1387" s="33"/>
      <c r="G1387" s="16"/>
      <c r="H1387" s="16"/>
      <c r="I1387" s="16"/>
      <c r="J1387" s="16"/>
      <c r="K1387" s="16"/>
      <c r="L1387" s="16"/>
      <c r="M1387" s="16"/>
      <c r="N1387" s="16"/>
      <c r="O1387" s="16"/>
      <c r="P1387" s="16"/>
      <c r="Q1387" s="16"/>
      <c r="R1387" s="16"/>
    </row>
    <row r="1388" spans="1:18" ht="18">
      <c r="A1388" s="61"/>
      <c r="B1388" s="15"/>
      <c r="C1388" s="31"/>
      <c r="D1388" s="90"/>
      <c r="E1388" s="16"/>
      <c r="F1388" s="33"/>
      <c r="G1388" s="16"/>
      <c r="H1388" s="16"/>
      <c r="I1388" s="16"/>
      <c r="J1388" s="16"/>
      <c r="K1388" s="16"/>
      <c r="L1388" s="16"/>
      <c r="M1388" s="16"/>
      <c r="N1388" s="16"/>
      <c r="O1388" s="16"/>
      <c r="P1388" s="16"/>
      <c r="Q1388" s="16"/>
      <c r="R1388" s="16"/>
    </row>
    <row r="1389" spans="1:18" ht="18">
      <c r="A1389" s="61"/>
      <c r="B1389" s="15"/>
      <c r="C1389" s="31"/>
      <c r="D1389" s="90"/>
      <c r="E1389" s="16"/>
      <c r="F1389" s="33"/>
      <c r="G1389" s="16"/>
      <c r="H1389" s="16"/>
      <c r="I1389" s="16"/>
      <c r="J1389" s="16"/>
      <c r="K1389" s="16"/>
      <c r="L1389" s="16"/>
      <c r="M1389" s="16"/>
      <c r="N1389" s="16"/>
      <c r="O1389" s="16"/>
      <c r="P1389" s="16"/>
      <c r="Q1389" s="16"/>
      <c r="R1389" s="16"/>
    </row>
    <row r="1390" spans="1:18" ht="18">
      <c r="A1390" s="61"/>
      <c r="B1390" s="15"/>
      <c r="C1390" s="31"/>
      <c r="D1390" s="90"/>
      <c r="E1390" s="16"/>
      <c r="F1390" s="33"/>
      <c r="G1390" s="16"/>
      <c r="H1390" s="16"/>
      <c r="I1390" s="16"/>
      <c r="J1390" s="16"/>
      <c r="K1390" s="16"/>
      <c r="L1390" s="16"/>
      <c r="M1390" s="16"/>
      <c r="N1390" s="16"/>
      <c r="O1390" s="16"/>
      <c r="P1390" s="16"/>
      <c r="Q1390" s="16"/>
      <c r="R1390" s="16"/>
    </row>
    <row r="1391" spans="1:18" ht="18">
      <c r="A1391" s="61"/>
      <c r="B1391" s="15"/>
      <c r="C1391" s="31"/>
      <c r="D1391" s="90"/>
      <c r="E1391" s="16"/>
      <c r="F1391" s="33"/>
      <c r="G1391" s="16"/>
      <c r="H1391" s="16"/>
      <c r="I1391" s="16"/>
      <c r="J1391" s="16"/>
      <c r="K1391" s="16"/>
      <c r="L1391" s="16"/>
      <c r="M1391" s="16"/>
      <c r="N1391" s="16"/>
      <c r="O1391" s="16"/>
      <c r="P1391" s="16"/>
      <c r="Q1391" s="16"/>
      <c r="R1391" s="16"/>
    </row>
    <row r="1392" spans="1:18" ht="18">
      <c r="A1392" s="61"/>
      <c r="B1392" s="15"/>
      <c r="C1392" s="31"/>
      <c r="D1392" s="90"/>
      <c r="E1392" s="16"/>
      <c r="F1392" s="33"/>
      <c r="G1392" s="16"/>
      <c r="H1392" s="16"/>
      <c r="I1392" s="16"/>
      <c r="J1392" s="16"/>
      <c r="K1392" s="16"/>
      <c r="L1392" s="16"/>
      <c r="M1392" s="16"/>
      <c r="N1392" s="16"/>
      <c r="O1392" s="16"/>
      <c r="P1392" s="16"/>
      <c r="Q1392" s="16"/>
      <c r="R1392" s="16"/>
    </row>
    <row r="1393" spans="1:18" ht="18">
      <c r="A1393" s="61"/>
      <c r="B1393" s="15"/>
      <c r="C1393" s="31"/>
      <c r="D1393" s="90"/>
      <c r="E1393" s="16"/>
      <c r="F1393" s="33"/>
      <c r="G1393" s="16"/>
      <c r="H1393" s="16"/>
      <c r="I1393" s="16"/>
      <c r="J1393" s="16"/>
      <c r="K1393" s="16"/>
      <c r="L1393" s="16"/>
      <c r="M1393" s="16"/>
      <c r="N1393" s="16"/>
      <c r="O1393" s="16"/>
      <c r="P1393" s="16"/>
      <c r="Q1393" s="16"/>
      <c r="R1393" s="16"/>
    </row>
    <row r="1394" spans="1:18" ht="18">
      <c r="A1394" s="61"/>
      <c r="B1394" s="15"/>
      <c r="C1394" s="31"/>
      <c r="D1394" s="90"/>
      <c r="E1394" s="16"/>
      <c r="F1394" s="33"/>
      <c r="G1394" s="16"/>
      <c r="H1394" s="16"/>
      <c r="I1394" s="16"/>
      <c r="J1394" s="16"/>
      <c r="K1394" s="16"/>
      <c r="L1394" s="16"/>
      <c r="M1394" s="16"/>
      <c r="N1394" s="16"/>
      <c r="O1394" s="16"/>
      <c r="P1394" s="16"/>
      <c r="Q1394" s="16"/>
      <c r="R1394" s="16"/>
    </row>
    <row r="1395" spans="1:18" ht="18">
      <c r="A1395" s="61"/>
      <c r="B1395" s="15"/>
      <c r="C1395" s="31"/>
      <c r="D1395" s="90"/>
      <c r="E1395" s="16"/>
      <c r="F1395" s="33"/>
      <c r="G1395" s="16"/>
      <c r="H1395" s="16"/>
      <c r="I1395" s="16"/>
      <c r="J1395" s="16"/>
      <c r="K1395" s="16"/>
      <c r="L1395" s="16"/>
      <c r="M1395" s="16"/>
      <c r="N1395" s="16"/>
      <c r="O1395" s="16"/>
      <c r="P1395" s="16"/>
      <c r="Q1395" s="16"/>
      <c r="R1395" s="16"/>
    </row>
    <row r="1396" spans="1:18" ht="18">
      <c r="A1396" s="61"/>
      <c r="B1396" s="15"/>
      <c r="C1396" s="31"/>
      <c r="D1396" s="90"/>
      <c r="E1396" s="16"/>
      <c r="F1396" s="33"/>
      <c r="G1396" s="16"/>
      <c r="H1396" s="16"/>
      <c r="I1396" s="16"/>
      <c r="J1396" s="16"/>
      <c r="K1396" s="16"/>
      <c r="L1396" s="16"/>
      <c r="M1396" s="16"/>
      <c r="N1396" s="16"/>
      <c r="O1396" s="16"/>
      <c r="P1396" s="16"/>
      <c r="Q1396" s="16"/>
      <c r="R1396" s="16"/>
    </row>
    <row r="1397" spans="1:18" ht="18">
      <c r="A1397" s="61"/>
      <c r="B1397" s="15"/>
      <c r="C1397" s="31"/>
      <c r="D1397" s="90"/>
      <c r="E1397" s="16"/>
      <c r="F1397" s="33"/>
      <c r="G1397" s="16"/>
      <c r="H1397" s="16"/>
      <c r="I1397" s="16"/>
      <c r="J1397" s="16"/>
      <c r="K1397" s="16"/>
      <c r="L1397" s="16"/>
      <c r="M1397" s="16"/>
      <c r="N1397" s="16"/>
      <c r="O1397" s="16"/>
      <c r="P1397" s="16"/>
      <c r="Q1397" s="16"/>
      <c r="R1397" s="16"/>
    </row>
    <row r="1398" spans="1:18" ht="18">
      <c r="A1398" s="61"/>
      <c r="B1398" s="15"/>
      <c r="C1398" s="31"/>
      <c r="D1398" s="90"/>
      <c r="E1398" s="16"/>
      <c r="F1398" s="33"/>
      <c r="G1398" s="16"/>
      <c r="H1398" s="16"/>
      <c r="I1398" s="16"/>
      <c r="J1398" s="16"/>
      <c r="K1398" s="16"/>
      <c r="L1398" s="16"/>
      <c r="M1398" s="16"/>
      <c r="N1398" s="16"/>
      <c r="O1398" s="16"/>
      <c r="P1398" s="16"/>
      <c r="Q1398" s="16"/>
      <c r="R1398" s="16"/>
    </row>
    <row r="1399" spans="1:18" ht="18">
      <c r="A1399" s="61"/>
      <c r="B1399" s="15"/>
      <c r="C1399" s="31"/>
      <c r="D1399" s="90"/>
      <c r="E1399" s="16"/>
      <c r="F1399" s="33"/>
      <c r="G1399" s="16"/>
      <c r="H1399" s="16"/>
      <c r="I1399" s="16"/>
      <c r="J1399" s="16"/>
      <c r="K1399" s="16"/>
      <c r="L1399" s="16"/>
      <c r="M1399" s="16"/>
      <c r="N1399" s="16"/>
      <c r="O1399" s="16"/>
      <c r="P1399" s="16"/>
      <c r="Q1399" s="16"/>
      <c r="R1399" s="16"/>
    </row>
    <row r="1400" spans="1:18" ht="18">
      <c r="A1400" s="61"/>
      <c r="B1400" s="15"/>
      <c r="C1400" s="31"/>
      <c r="D1400" s="90"/>
      <c r="E1400" s="16"/>
      <c r="F1400" s="33"/>
      <c r="G1400" s="16"/>
      <c r="H1400" s="16"/>
      <c r="I1400" s="16"/>
      <c r="J1400" s="16"/>
      <c r="K1400" s="16"/>
      <c r="L1400" s="16"/>
      <c r="M1400" s="16"/>
      <c r="N1400" s="16"/>
      <c r="O1400" s="16"/>
      <c r="P1400" s="16"/>
      <c r="Q1400" s="16"/>
      <c r="R1400" s="16"/>
    </row>
    <row r="1401" spans="1:18" ht="18">
      <c r="A1401" s="61"/>
      <c r="B1401" s="15"/>
      <c r="C1401" s="31"/>
      <c r="D1401" s="90"/>
      <c r="E1401" s="16"/>
      <c r="F1401" s="33"/>
      <c r="G1401" s="16"/>
      <c r="H1401" s="16"/>
      <c r="I1401" s="16"/>
      <c r="J1401" s="16"/>
      <c r="K1401" s="16"/>
      <c r="L1401" s="16"/>
      <c r="M1401" s="16"/>
      <c r="N1401" s="16"/>
      <c r="O1401" s="16"/>
      <c r="P1401" s="16"/>
      <c r="Q1401" s="16"/>
      <c r="R1401" s="16"/>
    </row>
    <row r="1402" spans="1:18" ht="18">
      <c r="A1402" s="61"/>
      <c r="B1402" s="15"/>
      <c r="C1402" s="31"/>
      <c r="D1402" s="90"/>
      <c r="E1402" s="16"/>
      <c r="F1402" s="33"/>
      <c r="G1402" s="16"/>
      <c r="H1402" s="16"/>
      <c r="I1402" s="16"/>
      <c r="J1402" s="16"/>
      <c r="K1402" s="16"/>
      <c r="L1402" s="16"/>
      <c r="M1402" s="16"/>
      <c r="N1402" s="16"/>
      <c r="O1402" s="16"/>
      <c r="P1402" s="16"/>
      <c r="Q1402" s="16"/>
      <c r="R1402" s="16"/>
    </row>
    <row r="1403" spans="1:18" ht="18">
      <c r="A1403" s="61"/>
      <c r="B1403" s="15"/>
      <c r="C1403" s="31"/>
      <c r="D1403" s="90"/>
      <c r="E1403" s="16"/>
      <c r="F1403" s="33"/>
      <c r="G1403" s="16"/>
      <c r="H1403" s="16"/>
      <c r="I1403" s="16"/>
      <c r="J1403" s="16"/>
      <c r="K1403" s="16"/>
      <c r="L1403" s="16"/>
      <c r="M1403" s="16"/>
      <c r="N1403" s="16"/>
      <c r="O1403" s="16"/>
      <c r="P1403" s="16"/>
      <c r="Q1403" s="16"/>
      <c r="R1403" s="16"/>
    </row>
    <row r="1404" spans="1:18" ht="18">
      <c r="A1404" s="61"/>
      <c r="B1404" s="15"/>
      <c r="C1404" s="31"/>
      <c r="D1404" s="90"/>
      <c r="E1404" s="16"/>
      <c r="F1404" s="33"/>
      <c r="G1404" s="16"/>
      <c r="H1404" s="16"/>
      <c r="I1404" s="16"/>
      <c r="J1404" s="16"/>
      <c r="K1404" s="16"/>
      <c r="L1404" s="16"/>
      <c r="M1404" s="16"/>
      <c r="N1404" s="16"/>
      <c r="O1404" s="16"/>
      <c r="P1404" s="16"/>
      <c r="Q1404" s="16"/>
      <c r="R1404" s="16"/>
    </row>
    <row r="1405" spans="1:18" ht="18">
      <c r="A1405" s="61"/>
      <c r="B1405" s="15"/>
      <c r="C1405" s="31"/>
      <c r="D1405" s="90"/>
      <c r="E1405" s="16"/>
      <c r="F1405" s="33"/>
      <c r="G1405" s="16"/>
      <c r="H1405" s="16"/>
      <c r="I1405" s="16"/>
      <c r="J1405" s="16"/>
      <c r="K1405" s="16"/>
      <c r="L1405" s="16"/>
      <c r="M1405" s="16"/>
      <c r="N1405" s="16"/>
      <c r="O1405" s="16"/>
      <c r="P1405" s="16"/>
      <c r="Q1405" s="16"/>
      <c r="R1405" s="16"/>
    </row>
    <row r="1406" spans="1:18" ht="18">
      <c r="A1406" s="61"/>
      <c r="B1406" s="15"/>
      <c r="C1406" s="31"/>
      <c r="D1406" s="90"/>
      <c r="E1406" s="16"/>
      <c r="F1406" s="33"/>
      <c r="G1406" s="16"/>
      <c r="H1406" s="16"/>
      <c r="I1406" s="16"/>
      <c r="J1406" s="16"/>
      <c r="K1406" s="16"/>
      <c r="L1406" s="16"/>
      <c r="M1406" s="16"/>
      <c r="N1406" s="16"/>
      <c r="O1406" s="16"/>
      <c r="P1406" s="16"/>
      <c r="Q1406" s="16"/>
      <c r="R1406" s="16"/>
    </row>
    <row r="1407" spans="1:18" ht="18">
      <c r="A1407" s="61"/>
      <c r="B1407" s="15"/>
      <c r="C1407" s="31"/>
      <c r="D1407" s="90"/>
      <c r="E1407" s="16"/>
      <c r="F1407" s="33"/>
      <c r="G1407" s="16"/>
      <c r="H1407" s="16"/>
      <c r="I1407" s="16"/>
      <c r="J1407" s="16"/>
      <c r="K1407" s="16"/>
      <c r="L1407" s="16"/>
      <c r="M1407" s="16"/>
      <c r="N1407" s="16"/>
      <c r="O1407" s="16"/>
      <c r="P1407" s="16"/>
      <c r="Q1407" s="16"/>
      <c r="R1407" s="16"/>
    </row>
    <row r="1408" spans="1:18" ht="18">
      <c r="A1408" s="61"/>
      <c r="B1408" s="15"/>
      <c r="C1408" s="31"/>
      <c r="D1408" s="90"/>
      <c r="E1408" s="16"/>
      <c r="F1408" s="33"/>
      <c r="G1408" s="16"/>
      <c r="H1408" s="16"/>
      <c r="I1408" s="16"/>
      <c r="J1408" s="16"/>
      <c r="K1408" s="16"/>
      <c r="L1408" s="16"/>
      <c r="M1408" s="16"/>
      <c r="N1408" s="16"/>
      <c r="O1408" s="16"/>
      <c r="P1408" s="16"/>
      <c r="Q1408" s="16"/>
      <c r="R1408" s="16"/>
    </row>
    <row r="1409" spans="1:18" ht="18">
      <c r="A1409" s="61"/>
      <c r="B1409" s="15"/>
      <c r="C1409" s="31"/>
      <c r="D1409" s="90"/>
      <c r="E1409" s="16"/>
      <c r="F1409" s="33"/>
      <c r="G1409" s="16"/>
      <c r="H1409" s="16"/>
      <c r="I1409" s="16"/>
      <c r="J1409" s="16"/>
      <c r="K1409" s="16"/>
      <c r="L1409" s="16"/>
      <c r="M1409" s="16"/>
      <c r="N1409" s="16"/>
      <c r="O1409" s="16"/>
      <c r="P1409" s="16"/>
      <c r="Q1409" s="16"/>
      <c r="R1409" s="16"/>
    </row>
    <row r="1410" spans="1:18" ht="18">
      <c r="A1410" s="61"/>
      <c r="B1410" s="15"/>
      <c r="C1410" s="31"/>
      <c r="D1410" s="90"/>
      <c r="E1410" s="16"/>
      <c r="F1410" s="33"/>
      <c r="G1410" s="16"/>
      <c r="H1410" s="16"/>
      <c r="I1410" s="16"/>
      <c r="J1410" s="16"/>
      <c r="K1410" s="16"/>
      <c r="L1410" s="16"/>
      <c r="M1410" s="16"/>
      <c r="N1410" s="16"/>
      <c r="O1410" s="16"/>
      <c r="P1410" s="16"/>
      <c r="Q1410" s="16"/>
      <c r="R1410" s="16"/>
    </row>
    <row r="1411" spans="1:18" ht="18">
      <c r="A1411" s="61"/>
      <c r="B1411" s="15"/>
      <c r="C1411" s="31"/>
      <c r="D1411" s="90"/>
      <c r="E1411" s="16"/>
      <c r="F1411" s="33"/>
      <c r="G1411" s="16"/>
      <c r="H1411" s="16"/>
      <c r="I1411" s="16"/>
      <c r="J1411" s="16"/>
      <c r="K1411" s="16"/>
      <c r="L1411" s="16"/>
      <c r="M1411" s="16"/>
      <c r="N1411" s="16"/>
      <c r="O1411" s="16"/>
      <c r="P1411" s="16"/>
      <c r="Q1411" s="16"/>
      <c r="R1411" s="16"/>
    </row>
    <row r="1412" spans="1:18" ht="18">
      <c r="A1412" s="61"/>
      <c r="B1412" s="15"/>
      <c r="C1412" s="31"/>
      <c r="D1412" s="90"/>
      <c r="E1412" s="16"/>
      <c r="F1412" s="33"/>
      <c r="G1412" s="16"/>
      <c r="H1412" s="16"/>
      <c r="I1412" s="16"/>
      <c r="J1412" s="16"/>
      <c r="K1412" s="16"/>
      <c r="L1412" s="16"/>
      <c r="M1412" s="16"/>
      <c r="N1412" s="16"/>
      <c r="O1412" s="16"/>
      <c r="P1412" s="16"/>
      <c r="Q1412" s="16"/>
      <c r="R1412" s="16"/>
    </row>
    <row r="1413" spans="1:18" ht="18">
      <c r="A1413" s="61"/>
      <c r="B1413" s="15"/>
      <c r="C1413" s="31"/>
      <c r="D1413" s="90"/>
      <c r="E1413" s="16"/>
      <c r="F1413" s="33"/>
      <c r="G1413" s="16"/>
      <c r="H1413" s="16"/>
      <c r="I1413" s="16"/>
      <c r="J1413" s="16"/>
      <c r="K1413" s="16"/>
      <c r="L1413" s="16"/>
      <c r="M1413" s="16"/>
      <c r="N1413" s="16"/>
      <c r="O1413" s="16"/>
      <c r="P1413" s="16"/>
      <c r="Q1413" s="16"/>
      <c r="R1413" s="16"/>
    </row>
    <row r="1414" spans="1:18" ht="18">
      <c r="A1414" s="61"/>
      <c r="B1414" s="15"/>
      <c r="C1414" s="31"/>
      <c r="D1414" s="90"/>
      <c r="E1414" s="16"/>
      <c r="F1414" s="33"/>
      <c r="G1414" s="16"/>
      <c r="H1414" s="16"/>
      <c r="I1414" s="16"/>
      <c r="J1414" s="16"/>
      <c r="K1414" s="16"/>
      <c r="L1414" s="16"/>
      <c r="M1414" s="16"/>
      <c r="N1414" s="16"/>
      <c r="O1414" s="16"/>
      <c r="P1414" s="16"/>
      <c r="Q1414" s="16"/>
      <c r="R1414" s="16"/>
    </row>
    <row r="1415" spans="1:18" ht="18">
      <c r="A1415" s="61"/>
      <c r="B1415" s="15"/>
      <c r="C1415" s="31"/>
      <c r="D1415" s="90"/>
      <c r="E1415" s="16"/>
      <c r="F1415" s="33"/>
      <c r="G1415" s="16"/>
      <c r="H1415" s="16"/>
      <c r="I1415" s="16"/>
      <c r="J1415" s="16"/>
      <c r="K1415" s="16"/>
      <c r="L1415" s="16"/>
      <c r="M1415" s="16"/>
      <c r="N1415" s="16"/>
      <c r="O1415" s="16"/>
      <c r="P1415" s="16"/>
      <c r="Q1415" s="16"/>
      <c r="R1415" s="16"/>
    </row>
    <row r="1416" spans="1:18" ht="18">
      <c r="A1416" s="61"/>
      <c r="B1416" s="15"/>
      <c r="C1416" s="31"/>
      <c r="D1416" s="90"/>
      <c r="E1416" s="16"/>
      <c r="F1416" s="33"/>
      <c r="G1416" s="16"/>
      <c r="H1416" s="16"/>
      <c r="I1416" s="16"/>
      <c r="J1416" s="16"/>
      <c r="K1416" s="16"/>
      <c r="L1416" s="16"/>
      <c r="M1416" s="16"/>
      <c r="N1416" s="16"/>
      <c r="O1416" s="16"/>
      <c r="P1416" s="16"/>
      <c r="Q1416" s="16"/>
      <c r="R1416" s="16"/>
    </row>
    <row r="1417" spans="1:18" ht="18">
      <c r="A1417" s="61"/>
      <c r="B1417" s="15"/>
      <c r="C1417" s="31"/>
      <c r="D1417" s="90"/>
      <c r="E1417" s="16"/>
      <c r="F1417" s="33"/>
      <c r="G1417" s="16"/>
      <c r="H1417" s="16"/>
      <c r="I1417" s="16"/>
      <c r="J1417" s="16"/>
      <c r="K1417" s="16"/>
      <c r="L1417" s="16"/>
      <c r="M1417" s="16"/>
      <c r="N1417" s="16"/>
      <c r="O1417" s="16"/>
      <c r="P1417" s="16"/>
      <c r="Q1417" s="16"/>
      <c r="R1417" s="16"/>
    </row>
    <row r="1418" spans="1:18" ht="18">
      <c r="A1418" s="61"/>
      <c r="B1418" s="15"/>
      <c r="C1418" s="31"/>
      <c r="D1418" s="90"/>
      <c r="E1418" s="16"/>
      <c r="F1418" s="33"/>
      <c r="G1418" s="16"/>
      <c r="H1418" s="16"/>
      <c r="I1418" s="16"/>
      <c r="J1418" s="16"/>
      <c r="K1418" s="16"/>
      <c r="L1418" s="16"/>
      <c r="M1418" s="16"/>
      <c r="N1418" s="16"/>
      <c r="O1418" s="16"/>
      <c r="P1418" s="16"/>
      <c r="Q1418" s="16"/>
      <c r="R1418" s="16"/>
    </row>
    <row r="1419" spans="1:18" ht="18">
      <c r="A1419" s="61"/>
      <c r="B1419" s="15"/>
      <c r="C1419" s="31"/>
      <c r="D1419" s="90"/>
      <c r="E1419" s="16"/>
      <c r="F1419" s="33"/>
      <c r="G1419" s="16"/>
      <c r="H1419" s="16"/>
      <c r="I1419" s="16"/>
      <c r="J1419" s="16"/>
      <c r="K1419" s="16"/>
      <c r="L1419" s="16"/>
      <c r="M1419" s="16"/>
      <c r="N1419" s="16"/>
      <c r="O1419" s="16"/>
      <c r="P1419" s="16"/>
      <c r="Q1419" s="16"/>
      <c r="R1419" s="16"/>
    </row>
    <row r="1420" spans="1:18" ht="18">
      <c r="A1420" s="61"/>
      <c r="B1420" s="15"/>
      <c r="C1420" s="31"/>
      <c r="D1420" s="90"/>
      <c r="E1420" s="16"/>
      <c r="F1420" s="33"/>
      <c r="G1420" s="16"/>
      <c r="H1420" s="16"/>
      <c r="I1420" s="16"/>
      <c r="J1420" s="16"/>
      <c r="K1420" s="16"/>
      <c r="L1420" s="16"/>
      <c r="M1420" s="16"/>
      <c r="N1420" s="16"/>
      <c r="O1420" s="16"/>
      <c r="P1420" s="16"/>
      <c r="Q1420" s="16"/>
      <c r="R1420" s="16"/>
    </row>
    <row r="1421" spans="1:18" ht="18">
      <c r="A1421" s="61"/>
      <c r="B1421" s="15"/>
      <c r="C1421" s="31"/>
      <c r="D1421" s="90"/>
      <c r="E1421" s="16"/>
      <c r="F1421" s="33"/>
      <c r="G1421" s="16"/>
      <c r="H1421" s="16"/>
      <c r="I1421" s="16"/>
      <c r="J1421" s="16"/>
      <c r="K1421" s="16"/>
      <c r="L1421" s="16"/>
      <c r="M1421" s="16"/>
      <c r="N1421" s="16"/>
      <c r="O1421" s="16"/>
      <c r="P1421" s="16"/>
      <c r="Q1421" s="16"/>
      <c r="R1421" s="16"/>
    </row>
    <row r="1422" spans="1:18" ht="18">
      <c r="A1422" s="61"/>
      <c r="B1422" s="15"/>
      <c r="C1422" s="31"/>
      <c r="D1422" s="90"/>
      <c r="E1422" s="16"/>
      <c r="F1422" s="33"/>
      <c r="G1422" s="16"/>
      <c r="H1422" s="16"/>
      <c r="I1422" s="16"/>
      <c r="J1422" s="16"/>
      <c r="K1422" s="16"/>
      <c r="L1422" s="16"/>
      <c r="M1422" s="16"/>
      <c r="N1422" s="16"/>
      <c r="O1422" s="16"/>
      <c r="P1422" s="16"/>
      <c r="Q1422" s="16"/>
      <c r="R1422" s="16"/>
    </row>
    <row r="1423" spans="1:18" ht="18">
      <c r="A1423" s="61"/>
      <c r="B1423" s="15"/>
      <c r="C1423" s="31"/>
      <c r="D1423" s="90"/>
      <c r="E1423" s="16"/>
      <c r="F1423" s="33"/>
      <c r="G1423" s="16"/>
      <c r="H1423" s="16"/>
      <c r="I1423" s="16"/>
      <c r="J1423" s="16"/>
      <c r="K1423" s="16"/>
      <c r="L1423" s="16"/>
      <c r="M1423" s="16"/>
      <c r="N1423" s="16"/>
      <c r="O1423" s="16"/>
      <c r="P1423" s="16"/>
      <c r="Q1423" s="16"/>
      <c r="R1423" s="16"/>
    </row>
    <row r="1424" spans="1:18" ht="18">
      <c r="A1424" s="61"/>
      <c r="B1424" s="15"/>
      <c r="C1424" s="31"/>
      <c r="D1424" s="90"/>
      <c r="E1424" s="16"/>
      <c r="F1424" s="33"/>
      <c r="G1424" s="16"/>
      <c r="H1424" s="16"/>
      <c r="I1424" s="16"/>
      <c r="J1424" s="16"/>
      <c r="K1424" s="16"/>
      <c r="L1424" s="16"/>
      <c r="M1424" s="16"/>
      <c r="N1424" s="16"/>
      <c r="O1424" s="16"/>
      <c r="P1424" s="16"/>
      <c r="Q1424" s="16"/>
      <c r="R1424" s="16"/>
    </row>
    <row r="1425" spans="1:18" ht="18">
      <c r="A1425" s="61"/>
      <c r="B1425" s="15"/>
      <c r="C1425" s="31"/>
      <c r="D1425" s="90"/>
      <c r="E1425" s="16"/>
      <c r="F1425" s="33"/>
      <c r="G1425" s="16"/>
      <c r="H1425" s="16"/>
      <c r="I1425" s="16"/>
      <c r="J1425" s="16"/>
      <c r="K1425" s="16"/>
      <c r="L1425" s="16"/>
      <c r="M1425" s="16"/>
      <c r="N1425" s="16"/>
      <c r="O1425" s="16"/>
      <c r="P1425" s="16"/>
      <c r="Q1425" s="16"/>
      <c r="R1425" s="16"/>
    </row>
    <row r="1426" spans="1:18" ht="18">
      <c r="A1426" s="61"/>
      <c r="B1426" s="15"/>
      <c r="C1426" s="31"/>
      <c r="D1426" s="90"/>
      <c r="E1426" s="16"/>
      <c r="F1426" s="33"/>
      <c r="G1426" s="16"/>
      <c r="H1426" s="16"/>
      <c r="I1426" s="16"/>
      <c r="J1426" s="16"/>
      <c r="K1426" s="16"/>
      <c r="L1426" s="16"/>
      <c r="M1426" s="16"/>
      <c r="N1426" s="16"/>
      <c r="O1426" s="16"/>
      <c r="P1426" s="16"/>
      <c r="Q1426" s="16"/>
      <c r="R1426" s="16"/>
    </row>
    <row r="1427" spans="1:18" ht="18">
      <c r="A1427" s="61"/>
      <c r="B1427" s="15"/>
      <c r="C1427" s="31"/>
      <c r="D1427" s="90"/>
      <c r="E1427" s="16"/>
      <c r="F1427" s="33"/>
      <c r="G1427" s="16"/>
      <c r="H1427" s="16"/>
      <c r="I1427" s="16"/>
      <c r="J1427" s="16"/>
      <c r="K1427" s="16"/>
      <c r="L1427" s="16"/>
      <c r="M1427" s="16"/>
      <c r="N1427" s="16"/>
      <c r="O1427" s="16"/>
      <c r="P1427" s="16"/>
      <c r="Q1427" s="16"/>
      <c r="R1427" s="16"/>
    </row>
    <row r="1428" spans="1:18" ht="18">
      <c r="A1428" s="61"/>
      <c r="B1428" s="15"/>
      <c r="C1428" s="31"/>
      <c r="D1428" s="90"/>
      <c r="E1428" s="16"/>
      <c r="F1428" s="33"/>
      <c r="G1428" s="16"/>
      <c r="H1428" s="16"/>
      <c r="I1428" s="16"/>
      <c r="J1428" s="16"/>
      <c r="K1428" s="16"/>
      <c r="L1428" s="16"/>
      <c r="M1428" s="16"/>
      <c r="N1428" s="16"/>
      <c r="O1428" s="16"/>
      <c r="P1428" s="16"/>
      <c r="Q1428" s="16"/>
      <c r="R1428" s="16"/>
    </row>
    <row r="1429" spans="1:18" ht="18">
      <c r="A1429" s="61"/>
      <c r="B1429" s="15"/>
      <c r="C1429" s="31"/>
      <c r="D1429" s="90"/>
      <c r="E1429" s="16"/>
      <c r="F1429" s="33"/>
      <c r="G1429" s="16"/>
      <c r="H1429" s="16"/>
      <c r="I1429" s="16"/>
      <c r="J1429" s="16"/>
      <c r="K1429" s="16"/>
      <c r="L1429" s="16"/>
      <c r="M1429" s="16"/>
      <c r="N1429" s="16"/>
      <c r="O1429" s="16"/>
      <c r="P1429" s="16"/>
      <c r="Q1429" s="16"/>
      <c r="R1429" s="16"/>
    </row>
    <row r="1430" spans="1:18" ht="18">
      <c r="A1430" s="61"/>
      <c r="B1430" s="15"/>
      <c r="C1430" s="31"/>
      <c r="D1430" s="90"/>
      <c r="E1430" s="16"/>
      <c r="F1430" s="33"/>
      <c r="G1430" s="16"/>
      <c r="H1430" s="16"/>
      <c r="I1430" s="16"/>
      <c r="J1430" s="16"/>
      <c r="K1430" s="16"/>
      <c r="L1430" s="16"/>
      <c r="M1430" s="16"/>
      <c r="N1430" s="16"/>
      <c r="O1430" s="16"/>
      <c r="P1430" s="16"/>
      <c r="Q1430" s="16"/>
      <c r="R1430" s="16"/>
    </row>
    <row r="1431" spans="1:18" ht="18">
      <c r="A1431" s="61"/>
      <c r="B1431" s="15"/>
      <c r="C1431" s="31"/>
      <c r="D1431" s="90"/>
      <c r="E1431" s="16"/>
      <c r="F1431" s="33"/>
      <c r="G1431" s="16"/>
      <c r="H1431" s="16"/>
      <c r="I1431" s="16"/>
      <c r="J1431" s="16"/>
      <c r="K1431" s="16"/>
      <c r="L1431" s="16"/>
      <c r="M1431" s="16"/>
      <c r="N1431" s="16"/>
      <c r="O1431" s="16"/>
      <c r="P1431" s="16"/>
      <c r="Q1431" s="16"/>
      <c r="R1431" s="16"/>
    </row>
    <row r="1432" spans="1:18" ht="18">
      <c r="A1432" s="61"/>
      <c r="B1432" s="15"/>
      <c r="C1432" s="31"/>
      <c r="D1432" s="90"/>
      <c r="E1432" s="16"/>
      <c r="F1432" s="33"/>
      <c r="G1432" s="16"/>
      <c r="H1432" s="16"/>
      <c r="I1432" s="16"/>
      <c r="J1432" s="16"/>
      <c r="K1432" s="16"/>
      <c r="L1432" s="16"/>
      <c r="M1432" s="16"/>
      <c r="N1432" s="16"/>
      <c r="O1432" s="16"/>
      <c r="P1432" s="16"/>
      <c r="Q1432" s="16"/>
      <c r="R1432" s="16"/>
    </row>
    <row r="1433" spans="1:18" ht="18">
      <c r="A1433" s="61"/>
      <c r="B1433" s="15"/>
      <c r="C1433" s="31"/>
      <c r="D1433" s="90"/>
      <c r="E1433" s="16"/>
      <c r="F1433" s="33"/>
      <c r="G1433" s="16"/>
      <c r="H1433" s="16"/>
      <c r="I1433" s="16"/>
      <c r="J1433" s="16"/>
      <c r="K1433" s="16"/>
      <c r="L1433" s="16"/>
      <c r="M1433" s="16"/>
      <c r="N1433" s="16"/>
      <c r="O1433" s="16"/>
      <c r="P1433" s="16"/>
      <c r="Q1433" s="16"/>
      <c r="R1433" s="16"/>
    </row>
    <row r="1434" spans="1:18" ht="18">
      <c r="A1434" s="61"/>
      <c r="B1434" s="15"/>
      <c r="C1434" s="31"/>
      <c r="D1434" s="90"/>
      <c r="E1434" s="16"/>
      <c r="F1434" s="33"/>
      <c r="G1434" s="16"/>
      <c r="H1434" s="16"/>
      <c r="I1434" s="16"/>
      <c r="J1434" s="16"/>
      <c r="K1434" s="16"/>
      <c r="L1434" s="16"/>
      <c r="M1434" s="16"/>
      <c r="N1434" s="16"/>
      <c r="O1434" s="16"/>
      <c r="P1434" s="16"/>
      <c r="Q1434" s="16"/>
      <c r="R1434" s="16"/>
    </row>
    <row r="1435" spans="1:18" ht="18">
      <c r="A1435" s="61"/>
      <c r="B1435" s="15"/>
      <c r="C1435" s="31"/>
      <c r="D1435" s="90"/>
      <c r="E1435" s="16"/>
      <c r="F1435" s="33"/>
      <c r="G1435" s="16"/>
      <c r="H1435" s="16"/>
      <c r="I1435" s="16"/>
      <c r="J1435" s="16"/>
      <c r="K1435" s="16"/>
      <c r="L1435" s="16"/>
      <c r="M1435" s="16"/>
      <c r="N1435" s="16"/>
      <c r="O1435" s="16"/>
      <c r="P1435" s="16"/>
      <c r="Q1435" s="16"/>
      <c r="R1435" s="16"/>
    </row>
    <row r="1436" spans="1:18" ht="18">
      <c r="A1436" s="61"/>
      <c r="B1436" s="15"/>
      <c r="C1436" s="31"/>
      <c r="D1436" s="90"/>
      <c r="E1436" s="16"/>
      <c r="F1436" s="33"/>
      <c r="G1436" s="16"/>
      <c r="H1436" s="16"/>
      <c r="I1436" s="16"/>
      <c r="J1436" s="16"/>
      <c r="K1436" s="16"/>
      <c r="L1436" s="16"/>
      <c r="M1436" s="16"/>
      <c r="N1436" s="16"/>
      <c r="O1436" s="16"/>
      <c r="P1436" s="16"/>
      <c r="Q1436" s="16"/>
      <c r="R1436" s="16"/>
    </row>
    <row r="1437" spans="1:18" ht="18">
      <c r="A1437" s="61"/>
      <c r="B1437" s="15"/>
      <c r="C1437" s="31"/>
      <c r="D1437" s="90"/>
      <c r="E1437" s="16"/>
      <c r="F1437" s="33"/>
      <c r="G1437" s="16"/>
      <c r="H1437" s="16"/>
      <c r="I1437" s="16"/>
      <c r="J1437" s="16"/>
      <c r="K1437" s="16"/>
      <c r="L1437" s="16"/>
      <c r="M1437" s="16"/>
      <c r="N1437" s="16"/>
      <c r="O1437" s="16"/>
      <c r="P1437" s="16"/>
      <c r="Q1437" s="16"/>
      <c r="R1437" s="16"/>
    </row>
    <row r="1438" spans="1:18" ht="18">
      <c r="A1438" s="61"/>
      <c r="B1438" s="15"/>
      <c r="C1438" s="31"/>
      <c r="D1438" s="90"/>
      <c r="E1438" s="16"/>
      <c r="F1438" s="33"/>
      <c r="G1438" s="16"/>
      <c r="H1438" s="16"/>
      <c r="I1438" s="16"/>
      <c r="J1438" s="16"/>
      <c r="K1438" s="16"/>
      <c r="L1438" s="16"/>
      <c r="M1438" s="16"/>
      <c r="N1438" s="16"/>
      <c r="O1438" s="16"/>
      <c r="P1438" s="16"/>
      <c r="Q1438" s="16"/>
      <c r="R1438" s="16"/>
    </row>
    <row r="1439" spans="1:18" ht="18">
      <c r="A1439" s="61"/>
      <c r="B1439" s="15"/>
      <c r="C1439" s="31"/>
      <c r="D1439" s="90"/>
      <c r="E1439" s="16"/>
      <c r="F1439" s="33"/>
      <c r="G1439" s="16"/>
      <c r="H1439" s="16"/>
      <c r="I1439" s="16"/>
      <c r="J1439" s="16"/>
      <c r="K1439" s="16"/>
      <c r="L1439" s="16"/>
      <c r="M1439" s="16"/>
      <c r="N1439" s="16"/>
      <c r="O1439" s="16"/>
      <c r="P1439" s="16"/>
      <c r="Q1439" s="16"/>
      <c r="R1439" s="16"/>
    </row>
    <row r="1440" spans="1:18" ht="18">
      <c r="A1440" s="61"/>
      <c r="B1440" s="15"/>
      <c r="C1440" s="31"/>
      <c r="D1440" s="90"/>
      <c r="E1440" s="16"/>
      <c r="F1440" s="33"/>
      <c r="G1440" s="16"/>
      <c r="H1440" s="16"/>
      <c r="I1440" s="16"/>
      <c r="J1440" s="16"/>
      <c r="K1440" s="16"/>
      <c r="L1440" s="16"/>
      <c r="M1440" s="16"/>
      <c r="N1440" s="16"/>
      <c r="O1440" s="16"/>
      <c r="P1440" s="16"/>
      <c r="Q1440" s="16"/>
      <c r="R1440" s="16"/>
    </row>
    <row r="1441" spans="1:18" ht="18">
      <c r="A1441" s="61"/>
      <c r="B1441" s="15"/>
      <c r="C1441" s="31"/>
      <c r="D1441" s="90"/>
      <c r="E1441" s="16"/>
      <c r="F1441" s="33"/>
      <c r="G1441" s="16"/>
      <c r="H1441" s="16"/>
      <c r="I1441" s="16"/>
      <c r="J1441" s="16"/>
      <c r="K1441" s="16"/>
      <c r="L1441" s="16"/>
      <c r="M1441" s="16"/>
      <c r="N1441" s="16"/>
      <c r="O1441" s="16"/>
      <c r="P1441" s="16"/>
      <c r="Q1441" s="16"/>
      <c r="R1441" s="16"/>
    </row>
    <row r="1442" spans="1:18" ht="18">
      <c r="A1442" s="61"/>
      <c r="B1442" s="15"/>
      <c r="C1442" s="31"/>
      <c r="D1442" s="90"/>
      <c r="E1442" s="16"/>
      <c r="F1442" s="33"/>
      <c r="G1442" s="16"/>
      <c r="H1442" s="16"/>
      <c r="I1442" s="16"/>
      <c r="J1442" s="16"/>
      <c r="K1442" s="16"/>
      <c r="L1442" s="16"/>
      <c r="M1442" s="16"/>
      <c r="N1442" s="16"/>
      <c r="O1442" s="16"/>
      <c r="P1442" s="16"/>
      <c r="Q1442" s="16"/>
      <c r="R1442" s="16"/>
    </row>
    <row r="1443" spans="1:18" ht="18">
      <c r="A1443" s="61"/>
      <c r="B1443" s="15"/>
      <c r="C1443" s="31"/>
      <c r="D1443" s="90"/>
      <c r="E1443" s="16"/>
      <c r="F1443" s="33"/>
      <c r="G1443" s="16"/>
      <c r="H1443" s="16"/>
      <c r="I1443" s="16"/>
      <c r="J1443" s="16"/>
      <c r="K1443" s="16"/>
      <c r="L1443" s="16"/>
      <c r="M1443" s="16"/>
      <c r="N1443" s="16"/>
      <c r="O1443" s="16"/>
      <c r="P1443" s="16"/>
      <c r="Q1443" s="16"/>
      <c r="R1443" s="16"/>
    </row>
    <row r="1444" spans="1:18" ht="18">
      <c r="A1444" s="61"/>
      <c r="B1444" s="15"/>
      <c r="C1444" s="31"/>
      <c r="D1444" s="90"/>
      <c r="E1444" s="16"/>
      <c r="F1444" s="33"/>
      <c r="G1444" s="16"/>
      <c r="H1444" s="16"/>
      <c r="I1444" s="16"/>
      <c r="J1444" s="16"/>
      <c r="K1444" s="16"/>
      <c r="L1444" s="16"/>
      <c r="M1444" s="16"/>
      <c r="N1444" s="16"/>
      <c r="O1444" s="16"/>
      <c r="P1444" s="16"/>
      <c r="Q1444" s="16"/>
      <c r="R1444" s="16"/>
    </row>
    <row r="1445" spans="1:18" ht="18">
      <c r="A1445" s="61"/>
      <c r="B1445" s="15"/>
      <c r="C1445" s="31"/>
      <c r="D1445" s="90"/>
      <c r="E1445" s="16"/>
      <c r="F1445" s="33"/>
      <c r="G1445" s="16"/>
      <c r="H1445" s="16"/>
      <c r="I1445" s="16"/>
      <c r="J1445" s="16"/>
      <c r="K1445" s="16"/>
      <c r="L1445" s="16"/>
      <c r="M1445" s="16"/>
      <c r="N1445" s="16"/>
      <c r="O1445" s="16"/>
      <c r="P1445" s="16"/>
      <c r="Q1445" s="16"/>
      <c r="R1445" s="16"/>
    </row>
    <row r="1446" spans="1:18" ht="18">
      <c r="A1446" s="61"/>
      <c r="B1446" s="15"/>
      <c r="C1446" s="31"/>
      <c r="D1446" s="90"/>
      <c r="E1446" s="16"/>
      <c r="F1446" s="33"/>
      <c r="G1446" s="16"/>
      <c r="H1446" s="16"/>
      <c r="I1446" s="16"/>
      <c r="J1446" s="16"/>
      <c r="K1446" s="16"/>
      <c r="L1446" s="16"/>
      <c r="M1446" s="16"/>
      <c r="N1446" s="16"/>
      <c r="O1446" s="16"/>
      <c r="P1446" s="16"/>
      <c r="Q1446" s="16"/>
      <c r="R1446" s="16"/>
    </row>
    <row r="1447" spans="1:18" ht="18">
      <c r="A1447" s="61"/>
      <c r="B1447" s="15"/>
      <c r="C1447" s="31"/>
      <c r="D1447" s="90"/>
      <c r="E1447" s="16"/>
      <c r="F1447" s="33"/>
      <c r="G1447" s="16"/>
      <c r="H1447" s="16"/>
      <c r="I1447" s="16"/>
      <c r="J1447" s="16"/>
      <c r="K1447" s="16"/>
      <c r="L1447" s="16"/>
      <c r="M1447" s="16"/>
      <c r="N1447" s="16"/>
      <c r="O1447" s="16"/>
      <c r="P1447" s="16"/>
      <c r="Q1447" s="16"/>
      <c r="R1447" s="16"/>
    </row>
    <row r="1448" spans="1:18" ht="18">
      <c r="A1448" s="61"/>
      <c r="B1448" s="15"/>
      <c r="C1448" s="31"/>
      <c r="D1448" s="90"/>
      <c r="E1448" s="16"/>
      <c r="F1448" s="33"/>
      <c r="G1448" s="16"/>
      <c r="H1448" s="16"/>
      <c r="I1448" s="16"/>
      <c r="J1448" s="16"/>
      <c r="K1448" s="16"/>
      <c r="L1448" s="16"/>
      <c r="M1448" s="16"/>
      <c r="N1448" s="16"/>
      <c r="O1448" s="16"/>
      <c r="P1448" s="16"/>
      <c r="Q1448" s="16"/>
      <c r="R1448" s="16"/>
    </row>
    <row r="1449" spans="1:18" ht="18">
      <c r="A1449" s="61"/>
      <c r="B1449" s="15"/>
      <c r="C1449" s="31"/>
      <c r="D1449" s="90"/>
      <c r="E1449" s="16"/>
      <c r="F1449" s="33"/>
      <c r="G1449" s="16"/>
      <c r="H1449" s="16"/>
      <c r="I1449" s="16"/>
      <c r="J1449" s="16"/>
      <c r="K1449" s="16"/>
      <c r="L1449" s="16"/>
      <c r="M1449" s="16"/>
      <c r="N1449" s="16"/>
      <c r="O1449" s="16"/>
      <c r="P1449" s="16"/>
      <c r="Q1449" s="16"/>
      <c r="R1449" s="16"/>
    </row>
    <row r="1450" spans="1:18" ht="18">
      <c r="A1450" s="61"/>
      <c r="B1450" s="15"/>
      <c r="C1450" s="31"/>
      <c r="D1450" s="90"/>
      <c r="E1450" s="16"/>
      <c r="F1450" s="33"/>
      <c r="G1450" s="16"/>
      <c r="H1450" s="16"/>
      <c r="I1450" s="16"/>
      <c r="J1450" s="16"/>
      <c r="K1450" s="16"/>
      <c r="L1450" s="16"/>
      <c r="M1450" s="16"/>
      <c r="N1450" s="16"/>
      <c r="O1450" s="16"/>
      <c r="P1450" s="16"/>
      <c r="Q1450" s="16"/>
      <c r="R1450" s="16"/>
    </row>
    <row r="1451" spans="1:18" ht="18">
      <c r="A1451" s="61"/>
      <c r="B1451" s="15"/>
      <c r="C1451" s="31"/>
      <c r="D1451" s="90"/>
      <c r="E1451" s="16"/>
      <c r="F1451" s="33"/>
      <c r="G1451" s="16"/>
      <c r="H1451" s="16"/>
      <c r="I1451" s="16"/>
      <c r="J1451" s="16"/>
      <c r="K1451" s="16"/>
      <c r="L1451" s="16"/>
      <c r="M1451" s="16"/>
      <c r="N1451" s="16"/>
      <c r="O1451" s="16"/>
      <c r="P1451" s="16"/>
      <c r="Q1451" s="16"/>
      <c r="R1451" s="16"/>
    </row>
    <row r="1452" spans="1:18" ht="18">
      <c r="A1452" s="61"/>
      <c r="B1452" s="15"/>
      <c r="C1452" s="31"/>
      <c r="D1452" s="90"/>
      <c r="E1452" s="16"/>
      <c r="F1452" s="33"/>
      <c r="G1452" s="16"/>
      <c r="H1452" s="16"/>
      <c r="I1452" s="16"/>
      <c r="J1452" s="16"/>
      <c r="K1452" s="16"/>
      <c r="L1452" s="16"/>
      <c r="M1452" s="16"/>
      <c r="N1452" s="16"/>
      <c r="O1452" s="16"/>
      <c r="P1452" s="16"/>
      <c r="Q1452" s="16"/>
      <c r="R1452" s="16"/>
    </row>
    <row r="1453" spans="1:18" ht="18">
      <c r="A1453" s="61"/>
      <c r="B1453" s="15"/>
      <c r="C1453" s="31"/>
      <c r="D1453" s="90"/>
      <c r="E1453" s="16"/>
      <c r="F1453" s="33"/>
      <c r="G1453" s="16"/>
      <c r="H1453" s="16"/>
      <c r="I1453" s="16"/>
      <c r="J1453" s="16"/>
      <c r="K1453" s="16"/>
      <c r="L1453" s="16"/>
      <c r="M1453" s="16"/>
      <c r="N1453" s="16"/>
      <c r="O1453" s="16"/>
      <c r="P1453" s="16"/>
      <c r="Q1453" s="16"/>
      <c r="R1453" s="16"/>
    </row>
    <row r="1454" spans="1:18" ht="18">
      <c r="A1454" s="61"/>
      <c r="B1454" s="15"/>
      <c r="C1454" s="31"/>
      <c r="D1454" s="90"/>
      <c r="E1454" s="16"/>
      <c r="F1454" s="33"/>
      <c r="G1454" s="16"/>
      <c r="H1454" s="16"/>
      <c r="I1454" s="16"/>
      <c r="J1454" s="16"/>
      <c r="K1454" s="16"/>
      <c r="L1454" s="16"/>
      <c r="M1454" s="16"/>
      <c r="N1454" s="16"/>
      <c r="O1454" s="16"/>
      <c r="P1454" s="16"/>
      <c r="Q1454" s="16"/>
      <c r="R1454" s="16"/>
    </row>
    <row r="1455" spans="1:18" ht="18">
      <c r="A1455" s="61"/>
      <c r="B1455" s="15"/>
      <c r="C1455" s="31"/>
      <c r="D1455" s="90"/>
      <c r="E1455" s="16"/>
      <c r="F1455" s="33"/>
      <c r="G1455" s="16"/>
      <c r="H1455" s="16"/>
      <c r="I1455" s="16"/>
      <c r="J1455" s="16"/>
      <c r="K1455" s="16"/>
      <c r="L1455" s="16"/>
      <c r="M1455" s="16"/>
      <c r="N1455" s="16"/>
      <c r="O1455" s="16"/>
      <c r="P1455" s="16"/>
      <c r="Q1455" s="16"/>
      <c r="R1455" s="16"/>
    </row>
    <row r="1456" spans="1:18" ht="18">
      <c r="A1456" s="61"/>
      <c r="B1456" s="15"/>
      <c r="C1456" s="31"/>
      <c r="D1456" s="90"/>
      <c r="E1456" s="16"/>
      <c r="F1456" s="33"/>
      <c r="G1456" s="16"/>
      <c r="H1456" s="16"/>
      <c r="I1456" s="16"/>
      <c r="J1456" s="16"/>
      <c r="K1456" s="16"/>
      <c r="L1456" s="16"/>
      <c r="M1456" s="16"/>
      <c r="N1456" s="16"/>
      <c r="O1456" s="16"/>
      <c r="P1456" s="16"/>
      <c r="Q1456" s="16"/>
      <c r="R1456" s="16"/>
    </row>
    <row r="1457" spans="1:18" ht="18">
      <c r="A1457" s="61"/>
      <c r="B1457" s="15"/>
      <c r="C1457" s="31"/>
      <c r="D1457" s="90"/>
      <c r="E1457" s="16"/>
      <c r="F1457" s="33"/>
      <c r="G1457" s="16"/>
      <c r="H1457" s="16"/>
      <c r="I1457" s="16"/>
      <c r="J1457" s="16"/>
      <c r="K1457" s="16"/>
      <c r="L1457" s="16"/>
      <c r="M1457" s="16"/>
      <c r="N1457" s="16"/>
      <c r="O1457" s="16"/>
      <c r="P1457" s="16"/>
      <c r="Q1457" s="16"/>
      <c r="R1457" s="16"/>
    </row>
    <row r="1458" spans="1:18" ht="18">
      <c r="A1458" s="61"/>
      <c r="B1458" s="15"/>
      <c r="C1458" s="31"/>
      <c r="D1458" s="90"/>
      <c r="E1458" s="16"/>
      <c r="F1458" s="33"/>
      <c r="G1458" s="16"/>
      <c r="H1458" s="16"/>
      <c r="I1458" s="16"/>
      <c r="J1458" s="16"/>
      <c r="K1458" s="16"/>
      <c r="L1458" s="16"/>
      <c r="M1458" s="16"/>
      <c r="N1458" s="16"/>
      <c r="O1458" s="16"/>
      <c r="P1458" s="16"/>
      <c r="Q1458" s="16"/>
      <c r="R1458" s="16"/>
    </row>
    <row r="1459" spans="1:18" ht="18">
      <c r="A1459" s="61"/>
      <c r="B1459" s="15"/>
      <c r="C1459" s="31"/>
      <c r="D1459" s="90"/>
      <c r="E1459" s="16"/>
      <c r="F1459" s="33"/>
      <c r="G1459" s="16"/>
      <c r="H1459" s="16"/>
      <c r="I1459" s="16"/>
      <c r="J1459" s="16"/>
      <c r="K1459" s="16"/>
      <c r="L1459" s="16"/>
      <c r="M1459" s="16"/>
      <c r="N1459" s="16"/>
      <c r="O1459" s="16"/>
      <c r="P1459" s="16"/>
      <c r="Q1459" s="16"/>
      <c r="R1459" s="16"/>
    </row>
    <row r="1460" spans="1:18" ht="18">
      <c r="A1460" s="61"/>
      <c r="B1460" s="15"/>
      <c r="C1460" s="31"/>
      <c r="D1460" s="90"/>
      <c r="E1460" s="16"/>
      <c r="F1460" s="33"/>
      <c r="G1460" s="16"/>
      <c r="H1460" s="16"/>
      <c r="I1460" s="16"/>
      <c r="J1460" s="16"/>
      <c r="K1460" s="16"/>
      <c r="L1460" s="16"/>
      <c r="M1460" s="16"/>
      <c r="N1460" s="16"/>
      <c r="O1460" s="16"/>
      <c r="P1460" s="16"/>
      <c r="Q1460" s="16"/>
      <c r="R1460" s="16"/>
    </row>
    <row r="1461" spans="1:18" ht="18">
      <c r="A1461" s="61"/>
      <c r="B1461" s="15"/>
      <c r="C1461" s="31"/>
      <c r="D1461" s="90"/>
      <c r="E1461" s="16"/>
      <c r="F1461" s="33"/>
      <c r="G1461" s="16"/>
      <c r="H1461" s="16"/>
      <c r="I1461" s="16"/>
      <c r="J1461" s="16"/>
      <c r="K1461" s="16"/>
      <c r="L1461" s="16"/>
      <c r="M1461" s="16"/>
      <c r="N1461" s="16"/>
      <c r="O1461" s="16"/>
      <c r="P1461" s="16"/>
      <c r="Q1461" s="16"/>
      <c r="R1461" s="16"/>
    </row>
    <row r="1462" spans="1:18" ht="18">
      <c r="A1462" s="61"/>
      <c r="B1462" s="15"/>
      <c r="C1462" s="31"/>
      <c r="D1462" s="90"/>
      <c r="E1462" s="16"/>
      <c r="F1462" s="33"/>
      <c r="G1462" s="16"/>
      <c r="H1462" s="16"/>
      <c r="I1462" s="16"/>
      <c r="J1462" s="16"/>
      <c r="K1462" s="16"/>
      <c r="L1462" s="16"/>
      <c r="M1462" s="16"/>
      <c r="N1462" s="16"/>
      <c r="O1462" s="16"/>
      <c r="P1462" s="16"/>
      <c r="Q1462" s="16"/>
      <c r="R1462" s="16"/>
    </row>
    <row r="1463" spans="1:18" ht="18">
      <c r="A1463" s="61"/>
      <c r="B1463" s="15"/>
      <c r="C1463" s="31"/>
      <c r="D1463" s="90"/>
      <c r="E1463" s="16"/>
      <c r="F1463" s="33"/>
      <c r="G1463" s="16"/>
      <c r="H1463" s="16"/>
      <c r="I1463" s="16"/>
      <c r="J1463" s="16"/>
      <c r="K1463" s="16"/>
      <c r="L1463" s="16"/>
      <c r="M1463" s="16"/>
      <c r="N1463" s="16"/>
      <c r="O1463" s="16"/>
      <c r="P1463" s="16"/>
      <c r="Q1463" s="16"/>
      <c r="R1463" s="16"/>
    </row>
    <row r="1464" spans="1:18" ht="18">
      <c r="A1464" s="61"/>
      <c r="B1464" s="15"/>
      <c r="C1464" s="31"/>
      <c r="D1464" s="90"/>
      <c r="E1464" s="16"/>
      <c r="F1464" s="33"/>
      <c r="G1464" s="16"/>
      <c r="H1464" s="16"/>
      <c r="I1464" s="16"/>
      <c r="J1464" s="16"/>
      <c r="K1464" s="16"/>
      <c r="L1464" s="16"/>
      <c r="M1464" s="16"/>
      <c r="N1464" s="16"/>
      <c r="O1464" s="16"/>
      <c r="P1464" s="16"/>
      <c r="Q1464" s="16"/>
      <c r="R1464" s="16"/>
    </row>
    <row r="1465" spans="1:18" ht="18">
      <c r="A1465" s="61"/>
      <c r="B1465" s="15"/>
      <c r="C1465" s="31"/>
      <c r="D1465" s="90"/>
      <c r="E1465" s="16"/>
      <c r="F1465" s="33"/>
      <c r="G1465" s="16"/>
      <c r="H1465" s="16"/>
      <c r="I1465" s="16"/>
      <c r="J1465" s="16"/>
      <c r="K1465" s="16"/>
      <c r="L1465" s="16"/>
      <c r="M1465" s="16"/>
      <c r="N1465" s="16"/>
      <c r="O1465" s="16"/>
      <c r="P1465" s="16"/>
      <c r="Q1465" s="16"/>
      <c r="R1465" s="16"/>
    </row>
    <row r="1466" spans="1:18" ht="18">
      <c r="A1466" s="61"/>
      <c r="B1466" s="15"/>
      <c r="C1466" s="31"/>
      <c r="D1466" s="90"/>
      <c r="E1466" s="16"/>
      <c r="F1466" s="33"/>
      <c r="G1466" s="16"/>
      <c r="H1466" s="16"/>
      <c r="I1466" s="16"/>
      <c r="J1466" s="16"/>
      <c r="K1466" s="16"/>
      <c r="L1466" s="16"/>
      <c r="M1466" s="16"/>
      <c r="N1466" s="16"/>
      <c r="O1466" s="16"/>
      <c r="P1466" s="16"/>
      <c r="Q1466" s="16"/>
      <c r="R1466" s="16"/>
    </row>
    <row r="1467" spans="1:18" ht="18">
      <c r="A1467" s="61"/>
      <c r="B1467" s="15"/>
      <c r="C1467" s="31"/>
      <c r="D1467" s="90"/>
      <c r="E1467" s="16"/>
      <c r="F1467" s="33"/>
      <c r="G1467" s="16"/>
      <c r="H1467" s="16"/>
      <c r="I1467" s="16"/>
      <c r="J1467" s="16"/>
      <c r="K1467" s="16"/>
      <c r="L1467" s="16"/>
      <c r="M1467" s="16"/>
      <c r="N1467" s="16"/>
      <c r="O1467" s="16"/>
      <c r="P1467" s="16"/>
      <c r="Q1467" s="16"/>
      <c r="R1467" s="16"/>
    </row>
    <row r="1468" spans="1:18" ht="18">
      <c r="A1468" s="61"/>
      <c r="B1468" s="15"/>
      <c r="C1468" s="31"/>
      <c r="D1468" s="90"/>
      <c r="E1468" s="16"/>
      <c r="F1468" s="33"/>
      <c r="G1468" s="16"/>
      <c r="H1468" s="16"/>
      <c r="I1468" s="16"/>
      <c r="J1468" s="16"/>
      <c r="K1468" s="16"/>
      <c r="L1468" s="16"/>
      <c r="M1468" s="16"/>
      <c r="N1468" s="16"/>
      <c r="O1468" s="16"/>
      <c r="P1468" s="16"/>
      <c r="Q1468" s="16"/>
      <c r="R1468" s="16"/>
    </row>
    <row r="1469" spans="1:18" ht="18">
      <c r="A1469" s="61"/>
      <c r="B1469" s="15"/>
      <c r="C1469" s="31"/>
      <c r="D1469" s="90"/>
      <c r="E1469" s="16"/>
      <c r="F1469" s="33"/>
      <c r="G1469" s="16"/>
      <c r="H1469" s="16"/>
      <c r="I1469" s="16"/>
      <c r="J1469" s="16"/>
      <c r="K1469" s="16"/>
      <c r="L1469" s="16"/>
      <c r="M1469" s="16"/>
      <c r="N1469" s="16"/>
      <c r="O1469" s="16"/>
      <c r="P1469" s="16"/>
      <c r="Q1469" s="16"/>
      <c r="R1469" s="16"/>
    </row>
    <row r="1470" spans="1:18" ht="18">
      <c r="A1470" s="61"/>
      <c r="B1470" s="15"/>
      <c r="C1470" s="31"/>
      <c r="D1470" s="90"/>
      <c r="E1470" s="16"/>
      <c r="F1470" s="33"/>
      <c r="G1470" s="16"/>
      <c r="H1470" s="16"/>
      <c r="I1470" s="16"/>
      <c r="J1470" s="16"/>
      <c r="K1470" s="16"/>
      <c r="L1470" s="16"/>
      <c r="M1470" s="16"/>
      <c r="N1470" s="16"/>
      <c r="O1470" s="16"/>
      <c r="P1470" s="16"/>
      <c r="Q1470" s="16"/>
      <c r="R1470" s="16"/>
    </row>
    <row r="1471" spans="1:18" ht="18">
      <c r="A1471" s="61"/>
      <c r="B1471" s="15"/>
      <c r="C1471" s="31"/>
      <c r="D1471" s="90"/>
      <c r="E1471" s="16"/>
      <c r="F1471" s="33"/>
      <c r="G1471" s="16"/>
      <c r="H1471" s="16"/>
      <c r="I1471" s="16"/>
      <c r="J1471" s="16"/>
      <c r="K1471" s="16"/>
      <c r="L1471" s="16"/>
      <c r="M1471" s="16"/>
      <c r="N1471" s="16"/>
      <c r="O1471" s="16"/>
      <c r="P1471" s="16"/>
      <c r="Q1471" s="16"/>
      <c r="R1471" s="16"/>
    </row>
    <row r="1472" spans="1:18" ht="18">
      <c r="A1472" s="61"/>
      <c r="B1472" s="15"/>
      <c r="C1472" s="31"/>
      <c r="D1472" s="90"/>
      <c r="E1472" s="16"/>
      <c r="F1472" s="33"/>
      <c r="G1472" s="16"/>
      <c r="H1472" s="16"/>
      <c r="I1472" s="16"/>
      <c r="J1472" s="16"/>
      <c r="K1472" s="16"/>
      <c r="L1472" s="16"/>
      <c r="M1472" s="16"/>
      <c r="N1472" s="16"/>
      <c r="O1472" s="16"/>
      <c r="P1472" s="16"/>
      <c r="Q1472" s="16"/>
      <c r="R1472" s="16"/>
    </row>
    <row r="1473" spans="1:18" ht="18">
      <c r="A1473" s="61"/>
      <c r="B1473" s="15"/>
      <c r="C1473" s="31"/>
      <c r="D1473" s="90"/>
      <c r="E1473" s="16"/>
      <c r="F1473" s="33"/>
      <c r="G1473" s="16"/>
      <c r="H1473" s="16"/>
      <c r="I1473" s="16"/>
      <c r="J1473" s="16"/>
      <c r="K1473" s="16"/>
      <c r="L1473" s="16"/>
      <c r="M1473" s="16"/>
      <c r="N1473" s="16"/>
      <c r="O1473" s="16"/>
      <c r="P1473" s="16"/>
      <c r="Q1473" s="16"/>
      <c r="R1473" s="16"/>
    </row>
    <row r="1474" spans="1:18" ht="18">
      <c r="A1474" s="61"/>
      <c r="B1474" s="15"/>
      <c r="C1474" s="31"/>
      <c r="D1474" s="90"/>
      <c r="E1474" s="16"/>
      <c r="F1474" s="33"/>
      <c r="G1474" s="16"/>
      <c r="H1474" s="16"/>
      <c r="I1474" s="16"/>
      <c r="J1474" s="16"/>
      <c r="K1474" s="16"/>
      <c r="L1474" s="16"/>
      <c r="M1474" s="16"/>
      <c r="N1474" s="16"/>
      <c r="O1474" s="16"/>
      <c r="P1474" s="16"/>
      <c r="Q1474" s="16"/>
      <c r="R1474" s="16"/>
    </row>
    <row r="1475" spans="1:18" ht="18">
      <c r="A1475" s="61"/>
      <c r="B1475" s="15"/>
      <c r="C1475" s="31"/>
      <c r="D1475" s="90"/>
      <c r="E1475" s="16"/>
      <c r="F1475" s="33"/>
      <c r="G1475" s="16"/>
      <c r="H1475" s="16"/>
      <c r="I1475" s="16"/>
      <c r="J1475" s="16"/>
      <c r="K1475" s="16"/>
      <c r="L1475" s="16"/>
      <c r="M1475" s="16"/>
      <c r="N1475" s="16"/>
      <c r="O1475" s="16"/>
      <c r="P1475" s="16"/>
      <c r="Q1475" s="16"/>
      <c r="R1475" s="16"/>
    </row>
    <row r="1476" spans="1:18" ht="18">
      <c r="A1476" s="61"/>
      <c r="B1476" s="15"/>
      <c r="C1476" s="31"/>
      <c r="D1476" s="90"/>
      <c r="E1476" s="16"/>
      <c r="F1476" s="33"/>
      <c r="G1476" s="16"/>
      <c r="H1476" s="16"/>
      <c r="I1476" s="16"/>
      <c r="J1476" s="16"/>
      <c r="K1476" s="16"/>
      <c r="L1476" s="16"/>
      <c r="M1476" s="16"/>
      <c r="N1476" s="16"/>
      <c r="O1476" s="16"/>
      <c r="P1476" s="16"/>
      <c r="Q1476" s="16"/>
      <c r="R1476" s="16"/>
    </row>
    <row r="1477" spans="1:18" ht="18">
      <c r="A1477" s="61"/>
      <c r="B1477" s="15"/>
      <c r="C1477" s="31"/>
      <c r="D1477" s="90"/>
      <c r="E1477" s="16"/>
      <c r="F1477" s="33"/>
      <c r="G1477" s="16"/>
      <c r="H1477" s="16"/>
      <c r="I1477" s="16"/>
      <c r="J1477" s="16"/>
      <c r="K1477" s="16"/>
      <c r="L1477" s="16"/>
      <c r="M1477" s="16"/>
      <c r="N1477" s="16"/>
      <c r="O1477" s="16"/>
      <c r="P1477" s="16"/>
      <c r="Q1477" s="16"/>
      <c r="R1477" s="16"/>
    </row>
    <row r="1478" spans="1:18" ht="18">
      <c r="A1478" s="61"/>
      <c r="B1478" s="15"/>
      <c r="C1478" s="31"/>
      <c r="D1478" s="90"/>
      <c r="E1478" s="16"/>
      <c r="F1478" s="33"/>
      <c r="G1478" s="16"/>
      <c r="H1478" s="16"/>
      <c r="I1478" s="16"/>
      <c r="J1478" s="16"/>
      <c r="K1478" s="16"/>
      <c r="L1478" s="16"/>
      <c r="M1478" s="16"/>
      <c r="N1478" s="16"/>
      <c r="O1478" s="16"/>
      <c r="P1478" s="16"/>
      <c r="Q1478" s="16"/>
      <c r="R1478" s="16"/>
    </row>
    <row r="1479" spans="1:18" ht="18">
      <c r="A1479" s="61"/>
      <c r="B1479" s="15"/>
      <c r="C1479" s="31"/>
      <c r="D1479" s="90"/>
      <c r="E1479" s="16"/>
      <c r="F1479" s="33"/>
      <c r="G1479" s="16"/>
      <c r="H1479" s="16"/>
      <c r="I1479" s="16"/>
      <c r="J1479" s="16"/>
      <c r="K1479" s="16"/>
      <c r="L1479" s="16"/>
      <c r="M1479" s="16"/>
      <c r="N1479" s="16"/>
      <c r="O1479" s="16"/>
      <c r="P1479" s="16"/>
      <c r="Q1479" s="16"/>
      <c r="R1479" s="16"/>
    </row>
    <row r="1480" spans="1:18" ht="18">
      <c r="A1480" s="61"/>
      <c r="B1480" s="15"/>
      <c r="C1480" s="31"/>
      <c r="D1480" s="90"/>
      <c r="E1480" s="16"/>
      <c r="F1480" s="33"/>
      <c r="G1480" s="16"/>
      <c r="H1480" s="16"/>
      <c r="I1480" s="16"/>
      <c r="J1480" s="16"/>
      <c r="K1480" s="16"/>
      <c r="L1480" s="16"/>
      <c r="M1480" s="16"/>
      <c r="N1480" s="16"/>
      <c r="O1480" s="16"/>
      <c r="P1480" s="16"/>
      <c r="Q1480" s="16"/>
      <c r="R1480" s="16"/>
    </row>
    <row r="1481" spans="1:18" ht="18">
      <c r="A1481" s="61"/>
      <c r="B1481" s="15"/>
      <c r="C1481" s="31"/>
      <c r="D1481" s="90"/>
      <c r="E1481" s="16"/>
      <c r="F1481" s="33"/>
      <c r="G1481" s="16"/>
      <c r="H1481" s="16"/>
      <c r="I1481" s="16"/>
      <c r="J1481" s="16"/>
      <c r="K1481" s="16"/>
      <c r="L1481" s="16"/>
      <c r="M1481" s="16"/>
      <c r="N1481" s="16"/>
      <c r="O1481" s="16"/>
      <c r="P1481" s="16"/>
      <c r="Q1481" s="16"/>
      <c r="R1481" s="16"/>
    </row>
    <row r="1482" spans="1:18" ht="18">
      <c r="A1482" s="61"/>
      <c r="B1482" s="15"/>
      <c r="C1482" s="31"/>
      <c r="D1482" s="90"/>
      <c r="E1482" s="16"/>
      <c r="F1482" s="33"/>
      <c r="G1482" s="16"/>
      <c r="H1482" s="16"/>
      <c r="I1482" s="16"/>
      <c r="J1482" s="16"/>
      <c r="K1482" s="16"/>
      <c r="L1482" s="16"/>
      <c r="M1482" s="16"/>
      <c r="N1482" s="16"/>
      <c r="O1482" s="16"/>
      <c r="P1482" s="16"/>
      <c r="Q1482" s="16"/>
      <c r="R1482" s="16"/>
    </row>
    <row r="1483" spans="1:18" ht="18">
      <c r="A1483" s="61"/>
      <c r="B1483" s="15"/>
      <c r="C1483" s="31"/>
      <c r="D1483" s="90"/>
      <c r="E1483" s="16"/>
      <c r="F1483" s="33"/>
      <c r="G1483" s="16"/>
      <c r="H1483" s="16"/>
      <c r="I1483" s="16"/>
      <c r="J1483" s="16"/>
      <c r="K1483" s="16"/>
      <c r="L1483" s="16"/>
      <c r="M1483" s="16"/>
      <c r="N1483" s="16"/>
      <c r="O1483" s="16"/>
      <c r="P1483" s="16"/>
      <c r="Q1483" s="16"/>
      <c r="R1483" s="16"/>
    </row>
    <row r="1484" spans="1:18" ht="18">
      <c r="A1484" s="61"/>
      <c r="B1484" s="15"/>
      <c r="C1484" s="31"/>
      <c r="D1484" s="90"/>
      <c r="E1484" s="16"/>
      <c r="F1484" s="33"/>
      <c r="G1484" s="16"/>
      <c r="H1484" s="16"/>
      <c r="I1484" s="16"/>
      <c r="J1484" s="16"/>
      <c r="K1484" s="16"/>
      <c r="L1484" s="16"/>
      <c r="M1484" s="16"/>
      <c r="N1484" s="16"/>
      <c r="O1484" s="16"/>
      <c r="P1484" s="16"/>
      <c r="Q1484" s="16"/>
      <c r="R1484" s="16"/>
    </row>
    <row r="1485" spans="1:18" ht="18">
      <c r="A1485" s="61"/>
      <c r="B1485" s="15"/>
      <c r="C1485" s="31"/>
      <c r="D1485" s="90"/>
      <c r="E1485" s="16"/>
      <c r="F1485" s="33"/>
      <c r="G1485" s="16"/>
      <c r="H1485" s="16"/>
      <c r="I1485" s="16"/>
      <c r="J1485" s="16"/>
      <c r="K1485" s="16"/>
      <c r="L1485" s="16"/>
      <c r="M1485" s="16"/>
      <c r="N1485" s="16"/>
      <c r="O1485" s="16"/>
      <c r="P1485" s="16"/>
      <c r="Q1485" s="16"/>
      <c r="R1485" s="16"/>
    </row>
    <row r="1486" spans="1:18" ht="18">
      <c r="A1486" s="61"/>
      <c r="B1486" s="15"/>
      <c r="C1486" s="31"/>
      <c r="D1486" s="90"/>
      <c r="E1486" s="16"/>
      <c r="F1486" s="33"/>
      <c r="G1486" s="16"/>
      <c r="H1486" s="16"/>
      <c r="I1486" s="16"/>
      <c r="J1486" s="16"/>
      <c r="K1486" s="16"/>
      <c r="L1486" s="16"/>
      <c r="M1486" s="16"/>
      <c r="N1486" s="16"/>
      <c r="O1486" s="16"/>
      <c r="P1486" s="16"/>
      <c r="Q1486" s="16"/>
      <c r="R1486" s="16"/>
    </row>
    <row r="1487" spans="1:18" ht="18">
      <c r="A1487" s="61"/>
      <c r="B1487" s="15"/>
      <c r="C1487" s="31"/>
      <c r="D1487" s="90"/>
      <c r="E1487" s="16"/>
      <c r="F1487" s="33"/>
      <c r="G1487" s="16"/>
      <c r="H1487" s="16"/>
      <c r="I1487" s="16"/>
      <c r="J1487" s="16"/>
      <c r="K1487" s="16"/>
      <c r="L1487" s="16"/>
      <c r="M1487" s="16"/>
      <c r="N1487" s="16"/>
      <c r="O1487" s="16"/>
      <c r="P1487" s="16"/>
      <c r="Q1487" s="16"/>
      <c r="R1487" s="16"/>
    </row>
    <row r="1488" spans="1:18" ht="18">
      <c r="A1488" s="61"/>
      <c r="B1488" s="15"/>
      <c r="C1488" s="31"/>
      <c r="D1488" s="90"/>
      <c r="E1488" s="16"/>
      <c r="F1488" s="33"/>
      <c r="G1488" s="16"/>
      <c r="H1488" s="16"/>
      <c r="I1488" s="16"/>
      <c r="J1488" s="16"/>
      <c r="K1488" s="16"/>
      <c r="L1488" s="16"/>
      <c r="M1488" s="16"/>
      <c r="N1488" s="16"/>
      <c r="O1488" s="16"/>
      <c r="P1488" s="16"/>
      <c r="Q1488" s="16"/>
      <c r="R1488" s="16"/>
    </row>
    <row r="1489" spans="1:18" ht="18">
      <c r="A1489" s="61"/>
      <c r="B1489" s="15"/>
      <c r="C1489" s="31"/>
      <c r="D1489" s="90"/>
      <c r="E1489" s="16"/>
      <c r="F1489" s="33"/>
      <c r="G1489" s="16"/>
      <c r="H1489" s="16"/>
      <c r="I1489" s="16"/>
      <c r="J1489" s="16"/>
      <c r="K1489" s="16"/>
      <c r="L1489" s="16"/>
      <c r="M1489" s="16"/>
      <c r="N1489" s="16"/>
      <c r="O1489" s="16"/>
      <c r="P1489" s="16"/>
      <c r="Q1489" s="16"/>
      <c r="R1489" s="16"/>
    </row>
    <row r="1490" spans="1:18" ht="18">
      <c r="A1490" s="61"/>
      <c r="B1490" s="15"/>
      <c r="C1490" s="31"/>
      <c r="D1490" s="90"/>
      <c r="E1490" s="16"/>
      <c r="F1490" s="33"/>
      <c r="G1490" s="16"/>
      <c r="H1490" s="16"/>
      <c r="I1490" s="16"/>
      <c r="J1490" s="16"/>
      <c r="K1490" s="16"/>
      <c r="L1490" s="16"/>
      <c r="M1490" s="16"/>
      <c r="N1490" s="16"/>
      <c r="O1490" s="16"/>
      <c r="P1490" s="16"/>
      <c r="Q1490" s="16"/>
      <c r="R1490" s="16"/>
    </row>
    <row r="1491" spans="1:18" ht="18">
      <c r="A1491" s="61"/>
      <c r="B1491" s="15"/>
      <c r="C1491" s="31"/>
      <c r="D1491" s="90"/>
      <c r="E1491" s="16"/>
      <c r="F1491" s="33"/>
      <c r="G1491" s="16"/>
      <c r="H1491" s="16"/>
      <c r="I1491" s="16"/>
      <c r="J1491" s="16"/>
      <c r="K1491" s="16"/>
      <c r="L1491" s="16"/>
      <c r="M1491" s="16"/>
      <c r="N1491" s="16"/>
      <c r="O1491" s="16"/>
      <c r="P1491" s="16"/>
      <c r="Q1491" s="16"/>
      <c r="R1491" s="16"/>
    </row>
    <row r="1492" spans="1:18" ht="18">
      <c r="A1492" s="61"/>
      <c r="B1492" s="15"/>
      <c r="C1492" s="31"/>
      <c r="D1492" s="90"/>
      <c r="E1492" s="16"/>
      <c r="F1492" s="33"/>
      <c r="G1492" s="16"/>
      <c r="H1492" s="16"/>
      <c r="I1492" s="16"/>
      <c r="J1492" s="16"/>
      <c r="K1492" s="16"/>
      <c r="L1492" s="16"/>
      <c r="M1492" s="16"/>
      <c r="N1492" s="16"/>
      <c r="O1492" s="16"/>
      <c r="P1492" s="16"/>
      <c r="Q1492" s="16"/>
      <c r="R1492" s="16"/>
    </row>
    <row r="1493" spans="1:18" ht="18">
      <c r="A1493" s="61"/>
      <c r="B1493" s="15"/>
      <c r="C1493" s="31"/>
      <c r="D1493" s="90"/>
      <c r="E1493" s="16"/>
      <c r="F1493" s="33"/>
      <c r="G1493" s="16"/>
      <c r="H1493" s="16"/>
      <c r="I1493" s="16"/>
      <c r="J1493" s="16"/>
      <c r="K1493" s="16"/>
      <c r="L1493" s="16"/>
      <c r="M1493" s="16"/>
      <c r="N1493" s="16"/>
      <c r="O1493" s="16"/>
      <c r="P1493" s="16"/>
      <c r="Q1493" s="16"/>
      <c r="R1493" s="16"/>
    </row>
    <row r="1494" spans="1:18" ht="18">
      <c r="A1494" s="61"/>
      <c r="B1494" s="15"/>
      <c r="C1494" s="31"/>
      <c r="D1494" s="90"/>
      <c r="E1494" s="16"/>
      <c r="F1494" s="33"/>
      <c r="G1494" s="16"/>
      <c r="H1494" s="16"/>
      <c r="I1494" s="16"/>
      <c r="J1494" s="16"/>
      <c r="K1494" s="16"/>
      <c r="L1494" s="16"/>
      <c r="M1494" s="16"/>
      <c r="N1494" s="16"/>
      <c r="O1494" s="16"/>
      <c r="P1494" s="16"/>
      <c r="Q1494" s="16"/>
      <c r="R1494" s="16"/>
    </row>
    <row r="1495" spans="1:18" ht="18">
      <c r="A1495" s="61"/>
      <c r="B1495" s="15"/>
      <c r="C1495" s="31"/>
      <c r="D1495" s="90"/>
      <c r="E1495" s="16"/>
      <c r="F1495" s="33"/>
      <c r="G1495" s="16"/>
      <c r="H1495" s="16"/>
      <c r="I1495" s="16"/>
      <c r="J1495" s="16"/>
      <c r="K1495" s="16"/>
      <c r="L1495" s="16"/>
      <c r="M1495" s="16"/>
      <c r="N1495" s="16"/>
      <c r="O1495" s="16"/>
      <c r="P1495" s="16"/>
      <c r="Q1495" s="16"/>
      <c r="R1495" s="16"/>
    </row>
    <row r="1496" spans="1:18" ht="18">
      <c r="A1496" s="61"/>
      <c r="B1496" s="15"/>
      <c r="C1496" s="31"/>
      <c r="D1496" s="90"/>
      <c r="E1496" s="16"/>
      <c r="F1496" s="33"/>
      <c r="G1496" s="16"/>
      <c r="H1496" s="16"/>
      <c r="I1496" s="16"/>
      <c r="J1496" s="16"/>
      <c r="K1496" s="16"/>
      <c r="L1496" s="16"/>
      <c r="M1496" s="16"/>
      <c r="N1496" s="16"/>
      <c r="O1496" s="16"/>
      <c r="P1496" s="16"/>
      <c r="Q1496" s="16"/>
      <c r="R1496" s="16"/>
    </row>
    <row r="1497" spans="1:18" ht="18">
      <c r="A1497" s="61"/>
      <c r="B1497" s="15"/>
      <c r="C1497" s="31"/>
      <c r="D1497" s="90"/>
      <c r="E1497" s="16"/>
      <c r="F1497" s="33"/>
      <c r="G1497" s="16"/>
      <c r="H1497" s="16"/>
      <c r="I1497" s="16"/>
      <c r="J1497" s="16"/>
      <c r="K1497" s="16"/>
      <c r="L1497" s="16"/>
      <c r="M1497" s="16"/>
      <c r="N1497" s="16"/>
      <c r="O1497" s="16"/>
      <c r="P1497" s="16"/>
      <c r="Q1497" s="16"/>
      <c r="R1497" s="16"/>
    </row>
    <row r="1498" spans="1:18" ht="18">
      <c r="A1498" s="61"/>
      <c r="B1498" s="15"/>
      <c r="C1498" s="31"/>
      <c r="D1498" s="90"/>
      <c r="E1498" s="16"/>
      <c r="F1498" s="33"/>
      <c r="G1498" s="16"/>
      <c r="H1498" s="16"/>
      <c r="I1498" s="16"/>
      <c r="J1498" s="16"/>
      <c r="K1498" s="16"/>
      <c r="L1498" s="16"/>
      <c r="M1498" s="16"/>
      <c r="N1498" s="16"/>
      <c r="O1498" s="16"/>
      <c r="P1498" s="16"/>
      <c r="Q1498" s="16"/>
      <c r="R1498" s="16"/>
    </row>
    <row r="1499" spans="1:18" ht="18">
      <c r="A1499" s="61"/>
      <c r="B1499" s="15"/>
      <c r="C1499" s="31"/>
      <c r="D1499" s="90"/>
      <c r="E1499" s="16"/>
      <c r="F1499" s="33"/>
      <c r="G1499" s="16"/>
      <c r="H1499" s="16"/>
      <c r="I1499" s="16"/>
      <c r="J1499" s="16"/>
      <c r="K1499" s="16"/>
      <c r="L1499" s="16"/>
      <c r="M1499" s="16"/>
      <c r="N1499" s="16"/>
      <c r="O1499" s="16"/>
      <c r="P1499" s="16"/>
      <c r="Q1499" s="16"/>
      <c r="R1499" s="16"/>
    </row>
    <row r="1500" spans="1:18" ht="18">
      <c r="A1500" s="61"/>
      <c r="B1500" s="15"/>
      <c r="C1500" s="31"/>
      <c r="D1500" s="90"/>
      <c r="E1500" s="16"/>
      <c r="F1500" s="33"/>
      <c r="G1500" s="16"/>
      <c r="H1500" s="16"/>
      <c r="I1500" s="16"/>
      <c r="J1500" s="16"/>
      <c r="K1500" s="16"/>
      <c r="L1500" s="16"/>
      <c r="M1500" s="16"/>
      <c r="N1500" s="16"/>
      <c r="O1500" s="16"/>
      <c r="P1500" s="16"/>
      <c r="Q1500" s="16"/>
      <c r="R1500" s="16"/>
    </row>
    <row r="1501" spans="1:18" ht="18">
      <c r="A1501" s="61"/>
      <c r="B1501" s="15"/>
      <c r="C1501" s="31"/>
      <c r="D1501" s="90"/>
      <c r="E1501" s="16"/>
      <c r="F1501" s="33"/>
      <c r="G1501" s="16"/>
      <c r="H1501" s="16"/>
      <c r="I1501" s="16"/>
      <c r="J1501" s="16"/>
      <c r="K1501" s="16"/>
      <c r="L1501" s="16"/>
      <c r="M1501" s="16"/>
      <c r="N1501" s="16"/>
      <c r="O1501" s="16"/>
      <c r="P1501" s="16"/>
      <c r="Q1501" s="16"/>
      <c r="R1501" s="16"/>
    </row>
    <row r="1502" spans="1:18" ht="18">
      <c r="A1502" s="61"/>
      <c r="B1502" s="15"/>
      <c r="C1502" s="31"/>
      <c r="D1502" s="90"/>
      <c r="E1502" s="16"/>
      <c r="F1502" s="33"/>
      <c r="G1502" s="16"/>
      <c r="H1502" s="16"/>
      <c r="I1502" s="16"/>
      <c r="J1502" s="16"/>
      <c r="K1502" s="16"/>
      <c r="L1502" s="16"/>
      <c r="M1502" s="16"/>
      <c r="N1502" s="16"/>
      <c r="O1502" s="16"/>
      <c r="P1502" s="16"/>
      <c r="Q1502" s="16"/>
      <c r="R1502" s="16"/>
    </row>
    <row r="1503" spans="1:18" ht="18">
      <c r="A1503" s="61"/>
      <c r="B1503" s="15"/>
      <c r="C1503" s="31"/>
      <c r="D1503" s="90"/>
      <c r="E1503" s="16"/>
      <c r="F1503" s="33"/>
      <c r="G1503" s="16"/>
      <c r="H1503" s="16"/>
      <c r="I1503" s="16"/>
      <c r="J1503" s="16"/>
      <c r="K1503" s="16"/>
      <c r="L1503" s="16"/>
      <c r="M1503" s="16"/>
      <c r="N1503" s="16"/>
      <c r="O1503" s="16"/>
      <c r="P1503" s="16"/>
      <c r="Q1503" s="16"/>
      <c r="R1503" s="16"/>
    </row>
    <row r="1504" spans="1:18" ht="18">
      <c r="A1504" s="61"/>
      <c r="B1504" s="15"/>
      <c r="C1504" s="31"/>
      <c r="D1504" s="90"/>
      <c r="E1504" s="16"/>
      <c r="F1504" s="33"/>
      <c r="G1504" s="16"/>
      <c r="H1504" s="16"/>
      <c r="I1504" s="16"/>
      <c r="J1504" s="16"/>
      <c r="K1504" s="16"/>
      <c r="L1504" s="16"/>
      <c r="M1504" s="16"/>
      <c r="N1504" s="16"/>
      <c r="O1504" s="16"/>
      <c r="P1504" s="16"/>
      <c r="Q1504" s="16"/>
      <c r="R1504" s="16"/>
    </row>
    <row r="1505" spans="1:18" ht="18">
      <c r="A1505" s="61"/>
      <c r="B1505" s="15"/>
      <c r="C1505" s="31"/>
      <c r="D1505" s="90"/>
      <c r="E1505" s="16"/>
      <c r="F1505" s="33"/>
      <c r="G1505" s="16"/>
      <c r="H1505" s="16"/>
      <c r="I1505" s="16"/>
      <c r="J1505" s="16"/>
      <c r="K1505" s="16"/>
      <c r="L1505" s="16"/>
      <c r="M1505" s="16"/>
      <c r="N1505" s="16"/>
      <c r="O1505" s="16"/>
      <c r="P1505" s="16"/>
      <c r="Q1505" s="16"/>
      <c r="R1505" s="16"/>
    </row>
    <row r="1506" spans="1:18" ht="18">
      <c r="A1506" s="61"/>
      <c r="B1506" s="15"/>
      <c r="C1506" s="31"/>
      <c r="D1506" s="90"/>
      <c r="E1506" s="16"/>
      <c r="F1506" s="33"/>
      <c r="G1506" s="16"/>
      <c r="H1506" s="16"/>
      <c r="I1506" s="16"/>
      <c r="J1506" s="16"/>
      <c r="K1506" s="16"/>
      <c r="L1506" s="16"/>
      <c r="M1506" s="16"/>
      <c r="N1506" s="16"/>
      <c r="O1506" s="16"/>
      <c r="P1506" s="16"/>
      <c r="Q1506" s="16"/>
      <c r="R1506" s="16"/>
    </row>
    <row r="1507" spans="1:18" ht="18">
      <c r="A1507" s="61"/>
      <c r="B1507" s="15"/>
      <c r="C1507" s="31"/>
      <c r="D1507" s="90"/>
      <c r="E1507" s="16"/>
      <c r="F1507" s="33"/>
      <c r="G1507" s="16"/>
      <c r="H1507" s="16"/>
      <c r="I1507" s="16"/>
      <c r="J1507" s="16"/>
      <c r="K1507" s="16"/>
      <c r="L1507" s="16"/>
      <c r="M1507" s="16"/>
      <c r="N1507" s="16"/>
      <c r="O1507" s="16"/>
      <c r="P1507" s="16"/>
      <c r="Q1507" s="16"/>
      <c r="R1507" s="16"/>
    </row>
    <row r="1508" spans="1:18" ht="18">
      <c r="A1508" s="61"/>
      <c r="B1508" s="15"/>
      <c r="C1508" s="31"/>
      <c r="D1508" s="90"/>
      <c r="E1508" s="16"/>
      <c r="F1508" s="33"/>
      <c r="G1508" s="16"/>
      <c r="H1508" s="16"/>
      <c r="I1508" s="16"/>
      <c r="J1508" s="16"/>
      <c r="K1508" s="16"/>
      <c r="L1508" s="16"/>
      <c r="M1508" s="16"/>
      <c r="N1508" s="16"/>
      <c r="O1508" s="16"/>
      <c r="P1508" s="16"/>
      <c r="Q1508" s="16"/>
      <c r="R1508" s="16"/>
    </row>
    <row r="1509" spans="1:18" ht="18">
      <c r="A1509" s="61"/>
      <c r="B1509" s="15"/>
      <c r="C1509" s="31"/>
      <c r="D1509" s="90"/>
      <c r="E1509" s="16"/>
      <c r="F1509" s="33"/>
      <c r="G1509" s="16"/>
      <c r="H1509" s="16"/>
      <c r="I1509" s="16"/>
      <c r="J1509" s="16"/>
      <c r="K1509" s="16"/>
      <c r="L1509" s="16"/>
      <c r="M1509" s="16"/>
      <c r="N1509" s="16"/>
      <c r="O1509" s="16"/>
      <c r="P1509" s="16"/>
      <c r="Q1509" s="16"/>
      <c r="R1509" s="16"/>
    </row>
    <row r="1510" spans="1:18" ht="18">
      <c r="A1510" s="61"/>
      <c r="B1510" s="15"/>
      <c r="C1510" s="31"/>
      <c r="D1510" s="90"/>
      <c r="E1510" s="16"/>
      <c r="F1510" s="33"/>
      <c r="G1510" s="16"/>
      <c r="H1510" s="16"/>
      <c r="I1510" s="16"/>
      <c r="J1510" s="16"/>
      <c r="K1510" s="16"/>
      <c r="L1510" s="16"/>
      <c r="M1510" s="16"/>
      <c r="N1510" s="16"/>
      <c r="O1510" s="16"/>
      <c r="P1510" s="16"/>
      <c r="Q1510" s="16"/>
      <c r="R1510" s="16"/>
    </row>
    <row r="1511" spans="1:18" ht="18">
      <c r="A1511" s="61"/>
      <c r="B1511" s="15"/>
      <c r="C1511" s="31"/>
      <c r="D1511" s="90"/>
      <c r="E1511" s="16"/>
      <c r="F1511" s="33"/>
      <c r="G1511" s="16"/>
      <c r="H1511" s="16"/>
      <c r="I1511" s="16"/>
      <c r="J1511" s="16"/>
      <c r="K1511" s="16"/>
      <c r="L1511" s="16"/>
      <c r="M1511" s="16"/>
      <c r="N1511" s="16"/>
      <c r="O1511" s="16"/>
      <c r="P1511" s="16"/>
      <c r="Q1511" s="16"/>
      <c r="R1511" s="16"/>
    </row>
    <row r="1512" spans="1:18" ht="18">
      <c r="A1512" s="61"/>
      <c r="B1512" s="15"/>
      <c r="C1512" s="31"/>
      <c r="D1512" s="90"/>
      <c r="E1512" s="16"/>
      <c r="F1512" s="33"/>
      <c r="G1512" s="16"/>
      <c r="H1512" s="16"/>
      <c r="I1512" s="16"/>
      <c r="J1512" s="16"/>
      <c r="K1512" s="16"/>
      <c r="L1512" s="16"/>
      <c r="M1512" s="16"/>
      <c r="N1512" s="16"/>
      <c r="O1512" s="16"/>
      <c r="P1512" s="16"/>
      <c r="Q1512" s="16"/>
      <c r="R1512" s="16"/>
    </row>
    <row r="1513" spans="1:18" ht="18">
      <c r="A1513" s="61"/>
      <c r="B1513" s="15"/>
      <c r="C1513" s="31"/>
      <c r="D1513" s="90"/>
      <c r="E1513" s="16"/>
      <c r="F1513" s="33"/>
      <c r="G1513" s="16"/>
      <c r="H1513" s="16"/>
      <c r="I1513" s="16"/>
      <c r="J1513" s="16"/>
      <c r="K1513" s="16"/>
      <c r="L1513" s="16"/>
      <c r="M1513" s="16"/>
      <c r="N1513" s="16"/>
      <c r="O1513" s="16"/>
      <c r="P1513" s="16"/>
      <c r="Q1513" s="16"/>
      <c r="R1513" s="16"/>
    </row>
    <row r="1514" spans="1:18" ht="18">
      <c r="A1514" s="61"/>
      <c r="B1514" s="15"/>
      <c r="C1514" s="31"/>
      <c r="D1514" s="90"/>
      <c r="E1514" s="16"/>
      <c r="F1514" s="33"/>
      <c r="G1514" s="16"/>
      <c r="H1514" s="16"/>
      <c r="I1514" s="16"/>
      <c r="J1514" s="16"/>
      <c r="K1514" s="16"/>
      <c r="L1514" s="16"/>
      <c r="M1514" s="16"/>
      <c r="N1514" s="16"/>
      <c r="O1514" s="16"/>
      <c r="P1514" s="16"/>
      <c r="Q1514" s="16"/>
      <c r="R1514" s="16"/>
    </row>
    <row r="1515" spans="1:18" ht="18">
      <c r="A1515" s="61"/>
      <c r="B1515" s="15"/>
      <c r="C1515" s="31"/>
      <c r="D1515" s="90"/>
      <c r="E1515" s="16"/>
      <c r="F1515" s="33"/>
      <c r="G1515" s="16"/>
      <c r="H1515" s="16"/>
      <c r="I1515" s="16"/>
      <c r="J1515" s="16"/>
      <c r="K1515" s="16"/>
      <c r="L1515" s="16"/>
      <c r="M1515" s="16"/>
      <c r="N1515" s="16"/>
      <c r="O1515" s="16"/>
      <c r="P1515" s="16"/>
      <c r="Q1515" s="16"/>
      <c r="R1515" s="16"/>
    </row>
    <row r="1516" spans="1:18" ht="18">
      <c r="A1516" s="61"/>
      <c r="B1516" s="15"/>
      <c r="C1516" s="31"/>
      <c r="D1516" s="90"/>
      <c r="E1516" s="16"/>
      <c r="F1516" s="33"/>
      <c r="G1516" s="16"/>
      <c r="H1516" s="16"/>
      <c r="I1516" s="16"/>
      <c r="J1516" s="16"/>
      <c r="K1516" s="16"/>
      <c r="L1516" s="16"/>
      <c r="M1516" s="16"/>
      <c r="N1516" s="16"/>
      <c r="O1516" s="16"/>
      <c r="P1516" s="16"/>
      <c r="Q1516" s="16"/>
      <c r="R1516" s="16"/>
    </row>
    <row r="1517" spans="1:18" ht="18">
      <c r="A1517" s="61"/>
      <c r="B1517" s="15"/>
      <c r="C1517" s="31"/>
      <c r="D1517" s="90"/>
      <c r="E1517" s="16"/>
      <c r="F1517" s="33"/>
      <c r="G1517" s="16"/>
      <c r="H1517" s="16"/>
      <c r="I1517" s="16"/>
      <c r="J1517" s="16"/>
      <c r="K1517" s="16"/>
      <c r="L1517" s="16"/>
      <c r="M1517" s="16"/>
      <c r="N1517" s="16"/>
      <c r="O1517" s="16"/>
      <c r="P1517" s="16"/>
      <c r="Q1517" s="16"/>
      <c r="R1517" s="16"/>
    </row>
    <row r="1518" spans="1:18" ht="18">
      <c r="A1518" s="61"/>
      <c r="B1518" s="15"/>
      <c r="C1518" s="31"/>
      <c r="D1518" s="90"/>
      <c r="E1518" s="16"/>
      <c r="F1518" s="33"/>
      <c r="G1518" s="16"/>
      <c r="H1518" s="16"/>
      <c r="I1518" s="16"/>
      <c r="J1518" s="16"/>
      <c r="K1518" s="16"/>
      <c r="L1518" s="16"/>
      <c r="M1518" s="16"/>
      <c r="N1518" s="16"/>
      <c r="O1518" s="16"/>
      <c r="P1518" s="16"/>
      <c r="Q1518" s="16"/>
      <c r="R1518" s="16"/>
    </row>
    <row r="1519" spans="1:18" ht="18">
      <c r="A1519" s="61"/>
      <c r="B1519" s="15"/>
      <c r="C1519" s="31"/>
      <c r="D1519" s="90"/>
      <c r="E1519" s="16"/>
      <c r="F1519" s="33"/>
      <c r="G1519" s="16"/>
      <c r="H1519" s="16"/>
      <c r="I1519" s="16"/>
      <c r="J1519" s="16"/>
      <c r="K1519" s="16"/>
      <c r="L1519" s="16"/>
      <c r="M1519" s="16"/>
      <c r="N1519" s="16"/>
      <c r="O1519" s="16"/>
      <c r="P1519" s="16"/>
      <c r="Q1519" s="16"/>
      <c r="R1519" s="16"/>
    </row>
    <row r="1520" spans="1:18" ht="18">
      <c r="A1520" s="61"/>
      <c r="B1520" s="15"/>
      <c r="C1520" s="31"/>
      <c r="D1520" s="90"/>
      <c r="E1520" s="16"/>
      <c r="F1520" s="33"/>
      <c r="G1520" s="16"/>
      <c r="H1520" s="16"/>
      <c r="I1520" s="16"/>
      <c r="J1520" s="16"/>
      <c r="K1520" s="16"/>
      <c r="L1520" s="16"/>
      <c r="M1520" s="16"/>
      <c r="N1520" s="16"/>
      <c r="O1520" s="16"/>
      <c r="P1520" s="16"/>
      <c r="Q1520" s="16"/>
      <c r="R1520" s="16"/>
    </row>
    <row r="1521" spans="1:18" ht="18">
      <c r="A1521" s="61"/>
      <c r="B1521" s="15"/>
      <c r="C1521" s="31"/>
      <c r="D1521" s="90"/>
      <c r="E1521" s="16"/>
      <c r="F1521" s="33"/>
      <c r="G1521" s="16"/>
      <c r="H1521" s="16"/>
      <c r="I1521" s="16"/>
      <c r="J1521" s="16"/>
      <c r="K1521" s="16"/>
      <c r="L1521" s="16"/>
      <c r="M1521" s="16"/>
      <c r="N1521" s="16"/>
      <c r="O1521" s="16"/>
      <c r="P1521" s="16"/>
      <c r="Q1521" s="16"/>
      <c r="R1521" s="16"/>
    </row>
    <row r="1522" spans="1:18" ht="18">
      <c r="A1522" s="61"/>
      <c r="B1522" s="15"/>
      <c r="C1522" s="31"/>
      <c r="D1522" s="90"/>
      <c r="E1522" s="16"/>
      <c r="F1522" s="33"/>
      <c r="G1522" s="16"/>
      <c r="H1522" s="16"/>
      <c r="I1522" s="16"/>
      <c r="J1522" s="16"/>
      <c r="K1522" s="16"/>
      <c r="L1522" s="16"/>
      <c r="M1522" s="16"/>
      <c r="N1522" s="16"/>
      <c r="O1522" s="16"/>
      <c r="P1522" s="16"/>
      <c r="Q1522" s="16"/>
      <c r="R1522" s="16"/>
    </row>
    <row r="1523" spans="1:18" ht="18">
      <c r="A1523" s="61"/>
      <c r="B1523" s="15"/>
      <c r="C1523" s="31"/>
      <c r="D1523" s="90"/>
      <c r="E1523" s="16"/>
      <c r="F1523" s="33"/>
      <c r="G1523" s="16"/>
      <c r="H1523" s="16"/>
      <c r="I1523" s="16"/>
      <c r="J1523" s="16"/>
      <c r="K1523" s="16"/>
      <c r="L1523" s="16"/>
      <c r="M1523" s="16"/>
      <c r="N1523" s="16"/>
      <c r="O1523" s="16"/>
      <c r="P1523" s="16"/>
      <c r="Q1523" s="16"/>
      <c r="R1523" s="16"/>
    </row>
    <row r="1524" spans="1:18" ht="18">
      <c r="A1524" s="61"/>
      <c r="B1524" s="15"/>
      <c r="C1524" s="31"/>
      <c r="D1524" s="90"/>
      <c r="E1524" s="16"/>
      <c r="F1524" s="33"/>
      <c r="G1524" s="16"/>
      <c r="H1524" s="16"/>
      <c r="I1524" s="16"/>
      <c r="J1524" s="16"/>
      <c r="K1524" s="16"/>
      <c r="L1524" s="16"/>
      <c r="M1524" s="16"/>
      <c r="N1524" s="16"/>
      <c r="O1524" s="16"/>
      <c r="P1524" s="16"/>
      <c r="Q1524" s="16"/>
      <c r="R1524" s="16"/>
    </row>
    <row r="1525" spans="1:18" ht="18">
      <c r="A1525" s="61"/>
      <c r="B1525" s="15"/>
      <c r="C1525" s="31"/>
      <c r="D1525" s="90"/>
      <c r="E1525" s="16"/>
      <c r="F1525" s="33"/>
      <c r="G1525" s="16"/>
      <c r="H1525" s="16"/>
      <c r="I1525" s="16"/>
      <c r="J1525" s="16"/>
      <c r="K1525" s="16"/>
      <c r="L1525" s="16"/>
      <c r="M1525" s="16"/>
      <c r="N1525" s="16"/>
      <c r="O1525" s="16"/>
      <c r="P1525" s="16"/>
      <c r="Q1525" s="16"/>
      <c r="R1525" s="16"/>
    </row>
    <row r="1526" spans="1:18" ht="18">
      <c r="A1526" s="61"/>
      <c r="B1526" s="15"/>
      <c r="C1526" s="31"/>
      <c r="D1526" s="90"/>
      <c r="E1526" s="16"/>
      <c r="F1526" s="33"/>
      <c r="G1526" s="16"/>
      <c r="H1526" s="16"/>
      <c r="I1526" s="16"/>
      <c r="J1526" s="16"/>
      <c r="K1526" s="16"/>
      <c r="L1526" s="16"/>
      <c r="M1526" s="16"/>
      <c r="N1526" s="16"/>
      <c r="O1526" s="16"/>
      <c r="P1526" s="16"/>
      <c r="Q1526" s="16"/>
      <c r="R1526" s="16"/>
    </row>
    <row r="1527" spans="1:18" ht="18">
      <c r="A1527" s="61"/>
      <c r="B1527" s="15"/>
      <c r="C1527" s="31"/>
      <c r="D1527" s="90"/>
      <c r="E1527" s="16"/>
      <c r="F1527" s="33"/>
      <c r="G1527" s="16"/>
      <c r="H1527" s="16"/>
      <c r="I1527" s="16"/>
      <c r="J1527" s="16"/>
      <c r="K1527" s="16"/>
      <c r="L1527" s="16"/>
      <c r="M1527" s="16"/>
      <c r="N1527" s="16"/>
      <c r="O1527" s="16"/>
      <c r="P1527" s="16"/>
      <c r="Q1527" s="16"/>
      <c r="R1527" s="16"/>
    </row>
    <row r="1528" spans="1:18" ht="18">
      <c r="A1528" s="61"/>
      <c r="B1528" s="15"/>
      <c r="C1528" s="31"/>
      <c r="D1528" s="90"/>
      <c r="E1528" s="16"/>
      <c r="F1528" s="33"/>
      <c r="G1528" s="16"/>
      <c r="H1528" s="16"/>
      <c r="I1528" s="16"/>
      <c r="J1528" s="16"/>
      <c r="K1528" s="16"/>
      <c r="L1528" s="16"/>
      <c r="M1528" s="16"/>
      <c r="N1528" s="16"/>
      <c r="O1528" s="16"/>
      <c r="P1528" s="16"/>
      <c r="Q1528" s="16"/>
      <c r="R1528" s="16"/>
    </row>
    <row r="1529" spans="1:18" ht="18">
      <c r="A1529" s="61"/>
      <c r="B1529" s="15"/>
      <c r="C1529" s="31"/>
      <c r="D1529" s="90"/>
      <c r="E1529" s="16"/>
      <c r="F1529" s="33"/>
      <c r="G1529" s="16"/>
      <c r="H1529" s="16"/>
      <c r="I1529" s="16"/>
      <c r="J1529" s="16"/>
      <c r="K1529" s="16"/>
      <c r="L1529" s="16"/>
      <c r="M1529" s="16"/>
      <c r="N1529" s="16"/>
      <c r="O1529" s="16"/>
      <c r="P1529" s="16"/>
      <c r="Q1529" s="16"/>
      <c r="R1529" s="16"/>
    </row>
    <row r="1530" spans="1:18" ht="18">
      <c r="A1530" s="61"/>
      <c r="B1530" s="15"/>
      <c r="C1530" s="31"/>
      <c r="D1530" s="90"/>
      <c r="E1530" s="16"/>
      <c r="F1530" s="33"/>
      <c r="G1530" s="16"/>
      <c r="H1530" s="16"/>
      <c r="I1530" s="16"/>
      <c r="J1530" s="16"/>
      <c r="K1530" s="16"/>
      <c r="L1530" s="16"/>
      <c r="M1530" s="16"/>
      <c r="N1530" s="16"/>
      <c r="O1530" s="16"/>
      <c r="P1530" s="16"/>
      <c r="Q1530" s="16"/>
      <c r="R1530" s="16"/>
    </row>
    <row r="1531" spans="1:18" ht="18">
      <c r="A1531" s="61"/>
      <c r="B1531" s="15"/>
      <c r="C1531" s="31"/>
      <c r="D1531" s="90"/>
      <c r="E1531" s="16"/>
      <c r="F1531" s="33"/>
      <c r="G1531" s="16"/>
      <c r="H1531" s="16"/>
      <c r="I1531" s="16"/>
      <c r="J1531" s="16"/>
      <c r="K1531" s="16"/>
      <c r="L1531" s="16"/>
      <c r="M1531" s="16"/>
      <c r="N1531" s="16"/>
      <c r="O1531" s="16"/>
      <c r="P1531" s="16"/>
      <c r="Q1531" s="16"/>
      <c r="R1531" s="16"/>
    </row>
    <row r="1532" spans="1:18" ht="18">
      <c r="A1532" s="61"/>
      <c r="B1532" s="15"/>
      <c r="C1532" s="31"/>
      <c r="D1532" s="90"/>
      <c r="E1532" s="16"/>
      <c r="F1532" s="33"/>
      <c r="G1532" s="16"/>
      <c r="H1532" s="16"/>
      <c r="I1532" s="16"/>
      <c r="J1532" s="16"/>
      <c r="K1532" s="16"/>
      <c r="L1532" s="16"/>
      <c r="M1532" s="16"/>
      <c r="N1532" s="16"/>
      <c r="O1532" s="16"/>
      <c r="P1532" s="16"/>
      <c r="Q1532" s="16"/>
      <c r="R1532" s="16"/>
    </row>
    <row r="1533" spans="1:18" ht="18">
      <c r="A1533" s="61"/>
      <c r="B1533" s="15"/>
      <c r="C1533" s="31"/>
      <c r="D1533" s="90"/>
      <c r="E1533" s="16"/>
      <c r="F1533" s="33"/>
      <c r="G1533" s="16"/>
      <c r="H1533" s="16"/>
      <c r="I1533" s="16"/>
      <c r="J1533" s="16"/>
      <c r="K1533" s="16"/>
      <c r="L1533" s="16"/>
      <c r="M1533" s="16"/>
      <c r="N1533" s="16"/>
      <c r="O1533" s="16"/>
      <c r="P1533" s="16"/>
      <c r="Q1533" s="16"/>
      <c r="R1533" s="16"/>
    </row>
    <row r="1534" spans="1:18" ht="18">
      <c r="A1534" s="61"/>
      <c r="B1534" s="15"/>
      <c r="C1534" s="31"/>
      <c r="D1534" s="90"/>
      <c r="E1534" s="16"/>
      <c r="F1534" s="33"/>
      <c r="G1534" s="16"/>
      <c r="H1534" s="16"/>
      <c r="I1534" s="16"/>
      <c r="J1534" s="16"/>
      <c r="K1534" s="16"/>
      <c r="L1534" s="16"/>
      <c r="M1534" s="16"/>
      <c r="N1534" s="16"/>
      <c r="O1534" s="16"/>
      <c r="P1534" s="16"/>
      <c r="Q1534" s="16"/>
      <c r="R1534" s="16"/>
    </row>
    <row r="1535" spans="1:18" ht="18">
      <c r="A1535" s="61"/>
      <c r="B1535" s="15"/>
      <c r="C1535" s="31"/>
      <c r="D1535" s="90"/>
      <c r="E1535" s="16"/>
      <c r="F1535" s="33"/>
      <c r="G1535" s="16"/>
      <c r="H1535" s="16"/>
      <c r="I1535" s="16"/>
      <c r="J1535" s="16"/>
      <c r="K1535" s="16"/>
      <c r="L1535" s="16"/>
      <c r="M1535" s="16"/>
      <c r="N1535" s="16"/>
      <c r="O1535" s="16"/>
      <c r="P1535" s="16"/>
      <c r="Q1535" s="16"/>
      <c r="R1535" s="16"/>
    </row>
    <row r="1536" spans="1:18" ht="18">
      <c r="A1536" s="61"/>
      <c r="B1536" s="15"/>
      <c r="C1536" s="31"/>
      <c r="D1536" s="90"/>
      <c r="E1536" s="16"/>
      <c r="F1536" s="33"/>
      <c r="G1536" s="16"/>
      <c r="H1536" s="16"/>
      <c r="I1536" s="16"/>
      <c r="J1536" s="16"/>
      <c r="K1536" s="16"/>
      <c r="L1536" s="16"/>
      <c r="M1536" s="16"/>
      <c r="N1536" s="16"/>
      <c r="O1536" s="16"/>
      <c r="P1536" s="16"/>
      <c r="Q1536" s="16"/>
      <c r="R1536" s="16"/>
    </row>
    <row r="1537" spans="1:18" ht="18">
      <c r="A1537" s="61"/>
      <c r="B1537" s="15"/>
      <c r="C1537" s="31"/>
      <c r="D1537" s="90"/>
      <c r="E1537" s="16"/>
      <c r="F1537" s="33"/>
      <c r="G1537" s="16"/>
      <c r="H1537" s="16"/>
      <c r="I1537" s="16"/>
      <c r="J1537" s="16"/>
      <c r="K1537" s="16"/>
      <c r="L1537" s="16"/>
      <c r="M1537" s="16"/>
      <c r="N1537" s="16"/>
      <c r="O1537" s="16"/>
      <c r="P1537" s="16"/>
      <c r="Q1537" s="16"/>
      <c r="R1537" s="16"/>
    </row>
    <row r="1538" spans="1:18" ht="18">
      <c r="A1538" s="61"/>
      <c r="B1538" s="15"/>
      <c r="C1538" s="31"/>
      <c r="D1538" s="90"/>
      <c r="E1538" s="16"/>
      <c r="F1538" s="33"/>
      <c r="G1538" s="16"/>
      <c r="H1538" s="16"/>
      <c r="I1538" s="16"/>
      <c r="J1538" s="16"/>
      <c r="K1538" s="16"/>
      <c r="L1538" s="16"/>
      <c r="M1538" s="16"/>
      <c r="N1538" s="16"/>
      <c r="O1538" s="16"/>
      <c r="P1538" s="16"/>
      <c r="Q1538" s="16"/>
      <c r="R1538" s="16"/>
    </row>
    <row r="1539" spans="1:18" ht="18">
      <c r="A1539" s="61"/>
      <c r="B1539" s="15"/>
      <c r="C1539" s="31"/>
      <c r="D1539" s="90"/>
      <c r="E1539" s="16"/>
      <c r="F1539" s="33"/>
      <c r="G1539" s="16"/>
      <c r="H1539" s="16"/>
      <c r="I1539" s="16"/>
      <c r="J1539" s="16"/>
      <c r="K1539" s="16"/>
      <c r="L1539" s="16"/>
      <c r="M1539" s="16"/>
      <c r="N1539" s="16"/>
      <c r="O1539" s="16"/>
      <c r="P1539" s="16"/>
      <c r="Q1539" s="16"/>
      <c r="R1539" s="16"/>
    </row>
    <row r="1540" spans="1:18" ht="18">
      <c r="A1540" s="61"/>
      <c r="B1540" s="15"/>
      <c r="C1540" s="31"/>
      <c r="D1540" s="90"/>
      <c r="E1540" s="16"/>
      <c r="F1540" s="33"/>
      <c r="G1540" s="16"/>
      <c r="H1540" s="16"/>
      <c r="I1540" s="16"/>
      <c r="J1540" s="16"/>
      <c r="K1540" s="16"/>
      <c r="L1540" s="16"/>
      <c r="M1540" s="16"/>
      <c r="N1540" s="16"/>
      <c r="O1540" s="16"/>
      <c r="P1540" s="16"/>
      <c r="Q1540" s="16"/>
      <c r="R1540" s="16"/>
    </row>
    <row r="1541" spans="1:18" ht="18">
      <c r="A1541" s="61"/>
      <c r="B1541" s="15"/>
      <c r="C1541" s="31"/>
      <c r="D1541" s="90"/>
      <c r="E1541" s="16"/>
      <c r="F1541" s="33"/>
      <c r="G1541" s="16"/>
      <c r="H1541" s="16"/>
      <c r="I1541" s="16"/>
      <c r="J1541" s="16"/>
      <c r="K1541" s="16"/>
      <c r="L1541" s="16"/>
      <c r="M1541" s="16"/>
      <c r="N1541" s="16"/>
      <c r="O1541" s="16"/>
      <c r="P1541" s="16"/>
      <c r="Q1541" s="16"/>
      <c r="R1541" s="16"/>
    </row>
    <row r="1542" spans="1:18" ht="18">
      <c r="A1542" s="61"/>
      <c r="B1542" s="15"/>
      <c r="C1542" s="31"/>
      <c r="D1542" s="90"/>
      <c r="E1542" s="16"/>
      <c r="F1542" s="33"/>
      <c r="G1542" s="16"/>
      <c r="H1542" s="16"/>
      <c r="I1542" s="16"/>
      <c r="J1542" s="16"/>
      <c r="K1542" s="16"/>
      <c r="L1542" s="16"/>
      <c r="M1542" s="16"/>
      <c r="N1542" s="16"/>
      <c r="O1542" s="16"/>
      <c r="P1542" s="16"/>
      <c r="Q1542" s="16"/>
      <c r="R1542" s="16"/>
    </row>
    <row r="1543" spans="1:18" ht="18">
      <c r="A1543" s="61"/>
      <c r="B1543" s="15"/>
      <c r="C1543" s="31"/>
      <c r="D1543" s="90"/>
      <c r="E1543" s="16"/>
      <c r="F1543" s="33"/>
      <c r="G1543" s="16"/>
      <c r="H1543" s="16"/>
      <c r="I1543" s="16"/>
      <c r="J1543" s="16"/>
      <c r="K1543" s="16"/>
      <c r="L1543" s="16"/>
      <c r="M1543" s="16"/>
      <c r="N1543" s="16"/>
      <c r="O1543" s="16"/>
      <c r="P1543" s="16"/>
      <c r="Q1543" s="16"/>
      <c r="R1543" s="16"/>
    </row>
    <row r="1544" spans="1:18" ht="18">
      <c r="A1544" s="61"/>
      <c r="B1544" s="15"/>
      <c r="C1544" s="31"/>
      <c r="D1544" s="90"/>
      <c r="E1544" s="16"/>
      <c r="F1544" s="33"/>
      <c r="G1544" s="16"/>
      <c r="H1544" s="16"/>
      <c r="I1544" s="16"/>
      <c r="J1544" s="16"/>
      <c r="K1544" s="16"/>
      <c r="L1544" s="16"/>
      <c r="M1544" s="16"/>
      <c r="N1544" s="16"/>
      <c r="O1544" s="16"/>
      <c r="P1544" s="16"/>
      <c r="Q1544" s="16"/>
      <c r="R1544" s="16"/>
    </row>
    <row r="1545" spans="1:18" ht="18">
      <c r="A1545" s="61"/>
      <c r="B1545" s="15"/>
      <c r="C1545" s="31"/>
      <c r="D1545" s="90"/>
      <c r="E1545" s="16"/>
      <c r="F1545" s="33"/>
      <c r="G1545" s="16"/>
      <c r="H1545" s="16"/>
      <c r="I1545" s="16"/>
      <c r="J1545" s="16"/>
      <c r="K1545" s="16"/>
      <c r="L1545" s="16"/>
      <c r="M1545" s="16"/>
      <c r="N1545" s="16"/>
      <c r="O1545" s="16"/>
      <c r="P1545" s="16"/>
      <c r="Q1545" s="16"/>
      <c r="R1545" s="16"/>
    </row>
    <row r="1546" spans="1:18" ht="18">
      <c r="A1546" s="61"/>
      <c r="B1546" s="15"/>
      <c r="C1546" s="31"/>
      <c r="D1546" s="90"/>
      <c r="E1546" s="16"/>
      <c r="F1546" s="33"/>
      <c r="G1546" s="16"/>
      <c r="H1546" s="16"/>
      <c r="I1546" s="16"/>
      <c r="J1546" s="16"/>
      <c r="K1546" s="16"/>
      <c r="L1546" s="16"/>
      <c r="M1546" s="16"/>
      <c r="N1546" s="16"/>
      <c r="O1546" s="16"/>
      <c r="P1546" s="16"/>
      <c r="Q1546" s="16"/>
      <c r="R1546" s="16"/>
    </row>
    <row r="1547" spans="1:18" ht="18">
      <c r="A1547" s="61"/>
      <c r="B1547" s="15"/>
      <c r="C1547" s="31"/>
      <c r="D1547" s="90"/>
      <c r="E1547" s="16"/>
      <c r="F1547" s="33"/>
      <c r="G1547" s="16"/>
      <c r="H1547" s="16"/>
      <c r="I1547" s="16"/>
      <c r="J1547" s="16"/>
      <c r="K1547" s="16"/>
      <c r="L1547" s="16"/>
      <c r="M1547" s="16"/>
      <c r="N1547" s="16"/>
      <c r="O1547" s="16"/>
      <c r="P1547" s="16"/>
      <c r="Q1547" s="16"/>
      <c r="R1547" s="16"/>
    </row>
    <row r="1548" spans="1:18" ht="18">
      <c r="A1548" s="61"/>
      <c r="B1548" s="15"/>
      <c r="C1548" s="31"/>
      <c r="D1548" s="90"/>
      <c r="E1548" s="16"/>
      <c r="F1548" s="33"/>
      <c r="G1548" s="16"/>
      <c r="H1548" s="16"/>
      <c r="I1548" s="16"/>
      <c r="J1548" s="16"/>
      <c r="K1548" s="16"/>
      <c r="L1548" s="16"/>
      <c r="M1548" s="16"/>
      <c r="N1548" s="16"/>
      <c r="O1548" s="16"/>
      <c r="P1548" s="16"/>
      <c r="Q1548" s="16"/>
      <c r="R1548" s="16"/>
    </row>
    <row r="1549" spans="1:18" ht="18">
      <c r="A1549" s="61"/>
      <c r="B1549" s="15"/>
      <c r="C1549" s="31"/>
      <c r="D1549" s="90"/>
      <c r="E1549" s="16"/>
      <c r="F1549" s="33"/>
      <c r="G1549" s="16"/>
      <c r="H1549" s="16"/>
      <c r="I1549" s="16"/>
      <c r="J1549" s="16"/>
      <c r="K1549" s="16"/>
      <c r="L1549" s="16"/>
      <c r="M1549" s="16"/>
      <c r="N1549" s="16"/>
      <c r="O1549" s="16"/>
      <c r="P1549" s="16"/>
      <c r="Q1549" s="16"/>
      <c r="R1549" s="16"/>
    </row>
    <row r="1550" spans="1:18" ht="18">
      <c r="A1550" s="61"/>
      <c r="B1550" s="15"/>
      <c r="C1550" s="31"/>
      <c r="D1550" s="90"/>
      <c r="E1550" s="16"/>
      <c r="F1550" s="33"/>
      <c r="G1550" s="16"/>
      <c r="H1550" s="16"/>
      <c r="I1550" s="16"/>
      <c r="J1550" s="16"/>
      <c r="K1550" s="16"/>
      <c r="L1550" s="16"/>
      <c r="M1550" s="16"/>
      <c r="N1550" s="16"/>
      <c r="O1550" s="16"/>
      <c r="P1550" s="16"/>
      <c r="Q1550" s="16"/>
      <c r="R1550" s="16"/>
    </row>
    <row r="1551" spans="1:18" ht="18">
      <c r="A1551" s="61"/>
      <c r="B1551" s="15"/>
      <c r="C1551" s="31"/>
      <c r="D1551" s="90"/>
      <c r="E1551" s="16"/>
      <c r="F1551" s="33"/>
      <c r="G1551" s="16"/>
      <c r="H1551" s="16"/>
      <c r="I1551" s="16"/>
      <c r="J1551" s="16"/>
      <c r="K1551" s="16"/>
      <c r="L1551" s="16"/>
      <c r="M1551" s="16"/>
      <c r="N1551" s="16"/>
      <c r="O1551" s="16"/>
      <c r="P1551" s="16"/>
      <c r="Q1551" s="16"/>
      <c r="R1551" s="16"/>
    </row>
    <row r="1552" spans="1:18" ht="18">
      <c r="A1552" s="61"/>
      <c r="B1552" s="15"/>
      <c r="C1552" s="31"/>
      <c r="D1552" s="90"/>
      <c r="E1552" s="16"/>
      <c r="F1552" s="33"/>
      <c r="G1552" s="16"/>
      <c r="H1552" s="16"/>
      <c r="I1552" s="16"/>
      <c r="J1552" s="16"/>
      <c r="K1552" s="16"/>
      <c r="L1552" s="16"/>
      <c r="M1552" s="16"/>
      <c r="N1552" s="16"/>
      <c r="O1552" s="16"/>
      <c r="P1552" s="16"/>
      <c r="Q1552" s="16"/>
      <c r="R1552" s="16"/>
    </row>
    <row r="1553" spans="1:18" ht="18">
      <c r="A1553" s="61"/>
      <c r="B1553" s="15"/>
      <c r="C1553" s="31"/>
      <c r="D1553" s="90"/>
      <c r="E1553" s="16"/>
      <c r="F1553" s="33"/>
      <c r="G1553" s="16"/>
      <c r="H1553" s="16"/>
      <c r="I1553" s="16"/>
      <c r="J1553" s="16"/>
      <c r="K1553" s="16"/>
      <c r="L1553" s="16"/>
      <c r="M1553" s="16"/>
      <c r="N1553" s="16"/>
      <c r="O1553" s="16"/>
      <c r="P1553" s="16"/>
      <c r="Q1553" s="16"/>
      <c r="R1553" s="16"/>
    </row>
    <row r="1554" spans="1:18" ht="18">
      <c r="A1554" s="61"/>
      <c r="B1554" s="15"/>
      <c r="C1554" s="31"/>
      <c r="D1554" s="90"/>
      <c r="E1554" s="16"/>
      <c r="F1554" s="33"/>
      <c r="G1554" s="16"/>
      <c r="H1554" s="16"/>
      <c r="I1554" s="16"/>
      <c r="J1554" s="16"/>
      <c r="K1554" s="16"/>
      <c r="L1554" s="16"/>
      <c r="M1554" s="16"/>
      <c r="N1554" s="16"/>
      <c r="O1554" s="16"/>
      <c r="P1554" s="16"/>
      <c r="Q1554" s="16"/>
      <c r="R1554" s="16"/>
    </row>
    <row r="1555" spans="1:18" ht="18">
      <c r="A1555" s="61"/>
      <c r="B1555" s="15"/>
      <c r="C1555" s="31"/>
      <c r="D1555" s="90"/>
      <c r="E1555" s="16"/>
      <c r="F1555" s="33"/>
      <c r="G1555" s="16"/>
      <c r="H1555" s="16"/>
      <c r="I1555" s="16"/>
      <c r="J1555" s="16"/>
      <c r="K1555" s="16"/>
      <c r="L1555" s="16"/>
      <c r="M1555" s="16"/>
      <c r="N1555" s="16"/>
      <c r="O1555" s="16"/>
      <c r="P1555" s="16"/>
      <c r="Q1555" s="16"/>
      <c r="R1555" s="16"/>
    </row>
    <row r="1556" spans="1:18" ht="18">
      <c r="A1556" s="61"/>
      <c r="B1556" s="15"/>
      <c r="C1556" s="31"/>
      <c r="D1556" s="90"/>
      <c r="E1556" s="16"/>
      <c r="F1556" s="33"/>
      <c r="G1556" s="16"/>
      <c r="H1556" s="16"/>
      <c r="I1556" s="16"/>
      <c r="J1556" s="16"/>
      <c r="K1556" s="16"/>
      <c r="L1556" s="16"/>
      <c r="M1556" s="16"/>
      <c r="N1556" s="16"/>
      <c r="O1556" s="16"/>
      <c r="P1556" s="16"/>
      <c r="Q1556" s="16"/>
      <c r="R1556" s="16"/>
    </row>
    <row r="1557" spans="1:18" ht="18">
      <c r="A1557" s="61"/>
      <c r="B1557" s="15"/>
      <c r="C1557" s="31"/>
      <c r="D1557" s="90"/>
      <c r="E1557" s="16"/>
      <c r="F1557" s="33"/>
      <c r="G1557" s="16"/>
      <c r="H1557" s="16"/>
      <c r="I1557" s="16"/>
      <c r="J1557" s="16"/>
      <c r="K1557" s="16"/>
      <c r="L1557" s="16"/>
      <c r="M1557" s="16"/>
      <c r="N1557" s="16"/>
      <c r="O1557" s="16"/>
      <c r="P1557" s="16"/>
      <c r="Q1557" s="16"/>
      <c r="R1557" s="16"/>
    </row>
    <row r="1558" spans="1:18" ht="18">
      <c r="A1558" s="61"/>
      <c r="B1558" s="15"/>
      <c r="C1558" s="31"/>
      <c r="D1558" s="90"/>
      <c r="E1558" s="16"/>
      <c r="F1558" s="33"/>
      <c r="G1558" s="16"/>
      <c r="H1558" s="16"/>
      <c r="I1558" s="16"/>
      <c r="J1558" s="16"/>
      <c r="K1558" s="16"/>
      <c r="L1558" s="16"/>
      <c r="M1558" s="16"/>
      <c r="N1558" s="16"/>
      <c r="O1558" s="16"/>
      <c r="P1558" s="16"/>
      <c r="Q1558" s="16"/>
      <c r="R1558" s="16"/>
    </row>
    <row r="1559" spans="1:18" ht="18">
      <c r="A1559" s="61"/>
      <c r="B1559" s="15"/>
      <c r="C1559" s="31"/>
      <c r="D1559" s="90"/>
      <c r="E1559" s="16"/>
      <c r="F1559" s="33"/>
      <c r="G1559" s="16"/>
      <c r="H1559" s="16"/>
      <c r="I1559" s="16"/>
      <c r="J1559" s="16"/>
      <c r="K1559" s="16"/>
      <c r="L1559" s="16"/>
      <c r="M1559" s="16"/>
      <c r="N1559" s="16"/>
      <c r="O1559" s="16"/>
      <c r="P1559" s="16"/>
      <c r="Q1559" s="16"/>
      <c r="R1559" s="16"/>
    </row>
    <row r="1560" spans="1:18" ht="18">
      <c r="A1560" s="61"/>
      <c r="B1560" s="15"/>
      <c r="C1560" s="31"/>
      <c r="D1560" s="90"/>
      <c r="E1560" s="16"/>
      <c r="F1560" s="33"/>
      <c r="G1560" s="16"/>
      <c r="H1560" s="16"/>
      <c r="I1560" s="16"/>
      <c r="J1560" s="16"/>
      <c r="K1560" s="16"/>
      <c r="L1560" s="16"/>
      <c r="M1560" s="16"/>
      <c r="N1560" s="16"/>
      <c r="O1560" s="16"/>
      <c r="P1560" s="16"/>
      <c r="Q1560" s="16"/>
      <c r="R1560" s="16"/>
    </row>
    <row r="1561" spans="1:18" ht="18">
      <c r="A1561" s="61"/>
      <c r="B1561" s="15"/>
      <c r="C1561" s="31"/>
      <c r="D1561" s="90"/>
      <c r="E1561" s="16"/>
      <c r="F1561" s="33"/>
      <c r="G1561" s="16"/>
      <c r="H1561" s="16"/>
      <c r="I1561" s="16"/>
      <c r="J1561" s="16"/>
      <c r="K1561" s="16"/>
      <c r="L1561" s="16"/>
      <c r="M1561" s="16"/>
      <c r="N1561" s="16"/>
      <c r="O1561" s="16"/>
      <c r="P1561" s="16"/>
      <c r="Q1561" s="16"/>
      <c r="R1561" s="16"/>
    </row>
    <row r="1562" spans="1:18" ht="18">
      <c r="A1562" s="61"/>
      <c r="B1562" s="15"/>
      <c r="C1562" s="31"/>
      <c r="D1562" s="90"/>
      <c r="E1562" s="16"/>
      <c r="F1562" s="33"/>
      <c r="G1562" s="16"/>
      <c r="H1562" s="16"/>
      <c r="I1562" s="16"/>
      <c r="J1562" s="16"/>
      <c r="K1562" s="16"/>
      <c r="L1562" s="16"/>
      <c r="M1562" s="16"/>
      <c r="N1562" s="16"/>
      <c r="O1562" s="16"/>
      <c r="P1562" s="16"/>
      <c r="Q1562" s="16"/>
      <c r="R1562" s="16"/>
    </row>
    <row r="1563" spans="1:18" ht="18">
      <c r="A1563" s="61"/>
      <c r="B1563" s="15"/>
      <c r="C1563" s="31"/>
      <c r="D1563" s="90"/>
      <c r="E1563" s="16"/>
      <c r="F1563" s="33"/>
      <c r="G1563" s="16"/>
      <c r="H1563" s="16"/>
      <c r="I1563" s="16"/>
      <c r="J1563" s="16"/>
      <c r="K1563" s="16"/>
      <c r="L1563" s="16"/>
      <c r="M1563" s="16"/>
      <c r="N1563" s="16"/>
      <c r="O1563" s="16"/>
      <c r="P1563" s="16"/>
      <c r="Q1563" s="16"/>
      <c r="R1563" s="16"/>
    </row>
    <row r="1564" spans="1:18" ht="18">
      <c r="A1564" s="61"/>
      <c r="B1564" s="15"/>
      <c r="C1564" s="31"/>
      <c r="D1564" s="90"/>
      <c r="E1564" s="16"/>
      <c r="F1564" s="33"/>
      <c r="G1564" s="16"/>
      <c r="H1564" s="16"/>
      <c r="I1564" s="16"/>
      <c r="J1564" s="16"/>
      <c r="K1564" s="16"/>
      <c r="L1564" s="16"/>
      <c r="M1564" s="16"/>
      <c r="N1564" s="16"/>
      <c r="O1564" s="16"/>
      <c r="P1564" s="16"/>
      <c r="Q1564" s="16"/>
      <c r="R1564" s="16"/>
    </row>
    <row r="1565" spans="1:18" ht="18">
      <c r="A1565" s="61"/>
      <c r="B1565" s="15"/>
      <c r="C1565" s="31"/>
      <c r="D1565" s="90"/>
      <c r="E1565" s="16"/>
      <c r="F1565" s="33"/>
      <c r="G1565" s="16"/>
      <c r="H1565" s="16"/>
      <c r="I1565" s="16"/>
      <c r="J1565" s="16"/>
      <c r="K1565" s="16"/>
      <c r="L1565" s="16"/>
      <c r="M1565" s="16"/>
      <c r="N1565" s="16"/>
      <c r="O1565" s="16"/>
      <c r="P1565" s="16"/>
      <c r="Q1565" s="16"/>
      <c r="R1565" s="16"/>
    </row>
    <row r="1566" spans="1:18" ht="18">
      <c r="A1566" s="61"/>
      <c r="B1566" s="15"/>
      <c r="C1566" s="31"/>
      <c r="D1566" s="90"/>
      <c r="E1566" s="16"/>
      <c r="F1566" s="33"/>
      <c r="G1566" s="16"/>
      <c r="H1566" s="16"/>
      <c r="I1566" s="16"/>
      <c r="J1566" s="16"/>
      <c r="K1566" s="16"/>
      <c r="L1566" s="16"/>
      <c r="M1566" s="16"/>
      <c r="N1566" s="16"/>
      <c r="O1566" s="16"/>
      <c r="P1566" s="16"/>
      <c r="Q1566" s="16"/>
      <c r="R1566" s="16"/>
    </row>
    <row r="1567" spans="1:18" ht="18">
      <c r="A1567" s="61"/>
      <c r="B1567" s="15"/>
      <c r="C1567" s="31"/>
      <c r="D1567" s="90"/>
      <c r="E1567" s="16"/>
      <c r="F1567" s="33"/>
      <c r="G1567" s="16"/>
      <c r="H1567" s="16"/>
      <c r="I1567" s="16"/>
      <c r="J1567" s="16"/>
      <c r="K1567" s="16"/>
      <c r="L1567" s="16"/>
      <c r="M1567" s="16"/>
      <c r="N1567" s="16"/>
      <c r="O1567" s="16"/>
      <c r="P1567" s="16"/>
      <c r="Q1567" s="16"/>
      <c r="R1567" s="16"/>
    </row>
    <row r="1568" spans="1:18" ht="18">
      <c r="A1568" s="61"/>
      <c r="B1568" s="15"/>
      <c r="C1568" s="31"/>
      <c r="D1568" s="90"/>
      <c r="E1568" s="16"/>
      <c r="F1568" s="33"/>
      <c r="G1568" s="16"/>
      <c r="H1568" s="16"/>
      <c r="I1568" s="16"/>
      <c r="J1568" s="16"/>
      <c r="K1568" s="16"/>
      <c r="L1568" s="16"/>
      <c r="M1568" s="16"/>
      <c r="N1568" s="16"/>
      <c r="O1568" s="16"/>
      <c r="P1568" s="16"/>
      <c r="Q1568" s="16"/>
      <c r="R1568" s="16"/>
    </row>
    <row r="1569" spans="1:18" ht="18">
      <c r="A1569" s="61"/>
      <c r="B1569" s="15"/>
      <c r="C1569" s="31"/>
      <c r="D1569" s="90"/>
      <c r="E1569" s="16"/>
      <c r="F1569" s="33"/>
      <c r="G1569" s="16"/>
      <c r="H1569" s="16"/>
      <c r="I1569" s="16"/>
      <c r="J1569" s="16"/>
      <c r="K1569" s="16"/>
      <c r="L1569" s="16"/>
      <c r="M1569" s="16"/>
      <c r="N1569" s="16"/>
      <c r="O1569" s="16"/>
      <c r="P1569" s="16"/>
      <c r="Q1569" s="16"/>
      <c r="R1569" s="16"/>
    </row>
    <row r="1570" spans="1:18" ht="18">
      <c r="A1570" s="61"/>
      <c r="B1570" s="15"/>
      <c r="C1570" s="31"/>
      <c r="D1570" s="90"/>
      <c r="E1570" s="16"/>
      <c r="F1570" s="33"/>
      <c r="G1570" s="16"/>
      <c r="H1570" s="16"/>
      <c r="I1570" s="16"/>
      <c r="J1570" s="16"/>
      <c r="K1570" s="16"/>
      <c r="L1570" s="16"/>
      <c r="M1570" s="16"/>
      <c r="N1570" s="16"/>
      <c r="O1570" s="16"/>
      <c r="P1570" s="16"/>
      <c r="Q1570" s="16"/>
      <c r="R1570" s="16"/>
    </row>
    <row r="1571" spans="1:18" ht="18">
      <c r="A1571" s="61"/>
      <c r="B1571" s="15"/>
      <c r="C1571" s="31"/>
      <c r="D1571" s="90"/>
      <c r="E1571" s="16"/>
      <c r="F1571" s="33"/>
      <c r="G1571" s="16"/>
      <c r="H1571" s="16"/>
      <c r="I1571" s="16"/>
      <c r="J1571" s="16"/>
      <c r="K1571" s="16"/>
      <c r="L1571" s="16"/>
      <c r="M1571" s="16"/>
      <c r="N1571" s="16"/>
      <c r="O1571" s="16"/>
      <c r="P1571" s="16"/>
      <c r="Q1571" s="16"/>
      <c r="R1571" s="16"/>
    </row>
    <row r="1572" spans="1:18" ht="18">
      <c r="A1572" s="61"/>
      <c r="B1572" s="15"/>
      <c r="C1572" s="31"/>
      <c r="D1572" s="90"/>
      <c r="E1572" s="16"/>
      <c r="F1572" s="33"/>
      <c r="G1572" s="16"/>
      <c r="H1572" s="16"/>
      <c r="I1572" s="16"/>
      <c r="J1572" s="16"/>
      <c r="K1572" s="16"/>
      <c r="L1572" s="16"/>
      <c r="M1572" s="16"/>
      <c r="N1572" s="16"/>
      <c r="O1572" s="16"/>
      <c r="P1572" s="16"/>
      <c r="Q1572" s="16"/>
      <c r="R1572" s="16"/>
    </row>
    <row r="1573" spans="1:18" ht="18">
      <c r="A1573" s="61"/>
      <c r="B1573" s="15"/>
      <c r="C1573" s="31"/>
      <c r="D1573" s="90"/>
      <c r="E1573" s="16"/>
      <c r="F1573" s="33"/>
      <c r="G1573" s="16"/>
      <c r="H1573" s="16"/>
      <c r="I1573" s="16"/>
      <c r="J1573" s="16"/>
      <c r="K1573" s="16"/>
      <c r="L1573" s="16"/>
      <c r="M1573" s="16"/>
      <c r="N1573" s="16"/>
      <c r="O1573" s="16"/>
      <c r="P1573" s="16"/>
      <c r="Q1573" s="16"/>
      <c r="R1573" s="16"/>
    </row>
    <row r="1574" spans="1:18" ht="18">
      <c r="A1574" s="61"/>
      <c r="B1574" s="15"/>
      <c r="C1574" s="31"/>
      <c r="D1574" s="90"/>
      <c r="E1574" s="16"/>
      <c r="F1574" s="33"/>
      <c r="G1574" s="16"/>
      <c r="H1574" s="16"/>
      <c r="I1574" s="16"/>
      <c r="J1574" s="16"/>
      <c r="K1574" s="16"/>
      <c r="L1574" s="16"/>
      <c r="M1574" s="16"/>
      <c r="N1574" s="16"/>
      <c r="O1574" s="16"/>
      <c r="P1574" s="16"/>
      <c r="Q1574" s="16"/>
      <c r="R1574" s="16"/>
    </row>
    <row r="1575" spans="1:18" ht="18">
      <c r="A1575" s="61"/>
      <c r="B1575" s="15"/>
      <c r="C1575" s="31"/>
      <c r="D1575" s="90"/>
      <c r="E1575" s="16"/>
      <c r="F1575" s="33"/>
      <c r="G1575" s="16"/>
      <c r="H1575" s="16"/>
      <c r="I1575" s="16"/>
      <c r="J1575" s="16"/>
      <c r="K1575" s="16"/>
      <c r="L1575" s="16"/>
      <c r="M1575" s="16"/>
      <c r="N1575" s="16"/>
      <c r="O1575" s="16"/>
      <c r="P1575" s="16"/>
      <c r="Q1575" s="16"/>
      <c r="R1575" s="16"/>
    </row>
    <row r="1576" spans="1:18" ht="18">
      <c r="A1576" s="61"/>
      <c r="B1576" s="15"/>
      <c r="C1576" s="31"/>
      <c r="D1576" s="90"/>
      <c r="E1576" s="16"/>
      <c r="F1576" s="33"/>
      <c r="G1576" s="16"/>
      <c r="H1576" s="16"/>
      <c r="I1576" s="16"/>
      <c r="J1576" s="16"/>
      <c r="K1576" s="16"/>
      <c r="L1576" s="16"/>
      <c r="M1576" s="16"/>
      <c r="N1576" s="16"/>
      <c r="O1576" s="16"/>
      <c r="P1576" s="16"/>
      <c r="Q1576" s="16"/>
      <c r="R1576" s="16"/>
    </row>
    <row r="1577" spans="1:18" ht="18">
      <c r="A1577" s="61"/>
      <c r="B1577" s="15"/>
      <c r="C1577" s="31"/>
      <c r="D1577" s="90"/>
      <c r="E1577" s="16"/>
      <c r="F1577" s="33"/>
      <c r="G1577" s="16"/>
      <c r="H1577" s="16"/>
      <c r="I1577" s="16"/>
      <c r="J1577" s="16"/>
      <c r="K1577" s="16"/>
      <c r="L1577" s="16"/>
      <c r="M1577" s="16"/>
      <c r="N1577" s="16"/>
      <c r="O1577" s="16"/>
      <c r="P1577" s="16"/>
      <c r="Q1577" s="16"/>
      <c r="R1577" s="16"/>
    </row>
    <row r="1578" spans="1:18" ht="18">
      <c r="A1578" s="61"/>
      <c r="B1578" s="15"/>
      <c r="C1578" s="31"/>
      <c r="D1578" s="90"/>
      <c r="E1578" s="16"/>
      <c r="F1578" s="33"/>
      <c r="G1578" s="16"/>
      <c r="H1578" s="16"/>
      <c r="I1578" s="16"/>
      <c r="J1578" s="16"/>
      <c r="K1578" s="16"/>
      <c r="L1578" s="16"/>
      <c r="M1578" s="16"/>
      <c r="N1578" s="16"/>
      <c r="O1578" s="16"/>
      <c r="P1578" s="16"/>
      <c r="Q1578" s="16"/>
      <c r="R1578" s="16"/>
    </row>
    <row r="1579" spans="1:18" ht="18">
      <c r="A1579" s="61"/>
      <c r="B1579" s="15"/>
      <c r="C1579" s="31"/>
      <c r="D1579" s="90"/>
      <c r="E1579" s="16"/>
      <c r="F1579" s="33"/>
      <c r="G1579" s="16"/>
      <c r="H1579" s="16"/>
      <c r="I1579" s="16"/>
      <c r="J1579" s="16"/>
      <c r="K1579" s="16"/>
      <c r="L1579" s="16"/>
      <c r="M1579" s="16"/>
      <c r="N1579" s="16"/>
      <c r="O1579" s="16"/>
      <c r="P1579" s="16"/>
      <c r="Q1579" s="16"/>
      <c r="R1579" s="16"/>
    </row>
    <row r="1580" spans="1:18" ht="18">
      <c r="A1580" s="61"/>
      <c r="B1580" s="15"/>
      <c r="C1580" s="31"/>
      <c r="D1580" s="90"/>
      <c r="E1580" s="16"/>
      <c r="F1580" s="33"/>
      <c r="G1580" s="16"/>
      <c r="H1580" s="16"/>
      <c r="I1580" s="16"/>
      <c r="J1580" s="16"/>
      <c r="K1580" s="16"/>
      <c r="L1580" s="16"/>
      <c r="M1580" s="16"/>
      <c r="N1580" s="16"/>
      <c r="O1580" s="16"/>
      <c r="P1580" s="16"/>
      <c r="Q1580" s="16"/>
      <c r="R1580" s="16"/>
    </row>
    <row r="1581" spans="1:18" ht="18">
      <c r="A1581" s="61"/>
      <c r="B1581" s="15"/>
      <c r="C1581" s="31"/>
      <c r="D1581" s="90"/>
      <c r="E1581" s="16"/>
      <c r="F1581" s="33"/>
      <c r="G1581" s="16"/>
      <c r="H1581" s="16"/>
      <c r="I1581" s="16"/>
      <c r="J1581" s="16"/>
      <c r="K1581" s="16"/>
      <c r="L1581" s="16"/>
      <c r="M1581" s="16"/>
      <c r="N1581" s="16"/>
      <c r="O1581" s="16"/>
      <c r="P1581" s="16"/>
      <c r="Q1581" s="16"/>
      <c r="R1581" s="16"/>
    </row>
    <row r="1582" spans="1:18" ht="18">
      <c r="A1582" s="61"/>
      <c r="B1582" s="15"/>
      <c r="C1582" s="31"/>
      <c r="D1582" s="90"/>
      <c r="E1582" s="16"/>
      <c r="F1582" s="33"/>
      <c r="G1582" s="16"/>
      <c r="H1582" s="16"/>
      <c r="I1582" s="16"/>
      <c r="J1582" s="16"/>
      <c r="K1582" s="16"/>
      <c r="L1582" s="16"/>
      <c r="M1582" s="16"/>
      <c r="N1582" s="16"/>
      <c r="O1582" s="16"/>
      <c r="P1582" s="16"/>
      <c r="Q1582" s="16"/>
      <c r="R1582" s="16"/>
    </row>
    <row r="1583" spans="1:18" ht="18">
      <c r="A1583" s="61"/>
      <c r="B1583" s="15"/>
      <c r="C1583" s="31"/>
      <c r="D1583" s="90"/>
      <c r="E1583" s="16"/>
      <c r="F1583" s="33"/>
      <c r="G1583" s="16"/>
      <c r="H1583" s="16"/>
      <c r="I1583" s="16"/>
      <c r="J1583" s="16"/>
      <c r="K1583" s="16"/>
      <c r="L1583" s="16"/>
      <c r="M1583" s="16"/>
      <c r="N1583" s="16"/>
      <c r="O1583" s="16"/>
      <c r="P1583" s="16"/>
      <c r="Q1583" s="16"/>
      <c r="R1583" s="16"/>
    </row>
    <row r="1584" spans="1:18" ht="18">
      <c r="A1584" s="61"/>
      <c r="B1584" s="15"/>
      <c r="C1584" s="31"/>
      <c r="D1584" s="90"/>
      <c r="E1584" s="16"/>
      <c r="F1584" s="33"/>
      <c r="G1584" s="16"/>
      <c r="H1584" s="16"/>
      <c r="I1584" s="16"/>
      <c r="J1584" s="16"/>
      <c r="K1584" s="16"/>
      <c r="L1584" s="16"/>
      <c r="M1584" s="16"/>
      <c r="N1584" s="16"/>
      <c r="O1584" s="16"/>
      <c r="P1584" s="16"/>
      <c r="Q1584" s="16"/>
      <c r="R1584" s="16"/>
    </row>
    <row r="1585" spans="1:18" ht="18">
      <c r="A1585" s="61"/>
      <c r="B1585" s="15"/>
      <c r="C1585" s="31"/>
      <c r="D1585" s="90"/>
      <c r="E1585" s="16"/>
      <c r="F1585" s="33"/>
      <c r="G1585" s="16"/>
      <c r="H1585" s="16"/>
      <c r="I1585" s="16"/>
      <c r="J1585" s="16"/>
      <c r="K1585" s="16"/>
      <c r="L1585" s="16"/>
      <c r="M1585" s="16"/>
      <c r="N1585" s="16"/>
      <c r="O1585" s="16"/>
      <c r="P1585" s="16"/>
      <c r="Q1585" s="16"/>
      <c r="R1585" s="16"/>
    </row>
    <row r="1586" spans="1:18" ht="18">
      <c r="A1586" s="61"/>
      <c r="B1586" s="15"/>
      <c r="C1586" s="31"/>
      <c r="D1586" s="90"/>
      <c r="E1586" s="16"/>
      <c r="F1586" s="33"/>
      <c r="G1586" s="16"/>
      <c r="H1586" s="16"/>
      <c r="I1586" s="16"/>
      <c r="J1586" s="16"/>
      <c r="K1586" s="16"/>
      <c r="L1586" s="16"/>
      <c r="M1586" s="16"/>
      <c r="N1586" s="16"/>
      <c r="O1586" s="16"/>
      <c r="P1586" s="16"/>
      <c r="Q1586" s="16"/>
      <c r="R1586" s="16"/>
    </row>
    <row r="1587" spans="1:18" ht="18">
      <c r="A1587" s="61"/>
      <c r="B1587" s="15"/>
      <c r="C1587" s="31"/>
      <c r="D1587" s="90"/>
      <c r="E1587" s="16"/>
      <c r="F1587" s="33"/>
      <c r="G1587" s="16"/>
      <c r="H1587" s="16"/>
      <c r="I1587" s="16"/>
      <c r="J1587" s="16"/>
      <c r="K1587" s="16"/>
      <c r="L1587" s="16"/>
      <c r="M1587" s="16"/>
      <c r="N1587" s="16"/>
      <c r="O1587" s="16"/>
      <c r="P1587" s="16"/>
      <c r="Q1587" s="16"/>
      <c r="R1587" s="16"/>
    </row>
    <row r="1588" spans="1:18" ht="18">
      <c r="A1588" s="61"/>
      <c r="B1588" s="15"/>
      <c r="C1588" s="31"/>
      <c r="D1588" s="90"/>
      <c r="E1588" s="16"/>
      <c r="F1588" s="33"/>
      <c r="G1588" s="16"/>
      <c r="H1588" s="16"/>
      <c r="I1588" s="16"/>
      <c r="J1588" s="16"/>
      <c r="K1588" s="16"/>
      <c r="L1588" s="16"/>
      <c r="M1588" s="16"/>
      <c r="N1588" s="16"/>
      <c r="O1588" s="16"/>
      <c r="P1588" s="16"/>
      <c r="Q1588" s="16"/>
      <c r="R1588" s="16"/>
    </row>
    <row r="1589" spans="1:18" ht="18">
      <c r="A1589" s="61"/>
      <c r="B1589" s="15"/>
      <c r="C1589" s="31"/>
      <c r="D1589" s="90"/>
      <c r="E1589" s="16"/>
      <c r="F1589" s="33"/>
      <c r="G1589" s="16"/>
      <c r="H1589" s="16"/>
      <c r="I1589" s="16"/>
      <c r="J1589" s="16"/>
      <c r="K1589" s="16"/>
      <c r="L1589" s="16"/>
      <c r="M1589" s="16"/>
      <c r="N1589" s="16"/>
      <c r="O1589" s="16"/>
      <c r="P1589" s="16"/>
      <c r="Q1589" s="16"/>
      <c r="R1589" s="16"/>
    </row>
    <row r="1590" spans="1:18" ht="18">
      <c r="A1590" s="61"/>
      <c r="B1590" s="15"/>
      <c r="C1590" s="31"/>
      <c r="D1590" s="90"/>
      <c r="E1590" s="16"/>
      <c r="F1590" s="33"/>
      <c r="G1590" s="16"/>
      <c r="H1590" s="16"/>
      <c r="I1590" s="16"/>
      <c r="J1590" s="16"/>
      <c r="K1590" s="16"/>
      <c r="L1590" s="16"/>
      <c r="M1590" s="16"/>
      <c r="N1590" s="16"/>
      <c r="O1590" s="16"/>
      <c r="P1590" s="16"/>
      <c r="Q1590" s="16"/>
      <c r="R1590" s="16"/>
    </row>
    <row r="1591" spans="1:18" ht="18">
      <c r="A1591" s="61"/>
      <c r="B1591" s="15"/>
      <c r="C1591" s="31"/>
      <c r="D1591" s="90"/>
      <c r="E1591" s="16"/>
      <c r="F1591" s="33"/>
      <c r="G1591" s="16"/>
      <c r="H1591" s="16"/>
      <c r="I1591" s="16"/>
      <c r="J1591" s="16"/>
      <c r="K1591" s="16"/>
      <c r="L1591" s="16"/>
      <c r="M1591" s="16"/>
      <c r="N1591" s="16"/>
      <c r="O1591" s="16"/>
      <c r="P1591" s="16"/>
      <c r="Q1591" s="16"/>
      <c r="R1591" s="16"/>
    </row>
    <row r="1592" spans="1:18" ht="18">
      <c r="A1592" s="61"/>
      <c r="B1592" s="15"/>
      <c r="C1592" s="31"/>
      <c r="D1592" s="90"/>
      <c r="E1592" s="16"/>
      <c r="F1592" s="33"/>
      <c r="G1592" s="16"/>
      <c r="H1592" s="16"/>
      <c r="I1592" s="16"/>
      <c r="J1592" s="16"/>
      <c r="K1592" s="16"/>
      <c r="L1592" s="16"/>
      <c r="M1592" s="16"/>
      <c r="N1592" s="16"/>
      <c r="O1592" s="16"/>
      <c r="P1592" s="16"/>
      <c r="Q1592" s="16"/>
      <c r="R1592" s="16"/>
    </row>
    <row r="1593" spans="1:18" ht="18">
      <c r="A1593" s="61"/>
      <c r="B1593" s="15"/>
      <c r="C1593" s="31"/>
      <c r="D1593" s="90"/>
      <c r="E1593" s="16"/>
      <c r="F1593" s="33"/>
      <c r="G1593" s="16"/>
      <c r="H1593" s="16"/>
      <c r="I1593" s="16"/>
      <c r="J1593" s="16"/>
      <c r="K1593" s="16"/>
      <c r="L1593" s="16"/>
      <c r="M1593" s="16"/>
      <c r="N1593" s="16"/>
      <c r="O1593" s="16"/>
      <c r="P1593" s="16"/>
      <c r="Q1593" s="16"/>
      <c r="R1593" s="16"/>
    </row>
    <row r="1594" spans="1:18" ht="18">
      <c r="A1594" s="61"/>
      <c r="B1594" s="15"/>
      <c r="C1594" s="31"/>
      <c r="D1594" s="90"/>
      <c r="E1594" s="16"/>
      <c r="F1594" s="33"/>
      <c r="G1594" s="16"/>
      <c r="H1594" s="16"/>
      <c r="I1594" s="16"/>
      <c r="J1594" s="16"/>
      <c r="K1594" s="16"/>
      <c r="L1594" s="16"/>
      <c r="M1594" s="16"/>
      <c r="N1594" s="16"/>
      <c r="O1594" s="16"/>
      <c r="P1594" s="16"/>
      <c r="Q1594" s="16"/>
      <c r="R1594" s="16"/>
    </row>
    <row r="1595" spans="1:18" ht="18">
      <c r="A1595" s="61"/>
      <c r="B1595" s="15"/>
      <c r="C1595" s="31"/>
      <c r="D1595" s="90"/>
      <c r="E1595" s="16"/>
      <c r="F1595" s="33"/>
      <c r="G1595" s="16"/>
      <c r="H1595" s="16"/>
      <c r="I1595" s="16"/>
      <c r="J1595" s="16"/>
      <c r="K1595" s="16"/>
      <c r="L1595" s="16"/>
      <c r="M1595" s="16"/>
      <c r="N1595" s="16"/>
      <c r="O1595" s="16"/>
      <c r="P1595" s="16"/>
      <c r="Q1595" s="16"/>
      <c r="R1595" s="16"/>
    </row>
    <row r="1596" spans="1:18" ht="18">
      <c r="A1596" s="61"/>
      <c r="B1596" s="15"/>
      <c r="C1596" s="31"/>
      <c r="D1596" s="90"/>
      <c r="E1596" s="16"/>
      <c r="F1596" s="33"/>
      <c r="G1596" s="16"/>
      <c r="H1596" s="16"/>
      <c r="I1596" s="16"/>
      <c r="J1596" s="16"/>
      <c r="K1596" s="16"/>
      <c r="L1596" s="16"/>
      <c r="M1596" s="16"/>
      <c r="N1596" s="16"/>
      <c r="O1596" s="16"/>
      <c r="P1596" s="16"/>
      <c r="Q1596" s="16"/>
      <c r="R1596" s="16"/>
    </row>
    <row r="1597" spans="1:18" ht="18">
      <c r="A1597" s="61"/>
      <c r="B1597" s="15"/>
      <c r="C1597" s="31"/>
      <c r="D1597" s="90"/>
      <c r="E1597" s="16"/>
      <c r="F1597" s="33"/>
      <c r="G1597" s="16"/>
      <c r="H1597" s="16"/>
      <c r="I1597" s="16"/>
      <c r="J1597" s="16"/>
      <c r="K1597" s="16"/>
      <c r="L1597" s="16"/>
      <c r="M1597" s="16"/>
      <c r="N1597" s="16"/>
      <c r="O1597" s="16"/>
      <c r="P1597" s="16"/>
      <c r="Q1597" s="16"/>
      <c r="R1597" s="16"/>
    </row>
    <row r="1598" spans="1:18" ht="18">
      <c r="A1598" s="61"/>
      <c r="B1598" s="15"/>
      <c r="C1598" s="31"/>
      <c r="D1598" s="90"/>
      <c r="E1598" s="16"/>
      <c r="F1598" s="33"/>
      <c r="G1598" s="16"/>
      <c r="H1598" s="16"/>
      <c r="I1598" s="16"/>
      <c r="J1598" s="16"/>
      <c r="K1598" s="16"/>
      <c r="L1598" s="16"/>
      <c r="M1598" s="16"/>
      <c r="N1598" s="16"/>
      <c r="O1598" s="16"/>
      <c r="P1598" s="16"/>
      <c r="Q1598" s="16"/>
      <c r="R1598" s="16"/>
    </row>
    <row r="1599" spans="1:18" ht="18">
      <c r="A1599" s="61"/>
      <c r="B1599" s="15"/>
      <c r="C1599" s="31"/>
      <c r="D1599" s="90"/>
      <c r="E1599" s="16"/>
      <c r="F1599" s="33"/>
      <c r="G1599" s="16"/>
      <c r="H1599" s="16"/>
      <c r="I1599" s="16"/>
      <c r="J1599" s="16"/>
      <c r="K1599" s="16"/>
      <c r="L1599" s="16"/>
      <c r="M1599" s="16"/>
      <c r="N1599" s="16"/>
      <c r="O1599" s="16"/>
      <c r="P1599" s="16"/>
      <c r="Q1599" s="16"/>
      <c r="R1599" s="16"/>
    </row>
    <row r="1600" spans="1:18" ht="18">
      <c r="A1600" s="61"/>
      <c r="B1600" s="15"/>
      <c r="C1600" s="31"/>
      <c r="D1600" s="90"/>
      <c r="E1600" s="16"/>
      <c r="F1600" s="33"/>
      <c r="G1600" s="16"/>
      <c r="H1600" s="16"/>
      <c r="I1600" s="16"/>
      <c r="J1600" s="16"/>
      <c r="K1600" s="16"/>
      <c r="L1600" s="16"/>
      <c r="M1600" s="16"/>
      <c r="N1600" s="16"/>
      <c r="O1600" s="16"/>
      <c r="P1600" s="16"/>
      <c r="Q1600" s="16"/>
      <c r="R1600" s="16"/>
    </row>
    <row r="1601" spans="1:18" ht="18">
      <c r="A1601" s="61"/>
      <c r="B1601" s="15"/>
      <c r="C1601" s="31"/>
      <c r="D1601" s="90"/>
      <c r="E1601" s="16"/>
      <c r="F1601" s="33"/>
      <c r="G1601" s="16"/>
      <c r="H1601" s="16"/>
      <c r="I1601" s="16"/>
      <c r="J1601" s="16"/>
      <c r="K1601" s="16"/>
      <c r="L1601" s="16"/>
      <c r="M1601" s="16"/>
      <c r="N1601" s="16"/>
      <c r="O1601" s="16"/>
      <c r="P1601" s="16"/>
      <c r="Q1601" s="16"/>
      <c r="R1601" s="16"/>
    </row>
    <row r="1602" spans="1:18" ht="18">
      <c r="A1602" s="61"/>
      <c r="B1602" s="15"/>
      <c r="C1602" s="31"/>
      <c r="D1602" s="90"/>
      <c r="E1602" s="16"/>
      <c r="F1602" s="33"/>
      <c r="G1602" s="16"/>
      <c r="H1602" s="16"/>
      <c r="I1602" s="16"/>
      <c r="J1602" s="16"/>
      <c r="K1602" s="16"/>
      <c r="L1602" s="16"/>
      <c r="M1602" s="16"/>
      <c r="N1602" s="16"/>
      <c r="O1602" s="16"/>
      <c r="P1602" s="16"/>
      <c r="Q1602" s="16"/>
      <c r="R1602" s="16"/>
    </row>
    <row r="1603" spans="1:18" ht="18">
      <c r="A1603" s="61"/>
      <c r="B1603" s="15"/>
      <c r="C1603" s="31"/>
      <c r="D1603" s="90"/>
      <c r="E1603" s="16"/>
      <c r="F1603" s="33"/>
      <c r="G1603" s="16"/>
      <c r="H1603" s="16"/>
      <c r="I1603" s="16"/>
      <c r="J1603" s="16"/>
      <c r="K1603" s="16"/>
      <c r="L1603" s="16"/>
      <c r="M1603" s="16"/>
      <c r="N1603" s="16"/>
      <c r="O1603" s="16"/>
      <c r="P1603" s="16"/>
      <c r="Q1603" s="16"/>
      <c r="R1603" s="16"/>
    </row>
    <row r="1604" spans="1:18" ht="18">
      <c r="A1604" s="61"/>
      <c r="B1604" s="15"/>
      <c r="C1604" s="31"/>
      <c r="D1604" s="90"/>
      <c r="E1604" s="16"/>
      <c r="F1604" s="33"/>
      <c r="G1604" s="16"/>
      <c r="H1604" s="16"/>
      <c r="I1604" s="16"/>
      <c r="J1604" s="16"/>
      <c r="K1604" s="16"/>
      <c r="L1604" s="16"/>
      <c r="M1604" s="16"/>
      <c r="N1604" s="16"/>
      <c r="O1604" s="16"/>
      <c r="P1604" s="16"/>
      <c r="Q1604" s="16"/>
      <c r="R1604" s="16"/>
    </row>
    <row r="1605" spans="1:18" ht="18">
      <c r="A1605" s="61"/>
      <c r="B1605" s="15"/>
      <c r="C1605" s="31"/>
      <c r="D1605" s="90"/>
      <c r="E1605" s="16"/>
      <c r="F1605" s="33"/>
      <c r="G1605" s="16"/>
      <c r="H1605" s="16"/>
      <c r="I1605" s="16"/>
      <c r="J1605" s="16"/>
      <c r="K1605" s="16"/>
      <c r="L1605" s="16"/>
      <c r="M1605" s="16"/>
      <c r="N1605" s="16"/>
      <c r="O1605" s="16"/>
      <c r="P1605" s="16"/>
      <c r="Q1605" s="16"/>
      <c r="R1605" s="16"/>
    </row>
    <row r="1606" spans="1:18" ht="18">
      <c r="A1606" s="61"/>
      <c r="B1606" s="15"/>
      <c r="C1606" s="31"/>
      <c r="D1606" s="90"/>
      <c r="E1606" s="16"/>
      <c r="F1606" s="33"/>
      <c r="G1606" s="16"/>
      <c r="H1606" s="16"/>
      <c r="I1606" s="16"/>
      <c r="J1606" s="16"/>
      <c r="K1606" s="16"/>
      <c r="L1606" s="16"/>
      <c r="M1606" s="16"/>
      <c r="N1606" s="16"/>
      <c r="O1606" s="16"/>
      <c r="P1606" s="16"/>
      <c r="Q1606" s="16"/>
      <c r="R1606" s="16"/>
    </row>
    <row r="1607" spans="1:18" ht="18">
      <c r="A1607" s="61"/>
      <c r="B1607" s="15"/>
      <c r="C1607" s="31"/>
      <c r="D1607" s="90"/>
      <c r="E1607" s="16"/>
      <c r="F1607" s="33"/>
      <c r="G1607" s="16"/>
      <c r="H1607" s="16"/>
      <c r="I1607" s="16"/>
      <c r="J1607" s="16"/>
      <c r="K1607" s="16"/>
      <c r="L1607" s="16"/>
      <c r="M1607" s="16"/>
      <c r="N1607" s="16"/>
      <c r="O1607" s="16"/>
      <c r="P1607" s="16"/>
      <c r="Q1607" s="16"/>
      <c r="R1607" s="16"/>
    </row>
    <row r="1608" spans="1:18" ht="18">
      <c r="A1608" s="61"/>
      <c r="B1608" s="15"/>
      <c r="C1608" s="31"/>
      <c r="D1608" s="90"/>
      <c r="E1608" s="16"/>
      <c r="F1608" s="33"/>
      <c r="G1608" s="16"/>
      <c r="H1608" s="16"/>
      <c r="I1608" s="16"/>
      <c r="J1608" s="16"/>
      <c r="K1608" s="16"/>
      <c r="L1608" s="16"/>
      <c r="M1608" s="16"/>
      <c r="N1608" s="16"/>
      <c r="O1608" s="16"/>
      <c r="P1608" s="16"/>
      <c r="Q1608" s="16"/>
      <c r="R1608" s="16"/>
    </row>
    <row r="1609" spans="1:18" ht="18">
      <c r="A1609" s="61"/>
      <c r="B1609" s="15"/>
      <c r="C1609" s="31"/>
      <c r="D1609" s="90"/>
      <c r="E1609" s="16"/>
      <c r="F1609" s="33"/>
      <c r="G1609" s="16"/>
      <c r="H1609" s="16"/>
      <c r="I1609" s="16"/>
      <c r="J1609" s="16"/>
      <c r="K1609" s="16"/>
      <c r="L1609" s="16"/>
      <c r="M1609" s="16"/>
      <c r="N1609" s="16"/>
      <c r="O1609" s="16"/>
      <c r="P1609" s="16"/>
      <c r="Q1609" s="16"/>
      <c r="R1609" s="16"/>
    </row>
    <row r="1610" spans="1:18" ht="18">
      <c r="A1610" s="61"/>
      <c r="B1610" s="15"/>
      <c r="C1610" s="31"/>
      <c r="D1610" s="90"/>
      <c r="E1610" s="16"/>
      <c r="F1610" s="33"/>
      <c r="G1610" s="16"/>
      <c r="H1610" s="16"/>
      <c r="I1610" s="16"/>
      <c r="J1610" s="16"/>
      <c r="K1610" s="16"/>
      <c r="L1610" s="16"/>
      <c r="M1610" s="16"/>
      <c r="N1610" s="16"/>
      <c r="O1610" s="16"/>
      <c r="P1610" s="16"/>
      <c r="Q1610" s="16"/>
      <c r="R1610" s="16"/>
    </row>
    <row r="1611" spans="1:18" ht="18">
      <c r="A1611" s="61"/>
      <c r="B1611" s="15"/>
      <c r="C1611" s="31"/>
      <c r="D1611" s="90"/>
      <c r="E1611" s="16"/>
      <c r="F1611" s="33"/>
      <c r="G1611" s="16"/>
      <c r="H1611" s="16"/>
      <c r="I1611" s="16"/>
      <c r="J1611" s="16"/>
      <c r="K1611" s="16"/>
      <c r="L1611" s="16"/>
      <c r="M1611" s="16"/>
      <c r="N1611" s="16"/>
      <c r="O1611" s="16"/>
      <c r="P1611" s="16"/>
      <c r="Q1611" s="16"/>
      <c r="R1611" s="16"/>
    </row>
    <row r="1612" spans="1:18" ht="18">
      <c r="A1612" s="61"/>
      <c r="B1612" s="15"/>
      <c r="C1612" s="31"/>
      <c r="D1612" s="90"/>
      <c r="E1612" s="16"/>
      <c r="F1612" s="33"/>
      <c r="G1612" s="16"/>
      <c r="H1612" s="16"/>
      <c r="I1612" s="16"/>
      <c r="J1612" s="16"/>
      <c r="K1612" s="16"/>
      <c r="L1612" s="16"/>
      <c r="M1612" s="16"/>
      <c r="N1612" s="16"/>
      <c r="O1612" s="16"/>
      <c r="P1612" s="16"/>
      <c r="Q1612" s="16"/>
      <c r="R1612" s="16"/>
    </row>
    <row r="1613" spans="1:18" ht="18">
      <c r="A1613" s="61"/>
      <c r="B1613" s="15"/>
      <c r="C1613" s="31"/>
      <c r="D1613" s="90"/>
      <c r="E1613" s="16"/>
      <c r="F1613" s="33"/>
      <c r="G1613" s="16"/>
      <c r="H1613" s="16"/>
      <c r="I1613" s="16"/>
      <c r="J1613" s="16"/>
      <c r="K1613" s="16"/>
      <c r="L1613" s="16"/>
      <c r="M1613" s="16"/>
      <c r="N1613" s="16"/>
      <c r="O1613" s="16"/>
      <c r="P1613" s="16"/>
      <c r="Q1613" s="16"/>
      <c r="R1613" s="16"/>
    </row>
    <row r="1614" spans="1:18" ht="18">
      <c r="A1614" s="61"/>
      <c r="B1614" s="15"/>
      <c r="C1614" s="31"/>
      <c r="D1614" s="90"/>
      <c r="E1614" s="16"/>
      <c r="F1614" s="33"/>
      <c r="G1614" s="16"/>
      <c r="H1614" s="16"/>
      <c r="I1614" s="16"/>
      <c r="J1614" s="16"/>
      <c r="K1614" s="16"/>
      <c r="L1614" s="16"/>
      <c r="M1614" s="16"/>
      <c r="N1614" s="16"/>
      <c r="O1614" s="16"/>
      <c r="P1614" s="16"/>
      <c r="Q1614" s="16"/>
      <c r="R1614" s="16"/>
    </row>
    <row r="1615" spans="1:18" ht="18">
      <c r="A1615" s="61"/>
      <c r="B1615" s="15"/>
      <c r="C1615" s="31"/>
      <c r="D1615" s="90"/>
      <c r="E1615" s="16"/>
      <c r="F1615" s="33"/>
      <c r="G1615" s="16"/>
      <c r="H1615" s="16"/>
      <c r="I1615" s="16"/>
      <c r="J1615" s="16"/>
      <c r="K1615" s="16"/>
      <c r="L1615" s="16"/>
      <c r="M1615" s="16"/>
      <c r="N1615" s="16"/>
      <c r="O1615" s="16"/>
      <c r="P1615" s="16"/>
      <c r="Q1615" s="16"/>
      <c r="R1615" s="16"/>
    </row>
    <row r="1616" spans="1:18" ht="18">
      <c r="A1616" s="61"/>
      <c r="B1616" s="15"/>
      <c r="C1616" s="31"/>
      <c r="D1616" s="90"/>
      <c r="E1616" s="16"/>
      <c r="F1616" s="33"/>
      <c r="G1616" s="16"/>
      <c r="H1616" s="16"/>
      <c r="I1616" s="16"/>
      <c r="J1616" s="16"/>
      <c r="K1616" s="16"/>
      <c r="L1616" s="16"/>
      <c r="M1616" s="16"/>
      <c r="N1616" s="16"/>
      <c r="O1616" s="16"/>
      <c r="P1616" s="16"/>
      <c r="Q1616" s="16"/>
      <c r="R1616" s="16"/>
    </row>
    <row r="1617" spans="1:18" ht="18">
      <c r="A1617" s="61"/>
      <c r="B1617" s="15"/>
      <c r="C1617" s="31"/>
      <c r="D1617" s="90"/>
      <c r="E1617" s="16"/>
      <c r="F1617" s="33"/>
      <c r="G1617" s="16"/>
      <c r="H1617" s="16"/>
      <c r="I1617" s="16"/>
      <c r="J1617" s="16"/>
      <c r="K1617" s="16"/>
      <c r="L1617" s="16"/>
      <c r="M1617" s="16"/>
      <c r="N1617" s="16"/>
      <c r="O1617" s="16"/>
      <c r="P1617" s="16"/>
      <c r="Q1617" s="16"/>
      <c r="R1617" s="16"/>
    </row>
    <row r="1618" spans="1:18" ht="18">
      <c r="A1618" s="61"/>
      <c r="B1618" s="15"/>
      <c r="C1618" s="31"/>
      <c r="D1618" s="90"/>
      <c r="E1618" s="16"/>
      <c r="F1618" s="33"/>
      <c r="G1618" s="16"/>
      <c r="H1618" s="16"/>
      <c r="I1618" s="16"/>
      <c r="J1618" s="16"/>
      <c r="K1618" s="16"/>
      <c r="L1618" s="16"/>
      <c r="M1618" s="16"/>
      <c r="N1618" s="16"/>
      <c r="O1618" s="16"/>
      <c r="P1618" s="16"/>
      <c r="Q1618" s="16"/>
      <c r="R1618" s="16"/>
    </row>
    <row r="1619" spans="1:18" ht="18">
      <c r="A1619" s="61"/>
      <c r="B1619" s="15"/>
      <c r="C1619" s="31"/>
      <c r="D1619" s="90"/>
      <c r="E1619" s="16"/>
      <c r="F1619" s="33"/>
      <c r="G1619" s="16"/>
      <c r="H1619" s="16"/>
      <c r="I1619" s="16"/>
      <c r="J1619" s="16"/>
      <c r="K1619" s="16"/>
      <c r="L1619" s="16"/>
      <c r="M1619" s="16"/>
      <c r="N1619" s="16"/>
      <c r="O1619" s="16"/>
      <c r="P1619" s="16"/>
      <c r="Q1619" s="16"/>
      <c r="R1619" s="16"/>
    </row>
    <row r="1620" spans="1:18" ht="18">
      <c r="A1620" s="61"/>
      <c r="B1620" s="15"/>
      <c r="C1620" s="31"/>
      <c r="D1620" s="90"/>
      <c r="E1620" s="16"/>
      <c r="F1620" s="33"/>
      <c r="G1620" s="16"/>
      <c r="H1620" s="16"/>
      <c r="I1620" s="16"/>
      <c r="J1620" s="16"/>
      <c r="K1620" s="16"/>
      <c r="L1620" s="16"/>
      <c r="M1620" s="16"/>
      <c r="N1620" s="16"/>
      <c r="O1620" s="16"/>
      <c r="P1620" s="16"/>
      <c r="Q1620" s="16"/>
      <c r="R1620" s="16"/>
    </row>
    <row r="1621" spans="1:18" ht="18">
      <c r="A1621" s="61"/>
      <c r="B1621" s="15"/>
      <c r="C1621" s="31"/>
      <c r="D1621" s="90"/>
      <c r="E1621" s="16"/>
      <c r="F1621" s="33"/>
      <c r="G1621" s="16"/>
      <c r="H1621" s="16"/>
      <c r="I1621" s="16"/>
      <c r="J1621" s="16"/>
      <c r="K1621" s="16"/>
      <c r="L1621" s="16"/>
      <c r="M1621" s="16"/>
      <c r="N1621" s="16"/>
      <c r="O1621" s="16"/>
      <c r="P1621" s="16"/>
      <c r="Q1621" s="16"/>
      <c r="R1621" s="16"/>
    </row>
    <row r="1622" spans="1:18" ht="18">
      <c r="A1622" s="61"/>
      <c r="B1622" s="15"/>
      <c r="C1622" s="31"/>
      <c r="D1622" s="90"/>
      <c r="E1622" s="16"/>
      <c r="F1622" s="33"/>
      <c r="G1622" s="16"/>
      <c r="H1622" s="16"/>
      <c r="I1622" s="16"/>
      <c r="J1622" s="16"/>
      <c r="K1622" s="16"/>
      <c r="L1622" s="16"/>
      <c r="M1622" s="16"/>
      <c r="N1622" s="16"/>
      <c r="O1622" s="16"/>
      <c r="P1622" s="16"/>
      <c r="Q1622" s="16"/>
      <c r="R1622" s="16"/>
    </row>
    <row r="1623" spans="1:18" ht="18">
      <c r="A1623" s="61"/>
      <c r="B1623" s="15"/>
      <c r="C1623" s="31"/>
      <c r="D1623" s="90"/>
      <c r="E1623" s="16"/>
      <c r="F1623" s="33"/>
      <c r="G1623" s="16"/>
      <c r="H1623" s="16"/>
      <c r="I1623" s="16"/>
      <c r="J1623" s="16"/>
      <c r="K1623" s="16"/>
      <c r="L1623" s="16"/>
      <c r="M1623" s="16"/>
      <c r="N1623" s="16"/>
      <c r="O1623" s="16"/>
      <c r="P1623" s="16"/>
      <c r="Q1623" s="16"/>
      <c r="R1623" s="16"/>
    </row>
    <row r="1624" spans="1:18" ht="18">
      <c r="A1624" s="61"/>
      <c r="B1624" s="15"/>
      <c r="C1624" s="31"/>
      <c r="D1624" s="90"/>
      <c r="E1624" s="16"/>
      <c r="F1624" s="33"/>
      <c r="G1624" s="16"/>
      <c r="H1624" s="16"/>
      <c r="I1624" s="16"/>
      <c r="J1624" s="16"/>
      <c r="K1624" s="16"/>
      <c r="L1624" s="16"/>
      <c r="M1624" s="16"/>
      <c r="N1624" s="16"/>
      <c r="O1624" s="16"/>
      <c r="P1624" s="16"/>
      <c r="Q1624" s="16"/>
      <c r="R1624" s="16"/>
    </row>
    <row r="1625" spans="1:18" ht="18">
      <c r="A1625" s="61"/>
      <c r="B1625" s="15"/>
      <c r="C1625" s="31"/>
      <c r="D1625" s="90"/>
      <c r="E1625" s="16"/>
      <c r="F1625" s="33"/>
      <c r="G1625" s="16"/>
      <c r="H1625" s="16"/>
      <c r="I1625" s="16"/>
      <c r="J1625" s="16"/>
      <c r="K1625" s="16"/>
      <c r="L1625" s="16"/>
      <c r="M1625" s="16"/>
      <c r="N1625" s="16"/>
      <c r="O1625" s="16"/>
      <c r="P1625" s="16"/>
      <c r="Q1625" s="16"/>
      <c r="R1625" s="16"/>
    </row>
    <row r="1626" spans="1:18" ht="18">
      <c r="A1626" s="61"/>
      <c r="B1626" s="15"/>
      <c r="C1626" s="31"/>
      <c r="D1626" s="90"/>
      <c r="E1626" s="16"/>
      <c r="F1626" s="33"/>
      <c r="G1626" s="16"/>
      <c r="H1626" s="16"/>
      <c r="I1626" s="16"/>
      <c r="J1626" s="16"/>
      <c r="K1626" s="16"/>
      <c r="L1626" s="16"/>
      <c r="M1626" s="16"/>
      <c r="N1626" s="16"/>
      <c r="O1626" s="16"/>
      <c r="P1626" s="16"/>
      <c r="Q1626" s="16"/>
      <c r="R1626" s="16"/>
    </row>
    <row r="1627" spans="1:18" ht="18">
      <c r="A1627" s="61"/>
      <c r="B1627" s="15"/>
      <c r="C1627" s="31"/>
      <c r="D1627" s="90"/>
      <c r="E1627" s="16"/>
      <c r="F1627" s="33"/>
      <c r="G1627" s="16"/>
      <c r="H1627" s="16"/>
      <c r="I1627" s="16"/>
      <c r="J1627" s="16"/>
      <c r="K1627" s="16"/>
      <c r="L1627" s="16"/>
      <c r="M1627" s="16"/>
      <c r="N1627" s="16"/>
      <c r="O1627" s="16"/>
      <c r="P1627" s="16"/>
      <c r="Q1627" s="16"/>
      <c r="R1627" s="16"/>
    </row>
    <row r="1628" spans="1:18" ht="18">
      <c r="A1628" s="61"/>
      <c r="B1628" s="15"/>
      <c r="C1628" s="31"/>
      <c r="D1628" s="90"/>
      <c r="E1628" s="16"/>
      <c r="F1628" s="33"/>
      <c r="G1628" s="16"/>
      <c r="H1628" s="16"/>
      <c r="I1628" s="16"/>
      <c r="J1628" s="16"/>
      <c r="K1628" s="16"/>
      <c r="L1628" s="16"/>
      <c r="M1628" s="16"/>
      <c r="N1628" s="16"/>
      <c r="O1628" s="16"/>
      <c r="P1628" s="16"/>
      <c r="Q1628" s="16"/>
      <c r="R1628" s="16"/>
    </row>
    <row r="1629" spans="1:18" ht="18">
      <c r="A1629" s="61"/>
      <c r="B1629" s="15"/>
      <c r="C1629" s="31"/>
      <c r="D1629" s="90"/>
      <c r="E1629" s="16"/>
      <c r="F1629" s="33"/>
      <c r="G1629" s="16"/>
      <c r="H1629" s="16"/>
      <c r="I1629" s="16"/>
      <c r="J1629" s="16"/>
      <c r="K1629" s="16"/>
      <c r="L1629" s="16"/>
      <c r="M1629" s="16"/>
      <c r="N1629" s="16"/>
      <c r="O1629" s="16"/>
      <c r="P1629" s="16"/>
      <c r="Q1629" s="16"/>
      <c r="R1629" s="16"/>
    </row>
    <row r="1630" spans="1:18" ht="18">
      <c r="A1630" s="61"/>
      <c r="B1630" s="15"/>
      <c r="C1630" s="31"/>
      <c r="D1630" s="90"/>
      <c r="E1630" s="16"/>
      <c r="F1630" s="33"/>
      <c r="G1630" s="16"/>
      <c r="H1630" s="16"/>
      <c r="I1630" s="16"/>
      <c r="J1630" s="16"/>
      <c r="K1630" s="16"/>
      <c r="L1630" s="16"/>
      <c r="M1630" s="16"/>
      <c r="N1630" s="16"/>
      <c r="O1630" s="16"/>
      <c r="P1630" s="16"/>
      <c r="Q1630" s="16"/>
      <c r="R1630" s="16"/>
    </row>
    <row r="1631" spans="1:18" ht="18">
      <c r="A1631" s="61"/>
      <c r="B1631" s="15"/>
      <c r="C1631" s="31"/>
      <c r="D1631" s="90"/>
      <c r="E1631" s="16"/>
      <c r="F1631" s="33"/>
      <c r="G1631" s="16"/>
      <c r="H1631" s="16"/>
      <c r="I1631" s="16"/>
      <c r="J1631" s="16"/>
      <c r="K1631" s="16"/>
      <c r="L1631" s="16"/>
      <c r="M1631" s="16"/>
      <c r="N1631" s="16"/>
      <c r="O1631" s="16"/>
      <c r="P1631" s="16"/>
      <c r="Q1631" s="16"/>
      <c r="R1631" s="16"/>
    </row>
    <row r="1632" spans="1:18" ht="18">
      <c r="A1632" s="61"/>
      <c r="B1632" s="15"/>
      <c r="C1632" s="31"/>
      <c r="D1632" s="90"/>
      <c r="E1632" s="16"/>
      <c r="F1632" s="33"/>
      <c r="G1632" s="16"/>
      <c r="H1632" s="16"/>
      <c r="I1632" s="16"/>
      <c r="J1632" s="16"/>
      <c r="K1632" s="16"/>
      <c r="L1632" s="16"/>
      <c r="M1632" s="16"/>
      <c r="N1632" s="16"/>
      <c r="O1632" s="16"/>
      <c r="P1632" s="16"/>
      <c r="Q1632" s="16"/>
      <c r="R1632" s="16"/>
    </row>
    <row r="1633" spans="1:18" ht="18">
      <c r="A1633" s="61"/>
      <c r="B1633" s="15"/>
      <c r="C1633" s="31"/>
      <c r="D1633" s="90"/>
      <c r="E1633" s="16"/>
      <c r="F1633" s="33"/>
      <c r="G1633" s="16"/>
      <c r="H1633" s="16"/>
      <c r="I1633" s="16"/>
      <c r="J1633" s="16"/>
      <c r="K1633" s="16"/>
      <c r="L1633" s="16"/>
      <c r="M1633" s="16"/>
      <c r="N1633" s="16"/>
      <c r="O1633" s="16"/>
      <c r="P1633" s="16"/>
      <c r="Q1633" s="16"/>
      <c r="R1633" s="16"/>
    </row>
    <row r="1634" spans="1:18" ht="18">
      <c r="A1634" s="61"/>
      <c r="B1634" s="15"/>
      <c r="C1634" s="31"/>
      <c r="D1634" s="90"/>
      <c r="E1634" s="16"/>
      <c r="F1634" s="33"/>
      <c r="G1634" s="16"/>
      <c r="H1634" s="16"/>
      <c r="I1634" s="16"/>
      <c r="J1634" s="16"/>
      <c r="K1634" s="16"/>
      <c r="L1634" s="16"/>
      <c r="M1634" s="16"/>
      <c r="N1634" s="16"/>
      <c r="O1634" s="16"/>
      <c r="P1634" s="16"/>
      <c r="Q1634" s="16"/>
      <c r="R1634" s="16"/>
    </row>
    <row r="1635" spans="1:18" ht="18">
      <c r="A1635" s="61"/>
      <c r="B1635" s="15"/>
      <c r="C1635" s="31"/>
      <c r="D1635" s="90"/>
      <c r="E1635" s="16"/>
      <c r="F1635" s="33"/>
      <c r="G1635" s="16"/>
      <c r="H1635" s="16"/>
      <c r="I1635" s="16"/>
      <c r="J1635" s="16"/>
      <c r="K1635" s="16"/>
      <c r="L1635" s="16"/>
      <c r="M1635" s="16"/>
      <c r="N1635" s="16"/>
      <c r="O1635" s="16"/>
      <c r="P1635" s="16"/>
      <c r="Q1635" s="16"/>
      <c r="R1635" s="16"/>
    </row>
    <row r="1636" spans="1:18" ht="18">
      <c r="A1636" s="61"/>
      <c r="B1636" s="15"/>
      <c r="C1636" s="31"/>
      <c r="D1636" s="90"/>
      <c r="E1636" s="16"/>
      <c r="F1636" s="33"/>
      <c r="G1636" s="16"/>
      <c r="H1636" s="16"/>
      <c r="I1636" s="16"/>
      <c r="J1636" s="16"/>
      <c r="K1636" s="16"/>
      <c r="L1636" s="16"/>
      <c r="M1636" s="16"/>
      <c r="N1636" s="16"/>
      <c r="O1636" s="16"/>
      <c r="P1636" s="16"/>
      <c r="Q1636" s="16"/>
      <c r="R1636" s="16"/>
    </row>
    <row r="1637" spans="1:18" ht="18">
      <c r="A1637" s="61"/>
      <c r="B1637" s="15"/>
      <c r="C1637" s="31"/>
      <c r="D1637" s="90"/>
      <c r="E1637" s="16"/>
      <c r="F1637" s="33"/>
      <c r="G1637" s="16"/>
      <c r="H1637" s="16"/>
      <c r="I1637" s="16"/>
      <c r="J1637" s="16"/>
      <c r="K1637" s="16"/>
      <c r="L1637" s="16"/>
      <c r="M1637" s="16"/>
      <c r="N1637" s="16"/>
      <c r="O1637" s="16"/>
      <c r="P1637" s="16"/>
      <c r="Q1637" s="16"/>
      <c r="R1637" s="16"/>
    </row>
    <row r="1638" spans="1:18" ht="18">
      <c r="A1638" s="61"/>
      <c r="B1638" s="15"/>
      <c r="C1638" s="31"/>
      <c r="D1638" s="90"/>
      <c r="E1638" s="16"/>
      <c r="F1638" s="33"/>
      <c r="G1638" s="16"/>
      <c r="H1638" s="16"/>
      <c r="I1638" s="16"/>
      <c r="J1638" s="16"/>
      <c r="K1638" s="16"/>
      <c r="L1638" s="16"/>
      <c r="M1638" s="16"/>
      <c r="N1638" s="16"/>
      <c r="O1638" s="16"/>
      <c r="P1638" s="16"/>
      <c r="Q1638" s="16"/>
      <c r="R1638" s="16"/>
    </row>
    <row r="1639" spans="1:18" ht="18">
      <c r="A1639" s="61"/>
      <c r="B1639" s="15"/>
      <c r="C1639" s="31"/>
      <c r="D1639" s="90"/>
      <c r="E1639" s="16"/>
      <c r="F1639" s="33"/>
      <c r="G1639" s="16"/>
      <c r="H1639" s="16"/>
      <c r="I1639" s="16"/>
      <c r="J1639" s="16"/>
      <c r="K1639" s="16"/>
      <c r="L1639" s="16"/>
      <c r="M1639" s="16"/>
      <c r="N1639" s="16"/>
      <c r="O1639" s="16"/>
      <c r="P1639" s="16"/>
      <c r="Q1639" s="16"/>
      <c r="R1639" s="16"/>
    </row>
    <row r="1640" spans="1:18" ht="18">
      <c r="A1640" s="61"/>
      <c r="B1640" s="15"/>
      <c r="C1640" s="31"/>
      <c r="D1640" s="90"/>
      <c r="E1640" s="16"/>
      <c r="F1640" s="33"/>
      <c r="G1640" s="16"/>
      <c r="H1640" s="16"/>
      <c r="I1640" s="16"/>
      <c r="J1640" s="16"/>
      <c r="K1640" s="16"/>
      <c r="L1640" s="16"/>
      <c r="M1640" s="16"/>
      <c r="N1640" s="16"/>
      <c r="O1640" s="16"/>
      <c r="P1640" s="16"/>
      <c r="Q1640" s="16"/>
      <c r="R1640" s="16"/>
    </row>
    <row r="1641" spans="1:18" ht="18">
      <c r="A1641" s="61"/>
      <c r="B1641" s="15"/>
      <c r="C1641" s="31"/>
      <c r="D1641" s="90"/>
      <c r="E1641" s="16"/>
      <c r="F1641" s="33"/>
      <c r="G1641" s="16"/>
      <c r="H1641" s="16"/>
      <c r="I1641" s="16"/>
      <c r="J1641" s="16"/>
      <c r="K1641" s="16"/>
      <c r="L1641" s="16"/>
      <c r="M1641" s="16"/>
      <c r="N1641" s="16"/>
      <c r="O1641" s="16"/>
      <c r="P1641" s="16"/>
      <c r="Q1641" s="16"/>
      <c r="R1641" s="16"/>
    </row>
    <row r="1642" spans="1:18" ht="18">
      <c r="A1642" s="61"/>
      <c r="B1642" s="15"/>
      <c r="C1642" s="31"/>
      <c r="D1642" s="90"/>
      <c r="E1642" s="16"/>
      <c r="F1642" s="33"/>
      <c r="G1642" s="16"/>
      <c r="H1642" s="16"/>
      <c r="I1642" s="16"/>
      <c r="J1642" s="16"/>
      <c r="K1642" s="16"/>
      <c r="L1642" s="16"/>
      <c r="M1642" s="16"/>
      <c r="N1642" s="16"/>
      <c r="O1642" s="16"/>
      <c r="P1642" s="16"/>
      <c r="Q1642" s="16"/>
      <c r="R1642" s="16"/>
    </row>
    <row r="1643" spans="1:18" ht="18">
      <c r="A1643" s="61"/>
      <c r="B1643" s="15"/>
      <c r="C1643" s="31"/>
      <c r="D1643" s="90"/>
      <c r="E1643" s="16"/>
      <c r="F1643" s="33"/>
      <c r="G1643" s="16"/>
      <c r="H1643" s="16"/>
      <c r="I1643" s="16"/>
      <c r="J1643" s="16"/>
      <c r="K1643" s="16"/>
      <c r="L1643" s="16"/>
      <c r="M1643" s="16"/>
      <c r="N1643" s="16"/>
      <c r="O1643" s="16"/>
      <c r="P1643" s="16"/>
      <c r="Q1643" s="16"/>
      <c r="R1643" s="16"/>
    </row>
    <row r="1644" spans="1:18" ht="18">
      <c r="A1644" s="61"/>
      <c r="B1644" s="15"/>
      <c r="C1644" s="31"/>
      <c r="D1644" s="90"/>
      <c r="E1644" s="16"/>
      <c r="F1644" s="33"/>
      <c r="G1644" s="16"/>
      <c r="H1644" s="16"/>
      <c r="I1644" s="16"/>
      <c r="J1644" s="16"/>
      <c r="K1644" s="16"/>
      <c r="L1644" s="16"/>
      <c r="M1644" s="16"/>
      <c r="N1644" s="16"/>
      <c r="O1644" s="16"/>
      <c r="P1644" s="16"/>
      <c r="Q1644" s="16"/>
      <c r="R1644" s="16"/>
    </row>
    <row r="1645" spans="1:18" ht="18">
      <c r="A1645" s="61"/>
      <c r="B1645" s="15"/>
      <c r="C1645" s="31"/>
      <c r="D1645" s="90"/>
      <c r="E1645" s="16"/>
      <c r="F1645" s="33"/>
      <c r="G1645" s="16"/>
      <c r="H1645" s="16"/>
      <c r="I1645" s="16"/>
      <c r="J1645" s="16"/>
      <c r="K1645" s="16"/>
      <c r="L1645" s="16"/>
      <c r="M1645" s="16"/>
      <c r="N1645" s="16"/>
      <c r="O1645" s="16"/>
      <c r="P1645" s="16"/>
      <c r="Q1645" s="16"/>
      <c r="R1645" s="16"/>
    </row>
    <row r="1646" spans="1:18" ht="18">
      <c r="A1646" s="61"/>
      <c r="B1646" s="15"/>
      <c r="C1646" s="31"/>
      <c r="D1646" s="90"/>
      <c r="E1646" s="16"/>
      <c r="F1646" s="33"/>
      <c r="G1646" s="16"/>
      <c r="H1646" s="16"/>
      <c r="I1646" s="16"/>
      <c r="J1646" s="16"/>
      <c r="K1646" s="16"/>
      <c r="L1646" s="16"/>
      <c r="M1646" s="16"/>
      <c r="N1646" s="16"/>
      <c r="O1646" s="16"/>
      <c r="P1646" s="16"/>
      <c r="Q1646" s="16"/>
      <c r="R1646" s="16"/>
    </row>
    <row r="1647" spans="1:18" ht="18">
      <c r="A1647" s="61"/>
      <c r="B1647" s="15"/>
      <c r="C1647" s="31"/>
      <c r="D1647" s="90"/>
      <c r="E1647" s="16"/>
      <c r="F1647" s="33"/>
      <c r="G1647" s="16"/>
      <c r="H1647" s="16"/>
      <c r="I1647" s="16"/>
      <c r="J1647" s="16"/>
      <c r="K1647" s="16"/>
      <c r="L1647" s="16"/>
      <c r="M1647" s="16"/>
      <c r="N1647" s="16"/>
      <c r="O1647" s="16"/>
      <c r="P1647" s="16"/>
      <c r="Q1647" s="16"/>
      <c r="R1647" s="16"/>
    </row>
    <row r="1648" spans="1:18" ht="18">
      <c r="A1648" s="61"/>
      <c r="B1648" s="15"/>
      <c r="C1648" s="31"/>
      <c r="D1648" s="90"/>
      <c r="E1648" s="16"/>
      <c r="F1648" s="33"/>
      <c r="G1648" s="16"/>
      <c r="H1648" s="16"/>
      <c r="I1648" s="16"/>
      <c r="J1648" s="16"/>
      <c r="K1648" s="16"/>
      <c r="L1648" s="16"/>
      <c r="M1648" s="16"/>
      <c r="N1648" s="16"/>
      <c r="O1648" s="16"/>
      <c r="P1648" s="16"/>
      <c r="Q1648" s="16"/>
      <c r="R1648" s="16"/>
    </row>
    <row r="1649" spans="1:18" ht="18">
      <c r="A1649" s="61"/>
      <c r="B1649" s="15"/>
      <c r="C1649" s="31"/>
      <c r="D1649" s="90"/>
      <c r="E1649" s="16"/>
      <c r="F1649" s="33"/>
      <c r="G1649" s="16"/>
      <c r="H1649" s="16"/>
      <c r="I1649" s="16"/>
      <c r="J1649" s="16"/>
      <c r="K1649" s="16"/>
      <c r="L1649" s="16"/>
      <c r="M1649" s="16"/>
      <c r="N1649" s="16"/>
      <c r="O1649" s="16"/>
      <c r="P1649" s="16"/>
      <c r="Q1649" s="16"/>
      <c r="R1649" s="16"/>
    </row>
    <row r="1650" spans="1:18" ht="18">
      <c r="A1650" s="61"/>
      <c r="B1650" s="15"/>
      <c r="C1650" s="31"/>
      <c r="D1650" s="90"/>
      <c r="E1650" s="16"/>
      <c r="F1650" s="33"/>
      <c r="G1650" s="16"/>
      <c r="H1650" s="16"/>
      <c r="I1650" s="16"/>
      <c r="J1650" s="16"/>
      <c r="K1650" s="16"/>
      <c r="L1650" s="16"/>
      <c r="M1650" s="16"/>
      <c r="N1650" s="16"/>
      <c r="O1650" s="16"/>
      <c r="P1650" s="16"/>
      <c r="Q1650" s="16"/>
      <c r="R1650" s="16"/>
    </row>
    <row r="1651" spans="1:18" ht="18">
      <c r="A1651" s="61"/>
      <c r="B1651" s="15"/>
      <c r="C1651" s="31"/>
      <c r="D1651" s="90"/>
      <c r="E1651" s="16"/>
      <c r="F1651" s="33"/>
      <c r="G1651" s="16"/>
      <c r="H1651" s="16"/>
      <c r="I1651" s="16"/>
      <c r="J1651" s="16"/>
      <c r="K1651" s="16"/>
      <c r="L1651" s="16"/>
      <c r="M1651" s="16"/>
      <c r="N1651" s="16"/>
      <c r="O1651" s="16"/>
      <c r="P1651" s="16"/>
      <c r="Q1651" s="16"/>
      <c r="R1651" s="16"/>
    </row>
    <row r="1652" spans="1:18" ht="18">
      <c r="A1652" s="61"/>
      <c r="B1652" s="15"/>
      <c r="C1652" s="31"/>
      <c r="D1652" s="90"/>
      <c r="E1652" s="16"/>
      <c r="F1652" s="33"/>
      <c r="G1652" s="16"/>
      <c r="H1652" s="16"/>
      <c r="I1652" s="16"/>
      <c r="J1652" s="16"/>
      <c r="K1652" s="16"/>
      <c r="L1652" s="16"/>
      <c r="M1652" s="16"/>
      <c r="N1652" s="16"/>
      <c r="O1652" s="16"/>
      <c r="P1652" s="16"/>
      <c r="Q1652" s="16"/>
      <c r="R1652" s="16"/>
    </row>
    <row r="1653" spans="1:18" ht="18">
      <c r="A1653" s="61"/>
      <c r="B1653" s="15"/>
      <c r="C1653" s="31"/>
      <c r="D1653" s="90"/>
      <c r="E1653" s="16"/>
      <c r="F1653" s="33"/>
      <c r="G1653" s="16"/>
      <c r="H1653" s="16"/>
      <c r="I1653" s="16"/>
      <c r="J1653" s="16"/>
      <c r="K1653" s="16"/>
      <c r="L1653" s="16"/>
      <c r="M1653" s="16"/>
      <c r="N1653" s="16"/>
      <c r="O1653" s="16"/>
      <c r="P1653" s="16"/>
      <c r="Q1653" s="16"/>
      <c r="R1653" s="16"/>
    </row>
    <row r="1654" spans="1:18" ht="18">
      <c r="A1654" s="61"/>
      <c r="B1654" s="15"/>
      <c r="C1654" s="31"/>
      <c r="D1654" s="90"/>
      <c r="E1654" s="16"/>
      <c r="F1654" s="33"/>
      <c r="G1654" s="16"/>
      <c r="H1654" s="16"/>
      <c r="I1654" s="16"/>
      <c r="J1654" s="16"/>
      <c r="K1654" s="16"/>
      <c r="L1654" s="16"/>
      <c r="M1654" s="16"/>
      <c r="N1654" s="16"/>
      <c r="O1654" s="16"/>
      <c r="P1654" s="16"/>
      <c r="Q1654" s="16"/>
      <c r="R1654" s="16"/>
    </row>
    <row r="1655" spans="1:18" ht="18">
      <c r="A1655" s="61"/>
      <c r="B1655" s="15"/>
      <c r="C1655" s="31"/>
      <c r="D1655" s="90"/>
      <c r="E1655" s="16"/>
      <c r="F1655" s="33"/>
      <c r="G1655" s="16"/>
      <c r="H1655" s="16"/>
      <c r="I1655" s="16"/>
      <c r="J1655" s="16"/>
      <c r="K1655" s="16"/>
      <c r="L1655" s="16"/>
      <c r="M1655" s="16"/>
      <c r="N1655" s="16"/>
      <c r="O1655" s="16"/>
      <c r="P1655" s="16"/>
      <c r="Q1655" s="16"/>
      <c r="R1655" s="16"/>
    </row>
    <row r="1656" spans="1:18" ht="18">
      <c r="A1656" s="61"/>
      <c r="B1656" s="15"/>
      <c r="C1656" s="31"/>
      <c r="D1656" s="90"/>
      <c r="E1656" s="16"/>
      <c r="F1656" s="33"/>
      <c r="G1656" s="16"/>
      <c r="H1656" s="16"/>
      <c r="I1656" s="16"/>
      <c r="J1656" s="16"/>
      <c r="K1656" s="16"/>
      <c r="L1656" s="16"/>
      <c r="M1656" s="16"/>
      <c r="N1656" s="16"/>
      <c r="O1656" s="16"/>
      <c r="P1656" s="16"/>
      <c r="Q1656" s="16"/>
      <c r="R1656" s="16"/>
    </row>
    <row r="1657" spans="1:18" ht="18">
      <c r="A1657" s="61"/>
      <c r="B1657" s="15"/>
      <c r="C1657" s="31"/>
      <c r="D1657" s="90"/>
      <c r="E1657" s="16"/>
      <c r="F1657" s="33"/>
      <c r="G1657" s="16"/>
      <c r="H1657" s="16"/>
      <c r="I1657" s="16"/>
      <c r="J1657" s="16"/>
      <c r="K1657" s="16"/>
      <c r="L1657" s="16"/>
      <c r="M1657" s="16"/>
      <c r="N1657" s="16"/>
      <c r="O1657" s="16"/>
      <c r="P1657" s="16"/>
      <c r="Q1657" s="16"/>
      <c r="R1657" s="16"/>
    </row>
    <row r="1658" spans="1:18" ht="18">
      <c r="A1658" s="61"/>
      <c r="B1658" s="15"/>
      <c r="C1658" s="31"/>
      <c r="D1658" s="90"/>
      <c r="E1658" s="16"/>
      <c r="F1658" s="33"/>
      <c r="G1658" s="16"/>
      <c r="H1658" s="16"/>
      <c r="I1658" s="16"/>
      <c r="J1658" s="16"/>
      <c r="K1658" s="16"/>
      <c r="L1658" s="16"/>
      <c r="M1658" s="16"/>
      <c r="N1658" s="16"/>
      <c r="O1658" s="16"/>
      <c r="P1658" s="16"/>
      <c r="Q1658" s="16"/>
      <c r="R1658" s="16"/>
    </row>
    <row r="1659" spans="1:18" ht="18">
      <c r="A1659" s="61"/>
      <c r="B1659" s="15"/>
      <c r="C1659" s="31"/>
      <c r="D1659" s="90"/>
      <c r="E1659" s="16"/>
      <c r="F1659" s="33"/>
      <c r="G1659" s="16"/>
      <c r="H1659" s="16"/>
      <c r="I1659" s="16"/>
      <c r="J1659" s="16"/>
      <c r="K1659" s="16"/>
      <c r="L1659" s="16"/>
      <c r="M1659" s="16"/>
      <c r="N1659" s="16"/>
      <c r="O1659" s="16"/>
      <c r="P1659" s="16"/>
      <c r="Q1659" s="16"/>
      <c r="R1659" s="16"/>
    </row>
    <row r="1660" spans="1:18" ht="18">
      <c r="A1660" s="61"/>
      <c r="B1660" s="15"/>
      <c r="C1660" s="31"/>
      <c r="D1660" s="90"/>
      <c r="E1660" s="16"/>
      <c r="F1660" s="33"/>
      <c r="G1660" s="16"/>
      <c r="H1660" s="16"/>
      <c r="I1660" s="16"/>
      <c r="J1660" s="16"/>
      <c r="K1660" s="16"/>
      <c r="L1660" s="16"/>
      <c r="M1660" s="16"/>
      <c r="N1660" s="16"/>
      <c r="O1660" s="16"/>
      <c r="P1660" s="16"/>
      <c r="Q1660" s="16"/>
      <c r="R1660" s="16"/>
    </row>
    <row r="1661" spans="1:18" ht="18">
      <c r="A1661" s="61"/>
      <c r="B1661" s="15"/>
      <c r="C1661" s="31"/>
      <c r="D1661" s="90"/>
      <c r="E1661" s="16"/>
      <c r="F1661" s="33"/>
      <c r="G1661" s="16"/>
      <c r="H1661" s="16"/>
      <c r="I1661" s="16"/>
      <c r="J1661" s="16"/>
      <c r="K1661" s="16"/>
      <c r="L1661" s="16"/>
      <c r="M1661" s="16"/>
      <c r="N1661" s="16"/>
      <c r="O1661" s="16"/>
      <c r="P1661" s="16"/>
      <c r="Q1661" s="16"/>
      <c r="R1661" s="16"/>
    </row>
    <row r="1662" spans="1:18" ht="18">
      <c r="A1662" s="61"/>
      <c r="B1662" s="15"/>
      <c r="C1662" s="31"/>
      <c r="D1662" s="90"/>
      <c r="E1662" s="16"/>
      <c r="F1662" s="33"/>
      <c r="G1662" s="16"/>
      <c r="H1662" s="16"/>
      <c r="I1662" s="16"/>
      <c r="J1662" s="16"/>
      <c r="K1662" s="16"/>
      <c r="L1662" s="16"/>
      <c r="M1662" s="16"/>
      <c r="N1662" s="16"/>
      <c r="O1662" s="16"/>
      <c r="P1662" s="16"/>
      <c r="Q1662" s="16"/>
      <c r="R1662" s="16"/>
    </row>
    <row r="1663" spans="1:18" ht="18">
      <c r="A1663" s="61"/>
      <c r="B1663" s="15"/>
      <c r="C1663" s="31"/>
      <c r="D1663" s="90"/>
      <c r="E1663" s="16"/>
      <c r="F1663" s="33"/>
      <c r="G1663" s="16"/>
      <c r="H1663" s="16"/>
      <c r="I1663" s="16"/>
      <c r="J1663" s="16"/>
      <c r="K1663" s="16"/>
      <c r="L1663" s="16"/>
      <c r="M1663" s="16"/>
      <c r="N1663" s="16"/>
      <c r="O1663" s="16"/>
      <c r="P1663" s="16"/>
      <c r="Q1663" s="16"/>
      <c r="R1663" s="16"/>
    </row>
    <row r="1664" spans="1:18" ht="18">
      <c r="A1664" s="61"/>
      <c r="B1664" s="15"/>
      <c r="C1664" s="31"/>
      <c r="D1664" s="90"/>
      <c r="E1664" s="16"/>
      <c r="F1664" s="33"/>
      <c r="G1664" s="16"/>
      <c r="H1664" s="16"/>
      <c r="I1664" s="16"/>
      <c r="J1664" s="16"/>
      <c r="K1664" s="16"/>
      <c r="L1664" s="16"/>
      <c r="M1664" s="16"/>
      <c r="N1664" s="16"/>
      <c r="O1664" s="16"/>
      <c r="P1664" s="16"/>
      <c r="Q1664" s="16"/>
      <c r="R1664" s="16"/>
    </row>
    <row r="1665" spans="1:18" ht="18">
      <c r="A1665" s="61"/>
      <c r="B1665" s="15"/>
      <c r="C1665" s="31"/>
      <c r="D1665" s="90"/>
      <c r="E1665" s="16"/>
      <c r="F1665" s="33"/>
      <c r="G1665" s="16"/>
      <c r="H1665" s="16"/>
      <c r="I1665" s="16"/>
      <c r="J1665" s="16"/>
      <c r="K1665" s="16"/>
      <c r="L1665" s="16"/>
      <c r="M1665" s="16"/>
      <c r="N1665" s="16"/>
      <c r="O1665" s="16"/>
      <c r="P1665" s="16"/>
      <c r="Q1665" s="16"/>
      <c r="R1665" s="16"/>
    </row>
    <row r="1666" spans="1:18" ht="18">
      <c r="A1666" s="61"/>
      <c r="B1666" s="15"/>
      <c r="C1666" s="31"/>
      <c r="D1666" s="90"/>
      <c r="E1666" s="16"/>
      <c r="F1666" s="33"/>
      <c r="G1666" s="16"/>
      <c r="H1666" s="16"/>
      <c r="I1666" s="16"/>
      <c r="J1666" s="16"/>
      <c r="K1666" s="16"/>
      <c r="L1666" s="16"/>
      <c r="M1666" s="16"/>
      <c r="N1666" s="16"/>
      <c r="O1666" s="16"/>
      <c r="P1666" s="16"/>
      <c r="Q1666" s="16"/>
      <c r="R1666" s="16"/>
    </row>
    <row r="1667" spans="1:18" ht="18">
      <c r="A1667" s="61"/>
      <c r="B1667" s="15"/>
      <c r="C1667" s="31"/>
      <c r="D1667" s="90"/>
      <c r="E1667" s="16"/>
      <c r="F1667" s="33"/>
      <c r="G1667" s="16"/>
      <c r="H1667" s="16"/>
      <c r="I1667" s="16"/>
      <c r="J1667" s="16"/>
      <c r="K1667" s="16"/>
      <c r="L1667" s="16"/>
      <c r="M1667" s="16"/>
      <c r="N1667" s="16"/>
      <c r="O1667" s="16"/>
      <c r="P1667" s="16"/>
      <c r="Q1667" s="16"/>
      <c r="R1667" s="16"/>
    </row>
    <row r="1668" spans="1:18" ht="18">
      <c r="A1668" s="61"/>
      <c r="B1668" s="15"/>
      <c r="C1668" s="31"/>
      <c r="D1668" s="90"/>
      <c r="E1668" s="16"/>
      <c r="F1668" s="33"/>
      <c r="G1668" s="16"/>
      <c r="H1668" s="16"/>
      <c r="I1668" s="16"/>
      <c r="J1668" s="16"/>
      <c r="K1668" s="16"/>
      <c r="L1668" s="16"/>
      <c r="M1668" s="16"/>
      <c r="N1668" s="16"/>
      <c r="O1668" s="16"/>
      <c r="P1668" s="16"/>
      <c r="Q1668" s="16"/>
      <c r="R1668" s="16"/>
    </row>
    <row r="1669" spans="1:18" ht="18">
      <c r="A1669" s="61"/>
      <c r="B1669" s="15"/>
      <c r="C1669" s="31"/>
      <c r="D1669" s="90"/>
      <c r="E1669" s="16"/>
      <c r="F1669" s="33"/>
      <c r="G1669" s="16"/>
      <c r="H1669" s="16"/>
      <c r="I1669" s="16"/>
      <c r="J1669" s="16"/>
      <c r="K1669" s="16"/>
      <c r="L1669" s="16"/>
      <c r="M1669" s="16"/>
      <c r="N1669" s="16"/>
      <c r="O1669" s="16"/>
      <c r="P1669" s="16"/>
      <c r="Q1669" s="16"/>
      <c r="R1669" s="16"/>
    </row>
    <row r="1670" spans="1:18" ht="18">
      <c r="A1670" s="61"/>
      <c r="B1670" s="15"/>
      <c r="C1670" s="31"/>
      <c r="D1670" s="90"/>
      <c r="E1670" s="16"/>
      <c r="F1670" s="33"/>
      <c r="G1670" s="16"/>
      <c r="H1670" s="16"/>
      <c r="I1670" s="16"/>
      <c r="J1670" s="16"/>
      <c r="K1670" s="16"/>
      <c r="L1670" s="16"/>
      <c r="M1670" s="16"/>
      <c r="N1670" s="16"/>
      <c r="O1670" s="16"/>
      <c r="P1670" s="16"/>
      <c r="Q1670" s="16"/>
      <c r="R1670" s="16"/>
    </row>
    <row r="1671" spans="1:18" ht="18">
      <c r="A1671" s="61"/>
      <c r="B1671" s="15"/>
      <c r="C1671" s="31"/>
      <c r="D1671" s="90"/>
      <c r="E1671" s="16"/>
      <c r="F1671" s="33"/>
      <c r="G1671" s="16"/>
      <c r="H1671" s="16"/>
      <c r="I1671" s="16"/>
      <c r="J1671" s="16"/>
      <c r="K1671" s="16"/>
      <c r="L1671" s="16"/>
      <c r="M1671" s="16"/>
      <c r="N1671" s="16"/>
      <c r="O1671" s="16"/>
      <c r="P1671" s="16"/>
      <c r="Q1671" s="16"/>
      <c r="R1671" s="16"/>
    </row>
    <row r="1672" spans="1:18" ht="18">
      <c r="A1672" s="61"/>
      <c r="B1672" s="15"/>
      <c r="C1672" s="31"/>
      <c r="D1672" s="90"/>
      <c r="E1672" s="16"/>
      <c r="F1672" s="33"/>
      <c r="G1672" s="16"/>
      <c r="H1672" s="16"/>
      <c r="I1672" s="16"/>
      <c r="J1672" s="16"/>
      <c r="K1672" s="16"/>
      <c r="L1672" s="16"/>
      <c r="M1672" s="16"/>
      <c r="N1672" s="16"/>
      <c r="O1672" s="16"/>
      <c r="P1672" s="16"/>
      <c r="Q1672" s="16"/>
      <c r="R1672" s="16"/>
    </row>
    <row r="1673" spans="1:18" ht="18">
      <c r="A1673" s="61"/>
      <c r="B1673" s="15"/>
      <c r="C1673" s="31"/>
      <c r="D1673" s="90"/>
      <c r="E1673" s="16"/>
      <c r="F1673" s="33"/>
      <c r="G1673" s="16"/>
      <c r="H1673" s="16"/>
      <c r="I1673" s="16"/>
      <c r="J1673" s="16"/>
      <c r="K1673" s="16"/>
      <c r="L1673" s="16"/>
      <c r="M1673" s="16"/>
      <c r="N1673" s="16"/>
      <c r="O1673" s="16"/>
      <c r="P1673" s="16"/>
      <c r="Q1673" s="16"/>
      <c r="R1673" s="16"/>
    </row>
    <row r="1674" spans="1:18" ht="18">
      <c r="A1674" s="61"/>
      <c r="B1674" s="15"/>
      <c r="C1674" s="31"/>
      <c r="D1674" s="90"/>
      <c r="E1674" s="16"/>
      <c r="F1674" s="33"/>
      <c r="G1674" s="16"/>
      <c r="H1674" s="16"/>
      <c r="I1674" s="16"/>
      <c r="J1674" s="16"/>
      <c r="K1674" s="16"/>
      <c r="L1674" s="16"/>
      <c r="M1674" s="16"/>
      <c r="N1674" s="16"/>
      <c r="O1674" s="16"/>
      <c r="P1674" s="16"/>
      <c r="Q1674" s="16"/>
      <c r="R1674" s="16"/>
    </row>
    <row r="1675" spans="1:18" ht="18">
      <c r="A1675" s="61"/>
      <c r="B1675" s="15"/>
      <c r="C1675" s="31"/>
      <c r="D1675" s="90"/>
      <c r="E1675" s="16"/>
      <c r="F1675" s="33"/>
      <c r="G1675" s="16"/>
      <c r="H1675" s="16"/>
      <c r="I1675" s="16"/>
      <c r="J1675" s="16"/>
      <c r="K1675" s="16"/>
      <c r="L1675" s="16"/>
      <c r="M1675" s="16"/>
      <c r="N1675" s="16"/>
      <c r="O1675" s="16"/>
      <c r="P1675" s="16"/>
      <c r="Q1675" s="16"/>
      <c r="R1675" s="16"/>
    </row>
    <row r="1676" spans="1:18" ht="18">
      <c r="A1676" s="61"/>
      <c r="B1676" s="15"/>
      <c r="C1676" s="31"/>
      <c r="D1676" s="90"/>
      <c r="E1676" s="16"/>
      <c r="F1676" s="33"/>
      <c r="G1676" s="16"/>
      <c r="H1676" s="16"/>
      <c r="I1676" s="16"/>
      <c r="J1676" s="16"/>
      <c r="K1676" s="16"/>
      <c r="L1676" s="16"/>
      <c r="M1676" s="16"/>
      <c r="N1676" s="16"/>
      <c r="O1676" s="16"/>
      <c r="P1676" s="16"/>
      <c r="Q1676" s="16"/>
      <c r="R1676" s="16"/>
    </row>
    <row r="1677" spans="1:18" ht="18">
      <c r="A1677" s="61"/>
      <c r="B1677" s="15"/>
      <c r="C1677" s="31"/>
      <c r="D1677" s="90"/>
      <c r="E1677" s="16"/>
      <c r="F1677" s="33"/>
      <c r="G1677" s="16"/>
      <c r="H1677" s="16"/>
      <c r="I1677" s="16"/>
      <c r="J1677" s="16"/>
      <c r="K1677" s="16"/>
      <c r="L1677" s="16"/>
      <c r="M1677" s="16"/>
      <c r="N1677" s="16"/>
      <c r="O1677" s="16"/>
      <c r="P1677" s="16"/>
      <c r="Q1677" s="16"/>
      <c r="R1677" s="16"/>
    </row>
    <row r="1678" spans="1:18" ht="18">
      <c r="A1678" s="61"/>
      <c r="B1678" s="15"/>
      <c r="C1678" s="31"/>
      <c r="D1678" s="90"/>
      <c r="E1678" s="16"/>
      <c r="F1678" s="33"/>
      <c r="G1678" s="16"/>
      <c r="H1678" s="16"/>
      <c r="I1678" s="16"/>
      <c r="J1678" s="16"/>
      <c r="K1678" s="16"/>
      <c r="L1678" s="16"/>
      <c r="M1678" s="16"/>
      <c r="N1678" s="16"/>
      <c r="O1678" s="16"/>
      <c r="P1678" s="16"/>
      <c r="Q1678" s="16"/>
      <c r="R1678" s="16"/>
    </row>
    <row r="1679" spans="1:18" ht="18">
      <c r="A1679" s="61"/>
      <c r="B1679" s="15"/>
      <c r="C1679" s="31"/>
      <c r="D1679" s="90"/>
      <c r="E1679" s="16"/>
      <c r="F1679" s="33"/>
      <c r="G1679" s="16"/>
      <c r="H1679" s="16"/>
      <c r="I1679" s="16"/>
      <c r="J1679" s="16"/>
      <c r="K1679" s="16"/>
      <c r="L1679" s="16"/>
      <c r="M1679" s="16"/>
      <c r="N1679" s="16"/>
      <c r="O1679" s="16"/>
      <c r="P1679" s="16"/>
      <c r="Q1679" s="16"/>
      <c r="R1679" s="16"/>
    </row>
    <row r="1680" spans="1:18" ht="18">
      <c r="A1680" s="61"/>
      <c r="B1680" s="15"/>
      <c r="C1680" s="31"/>
      <c r="D1680" s="90"/>
      <c r="E1680" s="16"/>
      <c r="F1680" s="33"/>
      <c r="G1680" s="16"/>
      <c r="H1680" s="16"/>
      <c r="I1680" s="16"/>
      <c r="J1680" s="16"/>
      <c r="K1680" s="16"/>
      <c r="L1680" s="16"/>
      <c r="M1680" s="16"/>
      <c r="N1680" s="16"/>
      <c r="O1680" s="16"/>
      <c r="P1680" s="16"/>
      <c r="Q1680" s="16"/>
      <c r="R1680" s="16"/>
    </row>
    <row r="1681" spans="1:18" ht="18">
      <c r="A1681" s="61"/>
      <c r="B1681" s="15"/>
      <c r="C1681" s="31"/>
      <c r="D1681" s="90"/>
      <c r="E1681" s="16"/>
      <c r="F1681" s="33"/>
      <c r="G1681" s="16"/>
      <c r="H1681" s="16"/>
      <c r="I1681" s="16"/>
      <c r="J1681" s="16"/>
      <c r="K1681" s="16"/>
      <c r="L1681" s="16"/>
      <c r="M1681" s="16"/>
      <c r="N1681" s="16"/>
      <c r="O1681" s="16"/>
      <c r="P1681" s="16"/>
      <c r="Q1681" s="16"/>
      <c r="R1681" s="16"/>
    </row>
    <row r="1682" spans="1:18" ht="18">
      <c r="A1682" s="61"/>
      <c r="B1682" s="15"/>
      <c r="C1682" s="31"/>
      <c r="D1682" s="90"/>
      <c r="E1682" s="16"/>
      <c r="F1682" s="33"/>
      <c r="G1682" s="16"/>
      <c r="H1682" s="16"/>
      <c r="I1682" s="16"/>
      <c r="J1682" s="16"/>
      <c r="K1682" s="16"/>
      <c r="L1682" s="16"/>
      <c r="M1682" s="16"/>
      <c r="N1682" s="16"/>
      <c r="O1682" s="16"/>
      <c r="P1682" s="16"/>
      <c r="Q1682" s="16"/>
      <c r="R1682" s="16"/>
    </row>
    <row r="1683" spans="1:18" ht="18">
      <c r="A1683" s="61"/>
      <c r="B1683" s="15"/>
      <c r="C1683" s="31"/>
      <c r="D1683" s="90"/>
      <c r="E1683" s="16"/>
      <c r="F1683" s="33"/>
      <c r="G1683" s="16"/>
      <c r="H1683" s="16"/>
      <c r="I1683" s="16"/>
      <c r="J1683" s="16"/>
      <c r="K1683" s="16"/>
      <c r="L1683" s="16"/>
      <c r="M1683" s="16"/>
      <c r="N1683" s="16"/>
      <c r="O1683" s="16"/>
      <c r="P1683" s="16"/>
      <c r="Q1683" s="16"/>
      <c r="R1683" s="16"/>
    </row>
    <row r="1684" spans="1:18" ht="18">
      <c r="A1684" s="61"/>
      <c r="B1684" s="15"/>
      <c r="C1684" s="31"/>
      <c r="D1684" s="90"/>
      <c r="E1684" s="16"/>
      <c r="F1684" s="33"/>
      <c r="G1684" s="16"/>
      <c r="H1684" s="16"/>
      <c r="I1684" s="16"/>
      <c r="J1684" s="16"/>
      <c r="K1684" s="16"/>
      <c r="L1684" s="16"/>
      <c r="M1684" s="16"/>
      <c r="N1684" s="16"/>
      <c r="O1684" s="16"/>
      <c r="P1684" s="16"/>
      <c r="Q1684" s="16"/>
      <c r="R1684" s="16"/>
    </row>
    <row r="1685" spans="1:18" ht="18">
      <c r="A1685" s="61"/>
      <c r="B1685" s="15"/>
      <c r="C1685" s="31"/>
      <c r="D1685" s="90"/>
      <c r="E1685" s="16"/>
      <c r="F1685" s="33"/>
      <c r="G1685" s="16"/>
      <c r="H1685" s="16"/>
      <c r="I1685" s="16"/>
      <c r="J1685" s="16"/>
      <c r="K1685" s="16"/>
      <c r="L1685" s="16"/>
      <c r="M1685" s="16"/>
      <c r="N1685" s="16"/>
      <c r="O1685" s="16"/>
      <c r="P1685" s="16"/>
      <c r="Q1685" s="16"/>
      <c r="R1685" s="16"/>
    </row>
    <row r="1686" spans="1:18" ht="18">
      <c r="A1686" s="61"/>
      <c r="B1686" s="15"/>
      <c r="C1686" s="31"/>
      <c r="D1686" s="90"/>
      <c r="E1686" s="16"/>
      <c r="F1686" s="33"/>
      <c r="G1686" s="16"/>
      <c r="H1686" s="16"/>
      <c r="I1686" s="16"/>
      <c r="J1686" s="16"/>
      <c r="K1686" s="16"/>
      <c r="L1686" s="16"/>
      <c r="M1686" s="16"/>
      <c r="N1686" s="16"/>
      <c r="O1686" s="16"/>
      <c r="P1686" s="16"/>
      <c r="Q1686" s="16"/>
      <c r="R1686" s="16"/>
    </row>
    <row r="1687" spans="1:18" ht="18">
      <c r="A1687" s="61"/>
      <c r="B1687" s="15"/>
      <c r="C1687" s="31"/>
      <c r="D1687" s="90"/>
      <c r="E1687" s="16"/>
      <c r="F1687" s="33"/>
      <c r="G1687" s="16"/>
      <c r="H1687" s="16"/>
      <c r="I1687" s="16"/>
      <c r="J1687" s="16"/>
      <c r="K1687" s="16"/>
      <c r="L1687" s="16"/>
      <c r="M1687" s="16"/>
      <c r="N1687" s="16"/>
      <c r="O1687" s="16"/>
      <c r="P1687" s="16"/>
      <c r="Q1687" s="16"/>
      <c r="R1687" s="16"/>
    </row>
    <row r="1688" spans="1:18" ht="18">
      <c r="A1688" s="61"/>
      <c r="B1688" s="15"/>
      <c r="C1688" s="31"/>
      <c r="D1688" s="90"/>
      <c r="E1688" s="16"/>
      <c r="F1688" s="33"/>
      <c r="G1688" s="16"/>
      <c r="H1688" s="16"/>
      <c r="I1688" s="16"/>
      <c r="J1688" s="16"/>
      <c r="K1688" s="16"/>
      <c r="L1688" s="16"/>
      <c r="M1688" s="16"/>
      <c r="N1688" s="16"/>
      <c r="O1688" s="16"/>
      <c r="P1688" s="16"/>
      <c r="Q1688" s="16"/>
      <c r="R1688" s="16"/>
    </row>
    <row r="1689" spans="1:18" ht="18">
      <c r="A1689" s="61"/>
      <c r="B1689" s="15"/>
      <c r="C1689" s="31"/>
      <c r="D1689" s="90"/>
      <c r="E1689" s="16"/>
      <c r="F1689" s="33"/>
      <c r="G1689" s="16"/>
      <c r="H1689" s="16"/>
      <c r="I1689" s="16"/>
      <c r="J1689" s="16"/>
      <c r="K1689" s="16"/>
      <c r="L1689" s="16"/>
      <c r="M1689" s="16"/>
      <c r="N1689" s="16"/>
      <c r="O1689" s="16"/>
      <c r="P1689" s="16"/>
      <c r="Q1689" s="16"/>
      <c r="R1689" s="16"/>
    </row>
    <row r="1690" spans="1:18" ht="18">
      <c r="A1690" s="61"/>
      <c r="B1690" s="15"/>
      <c r="C1690" s="31"/>
      <c r="D1690" s="90"/>
      <c r="E1690" s="16"/>
      <c r="F1690" s="33"/>
      <c r="G1690" s="16"/>
      <c r="H1690" s="16"/>
      <c r="I1690" s="16"/>
      <c r="J1690" s="16"/>
      <c r="K1690" s="16"/>
      <c r="L1690" s="16"/>
      <c r="M1690" s="16"/>
      <c r="N1690" s="16"/>
      <c r="O1690" s="16"/>
      <c r="P1690" s="16"/>
      <c r="Q1690" s="16"/>
      <c r="R1690" s="16"/>
    </row>
    <row r="1691" spans="1:18" ht="18">
      <c r="A1691" s="61"/>
      <c r="B1691" s="15"/>
      <c r="C1691" s="31"/>
      <c r="D1691" s="90"/>
      <c r="E1691" s="16"/>
      <c r="F1691" s="33"/>
      <c r="G1691" s="16"/>
      <c r="H1691" s="16"/>
      <c r="I1691" s="16"/>
      <c r="J1691" s="16"/>
      <c r="K1691" s="16"/>
      <c r="L1691" s="16"/>
      <c r="M1691" s="16"/>
      <c r="N1691" s="16"/>
      <c r="O1691" s="16"/>
      <c r="P1691" s="16"/>
      <c r="Q1691" s="16"/>
      <c r="R1691" s="16"/>
    </row>
    <row r="1692" spans="1:18" ht="18">
      <c r="A1692" s="61"/>
      <c r="B1692" s="15"/>
      <c r="C1692" s="31"/>
      <c r="D1692" s="90"/>
      <c r="E1692" s="16"/>
      <c r="F1692" s="33"/>
      <c r="G1692" s="16"/>
      <c r="H1692" s="16"/>
      <c r="I1692" s="16"/>
      <c r="J1692" s="16"/>
      <c r="K1692" s="16"/>
      <c r="L1692" s="16"/>
      <c r="M1692" s="16"/>
      <c r="N1692" s="16"/>
      <c r="O1692" s="16"/>
      <c r="P1692" s="16"/>
      <c r="Q1692" s="16"/>
      <c r="R1692" s="16"/>
    </row>
    <row r="1693" spans="1:18" ht="18">
      <c r="A1693" s="61"/>
      <c r="B1693" s="15"/>
      <c r="C1693" s="31"/>
      <c r="D1693" s="90"/>
      <c r="E1693" s="16"/>
      <c r="F1693" s="33"/>
      <c r="G1693" s="16"/>
      <c r="H1693" s="16"/>
      <c r="I1693" s="16"/>
      <c r="J1693" s="16"/>
      <c r="K1693" s="16"/>
      <c r="L1693" s="16"/>
      <c r="M1693" s="16"/>
      <c r="N1693" s="16"/>
      <c r="O1693" s="16"/>
      <c r="P1693" s="16"/>
      <c r="Q1693" s="16"/>
      <c r="R1693" s="16"/>
    </row>
    <row r="1694" spans="1:18" ht="18">
      <c r="A1694" s="61"/>
      <c r="B1694" s="15"/>
      <c r="C1694" s="31"/>
      <c r="D1694" s="90"/>
      <c r="E1694" s="16"/>
      <c r="F1694" s="33"/>
      <c r="G1694" s="16"/>
      <c r="H1694" s="16"/>
      <c r="I1694" s="16"/>
      <c r="J1694" s="16"/>
      <c r="K1694" s="16"/>
      <c r="L1694" s="16"/>
      <c r="M1694" s="16"/>
      <c r="N1694" s="16"/>
      <c r="O1694" s="16"/>
      <c r="P1694" s="16"/>
      <c r="Q1694" s="16"/>
      <c r="R1694" s="16"/>
    </row>
    <row r="1695" spans="1:18" ht="18">
      <c r="A1695" s="61"/>
      <c r="B1695" s="15"/>
      <c r="C1695" s="31"/>
      <c r="D1695" s="90"/>
      <c r="E1695" s="16"/>
      <c r="F1695" s="33"/>
      <c r="G1695" s="16"/>
      <c r="H1695" s="16"/>
      <c r="I1695" s="16"/>
      <c r="J1695" s="16"/>
      <c r="K1695" s="16"/>
      <c r="L1695" s="16"/>
      <c r="M1695" s="16"/>
      <c r="N1695" s="16"/>
      <c r="O1695" s="16"/>
      <c r="P1695" s="16"/>
      <c r="Q1695" s="16"/>
      <c r="R1695" s="16"/>
    </row>
    <row r="1696" spans="1:18" ht="18">
      <c r="A1696" s="61"/>
      <c r="B1696" s="15"/>
      <c r="C1696" s="31"/>
      <c r="D1696" s="90"/>
      <c r="E1696" s="16"/>
      <c r="F1696" s="33"/>
      <c r="G1696" s="16"/>
      <c r="H1696" s="16"/>
      <c r="I1696" s="16"/>
      <c r="J1696" s="16"/>
      <c r="K1696" s="16"/>
      <c r="L1696" s="16"/>
      <c r="M1696" s="16"/>
      <c r="N1696" s="16"/>
      <c r="O1696" s="16"/>
      <c r="P1696" s="16"/>
      <c r="Q1696" s="16"/>
      <c r="R1696" s="16"/>
    </row>
    <row r="1697" spans="1:18" ht="18">
      <c r="A1697" s="61"/>
      <c r="B1697" s="15"/>
      <c r="C1697" s="31"/>
      <c r="D1697" s="90"/>
      <c r="E1697" s="16"/>
      <c r="F1697" s="33"/>
      <c r="G1697" s="16"/>
      <c r="H1697" s="16"/>
      <c r="I1697" s="16"/>
      <c r="J1697" s="16"/>
      <c r="K1697" s="16"/>
      <c r="L1697" s="16"/>
      <c r="M1697" s="16"/>
      <c r="N1697" s="16"/>
      <c r="O1697" s="16"/>
      <c r="P1697" s="16"/>
      <c r="Q1697" s="16"/>
      <c r="R1697" s="16"/>
    </row>
    <row r="1698" spans="1:18" ht="18">
      <c r="A1698" s="61"/>
      <c r="B1698" s="15"/>
      <c r="C1698" s="31"/>
      <c r="D1698" s="90"/>
      <c r="E1698" s="16"/>
      <c r="F1698" s="33"/>
      <c r="G1698" s="16"/>
      <c r="H1698" s="16"/>
      <c r="I1698" s="16"/>
      <c r="J1698" s="16"/>
      <c r="K1698" s="16"/>
      <c r="L1698" s="16"/>
      <c r="M1698" s="16"/>
      <c r="N1698" s="16"/>
      <c r="O1698" s="16"/>
      <c r="P1698" s="16"/>
      <c r="Q1698" s="16"/>
      <c r="R1698" s="16"/>
    </row>
    <row r="1699" spans="1:18" ht="18">
      <c r="A1699" s="61"/>
      <c r="B1699" s="15"/>
      <c r="C1699" s="31"/>
      <c r="D1699" s="90"/>
      <c r="E1699" s="16"/>
      <c r="F1699" s="33"/>
      <c r="G1699" s="16"/>
      <c r="H1699" s="16"/>
      <c r="I1699" s="16"/>
      <c r="J1699" s="16"/>
      <c r="K1699" s="16"/>
      <c r="L1699" s="16"/>
      <c r="M1699" s="16"/>
      <c r="N1699" s="16"/>
      <c r="O1699" s="16"/>
      <c r="P1699" s="16"/>
      <c r="Q1699" s="16"/>
      <c r="R1699" s="16"/>
    </row>
    <row r="1700" spans="1:18" ht="18">
      <c r="A1700" s="61"/>
      <c r="B1700" s="15"/>
      <c r="C1700" s="31"/>
      <c r="D1700" s="90"/>
      <c r="E1700" s="16"/>
      <c r="F1700" s="33"/>
      <c r="G1700" s="16"/>
      <c r="H1700" s="16"/>
      <c r="I1700" s="16"/>
      <c r="J1700" s="16"/>
      <c r="K1700" s="16"/>
      <c r="L1700" s="16"/>
      <c r="M1700" s="16"/>
      <c r="N1700" s="16"/>
      <c r="O1700" s="16"/>
      <c r="P1700" s="16"/>
      <c r="Q1700" s="16"/>
      <c r="R1700" s="16"/>
    </row>
    <row r="1701" spans="1:18" ht="18">
      <c r="A1701" s="61"/>
      <c r="B1701" s="15"/>
      <c r="C1701" s="31"/>
      <c r="D1701" s="90"/>
      <c r="E1701" s="16"/>
      <c r="F1701" s="33"/>
      <c r="G1701" s="16"/>
      <c r="H1701" s="16"/>
      <c r="I1701" s="16"/>
      <c r="J1701" s="16"/>
      <c r="K1701" s="16"/>
      <c r="L1701" s="16"/>
      <c r="M1701" s="16"/>
      <c r="N1701" s="16"/>
      <c r="O1701" s="16"/>
      <c r="P1701" s="16"/>
      <c r="Q1701" s="16"/>
      <c r="R1701" s="16"/>
    </row>
    <row r="1702" spans="1:18" ht="18">
      <c r="A1702" s="61"/>
      <c r="B1702" s="15"/>
      <c r="C1702" s="31"/>
      <c r="D1702" s="90"/>
      <c r="E1702" s="16"/>
      <c r="F1702" s="33"/>
      <c r="G1702" s="16"/>
      <c r="H1702" s="16"/>
      <c r="I1702" s="16"/>
      <c r="J1702" s="16"/>
      <c r="K1702" s="16"/>
      <c r="L1702" s="16"/>
      <c r="M1702" s="16"/>
      <c r="N1702" s="16"/>
      <c r="O1702" s="16"/>
      <c r="P1702" s="16"/>
      <c r="Q1702" s="16"/>
      <c r="R1702" s="16"/>
    </row>
    <row r="1703" spans="1:18" ht="18">
      <c r="A1703" s="61"/>
      <c r="B1703" s="15"/>
      <c r="C1703" s="31"/>
      <c r="D1703" s="90"/>
      <c r="E1703" s="16"/>
      <c r="F1703" s="33"/>
      <c r="G1703" s="16"/>
      <c r="H1703" s="16"/>
      <c r="I1703" s="16"/>
      <c r="J1703" s="16"/>
      <c r="K1703" s="16"/>
      <c r="L1703" s="16"/>
      <c r="M1703" s="16"/>
      <c r="N1703" s="16"/>
      <c r="O1703" s="16"/>
      <c r="P1703" s="16"/>
      <c r="Q1703" s="16"/>
      <c r="R1703" s="16"/>
    </row>
    <row r="1704" spans="1:18" ht="18">
      <c r="A1704" s="61"/>
      <c r="B1704" s="15"/>
      <c r="C1704" s="31"/>
      <c r="D1704" s="90"/>
      <c r="E1704" s="16"/>
      <c r="F1704" s="33"/>
      <c r="G1704" s="16"/>
      <c r="H1704" s="16"/>
      <c r="I1704" s="16"/>
      <c r="J1704" s="16"/>
      <c r="K1704" s="16"/>
      <c r="L1704" s="16"/>
      <c r="M1704" s="16"/>
      <c r="N1704" s="16"/>
      <c r="O1704" s="16"/>
      <c r="P1704" s="16"/>
      <c r="Q1704" s="16"/>
      <c r="R1704" s="16"/>
    </row>
    <row r="1705" spans="1:18" ht="18">
      <c r="A1705" s="61"/>
      <c r="B1705" s="15"/>
      <c r="C1705" s="31"/>
      <c r="D1705" s="90"/>
      <c r="E1705" s="16"/>
      <c r="F1705" s="33"/>
      <c r="G1705" s="16"/>
      <c r="H1705" s="16"/>
      <c r="I1705" s="16"/>
      <c r="J1705" s="16"/>
      <c r="K1705" s="16"/>
      <c r="L1705" s="16"/>
      <c r="M1705" s="16"/>
      <c r="N1705" s="16"/>
      <c r="O1705" s="16"/>
      <c r="P1705" s="16"/>
      <c r="Q1705" s="16"/>
      <c r="R1705" s="16"/>
    </row>
    <row r="1706" spans="1:18" ht="18">
      <c r="A1706" s="61"/>
      <c r="B1706" s="15"/>
      <c r="C1706" s="31"/>
      <c r="D1706" s="90"/>
      <c r="E1706" s="16"/>
      <c r="F1706" s="33"/>
      <c r="G1706" s="16"/>
      <c r="H1706" s="16"/>
      <c r="I1706" s="16"/>
      <c r="J1706" s="16"/>
      <c r="K1706" s="16"/>
      <c r="L1706" s="16"/>
      <c r="M1706" s="16"/>
      <c r="N1706" s="16"/>
      <c r="O1706" s="16"/>
      <c r="P1706" s="16"/>
      <c r="Q1706" s="16"/>
      <c r="R1706" s="16"/>
    </row>
    <row r="1707" spans="1:18" ht="18">
      <c r="A1707" s="61"/>
      <c r="B1707" s="15"/>
      <c r="C1707" s="31"/>
      <c r="D1707" s="90"/>
      <c r="E1707" s="16"/>
      <c r="F1707" s="33"/>
      <c r="G1707" s="16"/>
      <c r="H1707" s="16"/>
      <c r="I1707" s="16"/>
      <c r="J1707" s="16"/>
      <c r="K1707" s="16"/>
      <c r="L1707" s="16"/>
      <c r="M1707" s="16"/>
      <c r="N1707" s="16"/>
      <c r="O1707" s="16"/>
      <c r="P1707" s="16"/>
      <c r="Q1707" s="16"/>
      <c r="R1707" s="16"/>
    </row>
    <row r="1708" spans="1:18" ht="18">
      <c r="A1708" s="61"/>
      <c r="B1708" s="15"/>
      <c r="C1708" s="31"/>
      <c r="D1708" s="90"/>
      <c r="E1708" s="16"/>
      <c r="F1708" s="33"/>
      <c r="G1708" s="16"/>
      <c r="H1708" s="16"/>
      <c r="I1708" s="16"/>
      <c r="J1708" s="16"/>
      <c r="K1708" s="16"/>
      <c r="L1708" s="16"/>
      <c r="M1708" s="16"/>
      <c r="N1708" s="16"/>
      <c r="O1708" s="16"/>
      <c r="P1708" s="16"/>
      <c r="Q1708" s="16"/>
      <c r="R1708" s="16"/>
    </row>
    <row r="1709" spans="1:18" ht="18">
      <c r="A1709" s="61"/>
      <c r="B1709" s="15"/>
      <c r="C1709" s="31"/>
      <c r="D1709" s="90"/>
      <c r="E1709" s="16"/>
      <c r="F1709" s="33"/>
      <c r="G1709" s="16"/>
      <c r="H1709" s="16"/>
      <c r="I1709" s="16"/>
      <c r="J1709" s="16"/>
      <c r="K1709" s="16"/>
      <c r="L1709" s="16"/>
      <c r="M1709" s="16"/>
      <c r="N1709" s="16"/>
      <c r="O1709" s="16"/>
      <c r="P1709" s="16"/>
      <c r="Q1709" s="16"/>
      <c r="R1709" s="16"/>
    </row>
    <row r="1710" spans="1:18" ht="18">
      <c r="A1710" s="61"/>
      <c r="B1710" s="15"/>
      <c r="C1710" s="31"/>
      <c r="D1710" s="90"/>
      <c r="E1710" s="16"/>
      <c r="F1710" s="33"/>
      <c r="G1710" s="16"/>
      <c r="H1710" s="16"/>
      <c r="I1710" s="16"/>
      <c r="J1710" s="16"/>
      <c r="K1710" s="16"/>
      <c r="L1710" s="16"/>
      <c r="M1710" s="16"/>
      <c r="N1710" s="16"/>
      <c r="O1710" s="16"/>
      <c r="P1710" s="16"/>
      <c r="Q1710" s="16"/>
      <c r="R1710" s="16"/>
    </row>
    <row r="1711" spans="1:18" ht="18">
      <c r="A1711" s="61"/>
      <c r="B1711" s="15"/>
      <c r="C1711" s="31"/>
      <c r="D1711" s="90"/>
      <c r="E1711" s="16"/>
      <c r="F1711" s="33"/>
      <c r="G1711" s="16"/>
      <c r="H1711" s="16"/>
      <c r="I1711" s="16"/>
      <c r="J1711" s="16"/>
      <c r="K1711" s="16"/>
      <c r="L1711" s="16"/>
      <c r="M1711" s="16"/>
      <c r="N1711" s="16"/>
      <c r="O1711" s="16"/>
      <c r="P1711" s="16"/>
      <c r="Q1711" s="16"/>
      <c r="R1711" s="16"/>
    </row>
    <row r="1712" spans="1:18" ht="18">
      <c r="A1712" s="61"/>
      <c r="B1712" s="15"/>
      <c r="C1712" s="31"/>
      <c r="D1712" s="90"/>
      <c r="E1712" s="16"/>
      <c r="F1712" s="33"/>
      <c r="G1712" s="16"/>
      <c r="H1712" s="16"/>
      <c r="I1712" s="16"/>
      <c r="J1712" s="16"/>
      <c r="K1712" s="16"/>
      <c r="L1712" s="16"/>
      <c r="M1712" s="16"/>
      <c r="N1712" s="16"/>
      <c r="O1712" s="16"/>
      <c r="P1712" s="16"/>
      <c r="Q1712" s="16"/>
      <c r="R1712" s="16"/>
    </row>
    <row r="1713" spans="1:18" ht="18">
      <c r="A1713" s="61"/>
      <c r="B1713" s="15"/>
      <c r="C1713" s="31"/>
      <c r="D1713" s="90"/>
      <c r="E1713" s="16"/>
      <c r="F1713" s="33"/>
      <c r="G1713" s="16"/>
      <c r="H1713" s="16"/>
      <c r="I1713" s="16"/>
      <c r="J1713" s="16"/>
      <c r="K1713" s="16"/>
      <c r="L1713" s="16"/>
      <c r="M1713" s="16"/>
      <c r="N1713" s="16"/>
      <c r="O1713" s="16"/>
      <c r="P1713" s="16"/>
      <c r="Q1713" s="16"/>
      <c r="R1713" s="16"/>
    </row>
    <row r="1714" spans="1:18" ht="18">
      <c r="A1714" s="61"/>
      <c r="B1714" s="15"/>
      <c r="C1714" s="31"/>
      <c r="D1714" s="90"/>
      <c r="E1714" s="16"/>
      <c r="F1714" s="33"/>
      <c r="G1714" s="16"/>
      <c r="H1714" s="16"/>
      <c r="I1714" s="16"/>
      <c r="J1714" s="16"/>
      <c r="K1714" s="16"/>
      <c r="L1714" s="16"/>
      <c r="M1714" s="16"/>
      <c r="N1714" s="16"/>
      <c r="O1714" s="16"/>
      <c r="P1714" s="16"/>
      <c r="Q1714" s="16"/>
      <c r="R1714" s="16"/>
    </row>
    <row r="1715" spans="1:18" ht="18">
      <c r="A1715" s="61"/>
      <c r="B1715" s="15"/>
      <c r="C1715" s="31"/>
      <c r="D1715" s="90"/>
      <c r="E1715" s="16"/>
      <c r="F1715" s="33"/>
      <c r="G1715" s="16"/>
      <c r="H1715" s="16"/>
      <c r="I1715" s="16"/>
      <c r="J1715" s="16"/>
      <c r="K1715" s="16"/>
      <c r="L1715" s="16"/>
      <c r="M1715" s="16"/>
      <c r="N1715" s="16"/>
      <c r="O1715" s="16"/>
      <c r="P1715" s="16"/>
      <c r="Q1715" s="16"/>
      <c r="R1715" s="16"/>
    </row>
    <row r="1716" spans="1:18" ht="18">
      <c r="A1716" s="61"/>
      <c r="B1716" s="15"/>
      <c r="C1716" s="31"/>
      <c r="D1716" s="90"/>
      <c r="E1716" s="16"/>
      <c r="F1716" s="33"/>
      <c r="G1716" s="16"/>
      <c r="H1716" s="16"/>
      <c r="I1716" s="16"/>
      <c r="J1716" s="16"/>
      <c r="K1716" s="16"/>
      <c r="L1716" s="16"/>
      <c r="M1716" s="16"/>
      <c r="N1716" s="16"/>
      <c r="O1716" s="16"/>
      <c r="P1716" s="16"/>
      <c r="Q1716" s="16"/>
      <c r="R1716" s="16"/>
    </row>
    <row r="1717" spans="1:18" ht="18">
      <c r="A1717" s="61"/>
      <c r="B1717" s="15"/>
      <c r="C1717" s="31"/>
      <c r="D1717" s="90"/>
      <c r="E1717" s="16"/>
      <c r="F1717" s="33"/>
      <c r="G1717" s="16"/>
      <c r="H1717" s="16"/>
      <c r="I1717" s="16"/>
      <c r="J1717" s="16"/>
      <c r="K1717" s="16"/>
      <c r="L1717" s="16"/>
      <c r="M1717" s="16"/>
      <c r="N1717" s="16"/>
      <c r="O1717" s="16"/>
      <c r="P1717" s="16"/>
      <c r="Q1717" s="16"/>
      <c r="R1717" s="16"/>
    </row>
    <row r="1718" spans="1:18" ht="18">
      <c r="A1718" s="61"/>
      <c r="B1718" s="15"/>
      <c r="C1718" s="31"/>
      <c r="D1718" s="90"/>
      <c r="E1718" s="16"/>
      <c r="F1718" s="33"/>
      <c r="G1718" s="16"/>
      <c r="H1718" s="16"/>
      <c r="I1718" s="16"/>
      <c r="J1718" s="16"/>
      <c r="K1718" s="16"/>
      <c r="L1718" s="16"/>
      <c r="M1718" s="16"/>
      <c r="N1718" s="16"/>
      <c r="O1718" s="16"/>
      <c r="P1718" s="16"/>
      <c r="Q1718" s="16"/>
      <c r="R1718" s="16"/>
    </row>
    <row r="1719" spans="1:18" ht="18">
      <c r="A1719" s="61"/>
      <c r="B1719" s="15"/>
      <c r="C1719" s="31"/>
      <c r="D1719" s="90"/>
      <c r="E1719" s="16"/>
      <c r="F1719" s="33"/>
      <c r="G1719" s="16"/>
      <c r="H1719" s="16"/>
      <c r="I1719" s="16"/>
      <c r="J1719" s="16"/>
      <c r="K1719" s="16"/>
      <c r="L1719" s="16"/>
      <c r="M1719" s="16"/>
      <c r="N1719" s="16"/>
      <c r="O1719" s="16"/>
      <c r="P1719" s="16"/>
      <c r="Q1719" s="16"/>
      <c r="R1719" s="16"/>
    </row>
    <row r="1720" spans="1:18" ht="18">
      <c r="A1720" s="61"/>
      <c r="B1720" s="15"/>
      <c r="C1720" s="31"/>
      <c r="D1720" s="90"/>
      <c r="E1720" s="16"/>
      <c r="F1720" s="33"/>
      <c r="G1720" s="16"/>
      <c r="H1720" s="16"/>
      <c r="I1720" s="16"/>
      <c r="J1720" s="16"/>
      <c r="K1720" s="16"/>
      <c r="L1720" s="16"/>
      <c r="M1720" s="16"/>
      <c r="N1720" s="16"/>
      <c r="O1720" s="16"/>
      <c r="P1720" s="16"/>
      <c r="Q1720" s="16"/>
      <c r="R1720" s="16"/>
    </row>
    <row r="1721" spans="1:18" ht="18">
      <c r="A1721" s="61"/>
      <c r="B1721" s="15"/>
      <c r="C1721" s="31"/>
      <c r="D1721" s="90"/>
      <c r="E1721" s="16"/>
      <c r="F1721" s="33"/>
      <c r="G1721" s="16"/>
      <c r="H1721" s="16"/>
      <c r="I1721" s="16"/>
      <c r="J1721" s="16"/>
      <c r="K1721" s="16"/>
      <c r="L1721" s="16"/>
      <c r="M1721" s="16"/>
      <c r="N1721" s="16"/>
      <c r="O1721" s="16"/>
      <c r="P1721" s="16"/>
      <c r="Q1721" s="16"/>
      <c r="R1721" s="16"/>
    </row>
    <row r="1722" spans="1:18" ht="18">
      <c r="A1722" s="61"/>
      <c r="B1722" s="15"/>
      <c r="C1722" s="31"/>
      <c r="D1722" s="90"/>
      <c r="E1722" s="16"/>
      <c r="F1722" s="33"/>
      <c r="G1722" s="16"/>
      <c r="H1722" s="16"/>
      <c r="I1722" s="16"/>
      <c r="J1722" s="16"/>
      <c r="K1722" s="16"/>
      <c r="L1722" s="16"/>
      <c r="M1722" s="16"/>
      <c r="N1722" s="16"/>
      <c r="O1722" s="16"/>
      <c r="P1722" s="16"/>
      <c r="Q1722" s="16"/>
      <c r="R1722" s="16"/>
    </row>
    <row r="1723" spans="1:18" ht="18">
      <c r="A1723" s="61"/>
      <c r="B1723" s="15"/>
      <c r="C1723" s="31"/>
      <c r="D1723" s="90"/>
      <c r="E1723" s="16"/>
      <c r="F1723" s="33"/>
      <c r="G1723" s="16"/>
      <c r="H1723" s="16"/>
      <c r="I1723" s="16"/>
      <c r="J1723" s="16"/>
      <c r="K1723" s="16"/>
      <c r="L1723" s="16"/>
      <c r="M1723" s="16"/>
      <c r="N1723" s="16"/>
      <c r="O1723" s="16"/>
      <c r="P1723" s="16"/>
      <c r="Q1723" s="16"/>
      <c r="R1723" s="16"/>
    </row>
    <row r="1724" spans="1:18" ht="18">
      <c r="A1724" s="61"/>
      <c r="B1724" s="15"/>
      <c r="C1724" s="31"/>
      <c r="D1724" s="90"/>
      <c r="E1724" s="16"/>
      <c r="F1724" s="33"/>
      <c r="G1724" s="16"/>
      <c r="H1724" s="16"/>
      <c r="I1724" s="16"/>
      <c r="J1724" s="16"/>
      <c r="K1724" s="16"/>
      <c r="L1724" s="16"/>
      <c r="M1724" s="16"/>
      <c r="N1724" s="16"/>
      <c r="O1724" s="16"/>
      <c r="P1724" s="16"/>
      <c r="Q1724" s="16"/>
      <c r="R1724" s="16"/>
    </row>
    <row r="1725" spans="1:18" ht="18">
      <c r="A1725" s="61"/>
      <c r="B1725" s="15"/>
      <c r="C1725" s="31"/>
      <c r="D1725" s="90"/>
      <c r="E1725" s="16"/>
      <c r="F1725" s="33"/>
      <c r="G1725" s="16"/>
      <c r="H1725" s="16"/>
      <c r="I1725" s="16"/>
      <c r="J1725" s="16"/>
      <c r="K1725" s="16"/>
      <c r="L1725" s="16"/>
      <c r="M1725" s="16"/>
      <c r="N1725" s="16"/>
      <c r="O1725" s="16"/>
      <c r="P1725" s="16"/>
      <c r="Q1725" s="16"/>
      <c r="R1725" s="16"/>
    </row>
    <row r="1726" spans="1:18" ht="18">
      <c r="A1726" s="61"/>
      <c r="B1726" s="15"/>
      <c r="C1726" s="31"/>
      <c r="D1726" s="90"/>
      <c r="E1726" s="16"/>
      <c r="F1726" s="33"/>
      <c r="G1726" s="16"/>
      <c r="H1726" s="16"/>
      <c r="I1726" s="16"/>
      <c r="J1726" s="16"/>
      <c r="K1726" s="16"/>
      <c r="L1726" s="16"/>
      <c r="M1726" s="16"/>
      <c r="N1726" s="16"/>
      <c r="O1726" s="16"/>
      <c r="P1726" s="16"/>
      <c r="Q1726" s="16"/>
      <c r="R1726" s="16"/>
    </row>
    <row r="1727" spans="1:18" ht="18">
      <c r="A1727" s="61"/>
      <c r="B1727" s="15"/>
      <c r="C1727" s="31"/>
      <c r="D1727" s="90"/>
      <c r="E1727" s="16"/>
      <c r="F1727" s="33"/>
      <c r="G1727" s="16"/>
      <c r="H1727" s="16"/>
      <c r="I1727" s="16"/>
      <c r="J1727" s="16"/>
      <c r="K1727" s="16"/>
      <c r="L1727" s="16"/>
      <c r="M1727" s="16"/>
      <c r="N1727" s="16"/>
      <c r="O1727" s="16"/>
      <c r="P1727" s="16"/>
      <c r="Q1727" s="16"/>
      <c r="R1727" s="16"/>
    </row>
    <row r="1728" spans="1:18" ht="18">
      <c r="A1728" s="61"/>
      <c r="B1728" s="15"/>
      <c r="C1728" s="31"/>
      <c r="D1728" s="90"/>
      <c r="E1728" s="16"/>
      <c r="F1728" s="33"/>
      <c r="G1728" s="16"/>
      <c r="H1728" s="16"/>
      <c r="I1728" s="16"/>
      <c r="J1728" s="16"/>
      <c r="K1728" s="16"/>
      <c r="L1728" s="16"/>
      <c r="M1728" s="16"/>
      <c r="N1728" s="16"/>
      <c r="O1728" s="16"/>
      <c r="P1728" s="16"/>
      <c r="Q1728" s="16"/>
      <c r="R1728" s="16"/>
    </row>
    <row r="1729" spans="1:18" ht="18">
      <c r="A1729" s="61"/>
      <c r="B1729" s="15"/>
      <c r="C1729" s="31"/>
      <c r="D1729" s="90"/>
      <c r="E1729" s="16"/>
      <c r="F1729" s="33"/>
      <c r="G1729" s="16"/>
      <c r="H1729" s="16"/>
      <c r="I1729" s="16"/>
      <c r="J1729" s="16"/>
      <c r="K1729" s="16"/>
      <c r="L1729" s="16"/>
      <c r="M1729" s="16"/>
      <c r="N1729" s="16"/>
      <c r="O1729" s="16"/>
      <c r="P1729" s="16"/>
      <c r="Q1729" s="16"/>
      <c r="R1729" s="16"/>
    </row>
    <row r="1730" spans="1:18" ht="18">
      <c r="A1730" s="61"/>
      <c r="B1730" s="15"/>
      <c r="C1730" s="31"/>
      <c r="D1730" s="90"/>
      <c r="E1730" s="16"/>
      <c r="F1730" s="33"/>
      <c r="G1730" s="16"/>
      <c r="H1730" s="16"/>
      <c r="I1730" s="16"/>
      <c r="J1730" s="16"/>
      <c r="K1730" s="16"/>
      <c r="L1730" s="16"/>
      <c r="M1730" s="16"/>
      <c r="N1730" s="16"/>
      <c r="O1730" s="16"/>
      <c r="P1730" s="16"/>
      <c r="Q1730" s="16"/>
      <c r="R1730" s="16"/>
    </row>
    <row r="1731" spans="1:18" ht="18">
      <c r="A1731" s="61"/>
      <c r="B1731" s="15"/>
      <c r="C1731" s="31"/>
      <c r="D1731" s="90"/>
      <c r="E1731" s="16"/>
      <c r="F1731" s="33"/>
      <c r="G1731" s="16"/>
      <c r="H1731" s="16"/>
      <c r="I1731" s="16"/>
      <c r="J1731" s="16"/>
      <c r="K1731" s="16"/>
      <c r="L1731" s="16"/>
      <c r="M1731" s="16"/>
      <c r="N1731" s="16"/>
      <c r="O1731" s="16"/>
      <c r="P1731" s="16"/>
      <c r="Q1731" s="16"/>
      <c r="R1731" s="16"/>
    </row>
    <row r="1732" spans="1:18" ht="18">
      <c r="A1732" s="61"/>
      <c r="B1732" s="15"/>
      <c r="C1732" s="31"/>
      <c r="D1732" s="90"/>
      <c r="E1732" s="16"/>
      <c r="F1732" s="33"/>
      <c r="G1732" s="16"/>
      <c r="H1732" s="16"/>
      <c r="I1732" s="16"/>
      <c r="J1732" s="16"/>
      <c r="K1732" s="16"/>
      <c r="L1732" s="16"/>
      <c r="M1732" s="16"/>
      <c r="N1732" s="16"/>
      <c r="O1732" s="16"/>
      <c r="P1732" s="16"/>
      <c r="Q1732" s="16"/>
      <c r="R1732" s="16"/>
    </row>
    <row r="1733" spans="1:18" ht="18">
      <c r="A1733" s="61"/>
      <c r="B1733" s="15"/>
      <c r="C1733" s="31"/>
      <c r="D1733" s="90"/>
      <c r="E1733" s="16"/>
      <c r="F1733" s="33"/>
      <c r="G1733" s="16"/>
      <c r="H1733" s="16"/>
      <c r="I1733" s="16"/>
      <c r="J1733" s="16"/>
      <c r="K1733" s="16"/>
      <c r="L1733" s="16"/>
      <c r="M1733" s="16"/>
      <c r="N1733" s="16"/>
      <c r="O1733" s="16"/>
      <c r="P1733" s="16"/>
      <c r="Q1733" s="16"/>
      <c r="R1733" s="16"/>
    </row>
    <row r="1734" spans="1:18" ht="18">
      <c r="A1734" s="61"/>
      <c r="B1734" s="15"/>
      <c r="C1734" s="31"/>
      <c r="D1734" s="90"/>
      <c r="E1734" s="16"/>
      <c r="F1734" s="33"/>
      <c r="G1734" s="16"/>
      <c r="H1734" s="16"/>
      <c r="I1734" s="16"/>
      <c r="J1734" s="16"/>
      <c r="K1734" s="16"/>
      <c r="L1734" s="16"/>
      <c r="M1734" s="16"/>
      <c r="N1734" s="16"/>
      <c r="O1734" s="16"/>
      <c r="P1734" s="16"/>
      <c r="Q1734" s="16"/>
      <c r="R1734" s="16"/>
    </row>
    <row r="1735" spans="1:18" ht="18">
      <c r="A1735" s="61"/>
      <c r="B1735" s="15"/>
      <c r="C1735" s="31"/>
      <c r="D1735" s="90"/>
      <c r="E1735" s="16"/>
      <c r="F1735" s="33"/>
      <c r="G1735" s="16"/>
      <c r="H1735" s="16"/>
      <c r="I1735" s="16"/>
      <c r="J1735" s="16"/>
      <c r="K1735" s="16"/>
      <c r="L1735" s="16"/>
      <c r="M1735" s="16"/>
      <c r="N1735" s="16"/>
      <c r="O1735" s="16"/>
      <c r="P1735" s="16"/>
      <c r="Q1735" s="16"/>
      <c r="R1735" s="16"/>
    </row>
    <row r="1736" spans="1:18" ht="18">
      <c r="A1736" s="61"/>
      <c r="B1736" s="15"/>
      <c r="C1736" s="31"/>
      <c r="D1736" s="90"/>
      <c r="E1736" s="16"/>
      <c r="F1736" s="33"/>
      <c r="G1736" s="16"/>
      <c r="H1736" s="16"/>
      <c r="I1736" s="16"/>
      <c r="J1736" s="16"/>
      <c r="K1736" s="16"/>
      <c r="L1736" s="16"/>
      <c r="M1736" s="16"/>
      <c r="N1736" s="16"/>
      <c r="O1736" s="16"/>
      <c r="P1736" s="16"/>
      <c r="Q1736" s="16"/>
      <c r="R1736" s="16"/>
    </row>
    <row r="1737" spans="1:18" ht="18">
      <c r="A1737" s="61"/>
      <c r="B1737" s="15"/>
      <c r="C1737" s="31"/>
      <c r="D1737" s="90"/>
      <c r="E1737" s="16"/>
      <c r="F1737" s="33"/>
      <c r="G1737" s="16"/>
      <c r="H1737" s="16"/>
      <c r="I1737" s="16"/>
      <c r="J1737" s="16"/>
      <c r="K1737" s="16"/>
      <c r="L1737" s="16"/>
      <c r="M1737" s="16"/>
      <c r="N1737" s="16"/>
      <c r="O1737" s="16"/>
      <c r="P1737" s="16"/>
      <c r="Q1737" s="16"/>
      <c r="R1737" s="16"/>
    </row>
    <row r="1738" spans="1:18" ht="18">
      <c r="A1738" s="61"/>
      <c r="B1738" s="15"/>
      <c r="C1738" s="31"/>
      <c r="D1738" s="90"/>
      <c r="E1738" s="16"/>
      <c r="F1738" s="33"/>
      <c r="G1738" s="16"/>
      <c r="H1738" s="16"/>
      <c r="I1738" s="16"/>
      <c r="J1738" s="16"/>
      <c r="K1738" s="16"/>
      <c r="L1738" s="16"/>
      <c r="M1738" s="16"/>
      <c r="N1738" s="16"/>
      <c r="O1738" s="16"/>
      <c r="P1738" s="16"/>
      <c r="Q1738" s="16"/>
      <c r="R1738" s="16"/>
    </row>
    <row r="1739" spans="1:18" ht="18">
      <c r="A1739" s="61"/>
      <c r="B1739" s="15"/>
      <c r="C1739" s="31"/>
      <c r="D1739" s="90"/>
      <c r="E1739" s="16"/>
      <c r="F1739" s="33"/>
      <c r="G1739" s="16"/>
      <c r="H1739" s="16"/>
      <c r="I1739" s="16"/>
      <c r="J1739" s="16"/>
      <c r="K1739" s="16"/>
      <c r="L1739" s="16"/>
      <c r="M1739" s="16"/>
      <c r="N1739" s="16"/>
      <c r="O1739" s="16"/>
      <c r="P1739" s="16"/>
      <c r="Q1739" s="16"/>
      <c r="R1739" s="16"/>
    </row>
    <row r="1740" spans="1:18" ht="18">
      <c r="A1740" s="61"/>
      <c r="B1740" s="15"/>
      <c r="C1740" s="31"/>
      <c r="D1740" s="90"/>
      <c r="E1740" s="16"/>
      <c r="F1740" s="33"/>
      <c r="G1740" s="16"/>
      <c r="H1740" s="16"/>
      <c r="I1740" s="16"/>
      <c r="J1740" s="16"/>
      <c r="K1740" s="16"/>
      <c r="L1740" s="16"/>
      <c r="M1740" s="16"/>
      <c r="N1740" s="16"/>
      <c r="O1740" s="16"/>
      <c r="P1740" s="16"/>
      <c r="Q1740" s="16"/>
      <c r="R1740" s="16"/>
    </row>
    <row r="1741" spans="1:18" ht="18">
      <c r="A1741" s="61"/>
      <c r="B1741" s="15"/>
      <c r="C1741" s="31"/>
      <c r="D1741" s="90"/>
      <c r="E1741" s="16"/>
      <c r="F1741" s="33"/>
      <c r="G1741" s="16"/>
      <c r="H1741" s="16"/>
      <c r="I1741" s="16"/>
      <c r="J1741" s="16"/>
      <c r="K1741" s="16"/>
      <c r="L1741" s="16"/>
      <c r="M1741" s="16"/>
      <c r="N1741" s="16"/>
      <c r="O1741" s="16"/>
      <c r="P1741" s="16"/>
      <c r="Q1741" s="16"/>
      <c r="R1741" s="16"/>
    </row>
    <row r="1742" spans="1:18" ht="18">
      <c r="A1742" s="61"/>
      <c r="B1742" s="15"/>
      <c r="C1742" s="31"/>
      <c r="D1742" s="90"/>
      <c r="E1742" s="16"/>
      <c r="F1742" s="33"/>
      <c r="G1742" s="16"/>
      <c r="H1742" s="16"/>
      <c r="I1742" s="16"/>
      <c r="J1742" s="16"/>
      <c r="K1742" s="16"/>
      <c r="L1742" s="16"/>
      <c r="M1742" s="16"/>
      <c r="N1742" s="16"/>
      <c r="O1742" s="16"/>
      <c r="P1742" s="16"/>
      <c r="Q1742" s="16"/>
      <c r="R1742" s="16"/>
    </row>
    <row r="1743" spans="1:18" ht="18">
      <c r="A1743" s="61"/>
      <c r="B1743" s="15"/>
      <c r="C1743" s="31"/>
      <c r="D1743" s="90"/>
      <c r="E1743" s="16"/>
      <c r="F1743" s="33"/>
      <c r="G1743" s="16"/>
      <c r="H1743" s="16"/>
      <c r="I1743" s="16"/>
      <c r="J1743" s="16"/>
      <c r="K1743" s="16"/>
      <c r="L1743" s="16"/>
      <c r="M1743" s="16"/>
      <c r="N1743" s="16"/>
      <c r="O1743" s="16"/>
      <c r="P1743" s="16"/>
      <c r="Q1743" s="16"/>
      <c r="R1743" s="16"/>
    </row>
    <row r="1744" spans="1:18" ht="18">
      <c r="A1744" s="61"/>
      <c r="B1744" s="15"/>
      <c r="C1744" s="31"/>
      <c r="D1744" s="90"/>
      <c r="E1744" s="16"/>
      <c r="F1744" s="33"/>
      <c r="G1744" s="16"/>
      <c r="H1744" s="16"/>
      <c r="I1744" s="16"/>
      <c r="J1744" s="16"/>
      <c r="K1744" s="16"/>
      <c r="L1744" s="16"/>
      <c r="M1744" s="16"/>
      <c r="N1744" s="16"/>
      <c r="O1744" s="16"/>
      <c r="P1744" s="16"/>
      <c r="Q1744" s="16"/>
      <c r="R1744" s="16"/>
    </row>
    <row r="1745" spans="1:18" ht="18">
      <c r="A1745" s="61"/>
      <c r="B1745" s="15"/>
      <c r="C1745" s="31"/>
      <c r="D1745" s="90"/>
      <c r="E1745" s="16"/>
      <c r="F1745" s="33"/>
      <c r="G1745" s="16"/>
      <c r="H1745" s="16"/>
      <c r="I1745" s="16"/>
      <c r="J1745" s="16"/>
      <c r="K1745" s="16"/>
      <c r="L1745" s="16"/>
      <c r="M1745" s="16"/>
      <c r="N1745" s="16"/>
      <c r="O1745" s="16"/>
      <c r="P1745" s="16"/>
      <c r="Q1745" s="16"/>
      <c r="R1745" s="16"/>
    </row>
    <row r="1746" spans="1:18" ht="18">
      <c r="A1746" s="61"/>
      <c r="B1746" s="15"/>
      <c r="C1746" s="31"/>
      <c r="D1746" s="90"/>
      <c r="E1746" s="16"/>
      <c r="F1746" s="33"/>
      <c r="G1746" s="16"/>
      <c r="H1746" s="16"/>
      <c r="I1746" s="16"/>
      <c r="J1746" s="16"/>
      <c r="K1746" s="16"/>
      <c r="L1746" s="16"/>
      <c r="M1746" s="16"/>
      <c r="N1746" s="16"/>
      <c r="O1746" s="16"/>
      <c r="P1746" s="16"/>
      <c r="Q1746" s="16"/>
      <c r="R1746" s="16"/>
    </row>
    <row r="1747" spans="1:18" ht="18">
      <c r="A1747" s="61"/>
      <c r="B1747" s="15"/>
      <c r="C1747" s="31"/>
      <c r="D1747" s="90"/>
      <c r="E1747" s="16"/>
      <c r="F1747" s="33"/>
      <c r="G1747" s="16"/>
      <c r="H1747" s="16"/>
      <c r="I1747" s="16"/>
      <c r="J1747" s="16"/>
      <c r="K1747" s="16"/>
      <c r="L1747" s="16"/>
      <c r="M1747" s="16"/>
      <c r="N1747" s="16"/>
      <c r="O1747" s="16"/>
      <c r="P1747" s="16"/>
      <c r="Q1747" s="16"/>
      <c r="R1747" s="16"/>
    </row>
    <row r="1748" spans="1:18" ht="18">
      <c r="A1748" s="61"/>
      <c r="B1748" s="15"/>
      <c r="C1748" s="31"/>
      <c r="D1748" s="90"/>
      <c r="E1748" s="16"/>
      <c r="F1748" s="33"/>
      <c r="G1748" s="16"/>
      <c r="H1748" s="16"/>
      <c r="I1748" s="16"/>
      <c r="J1748" s="16"/>
      <c r="K1748" s="16"/>
      <c r="L1748" s="16"/>
      <c r="M1748" s="16"/>
      <c r="N1748" s="16"/>
      <c r="O1748" s="16"/>
      <c r="P1748" s="16"/>
      <c r="Q1748" s="16"/>
      <c r="R1748" s="16"/>
    </row>
    <row r="1749" spans="1:18" ht="18">
      <c r="A1749" s="61"/>
      <c r="B1749" s="15"/>
      <c r="C1749" s="31"/>
      <c r="D1749" s="90"/>
      <c r="E1749" s="16"/>
      <c r="F1749" s="33"/>
      <c r="G1749" s="16"/>
      <c r="H1749" s="16"/>
      <c r="I1749" s="16"/>
      <c r="J1749" s="16"/>
      <c r="K1749" s="16"/>
      <c r="L1749" s="16"/>
      <c r="M1749" s="16"/>
      <c r="N1749" s="16"/>
      <c r="O1749" s="16"/>
      <c r="P1749" s="16"/>
      <c r="Q1749" s="16"/>
      <c r="R1749" s="16"/>
    </row>
    <row r="1750" spans="1:18" ht="18">
      <c r="A1750" s="61"/>
      <c r="B1750" s="15"/>
      <c r="C1750" s="31"/>
      <c r="D1750" s="90"/>
      <c r="E1750" s="16"/>
      <c r="F1750" s="33"/>
      <c r="G1750" s="16"/>
      <c r="H1750" s="16"/>
      <c r="I1750" s="16"/>
      <c r="J1750" s="16"/>
      <c r="K1750" s="16"/>
      <c r="L1750" s="16"/>
      <c r="M1750" s="16"/>
      <c r="N1750" s="16"/>
      <c r="O1750" s="16"/>
      <c r="P1750" s="16"/>
      <c r="Q1750" s="16"/>
      <c r="R1750" s="16"/>
    </row>
    <row r="1751" spans="1:18" ht="18">
      <c r="A1751" s="61"/>
      <c r="B1751" s="15"/>
      <c r="C1751" s="31"/>
      <c r="D1751" s="90"/>
      <c r="E1751" s="16"/>
      <c r="F1751" s="33"/>
      <c r="G1751" s="16"/>
      <c r="H1751" s="16"/>
      <c r="I1751" s="16"/>
      <c r="J1751" s="16"/>
      <c r="K1751" s="16"/>
      <c r="L1751" s="16"/>
      <c r="M1751" s="16"/>
      <c r="N1751" s="16"/>
      <c r="O1751" s="16"/>
      <c r="P1751" s="16"/>
      <c r="Q1751" s="16"/>
      <c r="R1751" s="16"/>
    </row>
    <row r="1752" spans="1:18" ht="18">
      <c r="A1752" s="61"/>
      <c r="B1752" s="15"/>
      <c r="C1752" s="31"/>
      <c r="D1752" s="90"/>
      <c r="E1752" s="16"/>
      <c r="F1752" s="33"/>
      <c r="G1752" s="16"/>
      <c r="H1752" s="16"/>
      <c r="I1752" s="16"/>
      <c r="J1752" s="16"/>
      <c r="K1752" s="16"/>
      <c r="L1752" s="16"/>
      <c r="M1752" s="16"/>
      <c r="N1752" s="16"/>
      <c r="O1752" s="16"/>
      <c r="P1752" s="16"/>
      <c r="Q1752" s="16"/>
      <c r="R1752" s="16"/>
    </row>
    <row r="1753" spans="1:18" ht="18">
      <c r="A1753" s="61"/>
      <c r="B1753" s="15"/>
      <c r="C1753" s="31"/>
      <c r="D1753" s="90"/>
      <c r="E1753" s="16"/>
      <c r="F1753" s="33"/>
      <c r="G1753" s="16"/>
      <c r="H1753" s="16"/>
      <c r="I1753" s="16"/>
      <c r="J1753" s="16"/>
      <c r="K1753" s="16"/>
      <c r="L1753" s="16"/>
      <c r="M1753" s="16"/>
      <c r="N1753" s="16"/>
      <c r="O1753" s="16"/>
      <c r="P1753" s="16"/>
      <c r="Q1753" s="16"/>
      <c r="R1753" s="16"/>
    </row>
    <row r="1754" spans="1:18" ht="18">
      <c r="A1754" s="61"/>
      <c r="B1754" s="15"/>
      <c r="C1754" s="31"/>
      <c r="D1754" s="90"/>
      <c r="E1754" s="16"/>
      <c r="F1754" s="33"/>
      <c r="G1754" s="16"/>
      <c r="H1754" s="16"/>
      <c r="I1754" s="16"/>
      <c r="J1754" s="16"/>
      <c r="K1754" s="16"/>
      <c r="L1754" s="16"/>
      <c r="M1754" s="16"/>
      <c r="N1754" s="16"/>
      <c r="O1754" s="16"/>
      <c r="P1754" s="16"/>
      <c r="Q1754" s="16"/>
      <c r="R1754" s="16"/>
    </row>
    <row r="1755" spans="1:18" ht="18">
      <c r="A1755" s="61"/>
      <c r="B1755" s="15"/>
      <c r="C1755" s="31"/>
      <c r="D1755" s="90"/>
      <c r="E1755" s="16"/>
      <c r="F1755" s="33"/>
      <c r="G1755" s="16"/>
      <c r="H1755" s="16"/>
      <c r="I1755" s="16"/>
      <c r="J1755" s="16"/>
      <c r="K1755" s="16"/>
      <c r="L1755" s="16"/>
      <c r="M1755" s="16"/>
      <c r="N1755" s="16"/>
      <c r="O1755" s="16"/>
      <c r="P1755" s="16"/>
      <c r="Q1755" s="16"/>
      <c r="R1755" s="16"/>
    </row>
    <row r="1756" spans="1:18" ht="18">
      <c r="A1756" s="61"/>
      <c r="B1756" s="15"/>
      <c r="C1756" s="31"/>
      <c r="D1756" s="90"/>
      <c r="E1756" s="16"/>
      <c r="F1756" s="33"/>
      <c r="G1756" s="16"/>
      <c r="H1756" s="16"/>
      <c r="I1756" s="16"/>
      <c r="J1756" s="16"/>
      <c r="K1756" s="16"/>
      <c r="L1756" s="16"/>
      <c r="M1756" s="16"/>
      <c r="N1756" s="16"/>
      <c r="O1756" s="16"/>
      <c r="P1756" s="16"/>
      <c r="Q1756" s="16"/>
      <c r="R1756" s="16"/>
    </row>
    <row r="1757" spans="1:18" ht="18">
      <c r="A1757" s="61"/>
      <c r="B1757" s="15"/>
      <c r="C1757" s="31"/>
      <c r="D1757" s="90"/>
      <c r="E1757" s="16"/>
      <c r="F1757" s="33"/>
      <c r="G1757" s="16"/>
      <c r="H1757" s="16"/>
      <c r="I1757" s="16"/>
      <c r="J1757" s="16"/>
      <c r="K1757" s="16"/>
      <c r="L1757" s="16"/>
      <c r="M1757" s="16"/>
      <c r="N1757" s="16"/>
      <c r="O1757" s="16"/>
      <c r="P1757" s="16"/>
      <c r="Q1757" s="16"/>
      <c r="R1757" s="16"/>
    </row>
    <row r="1758" spans="1:18" ht="18">
      <c r="A1758" s="61"/>
      <c r="B1758" s="15"/>
      <c r="C1758" s="31"/>
      <c r="D1758" s="90"/>
      <c r="E1758" s="16"/>
      <c r="F1758" s="33"/>
      <c r="G1758" s="16"/>
      <c r="H1758" s="16"/>
      <c r="I1758" s="16"/>
      <c r="J1758" s="16"/>
      <c r="K1758" s="16"/>
      <c r="L1758" s="16"/>
      <c r="M1758" s="16"/>
      <c r="N1758" s="16"/>
      <c r="O1758" s="16"/>
      <c r="P1758" s="16"/>
      <c r="Q1758" s="16"/>
      <c r="R1758" s="16"/>
    </row>
    <row r="1759" spans="1:18" ht="18">
      <c r="A1759" s="61"/>
      <c r="B1759" s="15"/>
      <c r="C1759" s="31"/>
      <c r="D1759" s="90"/>
      <c r="E1759" s="16"/>
      <c r="F1759" s="33"/>
      <c r="G1759" s="16"/>
      <c r="H1759" s="16"/>
      <c r="I1759" s="16"/>
      <c r="J1759" s="16"/>
      <c r="K1759" s="16"/>
      <c r="L1759" s="16"/>
      <c r="M1759" s="16"/>
      <c r="N1759" s="16"/>
      <c r="O1759" s="16"/>
      <c r="P1759" s="16"/>
      <c r="Q1759" s="16"/>
      <c r="R1759" s="16"/>
    </row>
    <row r="1760" spans="1:18" ht="18">
      <c r="A1760" s="61"/>
      <c r="B1760" s="15"/>
      <c r="C1760" s="31"/>
      <c r="D1760" s="90"/>
      <c r="E1760" s="16"/>
      <c r="F1760" s="33"/>
      <c r="G1760" s="16"/>
      <c r="H1760" s="16"/>
      <c r="I1760" s="16"/>
      <c r="J1760" s="16"/>
      <c r="K1760" s="16"/>
      <c r="L1760" s="16"/>
      <c r="M1760" s="16"/>
      <c r="N1760" s="16"/>
      <c r="O1760" s="16"/>
      <c r="P1760" s="16"/>
      <c r="Q1760" s="16"/>
      <c r="R1760" s="16"/>
    </row>
    <row r="1761" spans="1:18" ht="18">
      <c r="A1761" s="61"/>
      <c r="B1761" s="15"/>
      <c r="C1761" s="31"/>
      <c r="D1761" s="90"/>
      <c r="E1761" s="16"/>
      <c r="F1761" s="33"/>
      <c r="G1761" s="16"/>
      <c r="H1761" s="16"/>
      <c r="I1761" s="16"/>
      <c r="J1761" s="16"/>
      <c r="K1761" s="16"/>
      <c r="L1761" s="16"/>
      <c r="M1761" s="16"/>
      <c r="N1761" s="16"/>
      <c r="O1761" s="16"/>
      <c r="P1761" s="16"/>
      <c r="Q1761" s="16"/>
      <c r="R1761" s="16"/>
    </row>
    <row r="1762" spans="1:18" ht="18">
      <c r="A1762" s="61"/>
      <c r="B1762" s="15"/>
      <c r="C1762" s="31"/>
      <c r="D1762" s="90"/>
      <c r="E1762" s="16"/>
      <c r="F1762" s="33"/>
      <c r="G1762" s="16"/>
      <c r="H1762" s="16"/>
      <c r="I1762" s="16"/>
      <c r="J1762" s="16"/>
      <c r="K1762" s="16"/>
      <c r="L1762" s="16"/>
      <c r="M1762" s="16"/>
      <c r="N1762" s="16"/>
      <c r="O1762" s="16"/>
      <c r="P1762" s="16"/>
      <c r="Q1762" s="16"/>
      <c r="R1762" s="16"/>
    </row>
    <row r="1763" spans="1:18" ht="18">
      <c r="A1763" s="61"/>
      <c r="B1763" s="15"/>
      <c r="C1763" s="31"/>
      <c r="D1763" s="90"/>
      <c r="E1763" s="16"/>
      <c r="F1763" s="33"/>
      <c r="G1763" s="16"/>
      <c r="H1763" s="16"/>
      <c r="I1763" s="16"/>
      <c r="J1763" s="16"/>
      <c r="K1763" s="16"/>
      <c r="L1763" s="16"/>
      <c r="M1763" s="16"/>
      <c r="N1763" s="16"/>
      <c r="O1763" s="16"/>
      <c r="P1763" s="16"/>
      <c r="Q1763" s="16"/>
      <c r="R1763" s="16"/>
    </row>
    <row r="1764" spans="1:18" ht="18">
      <c r="A1764" s="61"/>
      <c r="B1764" s="15"/>
      <c r="C1764" s="31"/>
      <c r="D1764" s="90"/>
      <c r="E1764" s="16"/>
      <c r="F1764" s="33"/>
      <c r="G1764" s="16"/>
      <c r="H1764" s="16"/>
      <c r="I1764" s="16"/>
      <c r="J1764" s="16"/>
      <c r="K1764" s="16"/>
      <c r="L1764" s="16"/>
      <c r="M1764" s="16"/>
      <c r="N1764" s="16"/>
      <c r="O1764" s="16"/>
      <c r="P1764" s="16"/>
      <c r="Q1764" s="16"/>
      <c r="R1764" s="16"/>
    </row>
    <row r="1765" spans="1:18" ht="18">
      <c r="A1765" s="61"/>
      <c r="B1765" s="15"/>
      <c r="C1765" s="31"/>
      <c r="D1765" s="90"/>
      <c r="E1765" s="16"/>
      <c r="F1765" s="33"/>
      <c r="G1765" s="16"/>
      <c r="H1765" s="16"/>
      <c r="I1765" s="16"/>
      <c r="J1765" s="16"/>
      <c r="K1765" s="16"/>
      <c r="L1765" s="16"/>
      <c r="M1765" s="16"/>
      <c r="N1765" s="16"/>
      <c r="O1765" s="16"/>
      <c r="P1765" s="16"/>
      <c r="Q1765" s="16"/>
      <c r="R1765" s="16"/>
    </row>
    <row r="1766" spans="1:18" ht="18">
      <c r="A1766" s="61"/>
      <c r="B1766" s="15"/>
      <c r="C1766" s="31"/>
      <c r="D1766" s="90"/>
      <c r="E1766" s="16"/>
      <c r="F1766" s="33"/>
      <c r="G1766" s="16"/>
      <c r="H1766" s="16"/>
      <c r="I1766" s="16"/>
      <c r="J1766" s="16"/>
      <c r="K1766" s="16"/>
      <c r="L1766" s="16"/>
      <c r="M1766" s="16"/>
      <c r="N1766" s="16"/>
      <c r="O1766" s="16"/>
      <c r="P1766" s="16"/>
      <c r="Q1766" s="16"/>
      <c r="R1766" s="16"/>
    </row>
    <row r="1767" spans="1:18" ht="18">
      <c r="A1767" s="61"/>
      <c r="B1767" s="15"/>
      <c r="C1767" s="31"/>
      <c r="D1767" s="90"/>
      <c r="E1767" s="16"/>
      <c r="F1767" s="33"/>
      <c r="G1767" s="16"/>
      <c r="H1767" s="16"/>
      <c r="I1767" s="16"/>
      <c r="J1767" s="16"/>
      <c r="K1767" s="16"/>
      <c r="L1767" s="16"/>
      <c r="M1767" s="16"/>
      <c r="N1767" s="16"/>
      <c r="O1767" s="16"/>
      <c r="P1767" s="16"/>
      <c r="Q1767" s="16"/>
      <c r="R1767" s="16"/>
    </row>
    <row r="1768" spans="1:18" ht="18">
      <c r="A1768" s="61"/>
      <c r="B1768" s="15"/>
      <c r="C1768" s="31"/>
      <c r="D1768" s="90"/>
      <c r="E1768" s="16"/>
      <c r="F1768" s="33"/>
      <c r="G1768" s="16"/>
      <c r="H1768" s="16"/>
      <c r="I1768" s="16"/>
      <c r="J1768" s="16"/>
      <c r="K1768" s="16"/>
      <c r="L1768" s="16"/>
      <c r="M1768" s="16"/>
      <c r="N1768" s="16"/>
      <c r="O1768" s="16"/>
      <c r="P1768" s="16"/>
      <c r="Q1768" s="16"/>
      <c r="R1768" s="16"/>
    </row>
    <row r="1769" spans="1:18" ht="18">
      <c r="A1769" s="61"/>
      <c r="B1769" s="15"/>
      <c r="C1769" s="31"/>
      <c r="D1769" s="90"/>
      <c r="E1769" s="16"/>
      <c r="F1769" s="33"/>
      <c r="G1769" s="16"/>
      <c r="H1769" s="16"/>
      <c r="I1769" s="16"/>
      <c r="J1769" s="16"/>
      <c r="K1769" s="16"/>
      <c r="L1769" s="16"/>
      <c r="M1769" s="16"/>
      <c r="N1769" s="16"/>
      <c r="O1769" s="16"/>
      <c r="P1769" s="16"/>
      <c r="Q1769" s="16"/>
      <c r="R1769" s="16"/>
    </row>
    <row r="1770" spans="1:18" ht="18">
      <c r="A1770" s="61"/>
      <c r="B1770" s="15"/>
      <c r="C1770" s="31"/>
      <c r="D1770" s="90"/>
      <c r="E1770" s="16"/>
      <c r="F1770" s="33"/>
      <c r="G1770" s="16"/>
      <c r="H1770" s="16"/>
      <c r="I1770" s="16"/>
      <c r="J1770" s="16"/>
      <c r="K1770" s="16"/>
      <c r="L1770" s="16"/>
      <c r="M1770" s="16"/>
      <c r="N1770" s="16"/>
      <c r="O1770" s="16"/>
      <c r="P1770" s="16"/>
      <c r="Q1770" s="16"/>
      <c r="R1770" s="16"/>
    </row>
    <row r="1771" spans="1:18" ht="18">
      <c r="A1771" s="61"/>
      <c r="B1771" s="15"/>
      <c r="C1771" s="31"/>
      <c r="D1771" s="90"/>
      <c r="E1771" s="16"/>
      <c r="F1771" s="33"/>
      <c r="G1771" s="16"/>
      <c r="H1771" s="16"/>
      <c r="I1771" s="16"/>
      <c r="J1771" s="16"/>
      <c r="K1771" s="16"/>
      <c r="L1771" s="16"/>
      <c r="M1771" s="16"/>
      <c r="N1771" s="16"/>
      <c r="O1771" s="16"/>
      <c r="P1771" s="16"/>
      <c r="Q1771" s="16"/>
      <c r="R1771" s="16"/>
    </row>
    <row r="1772" spans="1:18" ht="18">
      <c r="A1772" s="61"/>
      <c r="B1772" s="15"/>
      <c r="C1772" s="31"/>
      <c r="D1772" s="90"/>
      <c r="E1772" s="16"/>
      <c r="F1772" s="33"/>
      <c r="G1772" s="16"/>
      <c r="H1772" s="16"/>
      <c r="I1772" s="16"/>
      <c r="J1772" s="16"/>
      <c r="K1772" s="16"/>
      <c r="L1772" s="16"/>
      <c r="M1772" s="16"/>
      <c r="N1772" s="16"/>
      <c r="O1772" s="16"/>
      <c r="P1772" s="16"/>
      <c r="Q1772" s="16"/>
      <c r="R1772" s="16"/>
    </row>
    <row r="1773" spans="1:18" ht="18">
      <c r="A1773" s="61"/>
      <c r="B1773" s="15"/>
      <c r="C1773" s="31"/>
      <c r="D1773" s="90"/>
      <c r="E1773" s="16"/>
      <c r="F1773" s="33"/>
      <c r="G1773" s="16"/>
      <c r="H1773" s="16"/>
      <c r="I1773" s="16"/>
      <c r="J1773" s="16"/>
      <c r="K1773" s="16"/>
      <c r="L1773" s="16"/>
      <c r="M1773" s="16"/>
      <c r="N1773" s="16"/>
      <c r="O1773" s="16"/>
      <c r="P1773" s="16"/>
      <c r="Q1773" s="16"/>
      <c r="R1773" s="16"/>
    </row>
    <row r="1774" spans="1:18" ht="18">
      <c r="A1774" s="61"/>
      <c r="B1774" s="15"/>
      <c r="C1774" s="31"/>
      <c r="D1774" s="90"/>
      <c r="E1774" s="16"/>
      <c r="F1774" s="33"/>
      <c r="G1774" s="16"/>
      <c r="H1774" s="16"/>
      <c r="I1774" s="16"/>
      <c r="J1774" s="16"/>
      <c r="K1774" s="16"/>
      <c r="L1774" s="16"/>
      <c r="M1774" s="16"/>
      <c r="N1774" s="16"/>
      <c r="O1774" s="16"/>
      <c r="P1774" s="16"/>
      <c r="Q1774" s="16"/>
      <c r="R1774" s="16"/>
    </row>
    <row r="1775" spans="1:18" ht="18">
      <c r="A1775" s="61"/>
      <c r="B1775" s="15"/>
      <c r="C1775" s="31"/>
      <c r="D1775" s="90"/>
      <c r="E1775" s="16"/>
      <c r="F1775" s="33"/>
      <c r="G1775" s="16"/>
      <c r="H1775" s="16"/>
      <c r="I1775" s="16"/>
      <c r="J1775" s="16"/>
      <c r="K1775" s="16"/>
      <c r="L1775" s="16"/>
      <c r="M1775" s="16"/>
      <c r="N1775" s="16"/>
      <c r="O1775" s="16"/>
      <c r="P1775" s="16"/>
      <c r="Q1775" s="16"/>
      <c r="R1775" s="16"/>
    </row>
    <row r="1776" spans="1:18" ht="18">
      <c r="A1776" s="61"/>
      <c r="B1776" s="15"/>
      <c r="C1776" s="31"/>
      <c r="D1776" s="90"/>
      <c r="E1776" s="16"/>
      <c r="F1776" s="33"/>
      <c r="G1776" s="16"/>
      <c r="H1776" s="16"/>
      <c r="I1776" s="16"/>
      <c r="J1776" s="16"/>
      <c r="K1776" s="16"/>
      <c r="L1776" s="16"/>
      <c r="M1776" s="16"/>
      <c r="N1776" s="16"/>
      <c r="O1776" s="16"/>
      <c r="P1776" s="16"/>
      <c r="Q1776" s="16"/>
      <c r="R1776" s="16"/>
    </row>
    <row r="1777" spans="1:18" ht="18">
      <c r="A1777" s="61"/>
      <c r="B1777" s="15"/>
      <c r="C1777" s="31"/>
      <c r="D1777" s="90"/>
      <c r="E1777" s="16"/>
      <c r="F1777" s="33"/>
      <c r="G1777" s="16"/>
      <c r="H1777" s="16"/>
      <c r="I1777" s="16"/>
      <c r="J1777" s="16"/>
      <c r="K1777" s="16"/>
      <c r="L1777" s="16"/>
      <c r="M1777" s="16"/>
      <c r="N1777" s="16"/>
      <c r="O1777" s="16"/>
      <c r="P1777" s="16"/>
      <c r="Q1777" s="16"/>
      <c r="R1777" s="16"/>
    </row>
    <row r="1778" spans="1:18" ht="18">
      <c r="A1778" s="61"/>
      <c r="B1778" s="15"/>
      <c r="C1778" s="31"/>
      <c r="D1778" s="90"/>
      <c r="E1778" s="16"/>
      <c r="F1778" s="33"/>
      <c r="G1778" s="16"/>
      <c r="H1778" s="16"/>
      <c r="I1778" s="16"/>
      <c r="J1778" s="16"/>
      <c r="K1778" s="16"/>
      <c r="L1778" s="16"/>
      <c r="M1778" s="16"/>
      <c r="N1778" s="16"/>
      <c r="O1778" s="16"/>
      <c r="P1778" s="16"/>
      <c r="Q1778" s="16"/>
      <c r="R1778" s="16"/>
    </row>
    <row r="1779" spans="1:18" ht="18">
      <c r="A1779" s="61"/>
      <c r="B1779" s="15"/>
      <c r="C1779" s="31"/>
      <c r="D1779" s="90"/>
      <c r="E1779" s="16"/>
      <c r="F1779" s="33"/>
      <c r="G1779" s="16"/>
      <c r="H1779" s="16"/>
      <c r="I1779" s="16"/>
      <c r="J1779" s="16"/>
      <c r="K1779" s="16"/>
      <c r="L1779" s="16"/>
      <c r="M1779" s="16"/>
      <c r="N1779" s="16"/>
      <c r="O1779" s="16"/>
      <c r="P1779" s="16"/>
      <c r="Q1779" s="16"/>
      <c r="R1779" s="16"/>
    </row>
    <row r="1780" spans="1:18" ht="18">
      <c r="A1780" s="61"/>
      <c r="B1780" s="15"/>
      <c r="C1780" s="31"/>
      <c r="D1780" s="90"/>
      <c r="E1780" s="16"/>
      <c r="F1780" s="33"/>
      <c r="G1780" s="16"/>
      <c r="H1780" s="16"/>
      <c r="I1780" s="16"/>
      <c r="J1780" s="16"/>
      <c r="K1780" s="16"/>
      <c r="L1780" s="16"/>
      <c r="M1780" s="16"/>
      <c r="N1780" s="16"/>
      <c r="O1780" s="16"/>
      <c r="P1780" s="16"/>
      <c r="Q1780" s="16"/>
      <c r="R1780" s="16"/>
    </row>
    <row r="1781" spans="1:18" ht="18">
      <c r="A1781" s="61"/>
      <c r="B1781" s="15"/>
      <c r="C1781" s="31"/>
      <c r="D1781" s="90"/>
      <c r="E1781" s="16"/>
      <c r="F1781" s="33"/>
      <c r="G1781" s="16"/>
      <c r="H1781" s="16"/>
      <c r="I1781" s="16"/>
      <c r="J1781" s="16"/>
      <c r="K1781" s="16"/>
      <c r="L1781" s="16"/>
      <c r="M1781" s="16"/>
      <c r="N1781" s="16"/>
      <c r="O1781" s="16"/>
      <c r="P1781" s="16"/>
      <c r="Q1781" s="16"/>
      <c r="R1781" s="16"/>
    </row>
    <row r="1782" spans="1:18" ht="18">
      <c r="A1782" s="61"/>
      <c r="B1782" s="15"/>
      <c r="C1782" s="31"/>
      <c r="D1782" s="90"/>
      <c r="E1782" s="16"/>
      <c r="F1782" s="33"/>
      <c r="G1782" s="16"/>
      <c r="H1782" s="16"/>
      <c r="I1782" s="16"/>
      <c r="J1782" s="16"/>
      <c r="K1782" s="16"/>
      <c r="L1782" s="16"/>
      <c r="M1782" s="16"/>
      <c r="N1782" s="16"/>
      <c r="O1782" s="16"/>
      <c r="P1782" s="16"/>
      <c r="Q1782" s="16"/>
      <c r="R1782" s="16"/>
    </row>
    <row r="1783" spans="1:18" ht="18">
      <c r="A1783" s="61"/>
      <c r="B1783" s="15"/>
      <c r="C1783" s="31"/>
      <c r="D1783" s="90"/>
      <c r="E1783" s="16"/>
      <c r="F1783" s="33"/>
      <c r="G1783" s="16"/>
      <c r="H1783" s="16"/>
      <c r="I1783" s="16"/>
      <c r="J1783" s="16"/>
      <c r="K1783" s="16"/>
      <c r="L1783" s="16"/>
      <c r="M1783" s="16"/>
      <c r="N1783" s="16"/>
      <c r="O1783" s="16"/>
      <c r="P1783" s="16"/>
      <c r="Q1783" s="16"/>
      <c r="R1783" s="16"/>
    </row>
    <row r="1784" spans="1:18" ht="18">
      <c r="A1784" s="61"/>
      <c r="B1784" s="15"/>
      <c r="C1784" s="31"/>
      <c r="D1784" s="90"/>
      <c r="E1784" s="16"/>
      <c r="F1784" s="33"/>
      <c r="G1784" s="16"/>
      <c r="H1784" s="16"/>
      <c r="I1784" s="16"/>
      <c r="J1784" s="16"/>
      <c r="K1784" s="16"/>
      <c r="L1784" s="16"/>
      <c r="M1784" s="16"/>
      <c r="N1784" s="16"/>
      <c r="O1784" s="16"/>
      <c r="P1784" s="16"/>
      <c r="Q1784" s="16"/>
      <c r="R1784" s="16"/>
    </row>
    <row r="1785" spans="1:18" ht="18">
      <c r="A1785" s="61"/>
      <c r="B1785" s="15"/>
      <c r="C1785" s="31"/>
      <c r="D1785" s="90"/>
      <c r="E1785" s="16"/>
      <c r="F1785" s="33"/>
      <c r="G1785" s="16"/>
      <c r="H1785" s="16"/>
      <c r="I1785" s="16"/>
      <c r="J1785" s="16"/>
      <c r="K1785" s="16"/>
      <c r="L1785" s="16"/>
      <c r="M1785" s="16"/>
      <c r="N1785" s="16"/>
      <c r="O1785" s="16"/>
      <c r="P1785" s="16"/>
      <c r="Q1785" s="16"/>
      <c r="R1785" s="16"/>
    </row>
    <row r="1786" spans="1:18" ht="18">
      <c r="A1786" s="61"/>
      <c r="B1786" s="15"/>
      <c r="C1786" s="31"/>
      <c r="D1786" s="90"/>
      <c r="E1786" s="16"/>
      <c r="F1786" s="33"/>
      <c r="G1786" s="16"/>
      <c r="H1786" s="16"/>
      <c r="I1786" s="16"/>
      <c r="J1786" s="16"/>
      <c r="K1786" s="16"/>
      <c r="L1786" s="16"/>
      <c r="M1786" s="16"/>
      <c r="N1786" s="16"/>
      <c r="O1786" s="16"/>
      <c r="P1786" s="16"/>
      <c r="Q1786" s="16"/>
      <c r="R1786" s="16"/>
    </row>
    <row r="1787" spans="1:18" ht="18">
      <c r="A1787" s="61"/>
      <c r="B1787" s="15"/>
      <c r="C1787" s="31"/>
      <c r="D1787" s="90"/>
      <c r="E1787" s="16"/>
      <c r="F1787" s="33"/>
      <c r="G1787" s="16"/>
      <c r="H1787" s="16"/>
      <c r="I1787" s="16"/>
      <c r="J1787" s="16"/>
      <c r="K1787" s="16"/>
      <c r="L1787" s="16"/>
      <c r="M1787" s="16"/>
      <c r="N1787" s="16"/>
      <c r="O1787" s="16"/>
      <c r="P1787" s="16"/>
      <c r="Q1787" s="16"/>
      <c r="R1787" s="16"/>
    </row>
    <row r="1788" spans="1:18" ht="18">
      <c r="A1788" s="61"/>
      <c r="B1788" s="15"/>
      <c r="C1788" s="31"/>
      <c r="D1788" s="90"/>
      <c r="E1788" s="16"/>
      <c r="F1788" s="33"/>
      <c r="G1788" s="16"/>
      <c r="H1788" s="16"/>
      <c r="I1788" s="16"/>
      <c r="J1788" s="16"/>
      <c r="K1788" s="16"/>
      <c r="L1788" s="16"/>
      <c r="M1788" s="16"/>
      <c r="N1788" s="16"/>
      <c r="O1788" s="16"/>
      <c r="P1788" s="16"/>
      <c r="Q1788" s="16"/>
      <c r="R1788" s="16"/>
    </row>
    <row r="1789" spans="1:18" ht="18">
      <c r="A1789" s="61"/>
      <c r="B1789" s="15"/>
      <c r="C1789" s="31"/>
      <c r="D1789" s="90"/>
      <c r="E1789" s="16"/>
      <c r="F1789" s="33"/>
      <c r="G1789" s="16"/>
      <c r="H1789" s="16"/>
      <c r="I1789" s="16"/>
      <c r="J1789" s="16"/>
      <c r="K1789" s="16"/>
      <c r="L1789" s="16"/>
      <c r="M1789" s="16"/>
      <c r="N1789" s="16"/>
      <c r="O1789" s="16"/>
      <c r="P1789" s="16"/>
      <c r="Q1789" s="16"/>
      <c r="R1789" s="16"/>
    </row>
    <row r="1790" spans="1:18" ht="18">
      <c r="A1790" s="61"/>
      <c r="B1790" s="15"/>
      <c r="C1790" s="31"/>
      <c r="D1790" s="90"/>
      <c r="E1790" s="16"/>
      <c r="F1790" s="33"/>
      <c r="G1790" s="16"/>
      <c r="H1790" s="16"/>
      <c r="I1790" s="16"/>
      <c r="J1790" s="16"/>
      <c r="K1790" s="16"/>
      <c r="L1790" s="16"/>
      <c r="M1790" s="16"/>
      <c r="N1790" s="16"/>
      <c r="O1790" s="16"/>
      <c r="P1790" s="16"/>
      <c r="Q1790" s="16"/>
      <c r="R1790" s="16"/>
    </row>
    <row r="1791" spans="1:18" ht="18">
      <c r="A1791" s="61"/>
      <c r="B1791" s="15"/>
      <c r="C1791" s="31"/>
      <c r="D1791" s="90"/>
      <c r="E1791" s="16"/>
      <c r="F1791" s="33"/>
      <c r="G1791" s="16"/>
      <c r="H1791" s="16"/>
      <c r="I1791" s="16"/>
      <c r="J1791" s="16"/>
      <c r="K1791" s="16"/>
      <c r="L1791" s="16"/>
      <c r="M1791" s="16"/>
      <c r="N1791" s="16"/>
      <c r="O1791" s="16"/>
      <c r="P1791" s="16"/>
      <c r="Q1791" s="16"/>
      <c r="R1791" s="16"/>
    </row>
    <row r="1792" spans="1:18" ht="18">
      <c r="A1792" s="61"/>
      <c r="B1792" s="15"/>
      <c r="C1792" s="31"/>
      <c r="D1792" s="90"/>
      <c r="E1792" s="16"/>
      <c r="F1792" s="33"/>
      <c r="G1792" s="16"/>
      <c r="H1792" s="16"/>
      <c r="I1792" s="16"/>
      <c r="J1792" s="16"/>
      <c r="K1792" s="16"/>
      <c r="L1792" s="16"/>
      <c r="M1792" s="16"/>
      <c r="N1792" s="16"/>
      <c r="O1792" s="16"/>
      <c r="P1792" s="16"/>
      <c r="Q1792" s="16"/>
      <c r="R1792" s="16"/>
    </row>
    <row r="1793" spans="1:18" ht="18">
      <c r="A1793" s="61"/>
      <c r="B1793" s="15"/>
      <c r="C1793" s="31"/>
      <c r="D1793" s="90"/>
      <c r="E1793" s="16"/>
      <c r="F1793" s="33"/>
      <c r="G1793" s="16"/>
      <c r="H1793" s="16"/>
      <c r="I1793" s="16"/>
      <c r="J1793" s="16"/>
      <c r="K1793" s="16"/>
      <c r="L1793" s="16"/>
      <c r="M1793" s="16"/>
      <c r="N1793" s="16"/>
      <c r="O1793" s="16"/>
      <c r="P1793" s="16"/>
      <c r="Q1793" s="16"/>
      <c r="R1793" s="16"/>
    </row>
    <row r="1794" spans="1:18" ht="18">
      <c r="A1794" s="61"/>
      <c r="B1794" s="15"/>
      <c r="C1794" s="31"/>
      <c r="D1794" s="90"/>
      <c r="E1794" s="16"/>
      <c r="F1794" s="33"/>
      <c r="G1794" s="16"/>
      <c r="H1794" s="16"/>
      <c r="I1794" s="16"/>
      <c r="J1794" s="16"/>
      <c r="K1794" s="16"/>
      <c r="L1794" s="16"/>
      <c r="M1794" s="16"/>
      <c r="N1794" s="16"/>
      <c r="O1794" s="16"/>
      <c r="P1794" s="16"/>
      <c r="Q1794" s="16"/>
      <c r="R1794" s="16"/>
    </row>
    <row r="1795" spans="1:18" ht="18">
      <c r="A1795" s="61"/>
      <c r="B1795" s="15"/>
      <c r="C1795" s="31"/>
      <c r="D1795" s="90"/>
      <c r="E1795" s="16"/>
      <c r="F1795" s="33"/>
      <c r="G1795" s="16"/>
      <c r="H1795" s="16"/>
      <c r="I1795" s="16"/>
      <c r="J1795" s="16"/>
      <c r="K1795" s="16"/>
      <c r="L1795" s="16"/>
      <c r="M1795" s="16"/>
      <c r="N1795" s="16"/>
      <c r="O1795" s="16"/>
      <c r="P1795" s="16"/>
      <c r="Q1795" s="16"/>
      <c r="R1795" s="16"/>
    </row>
    <row r="1796" spans="1:18" ht="18">
      <c r="A1796" s="61"/>
      <c r="B1796" s="15"/>
      <c r="C1796" s="31"/>
      <c r="D1796" s="90"/>
      <c r="E1796" s="16"/>
      <c r="F1796" s="33"/>
      <c r="G1796" s="16"/>
      <c r="H1796" s="16"/>
      <c r="I1796" s="16"/>
      <c r="J1796" s="16"/>
      <c r="K1796" s="16"/>
      <c r="L1796" s="16"/>
      <c r="M1796" s="16"/>
      <c r="N1796" s="16"/>
      <c r="O1796" s="16"/>
      <c r="P1796" s="16"/>
      <c r="Q1796" s="16"/>
      <c r="R1796" s="16"/>
    </row>
    <row r="1797" spans="1:18" ht="18">
      <c r="A1797" s="61"/>
      <c r="B1797" s="15"/>
      <c r="C1797" s="31"/>
      <c r="D1797" s="90"/>
      <c r="E1797" s="16"/>
      <c r="F1797" s="33"/>
      <c r="G1797" s="16"/>
      <c r="H1797" s="16"/>
      <c r="I1797" s="16"/>
      <c r="J1797" s="16"/>
      <c r="K1797" s="16"/>
      <c r="L1797" s="16"/>
      <c r="M1797" s="16"/>
      <c r="N1797" s="16"/>
      <c r="O1797" s="16"/>
      <c r="P1797" s="16"/>
      <c r="Q1797" s="16"/>
      <c r="R1797" s="16"/>
    </row>
    <row r="1798" spans="1:18" ht="18">
      <c r="A1798" s="61"/>
      <c r="B1798" s="15"/>
      <c r="C1798" s="31"/>
      <c r="D1798" s="90"/>
      <c r="E1798" s="16"/>
      <c r="F1798" s="33"/>
      <c r="G1798" s="16"/>
      <c r="H1798" s="16"/>
      <c r="I1798" s="16"/>
      <c r="J1798" s="16"/>
      <c r="K1798" s="16"/>
      <c r="L1798" s="16"/>
      <c r="M1798" s="16"/>
      <c r="N1798" s="16"/>
      <c r="O1798" s="16"/>
      <c r="P1798" s="16"/>
      <c r="Q1798" s="16"/>
      <c r="R1798" s="16"/>
    </row>
    <row r="1799" spans="1:18" ht="18">
      <c r="A1799" s="61"/>
      <c r="B1799" s="15"/>
      <c r="C1799" s="31"/>
      <c r="D1799" s="90"/>
      <c r="E1799" s="16"/>
      <c r="F1799" s="33"/>
      <c r="G1799" s="16"/>
      <c r="H1799" s="16"/>
      <c r="I1799" s="16"/>
      <c r="J1799" s="16"/>
      <c r="K1799" s="16"/>
      <c r="L1799" s="16"/>
      <c r="M1799" s="16"/>
      <c r="N1799" s="16"/>
      <c r="O1799" s="16"/>
      <c r="P1799" s="16"/>
      <c r="Q1799" s="16"/>
      <c r="R1799" s="16"/>
    </row>
    <row r="1800" spans="1:18" ht="18">
      <c r="A1800" s="61"/>
      <c r="B1800" s="15"/>
      <c r="C1800" s="31"/>
      <c r="D1800" s="90"/>
      <c r="E1800" s="16"/>
      <c r="F1800" s="33"/>
      <c r="G1800" s="16"/>
      <c r="H1800" s="16"/>
      <c r="I1800" s="16"/>
      <c r="J1800" s="16"/>
      <c r="K1800" s="16"/>
      <c r="L1800" s="16"/>
      <c r="M1800" s="16"/>
      <c r="N1800" s="16"/>
      <c r="O1800" s="16"/>
      <c r="P1800" s="16"/>
      <c r="Q1800" s="16"/>
      <c r="R1800" s="16"/>
    </row>
    <row r="1801" spans="1:18" ht="18">
      <c r="A1801" s="61"/>
      <c r="B1801" s="15"/>
      <c r="C1801" s="31"/>
      <c r="D1801" s="90"/>
      <c r="E1801" s="16"/>
      <c r="F1801" s="33"/>
      <c r="G1801" s="16"/>
      <c r="H1801" s="16"/>
      <c r="I1801" s="16"/>
      <c r="J1801" s="16"/>
      <c r="K1801" s="16"/>
      <c r="L1801" s="16"/>
      <c r="M1801" s="16"/>
      <c r="N1801" s="16"/>
      <c r="O1801" s="16"/>
      <c r="P1801" s="16"/>
      <c r="Q1801" s="16"/>
      <c r="R1801" s="16"/>
    </row>
    <row r="1802" spans="1:18" ht="18">
      <c r="A1802" s="61"/>
      <c r="B1802" s="15"/>
      <c r="C1802" s="31"/>
      <c r="D1802" s="90"/>
      <c r="E1802" s="16"/>
      <c r="F1802" s="33"/>
      <c r="G1802" s="16"/>
      <c r="H1802" s="16"/>
      <c r="I1802" s="16"/>
      <c r="J1802" s="16"/>
      <c r="K1802" s="16"/>
      <c r="L1802" s="16"/>
      <c r="M1802" s="16"/>
      <c r="N1802" s="16"/>
      <c r="O1802" s="16"/>
      <c r="P1802" s="16"/>
      <c r="Q1802" s="16"/>
      <c r="R1802" s="16"/>
    </row>
    <row r="1803" spans="1:18" ht="18">
      <c r="A1803" s="61"/>
      <c r="B1803" s="15"/>
      <c r="C1803" s="31"/>
      <c r="D1803" s="90"/>
      <c r="E1803" s="16"/>
      <c r="F1803" s="33"/>
      <c r="G1803" s="16"/>
      <c r="H1803" s="16"/>
      <c r="I1803" s="16"/>
      <c r="J1803" s="16"/>
      <c r="K1803" s="16"/>
      <c r="L1803" s="16"/>
      <c r="M1803" s="16"/>
      <c r="N1803" s="16"/>
      <c r="O1803" s="16"/>
      <c r="P1803" s="16"/>
      <c r="Q1803" s="16"/>
      <c r="R1803" s="16"/>
    </row>
    <row r="1804" spans="1:18" ht="18">
      <c r="A1804" s="61"/>
      <c r="B1804" s="15"/>
      <c r="C1804" s="31"/>
      <c r="D1804" s="90"/>
      <c r="E1804" s="16"/>
      <c r="F1804" s="33"/>
      <c r="G1804" s="16"/>
      <c r="H1804" s="16"/>
      <c r="I1804" s="16"/>
      <c r="J1804" s="16"/>
      <c r="K1804" s="16"/>
      <c r="L1804" s="16"/>
      <c r="M1804" s="16"/>
      <c r="N1804" s="16"/>
      <c r="O1804" s="16"/>
      <c r="P1804" s="16"/>
      <c r="Q1804" s="16"/>
      <c r="R1804" s="16"/>
    </row>
    <row r="1805" spans="1:18" ht="18">
      <c r="A1805" s="61"/>
      <c r="B1805" s="15"/>
      <c r="C1805" s="31"/>
      <c r="D1805" s="90"/>
      <c r="E1805" s="16"/>
      <c r="F1805" s="33"/>
      <c r="G1805" s="16"/>
      <c r="H1805" s="16"/>
      <c r="I1805" s="16"/>
      <c r="J1805" s="16"/>
      <c r="K1805" s="16"/>
      <c r="L1805" s="16"/>
      <c r="M1805" s="16"/>
      <c r="N1805" s="16"/>
      <c r="O1805" s="16"/>
      <c r="P1805" s="16"/>
      <c r="Q1805" s="16"/>
      <c r="R1805" s="16"/>
    </row>
    <row r="1806" spans="1:18" ht="18">
      <c r="A1806" s="61"/>
      <c r="B1806" s="15"/>
      <c r="C1806" s="31"/>
      <c r="D1806" s="90"/>
      <c r="E1806" s="16"/>
      <c r="F1806" s="33"/>
      <c r="G1806" s="16"/>
      <c r="H1806" s="16"/>
      <c r="I1806" s="16"/>
      <c r="J1806" s="16"/>
      <c r="K1806" s="16"/>
      <c r="L1806" s="16"/>
      <c r="M1806" s="16"/>
      <c r="N1806" s="16"/>
      <c r="O1806" s="16"/>
      <c r="P1806" s="16"/>
      <c r="Q1806" s="16"/>
      <c r="R1806" s="16"/>
    </row>
    <row r="1807" spans="1:18" ht="18">
      <c r="A1807" s="61"/>
      <c r="B1807" s="15"/>
      <c r="C1807" s="31"/>
      <c r="D1807" s="90"/>
      <c r="E1807" s="16"/>
      <c r="F1807" s="33"/>
      <c r="G1807" s="16"/>
      <c r="H1807" s="16"/>
      <c r="I1807" s="16"/>
      <c r="J1807" s="16"/>
      <c r="K1807" s="16"/>
      <c r="L1807" s="16"/>
      <c r="M1807" s="16"/>
      <c r="N1807" s="16"/>
      <c r="O1807" s="16"/>
      <c r="P1807" s="16"/>
      <c r="Q1807" s="16"/>
      <c r="R1807" s="16"/>
    </row>
    <row r="1808" spans="1:18" ht="18">
      <c r="A1808" s="61"/>
      <c r="B1808" s="15"/>
      <c r="C1808" s="31"/>
      <c r="D1808" s="90"/>
      <c r="E1808" s="16"/>
      <c r="F1808" s="33"/>
      <c r="G1808" s="16"/>
      <c r="H1808" s="16"/>
      <c r="I1808" s="16"/>
      <c r="J1808" s="16"/>
      <c r="K1808" s="16"/>
      <c r="L1808" s="16"/>
      <c r="M1808" s="16"/>
      <c r="N1808" s="16"/>
      <c r="O1808" s="16"/>
      <c r="P1808" s="16"/>
      <c r="Q1808" s="16"/>
      <c r="R1808" s="16"/>
    </row>
    <row r="1809" spans="1:18" ht="18">
      <c r="A1809" s="61"/>
      <c r="B1809" s="15"/>
      <c r="C1809" s="31"/>
      <c r="D1809" s="90"/>
      <c r="E1809" s="16"/>
      <c r="F1809" s="33"/>
      <c r="G1809" s="16"/>
      <c r="H1809" s="16"/>
      <c r="I1809" s="16"/>
      <c r="J1809" s="16"/>
      <c r="K1809" s="16"/>
      <c r="L1809" s="16"/>
      <c r="M1809" s="16"/>
      <c r="N1809" s="16"/>
      <c r="O1809" s="16"/>
      <c r="P1809" s="16"/>
      <c r="Q1809" s="16"/>
      <c r="R1809" s="16"/>
    </row>
    <row r="1810" spans="1:18" ht="18">
      <c r="A1810" s="61"/>
      <c r="B1810" s="15"/>
      <c r="C1810" s="31"/>
      <c r="D1810" s="90"/>
      <c r="E1810" s="16"/>
      <c r="F1810" s="33"/>
      <c r="G1810" s="16"/>
      <c r="H1810" s="16"/>
      <c r="I1810" s="16"/>
      <c r="J1810" s="16"/>
      <c r="K1810" s="16"/>
      <c r="L1810" s="16"/>
      <c r="M1810" s="16"/>
      <c r="N1810" s="16"/>
      <c r="O1810" s="16"/>
      <c r="P1810" s="16"/>
      <c r="Q1810" s="16"/>
      <c r="R1810" s="16"/>
    </row>
    <row r="1811" spans="1:18" ht="18">
      <c r="A1811" s="61"/>
      <c r="B1811" s="15"/>
      <c r="C1811" s="31"/>
      <c r="D1811" s="90"/>
      <c r="E1811" s="16"/>
      <c r="F1811" s="33"/>
      <c r="G1811" s="16"/>
      <c r="H1811" s="16"/>
      <c r="I1811" s="16"/>
      <c r="J1811" s="16"/>
      <c r="K1811" s="16"/>
      <c r="L1811" s="16"/>
      <c r="M1811" s="16"/>
      <c r="N1811" s="16"/>
      <c r="O1811" s="16"/>
      <c r="P1811" s="16"/>
      <c r="Q1811" s="16"/>
      <c r="R1811" s="16"/>
    </row>
    <row r="1812" spans="1:18" ht="18">
      <c r="A1812" s="61"/>
      <c r="B1812" s="15"/>
      <c r="C1812" s="31"/>
      <c r="D1812" s="90"/>
      <c r="E1812" s="16"/>
      <c r="F1812" s="33"/>
      <c r="G1812" s="16"/>
      <c r="H1812" s="16"/>
      <c r="I1812" s="16"/>
      <c r="J1812" s="16"/>
      <c r="K1812" s="16"/>
      <c r="L1812" s="16"/>
      <c r="M1812" s="16"/>
      <c r="N1812" s="16"/>
      <c r="O1812" s="16"/>
      <c r="P1812" s="16"/>
      <c r="Q1812" s="16"/>
      <c r="R1812" s="16"/>
    </row>
    <row r="1813" spans="1:18" ht="18">
      <c r="A1813" s="61"/>
      <c r="B1813" s="15"/>
      <c r="C1813" s="31"/>
      <c r="D1813" s="90"/>
      <c r="E1813" s="16"/>
      <c r="F1813" s="33"/>
      <c r="G1813" s="16"/>
      <c r="H1813" s="16"/>
      <c r="I1813" s="16"/>
      <c r="J1813" s="16"/>
      <c r="K1813" s="16"/>
      <c r="L1813" s="16"/>
      <c r="M1813" s="16"/>
      <c r="N1813" s="16"/>
      <c r="O1813" s="16"/>
      <c r="P1813" s="16"/>
      <c r="Q1813" s="16"/>
      <c r="R1813" s="16"/>
    </row>
    <row r="1814" spans="1:18" ht="18">
      <c r="A1814" s="61"/>
      <c r="B1814" s="15"/>
      <c r="C1814" s="31"/>
      <c r="D1814" s="90"/>
      <c r="E1814" s="16"/>
      <c r="F1814" s="33"/>
      <c r="G1814" s="16"/>
      <c r="H1814" s="16"/>
      <c r="I1814" s="16"/>
      <c r="J1814" s="16"/>
      <c r="K1814" s="16"/>
      <c r="L1814" s="16"/>
      <c r="M1814" s="16"/>
      <c r="N1814" s="16"/>
      <c r="O1814" s="16"/>
      <c r="P1814" s="16"/>
      <c r="Q1814" s="16"/>
      <c r="R1814" s="16"/>
    </row>
    <row r="1815" spans="1:18" ht="18">
      <c r="A1815" s="61"/>
      <c r="B1815" s="15"/>
      <c r="C1815" s="31"/>
      <c r="D1815" s="90"/>
      <c r="E1815" s="16"/>
      <c r="F1815" s="33"/>
      <c r="G1815" s="16"/>
      <c r="H1815" s="16"/>
      <c r="I1815" s="16"/>
      <c r="J1815" s="16"/>
      <c r="K1815" s="16"/>
      <c r="L1815" s="16"/>
      <c r="M1815" s="16"/>
      <c r="N1815" s="16"/>
      <c r="O1815" s="16"/>
      <c r="P1815" s="16"/>
      <c r="Q1815" s="16"/>
      <c r="R1815" s="16"/>
    </row>
    <row r="1816" spans="1:18" ht="18">
      <c r="A1816" s="61"/>
      <c r="B1816" s="15"/>
      <c r="C1816" s="31"/>
      <c r="D1816" s="90"/>
      <c r="E1816" s="16"/>
      <c r="F1816" s="33"/>
      <c r="G1816" s="16"/>
      <c r="H1816" s="16"/>
      <c r="I1816" s="16"/>
      <c r="J1816" s="16"/>
      <c r="K1816" s="16"/>
      <c r="L1816" s="16"/>
      <c r="M1816" s="16"/>
      <c r="N1816" s="16"/>
      <c r="O1816" s="16"/>
      <c r="P1816" s="16"/>
      <c r="Q1816" s="16"/>
      <c r="R1816" s="16"/>
    </row>
    <row r="1817" spans="1:18" ht="18">
      <c r="A1817" s="61"/>
      <c r="B1817" s="15"/>
      <c r="C1817" s="31"/>
      <c r="D1817" s="90"/>
      <c r="E1817" s="16"/>
      <c r="F1817" s="33"/>
      <c r="G1817" s="16"/>
      <c r="H1817" s="16"/>
      <c r="I1817" s="16"/>
      <c r="J1817" s="16"/>
      <c r="K1817" s="16"/>
      <c r="L1817" s="16"/>
      <c r="M1817" s="16"/>
      <c r="N1817" s="16"/>
      <c r="O1817" s="16"/>
      <c r="P1817" s="16"/>
      <c r="Q1817" s="16"/>
      <c r="R1817" s="16"/>
    </row>
    <row r="1818" spans="1:18" ht="18">
      <c r="A1818" s="61"/>
      <c r="B1818" s="15"/>
      <c r="C1818" s="31"/>
      <c r="D1818" s="90"/>
      <c r="E1818" s="16"/>
      <c r="F1818" s="33"/>
      <c r="G1818" s="16"/>
      <c r="H1818" s="16"/>
      <c r="I1818" s="16"/>
      <c r="J1818" s="16"/>
      <c r="K1818" s="16"/>
      <c r="L1818" s="16"/>
      <c r="M1818" s="16"/>
      <c r="N1818" s="16"/>
      <c r="O1818" s="16"/>
      <c r="P1818" s="16"/>
      <c r="Q1818" s="16"/>
      <c r="R1818" s="16"/>
    </row>
    <row r="1819" spans="1:18" ht="18">
      <c r="A1819" s="61"/>
      <c r="B1819" s="15"/>
      <c r="C1819" s="31"/>
      <c r="D1819" s="90"/>
      <c r="E1819" s="16"/>
      <c r="F1819" s="33"/>
      <c r="G1819" s="16"/>
      <c r="H1819" s="16"/>
      <c r="I1819" s="16"/>
      <c r="J1819" s="16"/>
      <c r="K1819" s="16"/>
      <c r="L1819" s="16"/>
      <c r="M1819" s="16"/>
      <c r="N1819" s="16"/>
      <c r="O1819" s="16"/>
      <c r="P1819" s="16"/>
      <c r="Q1819" s="16"/>
      <c r="R1819" s="16"/>
    </row>
    <row r="1820" spans="1:18" ht="18">
      <c r="A1820" s="61"/>
      <c r="B1820" s="15"/>
      <c r="C1820" s="31"/>
      <c r="D1820" s="90"/>
      <c r="E1820" s="16"/>
      <c r="F1820" s="33"/>
      <c r="G1820" s="16"/>
      <c r="H1820" s="16"/>
      <c r="I1820" s="16"/>
      <c r="J1820" s="16"/>
      <c r="K1820" s="16"/>
      <c r="L1820" s="16"/>
      <c r="M1820" s="16"/>
      <c r="N1820" s="16"/>
      <c r="O1820" s="16"/>
      <c r="P1820" s="16"/>
      <c r="Q1820" s="16"/>
      <c r="R1820" s="16"/>
    </row>
    <row r="1821" spans="1:18" ht="18">
      <c r="A1821" s="61"/>
      <c r="B1821" s="15"/>
      <c r="C1821" s="31"/>
      <c r="D1821" s="90"/>
      <c r="E1821" s="16"/>
      <c r="F1821" s="33"/>
      <c r="G1821" s="16"/>
      <c r="H1821" s="16"/>
      <c r="I1821" s="16"/>
      <c r="J1821" s="16"/>
      <c r="K1821" s="16"/>
      <c r="L1821" s="16"/>
      <c r="M1821" s="16"/>
      <c r="N1821" s="16"/>
      <c r="O1821" s="16"/>
      <c r="P1821" s="16"/>
      <c r="Q1821" s="16"/>
      <c r="R1821" s="16"/>
    </row>
    <row r="1822" spans="1:18" ht="18">
      <c r="A1822" s="61"/>
      <c r="B1822" s="15"/>
      <c r="C1822" s="31"/>
      <c r="D1822" s="90"/>
      <c r="E1822" s="16"/>
      <c r="F1822" s="33"/>
      <c r="G1822" s="16"/>
      <c r="H1822" s="16"/>
      <c r="I1822" s="16"/>
      <c r="J1822" s="16"/>
      <c r="K1822" s="16"/>
      <c r="L1822" s="16"/>
      <c r="M1822" s="16"/>
      <c r="N1822" s="16"/>
      <c r="O1822" s="16"/>
      <c r="P1822" s="16"/>
      <c r="Q1822" s="16"/>
      <c r="R1822" s="16"/>
    </row>
    <row r="1823" spans="1:18" ht="18">
      <c r="A1823" s="61"/>
      <c r="B1823" s="15"/>
      <c r="C1823" s="31"/>
      <c r="D1823" s="90"/>
      <c r="E1823" s="16"/>
      <c r="F1823" s="33"/>
      <c r="G1823" s="16"/>
      <c r="H1823" s="16"/>
      <c r="I1823" s="16"/>
      <c r="J1823" s="16"/>
      <c r="K1823" s="16"/>
      <c r="L1823" s="16"/>
      <c r="M1823" s="16"/>
      <c r="N1823" s="16"/>
      <c r="O1823" s="16"/>
      <c r="P1823" s="16"/>
      <c r="Q1823" s="16"/>
      <c r="R1823" s="16"/>
    </row>
    <row r="1824" spans="1:18" ht="18">
      <c r="A1824" s="61"/>
      <c r="B1824" s="15"/>
      <c r="C1824" s="31"/>
      <c r="D1824" s="90"/>
      <c r="E1824" s="16"/>
      <c r="F1824" s="33"/>
      <c r="G1824" s="16"/>
      <c r="H1824" s="16"/>
      <c r="I1824" s="16"/>
      <c r="J1824" s="16"/>
      <c r="K1824" s="16"/>
      <c r="L1824" s="16"/>
      <c r="M1824" s="16"/>
      <c r="N1824" s="16"/>
      <c r="O1824" s="16"/>
      <c r="P1824" s="16"/>
      <c r="Q1824" s="16"/>
      <c r="R1824" s="16"/>
    </row>
    <row r="1825" spans="1:18" ht="18">
      <c r="A1825" s="61"/>
      <c r="B1825" s="15"/>
      <c r="C1825" s="31"/>
      <c r="D1825" s="90"/>
      <c r="E1825" s="16"/>
      <c r="F1825" s="33"/>
      <c r="G1825" s="16"/>
      <c r="H1825" s="16"/>
      <c r="I1825" s="16"/>
      <c r="J1825" s="16"/>
      <c r="K1825" s="16"/>
      <c r="L1825" s="16"/>
      <c r="M1825" s="16"/>
      <c r="N1825" s="16"/>
      <c r="O1825" s="16"/>
      <c r="P1825" s="16"/>
      <c r="Q1825" s="16"/>
      <c r="R1825" s="16"/>
    </row>
    <row r="1826" spans="1:18" ht="18">
      <c r="A1826" s="61"/>
      <c r="B1826" s="15"/>
      <c r="C1826" s="31"/>
      <c r="D1826" s="90"/>
      <c r="E1826" s="16"/>
      <c r="F1826" s="33"/>
      <c r="G1826" s="16"/>
      <c r="H1826" s="16"/>
      <c r="I1826" s="16"/>
      <c r="J1826" s="16"/>
      <c r="K1826" s="16"/>
      <c r="L1826" s="16"/>
      <c r="M1826" s="16"/>
      <c r="N1826" s="16"/>
      <c r="O1826" s="16"/>
      <c r="P1826" s="16"/>
      <c r="Q1826" s="16"/>
      <c r="R1826" s="16"/>
    </row>
    <row r="1827" spans="1:18" ht="18">
      <c r="A1827" s="61"/>
      <c r="B1827" s="15"/>
      <c r="C1827" s="31"/>
      <c r="D1827" s="90"/>
      <c r="E1827" s="16"/>
      <c r="F1827" s="33"/>
      <c r="G1827" s="16"/>
      <c r="H1827" s="16"/>
      <c r="I1827" s="16"/>
      <c r="J1827" s="16"/>
      <c r="K1827" s="16"/>
      <c r="L1827" s="16"/>
      <c r="M1827" s="16"/>
      <c r="N1827" s="16"/>
      <c r="O1827" s="16"/>
      <c r="P1827" s="16"/>
      <c r="Q1827" s="16"/>
      <c r="R1827" s="16"/>
    </row>
    <row r="1828" spans="1:18" ht="18">
      <c r="A1828" s="61"/>
      <c r="B1828" s="15"/>
      <c r="C1828" s="31"/>
      <c r="D1828" s="90"/>
      <c r="E1828" s="16"/>
      <c r="F1828" s="33"/>
      <c r="G1828" s="16"/>
      <c r="H1828" s="16"/>
      <c r="I1828" s="16"/>
      <c r="J1828" s="16"/>
      <c r="K1828" s="16"/>
      <c r="L1828" s="16"/>
      <c r="M1828" s="16"/>
      <c r="N1828" s="16"/>
      <c r="O1828" s="16"/>
      <c r="P1828" s="16"/>
      <c r="Q1828" s="16"/>
      <c r="R1828" s="16"/>
    </row>
    <row r="1829" spans="1:18" ht="18">
      <c r="A1829" s="61"/>
      <c r="B1829" s="15"/>
      <c r="C1829" s="31"/>
      <c r="D1829" s="90"/>
      <c r="E1829" s="16"/>
      <c r="F1829" s="33"/>
      <c r="G1829" s="16"/>
      <c r="H1829" s="16"/>
      <c r="I1829" s="16"/>
      <c r="J1829" s="16"/>
      <c r="K1829" s="16"/>
      <c r="L1829" s="16"/>
      <c r="M1829" s="16"/>
      <c r="N1829" s="16"/>
      <c r="O1829" s="16"/>
      <c r="P1829" s="16"/>
      <c r="Q1829" s="16"/>
      <c r="R1829" s="16"/>
    </row>
    <row r="1830" spans="1:18" ht="18">
      <c r="A1830" s="61"/>
      <c r="B1830" s="15"/>
      <c r="C1830" s="31"/>
      <c r="D1830" s="90"/>
      <c r="E1830" s="16"/>
      <c r="F1830" s="33"/>
      <c r="G1830" s="16"/>
      <c r="H1830" s="16"/>
      <c r="I1830" s="16"/>
      <c r="J1830" s="16"/>
      <c r="K1830" s="16"/>
      <c r="L1830" s="16"/>
      <c r="M1830" s="16"/>
      <c r="N1830" s="16"/>
      <c r="O1830" s="16"/>
      <c r="P1830" s="16"/>
      <c r="Q1830" s="16"/>
      <c r="R1830" s="16"/>
    </row>
    <row r="1831" spans="1:18" ht="18">
      <c r="A1831" s="61"/>
      <c r="B1831" s="15"/>
      <c r="C1831" s="31"/>
      <c r="D1831" s="90"/>
      <c r="E1831" s="16"/>
      <c r="F1831" s="33"/>
      <c r="G1831" s="16"/>
      <c r="H1831" s="16"/>
      <c r="I1831" s="16"/>
      <c r="J1831" s="16"/>
      <c r="K1831" s="16"/>
      <c r="L1831" s="16"/>
      <c r="M1831" s="16"/>
      <c r="N1831" s="16"/>
      <c r="O1831" s="16"/>
      <c r="P1831" s="16"/>
      <c r="Q1831" s="16"/>
      <c r="R1831" s="16"/>
    </row>
    <row r="1832" spans="1:18" ht="18">
      <c r="A1832" s="61"/>
      <c r="B1832" s="15"/>
      <c r="C1832" s="31"/>
      <c r="D1832" s="90"/>
      <c r="E1832" s="16"/>
      <c r="F1832" s="33"/>
      <c r="G1832" s="16"/>
      <c r="H1832" s="16"/>
      <c r="I1832" s="16"/>
      <c r="J1832" s="16"/>
      <c r="K1832" s="16"/>
      <c r="L1832" s="16"/>
      <c r="M1832" s="16"/>
      <c r="N1832" s="16"/>
      <c r="O1832" s="16"/>
      <c r="P1832" s="16"/>
      <c r="Q1832" s="16"/>
      <c r="R1832" s="16"/>
    </row>
    <row r="1833" spans="1:18" ht="18">
      <c r="A1833" s="61"/>
      <c r="B1833" s="15"/>
      <c r="C1833" s="31"/>
      <c r="D1833" s="90"/>
      <c r="E1833" s="16"/>
      <c r="F1833" s="33"/>
      <c r="G1833" s="16"/>
      <c r="H1833" s="16"/>
      <c r="I1833" s="16"/>
      <c r="J1833" s="16"/>
      <c r="K1833" s="16"/>
      <c r="L1833" s="16"/>
      <c r="M1833" s="16"/>
      <c r="N1833" s="16"/>
      <c r="O1833" s="16"/>
      <c r="P1833" s="16"/>
      <c r="Q1833" s="16"/>
      <c r="R1833" s="16"/>
    </row>
    <row r="1834" spans="1:18" ht="18">
      <c r="A1834" s="61"/>
      <c r="B1834" s="15"/>
      <c r="C1834" s="31"/>
      <c r="D1834" s="90"/>
      <c r="E1834" s="16"/>
      <c r="F1834" s="33"/>
      <c r="G1834" s="16"/>
      <c r="H1834" s="16"/>
      <c r="I1834" s="16"/>
      <c r="J1834" s="16"/>
      <c r="K1834" s="16"/>
      <c r="L1834" s="16"/>
      <c r="M1834" s="16"/>
      <c r="N1834" s="16"/>
      <c r="O1834" s="16"/>
      <c r="P1834" s="16"/>
      <c r="Q1834" s="16"/>
      <c r="R1834" s="16"/>
    </row>
    <row r="1835" spans="1:18" ht="18">
      <c r="A1835" s="61"/>
      <c r="B1835" s="15"/>
      <c r="C1835" s="31"/>
      <c r="D1835" s="90"/>
      <c r="E1835" s="16"/>
      <c r="F1835" s="33"/>
      <c r="G1835" s="16"/>
      <c r="H1835" s="16"/>
      <c r="I1835" s="16"/>
      <c r="J1835" s="16"/>
      <c r="K1835" s="16"/>
      <c r="L1835" s="16"/>
      <c r="M1835" s="16"/>
      <c r="N1835" s="16"/>
      <c r="O1835" s="16"/>
      <c r="P1835" s="16"/>
      <c r="Q1835" s="16"/>
      <c r="R1835" s="16"/>
    </row>
    <row r="1836" spans="1:18" ht="18">
      <c r="A1836" s="61"/>
      <c r="B1836" s="15"/>
      <c r="C1836" s="31"/>
      <c r="D1836" s="90"/>
      <c r="E1836" s="16"/>
      <c r="F1836" s="33"/>
      <c r="G1836" s="16"/>
      <c r="H1836" s="16"/>
      <c r="I1836" s="16"/>
      <c r="J1836" s="16"/>
      <c r="K1836" s="16"/>
      <c r="L1836" s="16"/>
      <c r="M1836" s="16"/>
      <c r="N1836" s="16"/>
      <c r="O1836" s="16"/>
      <c r="P1836" s="16"/>
      <c r="Q1836" s="16"/>
      <c r="R1836" s="16"/>
    </row>
    <row r="1837" spans="1:18" ht="18">
      <c r="A1837" s="61"/>
      <c r="B1837" s="15"/>
      <c r="C1837" s="31"/>
      <c r="D1837" s="90"/>
      <c r="E1837" s="16"/>
      <c r="F1837" s="33"/>
      <c r="G1837" s="16"/>
      <c r="H1837" s="16"/>
      <c r="I1837" s="16"/>
      <c r="J1837" s="16"/>
      <c r="K1837" s="16"/>
      <c r="L1837" s="16"/>
      <c r="M1837" s="16"/>
      <c r="N1837" s="16"/>
      <c r="O1837" s="16"/>
      <c r="P1837" s="16"/>
      <c r="Q1837" s="16"/>
      <c r="R1837" s="16"/>
    </row>
    <row r="1838" spans="1:18" ht="18">
      <c r="A1838" s="61"/>
      <c r="B1838" s="15"/>
      <c r="C1838" s="31"/>
      <c r="D1838" s="90"/>
      <c r="E1838" s="16"/>
      <c r="F1838" s="33"/>
      <c r="G1838" s="16"/>
      <c r="H1838" s="16"/>
      <c r="I1838" s="16"/>
      <c r="J1838" s="16"/>
      <c r="K1838" s="16"/>
      <c r="L1838" s="16"/>
      <c r="M1838" s="16"/>
      <c r="N1838" s="16"/>
      <c r="O1838" s="16"/>
      <c r="P1838" s="16"/>
      <c r="Q1838" s="16"/>
      <c r="R1838" s="16"/>
    </row>
    <row r="1839" spans="1:18" ht="18">
      <c r="A1839" s="61"/>
      <c r="B1839" s="15"/>
      <c r="C1839" s="31"/>
      <c r="D1839" s="90"/>
      <c r="E1839" s="16"/>
      <c r="F1839" s="33"/>
      <c r="G1839" s="16"/>
      <c r="H1839" s="16"/>
      <c r="I1839" s="16"/>
      <c r="J1839" s="16"/>
      <c r="K1839" s="16"/>
      <c r="L1839" s="16"/>
      <c r="M1839" s="16"/>
      <c r="N1839" s="16"/>
      <c r="O1839" s="16"/>
      <c r="P1839" s="16"/>
      <c r="Q1839" s="16"/>
      <c r="R1839" s="16"/>
    </row>
    <row r="1840" spans="1:18" ht="18">
      <c r="A1840" s="61"/>
      <c r="B1840" s="15"/>
      <c r="C1840" s="31"/>
      <c r="D1840" s="90"/>
      <c r="E1840" s="16"/>
      <c r="F1840" s="33"/>
      <c r="G1840" s="16"/>
      <c r="H1840" s="16"/>
      <c r="I1840" s="16"/>
      <c r="J1840" s="16"/>
      <c r="K1840" s="16"/>
      <c r="L1840" s="16"/>
      <c r="M1840" s="16"/>
      <c r="N1840" s="16"/>
      <c r="O1840" s="16"/>
      <c r="P1840" s="16"/>
      <c r="Q1840" s="16"/>
      <c r="R1840" s="16"/>
    </row>
    <row r="1841" spans="1:18" ht="18">
      <c r="A1841" s="61"/>
      <c r="B1841" s="15"/>
      <c r="C1841" s="31"/>
      <c r="D1841" s="90"/>
      <c r="E1841" s="16"/>
      <c r="F1841" s="33"/>
      <c r="G1841" s="16"/>
      <c r="H1841" s="16"/>
      <c r="I1841" s="16"/>
      <c r="J1841" s="16"/>
      <c r="K1841" s="16"/>
      <c r="L1841" s="16"/>
      <c r="M1841" s="16"/>
      <c r="N1841" s="16"/>
      <c r="O1841" s="16"/>
      <c r="P1841" s="16"/>
      <c r="Q1841" s="16"/>
      <c r="R1841" s="16"/>
    </row>
    <row r="1842" spans="1:18" ht="18">
      <c r="A1842" s="61"/>
      <c r="B1842" s="15"/>
      <c r="C1842" s="31"/>
      <c r="D1842" s="90"/>
      <c r="E1842" s="16"/>
      <c r="F1842" s="33"/>
      <c r="G1842" s="16"/>
      <c r="H1842" s="16"/>
      <c r="I1842" s="16"/>
      <c r="J1842" s="16"/>
      <c r="K1842" s="16"/>
      <c r="L1842" s="16"/>
      <c r="M1842" s="16"/>
      <c r="N1842" s="16"/>
      <c r="O1842" s="16"/>
      <c r="P1842" s="16"/>
      <c r="Q1842" s="16"/>
      <c r="R1842" s="16"/>
    </row>
    <row r="1843" spans="1:18" ht="18">
      <c r="A1843" s="61"/>
      <c r="B1843" s="15"/>
      <c r="C1843" s="31"/>
      <c r="D1843" s="90"/>
      <c r="E1843" s="16"/>
      <c r="F1843" s="33"/>
      <c r="G1843" s="16"/>
      <c r="H1843" s="16"/>
      <c r="I1843" s="16"/>
      <c r="J1843" s="16"/>
      <c r="K1843" s="16"/>
      <c r="L1843" s="16"/>
      <c r="M1843" s="16"/>
      <c r="N1843" s="16"/>
      <c r="O1843" s="16"/>
      <c r="P1843" s="16"/>
      <c r="Q1843" s="16"/>
      <c r="R1843" s="16"/>
    </row>
    <row r="1844" spans="1:18" ht="18">
      <c r="A1844" s="61"/>
      <c r="B1844" s="15"/>
      <c r="C1844" s="31"/>
      <c r="D1844" s="90"/>
      <c r="E1844" s="16"/>
      <c r="F1844" s="33"/>
      <c r="G1844" s="16"/>
      <c r="H1844" s="16"/>
      <c r="I1844" s="16"/>
      <c r="J1844" s="16"/>
      <c r="K1844" s="16"/>
      <c r="L1844" s="16"/>
      <c r="M1844" s="16"/>
      <c r="N1844" s="16"/>
      <c r="O1844" s="16"/>
      <c r="P1844" s="16"/>
      <c r="Q1844" s="16"/>
      <c r="R1844" s="16"/>
    </row>
    <row r="1845" spans="1:18" ht="18">
      <c r="A1845" s="61"/>
      <c r="B1845" s="15"/>
      <c r="C1845" s="31"/>
      <c r="D1845" s="90"/>
      <c r="E1845" s="16"/>
      <c r="F1845" s="33"/>
      <c r="G1845" s="16"/>
      <c r="H1845" s="16"/>
      <c r="I1845" s="16"/>
      <c r="J1845" s="16"/>
      <c r="K1845" s="16"/>
      <c r="L1845" s="16"/>
      <c r="M1845" s="16"/>
      <c r="N1845" s="16"/>
      <c r="O1845" s="16"/>
      <c r="P1845" s="16"/>
      <c r="Q1845" s="16"/>
      <c r="R1845" s="16"/>
    </row>
    <row r="1846" spans="1:18" ht="18">
      <c r="A1846" s="61"/>
      <c r="B1846" s="15"/>
      <c r="C1846" s="31"/>
      <c r="D1846" s="90"/>
      <c r="E1846" s="16"/>
      <c r="F1846" s="33"/>
      <c r="G1846" s="16"/>
      <c r="H1846" s="16"/>
      <c r="I1846" s="16"/>
      <c r="J1846" s="16"/>
      <c r="K1846" s="16"/>
      <c r="L1846" s="16"/>
      <c r="M1846" s="16"/>
      <c r="N1846" s="16"/>
      <c r="O1846" s="16"/>
      <c r="P1846" s="16"/>
      <c r="Q1846" s="16"/>
      <c r="R1846" s="16"/>
    </row>
    <row r="1847" spans="1:18" ht="18">
      <c r="A1847" s="61"/>
      <c r="B1847" s="15"/>
      <c r="C1847" s="31"/>
      <c r="D1847" s="90"/>
      <c r="E1847" s="16"/>
      <c r="F1847" s="33"/>
      <c r="G1847" s="16"/>
      <c r="H1847" s="16"/>
      <c r="I1847" s="16"/>
      <c r="J1847" s="16"/>
      <c r="K1847" s="16"/>
      <c r="L1847" s="16"/>
      <c r="M1847" s="16"/>
      <c r="N1847" s="16"/>
      <c r="O1847" s="16"/>
      <c r="P1847" s="16"/>
      <c r="Q1847" s="16"/>
      <c r="R1847" s="16"/>
    </row>
    <row r="1848" spans="1:18" ht="18">
      <c r="A1848" s="61"/>
      <c r="B1848" s="15"/>
      <c r="C1848" s="31"/>
      <c r="D1848" s="90"/>
      <c r="E1848" s="16"/>
      <c r="F1848" s="33"/>
      <c r="G1848" s="16"/>
      <c r="H1848" s="16"/>
      <c r="I1848" s="16"/>
      <c r="J1848" s="16"/>
      <c r="K1848" s="16"/>
      <c r="L1848" s="16"/>
      <c r="M1848" s="16"/>
      <c r="N1848" s="16"/>
      <c r="O1848" s="16"/>
      <c r="P1848" s="16"/>
      <c r="Q1848" s="16"/>
      <c r="R1848" s="16"/>
    </row>
    <row r="1849" spans="1:18" ht="18">
      <c r="A1849" s="61"/>
      <c r="B1849" s="15"/>
      <c r="C1849" s="31"/>
      <c r="D1849" s="90"/>
      <c r="E1849" s="16"/>
      <c r="F1849" s="33"/>
      <c r="G1849" s="16"/>
      <c r="H1849" s="16"/>
      <c r="I1849" s="16"/>
      <c r="J1849" s="16"/>
      <c r="K1849" s="16"/>
      <c r="L1849" s="16"/>
      <c r="M1849" s="16"/>
      <c r="N1849" s="16"/>
      <c r="O1849" s="16"/>
      <c r="P1849" s="16"/>
      <c r="Q1849" s="16"/>
      <c r="R1849" s="16"/>
    </row>
    <row r="1850" spans="1:18" ht="18">
      <c r="A1850" s="61"/>
      <c r="B1850" s="15"/>
      <c r="C1850" s="31"/>
      <c r="D1850" s="90"/>
      <c r="E1850" s="16"/>
      <c r="F1850" s="33"/>
      <c r="G1850" s="16"/>
      <c r="H1850" s="16"/>
      <c r="I1850" s="16"/>
      <c r="J1850" s="16"/>
      <c r="K1850" s="16"/>
      <c r="L1850" s="16"/>
      <c r="M1850" s="16"/>
      <c r="N1850" s="16"/>
      <c r="O1850" s="16"/>
      <c r="P1850" s="16"/>
      <c r="Q1850" s="16"/>
      <c r="R1850" s="16"/>
    </row>
    <row r="1851" spans="1:18" ht="18">
      <c r="A1851" s="61"/>
      <c r="B1851" s="15"/>
      <c r="C1851" s="31"/>
      <c r="D1851" s="90"/>
      <c r="E1851" s="16"/>
      <c r="F1851" s="33"/>
      <c r="G1851" s="16"/>
      <c r="H1851" s="16"/>
      <c r="I1851" s="16"/>
      <c r="J1851" s="16"/>
      <c r="K1851" s="16"/>
      <c r="L1851" s="16"/>
      <c r="M1851" s="16"/>
      <c r="N1851" s="16"/>
      <c r="O1851" s="16"/>
      <c r="P1851" s="16"/>
      <c r="Q1851" s="16"/>
      <c r="R1851" s="16"/>
    </row>
    <row r="1852" spans="1:18" ht="18">
      <c r="A1852" s="61"/>
      <c r="B1852" s="15"/>
      <c r="C1852" s="31"/>
      <c r="D1852" s="90"/>
      <c r="E1852" s="16"/>
      <c r="F1852" s="33"/>
      <c r="G1852" s="16"/>
      <c r="H1852" s="16"/>
      <c r="I1852" s="16"/>
      <c r="J1852" s="16"/>
      <c r="K1852" s="16"/>
      <c r="L1852" s="16"/>
      <c r="M1852" s="16"/>
      <c r="N1852" s="16"/>
      <c r="O1852" s="16"/>
      <c r="P1852" s="16"/>
      <c r="Q1852" s="16"/>
      <c r="R1852" s="16"/>
    </row>
    <row r="1853" spans="1:18" ht="18">
      <c r="A1853" s="61"/>
      <c r="B1853" s="15"/>
      <c r="C1853" s="31"/>
      <c r="D1853" s="90"/>
      <c r="E1853" s="16"/>
      <c r="F1853" s="33"/>
      <c r="G1853" s="16"/>
      <c r="H1853" s="16"/>
      <c r="I1853" s="16"/>
      <c r="J1853" s="16"/>
      <c r="K1853" s="16"/>
      <c r="L1853" s="16"/>
      <c r="M1853" s="16"/>
      <c r="N1853" s="16"/>
      <c r="O1853" s="16"/>
      <c r="P1853" s="16"/>
      <c r="Q1853" s="16"/>
      <c r="R1853" s="16"/>
    </row>
    <row r="1854" spans="1:18" ht="18">
      <c r="A1854" s="61"/>
      <c r="B1854" s="15"/>
      <c r="C1854" s="31"/>
      <c r="D1854" s="90"/>
      <c r="E1854" s="16"/>
      <c r="F1854" s="33"/>
      <c r="G1854" s="16"/>
      <c r="H1854" s="16"/>
      <c r="I1854" s="16"/>
      <c r="J1854" s="16"/>
      <c r="K1854" s="16"/>
      <c r="L1854" s="16"/>
      <c r="M1854" s="16"/>
      <c r="N1854" s="16"/>
      <c r="O1854" s="16"/>
      <c r="P1854" s="16"/>
      <c r="Q1854" s="16"/>
      <c r="R1854" s="16"/>
    </row>
    <row r="1855" spans="1:18" ht="18">
      <c r="A1855" s="61"/>
      <c r="B1855" s="15"/>
      <c r="C1855" s="31"/>
      <c r="D1855" s="90"/>
      <c r="E1855" s="16"/>
      <c r="F1855" s="33"/>
      <c r="G1855" s="16"/>
      <c r="H1855" s="16"/>
      <c r="I1855" s="16"/>
      <c r="J1855" s="16"/>
      <c r="K1855" s="16"/>
      <c r="L1855" s="16"/>
      <c r="M1855" s="16"/>
      <c r="N1855" s="16"/>
      <c r="O1855" s="16"/>
      <c r="P1855" s="16"/>
      <c r="Q1855" s="16"/>
      <c r="R1855" s="16"/>
    </row>
    <row r="1856" spans="1:18" ht="18">
      <c r="A1856" s="61"/>
      <c r="B1856" s="15"/>
      <c r="C1856" s="31"/>
      <c r="D1856" s="90"/>
      <c r="E1856" s="16"/>
      <c r="F1856" s="33"/>
      <c r="G1856" s="16"/>
      <c r="H1856" s="16"/>
      <c r="I1856" s="16"/>
      <c r="J1856" s="16"/>
      <c r="K1856" s="16"/>
      <c r="L1856" s="16"/>
      <c r="M1856" s="16"/>
      <c r="N1856" s="16"/>
      <c r="O1856" s="16"/>
      <c r="P1856" s="16"/>
      <c r="Q1856" s="16"/>
      <c r="R1856" s="16"/>
    </row>
    <row r="1857" spans="1:18" ht="18">
      <c r="A1857" s="61"/>
      <c r="B1857" s="15"/>
      <c r="C1857" s="31"/>
      <c r="D1857" s="90"/>
      <c r="E1857" s="16"/>
      <c r="F1857" s="33"/>
      <c r="G1857" s="16"/>
      <c r="H1857" s="16"/>
      <c r="I1857" s="16"/>
      <c r="J1857" s="16"/>
      <c r="K1857" s="16"/>
      <c r="L1857" s="16"/>
      <c r="M1857" s="16"/>
      <c r="N1857" s="16"/>
      <c r="O1857" s="16"/>
      <c r="P1857" s="16"/>
      <c r="Q1857" s="16"/>
      <c r="R1857" s="16"/>
    </row>
    <row r="1858" spans="1:18" ht="18">
      <c r="A1858" s="61"/>
      <c r="B1858" s="15"/>
      <c r="C1858" s="31"/>
      <c r="D1858" s="90"/>
      <c r="E1858" s="16"/>
      <c r="F1858" s="33"/>
      <c r="G1858" s="16"/>
      <c r="H1858" s="16"/>
      <c r="I1858" s="16"/>
      <c r="J1858" s="16"/>
      <c r="K1858" s="16"/>
      <c r="L1858" s="16"/>
      <c r="M1858" s="16"/>
      <c r="N1858" s="16"/>
      <c r="O1858" s="16"/>
      <c r="P1858" s="16"/>
      <c r="Q1858" s="16"/>
      <c r="R1858" s="16"/>
    </row>
    <row r="1859" spans="1:18" ht="18">
      <c r="A1859" s="61"/>
      <c r="B1859" s="15"/>
      <c r="C1859" s="31"/>
      <c r="D1859" s="90"/>
      <c r="E1859" s="16"/>
      <c r="F1859" s="33"/>
      <c r="G1859" s="16"/>
      <c r="H1859" s="16"/>
      <c r="I1859" s="16"/>
      <c r="J1859" s="16"/>
      <c r="K1859" s="16"/>
      <c r="L1859" s="16"/>
      <c r="M1859" s="16"/>
      <c r="N1859" s="16"/>
      <c r="O1859" s="16"/>
      <c r="P1859" s="16"/>
      <c r="Q1859" s="16"/>
      <c r="R1859" s="16"/>
    </row>
    <row r="1860" spans="1:18" ht="18">
      <c r="A1860" s="61"/>
      <c r="B1860" s="15"/>
      <c r="C1860" s="31"/>
      <c r="D1860" s="90"/>
      <c r="E1860" s="16"/>
      <c r="F1860" s="33"/>
      <c r="G1860" s="16"/>
      <c r="H1860" s="16"/>
      <c r="I1860" s="16"/>
      <c r="J1860" s="16"/>
      <c r="K1860" s="16"/>
      <c r="L1860" s="16"/>
      <c r="M1860" s="16"/>
      <c r="N1860" s="16"/>
      <c r="O1860" s="16"/>
      <c r="P1860" s="16"/>
      <c r="Q1860" s="16"/>
      <c r="R1860" s="16"/>
    </row>
    <row r="1861" spans="1:18" ht="18">
      <c r="A1861" s="61"/>
      <c r="B1861" s="15"/>
      <c r="C1861" s="31"/>
      <c r="D1861" s="90"/>
      <c r="E1861" s="16"/>
      <c r="F1861" s="33"/>
      <c r="G1861" s="16"/>
      <c r="H1861" s="16"/>
      <c r="I1861" s="16"/>
      <c r="J1861" s="16"/>
      <c r="K1861" s="16"/>
      <c r="L1861" s="16"/>
      <c r="M1861" s="16"/>
      <c r="N1861" s="16"/>
      <c r="O1861" s="16"/>
      <c r="P1861" s="16"/>
      <c r="Q1861" s="16"/>
      <c r="R1861" s="16"/>
    </row>
    <row r="1862" spans="1:18" ht="18">
      <c r="A1862" s="61"/>
      <c r="B1862" s="15"/>
      <c r="C1862" s="31"/>
      <c r="D1862" s="90"/>
      <c r="E1862" s="16"/>
      <c r="F1862" s="33"/>
      <c r="G1862" s="16"/>
      <c r="H1862" s="16"/>
      <c r="I1862" s="16"/>
      <c r="J1862" s="16"/>
      <c r="K1862" s="16"/>
      <c r="L1862" s="16"/>
      <c r="M1862" s="16"/>
      <c r="N1862" s="16"/>
      <c r="O1862" s="16"/>
      <c r="P1862" s="16"/>
      <c r="Q1862" s="16"/>
      <c r="R1862" s="16"/>
    </row>
    <row r="1863" spans="1:18" ht="18">
      <c r="A1863" s="61"/>
      <c r="B1863" s="15"/>
      <c r="C1863" s="31"/>
      <c r="D1863" s="90"/>
      <c r="E1863" s="16"/>
      <c r="F1863" s="33"/>
      <c r="G1863" s="16"/>
      <c r="H1863" s="16"/>
      <c r="I1863" s="16"/>
      <c r="J1863" s="16"/>
      <c r="K1863" s="16"/>
      <c r="L1863" s="16"/>
      <c r="M1863" s="16"/>
      <c r="N1863" s="16"/>
      <c r="O1863" s="16"/>
      <c r="P1863" s="16"/>
      <c r="Q1863" s="16"/>
      <c r="R1863" s="16"/>
    </row>
    <row r="1864" spans="1:18" ht="18">
      <c r="A1864" s="61"/>
      <c r="B1864" s="15"/>
      <c r="C1864" s="31"/>
      <c r="D1864" s="90"/>
      <c r="E1864" s="16"/>
      <c r="F1864" s="33"/>
      <c r="G1864" s="16"/>
      <c r="H1864" s="16"/>
      <c r="I1864" s="16"/>
      <c r="J1864" s="16"/>
      <c r="K1864" s="16"/>
      <c r="L1864" s="16"/>
      <c r="M1864" s="16"/>
      <c r="N1864" s="16"/>
      <c r="O1864" s="16"/>
      <c r="P1864" s="16"/>
      <c r="Q1864" s="16"/>
      <c r="R1864" s="16"/>
    </row>
    <row r="1865" spans="1:18" ht="18">
      <c r="A1865" s="61"/>
      <c r="B1865" s="15"/>
      <c r="C1865" s="31"/>
      <c r="D1865" s="90"/>
      <c r="E1865" s="16"/>
      <c r="F1865" s="33"/>
      <c r="G1865" s="16"/>
      <c r="H1865" s="16"/>
      <c r="I1865" s="16"/>
      <c r="J1865" s="16"/>
      <c r="K1865" s="16"/>
      <c r="L1865" s="16"/>
      <c r="M1865" s="16"/>
      <c r="N1865" s="16"/>
      <c r="O1865" s="16"/>
      <c r="P1865" s="16"/>
      <c r="Q1865" s="16"/>
      <c r="R1865" s="16"/>
    </row>
    <row r="1866" spans="1:18" ht="18">
      <c r="A1866" s="61"/>
      <c r="B1866" s="15"/>
      <c r="C1866" s="31"/>
      <c r="D1866" s="90"/>
      <c r="E1866" s="16"/>
      <c r="F1866" s="33"/>
      <c r="G1866" s="16"/>
      <c r="H1866" s="16"/>
      <c r="I1866" s="16"/>
      <c r="J1866" s="16"/>
      <c r="K1866" s="16"/>
      <c r="L1866" s="16"/>
      <c r="M1866" s="16"/>
      <c r="N1866" s="16"/>
      <c r="O1866" s="16"/>
      <c r="P1866" s="16"/>
      <c r="Q1866" s="16"/>
      <c r="R1866" s="16"/>
    </row>
    <row r="1867" spans="1:18" ht="18">
      <c r="A1867" s="61"/>
      <c r="B1867" s="15"/>
      <c r="C1867" s="31"/>
      <c r="D1867" s="90"/>
      <c r="E1867" s="16"/>
      <c r="F1867" s="33"/>
      <c r="G1867" s="16"/>
      <c r="H1867" s="16"/>
      <c r="I1867" s="16"/>
      <c r="J1867" s="16"/>
      <c r="K1867" s="16"/>
      <c r="L1867" s="16"/>
      <c r="M1867" s="16"/>
      <c r="N1867" s="16"/>
      <c r="O1867" s="16"/>
      <c r="P1867" s="16"/>
      <c r="Q1867" s="16"/>
      <c r="R1867" s="16"/>
    </row>
    <row r="1868" spans="1:18" ht="18">
      <c r="A1868" s="61"/>
      <c r="B1868" s="15"/>
      <c r="C1868" s="31"/>
      <c r="D1868" s="90"/>
      <c r="E1868" s="16"/>
      <c r="F1868" s="33"/>
      <c r="G1868" s="16"/>
      <c r="H1868" s="16"/>
      <c r="I1868" s="16"/>
      <c r="J1868" s="16"/>
      <c r="K1868" s="16"/>
      <c r="L1868" s="16"/>
      <c r="M1868" s="16"/>
      <c r="N1868" s="16"/>
      <c r="O1868" s="16"/>
      <c r="P1868" s="16"/>
      <c r="Q1868" s="16"/>
      <c r="R1868" s="16"/>
    </row>
    <row r="1869" spans="1:18" ht="18">
      <c r="A1869" s="61"/>
      <c r="B1869" s="15"/>
      <c r="C1869" s="31"/>
      <c r="D1869" s="90"/>
      <c r="E1869" s="16"/>
      <c r="F1869" s="33"/>
      <c r="G1869" s="16"/>
      <c r="H1869" s="16"/>
      <c r="I1869" s="16"/>
      <c r="J1869" s="16"/>
      <c r="K1869" s="16"/>
      <c r="L1869" s="16"/>
      <c r="M1869" s="16"/>
      <c r="N1869" s="16"/>
      <c r="O1869" s="16"/>
      <c r="P1869" s="16"/>
      <c r="Q1869" s="16"/>
      <c r="R1869" s="16"/>
    </row>
    <row r="1870" spans="1:18" ht="18">
      <c r="A1870" s="61"/>
      <c r="B1870" s="15"/>
      <c r="C1870" s="31"/>
      <c r="D1870" s="90"/>
      <c r="E1870" s="16"/>
      <c r="F1870" s="33"/>
      <c r="G1870" s="16"/>
      <c r="H1870" s="16"/>
      <c r="I1870" s="16"/>
      <c r="J1870" s="16"/>
      <c r="K1870" s="16"/>
      <c r="L1870" s="16"/>
      <c r="M1870" s="16"/>
      <c r="N1870" s="16"/>
      <c r="O1870" s="16"/>
      <c r="P1870" s="16"/>
      <c r="Q1870" s="16"/>
      <c r="R1870" s="16"/>
    </row>
    <row r="1871" spans="1:18" ht="18">
      <c r="A1871" s="61"/>
      <c r="B1871" s="15"/>
      <c r="C1871" s="31"/>
      <c r="D1871" s="90"/>
      <c r="E1871" s="16"/>
      <c r="F1871" s="33"/>
      <c r="G1871" s="16"/>
      <c r="H1871" s="16"/>
      <c r="I1871" s="16"/>
      <c r="J1871" s="16"/>
      <c r="K1871" s="16"/>
      <c r="L1871" s="16"/>
      <c r="M1871" s="16"/>
      <c r="N1871" s="16"/>
      <c r="O1871" s="16"/>
      <c r="P1871" s="16"/>
      <c r="Q1871" s="16"/>
      <c r="R1871" s="16"/>
    </row>
    <row r="1872" spans="1:18" ht="18">
      <c r="A1872" s="61"/>
      <c r="B1872" s="15"/>
      <c r="C1872" s="31"/>
      <c r="D1872" s="90"/>
      <c r="E1872" s="16"/>
      <c r="F1872" s="33"/>
      <c r="G1872" s="16"/>
      <c r="H1872" s="16"/>
      <c r="I1872" s="16"/>
      <c r="J1872" s="16"/>
      <c r="K1872" s="16"/>
      <c r="L1872" s="16"/>
      <c r="M1872" s="16"/>
      <c r="N1872" s="16"/>
      <c r="O1872" s="16"/>
      <c r="P1872" s="16"/>
      <c r="Q1872" s="16"/>
      <c r="R1872" s="16"/>
    </row>
    <row r="1873" spans="1:18" ht="18">
      <c r="A1873" s="61"/>
      <c r="B1873" s="15"/>
      <c r="C1873" s="31"/>
      <c r="D1873" s="90"/>
      <c r="E1873" s="16"/>
      <c r="F1873" s="33"/>
      <c r="G1873" s="16"/>
      <c r="H1873" s="16"/>
      <c r="I1873" s="16"/>
      <c r="J1873" s="16"/>
      <c r="K1873" s="16"/>
      <c r="L1873" s="16"/>
      <c r="M1873" s="16"/>
      <c r="N1873" s="16"/>
      <c r="O1873" s="16"/>
      <c r="P1873" s="16"/>
      <c r="Q1873" s="16"/>
      <c r="R1873" s="16"/>
    </row>
    <row r="1874" spans="1:18" ht="18">
      <c r="A1874" s="61"/>
      <c r="B1874" s="15"/>
      <c r="C1874" s="31"/>
      <c r="D1874" s="90"/>
      <c r="E1874" s="16"/>
      <c r="F1874" s="33"/>
      <c r="G1874" s="16"/>
      <c r="H1874" s="16"/>
      <c r="I1874" s="16"/>
      <c r="J1874" s="16"/>
      <c r="K1874" s="16"/>
      <c r="L1874" s="16"/>
      <c r="M1874" s="16"/>
      <c r="N1874" s="16"/>
      <c r="O1874" s="16"/>
      <c r="P1874" s="16"/>
      <c r="Q1874" s="16"/>
      <c r="R1874" s="16"/>
    </row>
    <row r="1875" spans="1:18" ht="18">
      <c r="A1875" s="61"/>
      <c r="B1875" s="15"/>
      <c r="C1875" s="31"/>
      <c r="D1875" s="90"/>
      <c r="E1875" s="16"/>
      <c r="F1875" s="33"/>
      <c r="G1875" s="16"/>
      <c r="H1875" s="16"/>
      <c r="I1875" s="16"/>
      <c r="J1875" s="16"/>
      <c r="K1875" s="16"/>
      <c r="L1875" s="16"/>
      <c r="M1875" s="16"/>
      <c r="N1875" s="16"/>
      <c r="O1875" s="16"/>
      <c r="P1875" s="16"/>
      <c r="Q1875" s="16"/>
      <c r="R1875" s="16"/>
    </row>
    <row r="1876" spans="1:18" ht="18">
      <c r="A1876" s="61"/>
      <c r="B1876" s="15"/>
      <c r="C1876" s="31"/>
      <c r="D1876" s="90"/>
      <c r="E1876" s="16"/>
      <c r="F1876" s="33"/>
      <c r="G1876" s="16"/>
      <c r="H1876" s="16"/>
      <c r="I1876" s="16"/>
      <c r="J1876" s="16"/>
      <c r="K1876" s="16"/>
      <c r="L1876" s="16"/>
      <c r="M1876" s="16"/>
      <c r="N1876" s="16"/>
      <c r="O1876" s="16"/>
      <c r="P1876" s="16"/>
      <c r="Q1876" s="16"/>
      <c r="R1876" s="16"/>
    </row>
    <row r="1877" spans="1:18" ht="18">
      <c r="A1877" s="61"/>
      <c r="B1877" s="15"/>
      <c r="C1877" s="31"/>
      <c r="D1877" s="90"/>
      <c r="E1877" s="16"/>
      <c r="F1877" s="33"/>
      <c r="G1877" s="16"/>
      <c r="H1877" s="16"/>
      <c r="I1877" s="16"/>
      <c r="J1877" s="16"/>
      <c r="K1877" s="16"/>
      <c r="L1877" s="16"/>
      <c r="M1877" s="16"/>
      <c r="N1877" s="16"/>
      <c r="O1877" s="16"/>
      <c r="P1877" s="16"/>
      <c r="Q1877" s="16"/>
      <c r="R1877" s="16"/>
    </row>
    <row r="1878" spans="1:18" ht="18">
      <c r="A1878" s="61"/>
      <c r="B1878" s="15"/>
      <c r="C1878" s="31"/>
      <c r="D1878" s="90"/>
      <c r="E1878" s="16"/>
      <c r="F1878" s="33"/>
      <c r="G1878" s="16"/>
      <c r="H1878" s="16"/>
      <c r="I1878" s="16"/>
      <c r="J1878" s="16"/>
      <c r="K1878" s="16"/>
      <c r="L1878" s="16"/>
      <c r="M1878" s="16"/>
      <c r="N1878" s="16"/>
      <c r="O1878" s="16"/>
      <c r="P1878" s="16"/>
      <c r="Q1878" s="16"/>
      <c r="R1878" s="16"/>
    </row>
    <row r="1879" spans="1:18" ht="18">
      <c r="A1879" s="61"/>
      <c r="B1879" s="15"/>
      <c r="C1879" s="31"/>
      <c r="D1879" s="90"/>
      <c r="E1879" s="16"/>
      <c r="F1879" s="33"/>
      <c r="G1879" s="16"/>
      <c r="H1879" s="16"/>
      <c r="I1879" s="16"/>
      <c r="J1879" s="16"/>
      <c r="K1879" s="16"/>
      <c r="L1879" s="16"/>
      <c r="M1879" s="16"/>
      <c r="N1879" s="16"/>
      <c r="O1879" s="16"/>
      <c r="P1879" s="16"/>
      <c r="Q1879" s="16"/>
      <c r="R1879" s="16"/>
    </row>
    <row r="1880" spans="1:18" ht="18">
      <c r="A1880" s="61"/>
      <c r="B1880" s="15"/>
      <c r="C1880" s="31"/>
      <c r="D1880" s="90"/>
      <c r="E1880" s="16"/>
      <c r="F1880" s="33"/>
      <c r="G1880" s="16"/>
      <c r="H1880" s="16"/>
      <c r="I1880" s="16"/>
      <c r="J1880" s="16"/>
      <c r="K1880" s="16"/>
      <c r="L1880" s="16"/>
      <c r="M1880" s="16"/>
      <c r="N1880" s="16"/>
      <c r="O1880" s="16"/>
      <c r="P1880" s="16"/>
      <c r="Q1880" s="16"/>
      <c r="R1880" s="16"/>
    </row>
    <row r="1881" spans="1:18" ht="18">
      <c r="A1881" s="61"/>
      <c r="B1881" s="15"/>
      <c r="C1881" s="31"/>
      <c r="D1881" s="90"/>
      <c r="E1881" s="16"/>
      <c r="F1881" s="33"/>
      <c r="G1881" s="16"/>
      <c r="H1881" s="16"/>
      <c r="I1881" s="16"/>
      <c r="J1881" s="16"/>
      <c r="K1881" s="16"/>
      <c r="L1881" s="16"/>
      <c r="M1881" s="16"/>
      <c r="N1881" s="16"/>
      <c r="O1881" s="16"/>
      <c r="P1881" s="16"/>
      <c r="Q1881" s="16"/>
      <c r="R1881" s="16"/>
    </row>
    <row r="1882" spans="1:18" ht="18">
      <c r="A1882" s="61"/>
      <c r="B1882" s="15"/>
      <c r="C1882" s="31"/>
      <c r="D1882" s="90"/>
      <c r="E1882" s="16"/>
      <c r="F1882" s="33"/>
      <c r="G1882" s="16"/>
      <c r="H1882" s="16"/>
      <c r="I1882" s="16"/>
      <c r="J1882" s="16"/>
      <c r="K1882" s="16"/>
      <c r="L1882" s="16"/>
      <c r="M1882" s="16"/>
      <c r="N1882" s="16"/>
      <c r="O1882" s="16"/>
      <c r="P1882" s="16"/>
      <c r="Q1882" s="16"/>
      <c r="R1882" s="16"/>
    </row>
    <row r="1883" spans="1:18" ht="18">
      <c r="A1883" s="61"/>
      <c r="B1883" s="15"/>
      <c r="C1883" s="31"/>
      <c r="D1883" s="90"/>
      <c r="E1883" s="16"/>
      <c r="F1883" s="33"/>
      <c r="G1883" s="16"/>
      <c r="H1883" s="16"/>
      <c r="I1883" s="16"/>
      <c r="J1883" s="16"/>
      <c r="K1883" s="16"/>
      <c r="L1883" s="16"/>
      <c r="M1883" s="16"/>
      <c r="N1883" s="16"/>
      <c r="O1883" s="16"/>
      <c r="P1883" s="16"/>
      <c r="Q1883" s="16"/>
      <c r="R1883" s="16"/>
    </row>
    <row r="1884" spans="1:18" ht="18">
      <c r="A1884" s="61"/>
      <c r="B1884" s="15"/>
      <c r="C1884" s="31"/>
      <c r="D1884" s="90"/>
      <c r="E1884" s="16"/>
      <c r="F1884" s="33"/>
      <c r="G1884" s="16"/>
      <c r="H1884" s="16"/>
      <c r="I1884" s="16"/>
      <c r="J1884" s="16"/>
      <c r="K1884" s="16"/>
      <c r="L1884" s="16"/>
      <c r="M1884" s="16"/>
      <c r="N1884" s="16"/>
      <c r="O1884" s="16"/>
      <c r="P1884" s="16"/>
      <c r="Q1884" s="16"/>
      <c r="R1884" s="16"/>
    </row>
    <row r="1885" spans="1:18" ht="18">
      <c r="A1885" s="61"/>
      <c r="B1885" s="15"/>
      <c r="C1885" s="31"/>
      <c r="D1885" s="90"/>
      <c r="E1885" s="16"/>
      <c r="F1885" s="33"/>
      <c r="G1885" s="16"/>
      <c r="H1885" s="16"/>
      <c r="I1885" s="16"/>
      <c r="J1885" s="16"/>
      <c r="K1885" s="16"/>
      <c r="L1885" s="16"/>
      <c r="M1885" s="16"/>
      <c r="N1885" s="16"/>
      <c r="O1885" s="16"/>
      <c r="P1885" s="16"/>
      <c r="Q1885" s="16"/>
      <c r="R1885" s="16"/>
    </row>
    <row r="1886" spans="1:18" ht="18">
      <c r="A1886" s="61"/>
      <c r="B1886" s="15"/>
      <c r="C1886" s="31"/>
      <c r="D1886" s="90"/>
      <c r="E1886" s="16"/>
      <c r="F1886" s="33"/>
      <c r="G1886" s="16"/>
      <c r="H1886" s="16"/>
      <c r="I1886" s="16"/>
      <c r="J1886" s="16"/>
      <c r="K1886" s="16"/>
      <c r="L1886" s="16"/>
      <c r="M1886" s="16"/>
      <c r="N1886" s="16"/>
      <c r="O1886" s="16"/>
      <c r="P1886" s="16"/>
      <c r="Q1886" s="16"/>
      <c r="R1886" s="16"/>
    </row>
    <row r="1887" spans="1:18" ht="18">
      <c r="A1887" s="61"/>
      <c r="B1887" s="15"/>
      <c r="C1887" s="31"/>
      <c r="D1887" s="90"/>
      <c r="E1887" s="16"/>
      <c r="F1887" s="33"/>
      <c r="G1887" s="16"/>
      <c r="H1887" s="16"/>
      <c r="I1887" s="16"/>
      <c r="J1887" s="16"/>
      <c r="K1887" s="16"/>
      <c r="L1887" s="16"/>
      <c r="M1887" s="16"/>
      <c r="N1887" s="16"/>
      <c r="O1887" s="16"/>
      <c r="P1887" s="16"/>
      <c r="Q1887" s="16"/>
      <c r="R1887" s="16"/>
    </row>
    <row r="1888" spans="1:18" ht="18">
      <c r="A1888" s="61"/>
      <c r="B1888" s="15"/>
      <c r="C1888" s="31"/>
      <c r="D1888" s="90"/>
      <c r="E1888" s="16"/>
      <c r="F1888" s="33"/>
      <c r="G1888" s="16"/>
      <c r="H1888" s="16"/>
      <c r="I1888" s="16"/>
      <c r="J1888" s="16"/>
      <c r="K1888" s="16"/>
      <c r="L1888" s="16"/>
      <c r="M1888" s="16"/>
      <c r="N1888" s="16"/>
      <c r="O1888" s="16"/>
      <c r="P1888" s="16"/>
      <c r="Q1888" s="16"/>
      <c r="R1888" s="16"/>
    </row>
    <row r="1889" spans="1:18" ht="18">
      <c r="A1889" s="61"/>
      <c r="B1889" s="15"/>
      <c r="C1889" s="31"/>
      <c r="D1889" s="90"/>
      <c r="E1889" s="16"/>
      <c r="F1889" s="33"/>
      <c r="G1889" s="16"/>
      <c r="H1889" s="16"/>
      <c r="I1889" s="16"/>
      <c r="J1889" s="16"/>
      <c r="K1889" s="16"/>
      <c r="L1889" s="16"/>
      <c r="M1889" s="16"/>
      <c r="N1889" s="16"/>
      <c r="O1889" s="16"/>
      <c r="P1889" s="16"/>
      <c r="Q1889" s="16"/>
      <c r="R1889" s="16"/>
    </row>
    <row r="1890" spans="1:18" ht="18">
      <c r="A1890" s="61"/>
      <c r="B1890" s="15"/>
      <c r="C1890" s="31"/>
      <c r="D1890" s="90"/>
      <c r="E1890" s="16"/>
      <c r="F1890" s="33"/>
      <c r="G1890" s="16"/>
      <c r="H1890" s="16"/>
      <c r="I1890" s="16"/>
      <c r="J1890" s="16"/>
      <c r="K1890" s="16"/>
      <c r="L1890" s="16"/>
      <c r="M1890" s="16"/>
      <c r="N1890" s="16"/>
      <c r="O1890" s="16"/>
      <c r="P1890" s="16"/>
      <c r="Q1890" s="16"/>
      <c r="R1890" s="16"/>
    </row>
    <row r="1891" spans="1:18" ht="18">
      <c r="A1891" s="61"/>
      <c r="B1891" s="15"/>
      <c r="C1891" s="31"/>
      <c r="D1891" s="90"/>
      <c r="E1891" s="16"/>
      <c r="F1891" s="33"/>
      <c r="G1891" s="16"/>
      <c r="H1891" s="16"/>
      <c r="I1891" s="16"/>
      <c r="J1891" s="16"/>
      <c r="K1891" s="16"/>
      <c r="L1891" s="16"/>
      <c r="M1891" s="16"/>
      <c r="N1891" s="16"/>
      <c r="O1891" s="16"/>
      <c r="P1891" s="16"/>
      <c r="Q1891" s="16"/>
      <c r="R1891" s="16"/>
    </row>
    <row r="1892" spans="1:18" ht="18">
      <c r="A1892" s="61"/>
      <c r="B1892" s="15"/>
      <c r="C1892" s="31"/>
      <c r="D1892" s="90"/>
      <c r="E1892" s="16"/>
      <c r="F1892" s="33"/>
      <c r="G1892" s="16"/>
      <c r="H1892" s="16"/>
      <c r="I1892" s="16"/>
      <c r="J1892" s="16"/>
      <c r="K1892" s="16"/>
      <c r="L1892" s="16"/>
      <c r="M1892" s="16"/>
      <c r="N1892" s="16"/>
      <c r="O1892" s="16"/>
      <c r="P1892" s="16"/>
      <c r="Q1892" s="16"/>
      <c r="R1892" s="16"/>
    </row>
    <row r="1893" spans="1:18" ht="18">
      <c r="A1893" s="61"/>
      <c r="B1893" s="15"/>
      <c r="C1893" s="31"/>
      <c r="D1893" s="90"/>
      <c r="E1893" s="16"/>
      <c r="F1893" s="33"/>
      <c r="G1893" s="16"/>
      <c r="H1893" s="16"/>
      <c r="I1893" s="16"/>
      <c r="J1893" s="16"/>
      <c r="K1893" s="16"/>
      <c r="L1893" s="16"/>
      <c r="M1893" s="16"/>
      <c r="N1893" s="16"/>
      <c r="O1893" s="16"/>
      <c r="P1893" s="16"/>
      <c r="Q1893" s="16"/>
      <c r="R1893" s="16"/>
    </row>
    <row r="1894" spans="1:18" ht="18">
      <c r="A1894" s="61"/>
      <c r="B1894" s="15"/>
      <c r="C1894" s="31"/>
      <c r="D1894" s="90"/>
      <c r="E1894" s="16"/>
      <c r="F1894" s="33"/>
      <c r="G1894" s="16"/>
      <c r="H1894" s="16"/>
      <c r="I1894" s="16"/>
      <c r="J1894" s="16"/>
      <c r="K1894" s="16"/>
      <c r="L1894" s="16"/>
      <c r="M1894" s="16"/>
      <c r="N1894" s="16"/>
      <c r="O1894" s="16"/>
      <c r="P1894" s="16"/>
      <c r="Q1894" s="16"/>
      <c r="R1894" s="16"/>
    </row>
    <row r="1895" spans="1:18" ht="18">
      <c r="A1895" s="61"/>
      <c r="B1895" s="15"/>
      <c r="C1895" s="31"/>
      <c r="D1895" s="90"/>
      <c r="E1895" s="16"/>
      <c r="F1895" s="33"/>
      <c r="G1895" s="16"/>
      <c r="H1895" s="16"/>
      <c r="I1895" s="16"/>
      <c r="J1895" s="16"/>
      <c r="K1895" s="16"/>
      <c r="L1895" s="16"/>
      <c r="M1895" s="16"/>
      <c r="N1895" s="16"/>
      <c r="O1895" s="16"/>
      <c r="P1895" s="16"/>
      <c r="Q1895" s="16"/>
      <c r="R1895" s="16"/>
    </row>
    <row r="1896" spans="1:18" ht="18">
      <c r="A1896" s="61"/>
      <c r="B1896" s="15"/>
      <c r="C1896" s="31"/>
      <c r="D1896" s="90"/>
      <c r="E1896" s="16"/>
      <c r="F1896" s="33"/>
      <c r="G1896" s="16"/>
      <c r="H1896" s="16"/>
      <c r="I1896" s="16"/>
      <c r="J1896" s="16"/>
      <c r="K1896" s="16"/>
      <c r="L1896" s="16"/>
      <c r="M1896" s="16"/>
      <c r="N1896" s="16"/>
      <c r="O1896" s="16"/>
      <c r="P1896" s="16"/>
      <c r="Q1896" s="16"/>
      <c r="R1896" s="16"/>
    </row>
    <row r="1897" spans="1:18" ht="18">
      <c r="A1897" s="61"/>
      <c r="B1897" s="15"/>
      <c r="C1897" s="31"/>
      <c r="D1897" s="90"/>
      <c r="E1897" s="16"/>
      <c r="F1897" s="33"/>
      <c r="G1897" s="16"/>
      <c r="H1897" s="16"/>
      <c r="I1897" s="16"/>
      <c r="J1897" s="16"/>
      <c r="K1897" s="16"/>
      <c r="L1897" s="16"/>
      <c r="M1897" s="16"/>
      <c r="N1897" s="16"/>
      <c r="O1897" s="16"/>
      <c r="P1897" s="16"/>
      <c r="Q1897" s="16"/>
      <c r="R1897" s="16"/>
    </row>
    <row r="1898" spans="1:18" ht="18">
      <c r="A1898" s="61"/>
      <c r="B1898" s="15"/>
      <c r="C1898" s="31"/>
      <c r="D1898" s="90"/>
      <c r="E1898" s="16"/>
      <c r="F1898" s="33"/>
      <c r="G1898" s="16"/>
      <c r="H1898" s="16"/>
      <c r="I1898" s="16"/>
      <c r="J1898" s="16"/>
      <c r="K1898" s="16"/>
      <c r="L1898" s="16"/>
      <c r="M1898" s="16"/>
      <c r="N1898" s="16"/>
      <c r="O1898" s="16"/>
      <c r="P1898" s="16"/>
      <c r="Q1898" s="16"/>
      <c r="R1898" s="16"/>
    </row>
    <row r="1899" spans="1:18" ht="18">
      <c r="A1899" s="61"/>
      <c r="B1899" s="15"/>
      <c r="C1899" s="31"/>
      <c r="D1899" s="90"/>
      <c r="E1899" s="16"/>
      <c r="F1899" s="33"/>
      <c r="G1899" s="16"/>
      <c r="H1899" s="16"/>
      <c r="I1899" s="16"/>
      <c r="J1899" s="16"/>
      <c r="K1899" s="16"/>
      <c r="L1899" s="16"/>
      <c r="M1899" s="16"/>
      <c r="N1899" s="16"/>
      <c r="O1899" s="16"/>
      <c r="P1899" s="16"/>
      <c r="Q1899" s="16"/>
      <c r="R1899" s="16"/>
    </row>
    <row r="1900" spans="1:18" ht="18">
      <c r="A1900" s="61"/>
      <c r="B1900" s="15"/>
      <c r="C1900" s="31"/>
      <c r="D1900" s="90"/>
      <c r="E1900" s="16"/>
      <c r="F1900" s="33"/>
      <c r="G1900" s="16"/>
      <c r="H1900" s="16"/>
      <c r="I1900" s="16"/>
      <c r="J1900" s="16"/>
      <c r="K1900" s="16"/>
      <c r="L1900" s="16"/>
      <c r="M1900" s="16"/>
      <c r="N1900" s="16"/>
      <c r="O1900" s="16"/>
      <c r="P1900" s="16"/>
      <c r="Q1900" s="16"/>
      <c r="R1900" s="16"/>
    </row>
    <row r="1901" spans="1:18" ht="18">
      <c r="A1901" s="61"/>
      <c r="B1901" s="15"/>
      <c r="C1901" s="31"/>
      <c r="D1901" s="90"/>
      <c r="E1901" s="16"/>
      <c r="F1901" s="33"/>
      <c r="G1901" s="16"/>
      <c r="H1901" s="16"/>
      <c r="I1901" s="16"/>
      <c r="J1901" s="16"/>
      <c r="K1901" s="16"/>
      <c r="L1901" s="16"/>
      <c r="M1901" s="16"/>
      <c r="N1901" s="16"/>
      <c r="O1901" s="16"/>
      <c r="P1901" s="16"/>
      <c r="Q1901" s="16"/>
      <c r="R1901" s="16"/>
    </row>
    <row r="1902" spans="1:18" ht="18">
      <c r="A1902" s="61"/>
      <c r="B1902" s="15"/>
      <c r="C1902" s="31"/>
      <c r="D1902" s="90"/>
      <c r="E1902" s="16"/>
      <c r="F1902" s="33"/>
      <c r="G1902" s="16"/>
      <c r="H1902" s="16"/>
      <c r="I1902" s="16"/>
      <c r="J1902" s="16"/>
      <c r="K1902" s="16"/>
      <c r="L1902" s="16"/>
      <c r="M1902" s="16"/>
      <c r="N1902" s="16"/>
      <c r="O1902" s="16"/>
      <c r="P1902" s="16"/>
      <c r="Q1902" s="16"/>
      <c r="R1902" s="16"/>
    </row>
    <row r="1903" spans="1:18" ht="18">
      <c r="A1903" s="61"/>
      <c r="B1903" s="15"/>
      <c r="C1903" s="31"/>
      <c r="D1903" s="90"/>
      <c r="E1903" s="16"/>
      <c r="F1903" s="33"/>
      <c r="G1903" s="16"/>
      <c r="H1903" s="16"/>
      <c r="I1903" s="16"/>
      <c r="J1903" s="16"/>
      <c r="K1903" s="16"/>
      <c r="L1903" s="16"/>
      <c r="M1903" s="16"/>
      <c r="N1903" s="16"/>
      <c r="O1903" s="16"/>
      <c r="P1903" s="16"/>
      <c r="Q1903" s="16"/>
      <c r="R1903" s="16"/>
    </row>
    <row r="1904" spans="1:18" ht="18">
      <c r="A1904" s="61"/>
      <c r="B1904" s="15"/>
      <c r="C1904" s="31"/>
      <c r="D1904" s="90"/>
      <c r="E1904" s="16"/>
      <c r="F1904" s="33"/>
      <c r="G1904" s="16"/>
      <c r="H1904" s="16"/>
      <c r="I1904" s="16"/>
      <c r="J1904" s="16"/>
      <c r="K1904" s="16"/>
      <c r="L1904" s="16"/>
      <c r="M1904" s="16"/>
      <c r="N1904" s="16"/>
      <c r="O1904" s="16"/>
      <c r="P1904" s="16"/>
      <c r="Q1904" s="16"/>
      <c r="R1904" s="16"/>
    </row>
    <row r="1905" spans="1:18" ht="18">
      <c r="A1905" s="61"/>
      <c r="B1905" s="15"/>
      <c r="C1905" s="31"/>
      <c r="D1905" s="90"/>
      <c r="E1905" s="16"/>
      <c r="F1905" s="33"/>
      <c r="G1905" s="16"/>
      <c r="H1905" s="16"/>
      <c r="I1905" s="16"/>
      <c r="J1905" s="16"/>
      <c r="K1905" s="16"/>
      <c r="L1905" s="16"/>
      <c r="M1905" s="16"/>
      <c r="N1905" s="16"/>
      <c r="O1905" s="16"/>
      <c r="P1905" s="16"/>
      <c r="Q1905" s="16"/>
      <c r="R1905" s="16"/>
    </row>
    <row r="1906" spans="1:18" ht="18">
      <c r="A1906" s="61"/>
      <c r="B1906" s="15"/>
      <c r="C1906" s="31"/>
      <c r="D1906" s="90"/>
      <c r="E1906" s="16"/>
      <c r="F1906" s="33"/>
      <c r="G1906" s="16"/>
      <c r="H1906" s="16"/>
      <c r="I1906" s="16"/>
      <c r="J1906" s="16"/>
      <c r="K1906" s="16"/>
      <c r="L1906" s="16"/>
      <c r="M1906" s="16"/>
      <c r="N1906" s="16"/>
      <c r="O1906" s="16"/>
      <c r="P1906" s="16"/>
      <c r="Q1906" s="16"/>
      <c r="R1906" s="16"/>
    </row>
    <row r="1907" spans="1:18" ht="18">
      <c r="A1907" s="61"/>
      <c r="B1907" s="15"/>
      <c r="C1907" s="31"/>
      <c r="D1907" s="90"/>
      <c r="E1907" s="16"/>
      <c r="F1907" s="33"/>
      <c r="G1907" s="16"/>
      <c r="H1907" s="16"/>
      <c r="I1907" s="16"/>
      <c r="J1907" s="16"/>
      <c r="K1907" s="16"/>
      <c r="L1907" s="16"/>
      <c r="M1907" s="16"/>
      <c r="N1907" s="16"/>
      <c r="O1907" s="16"/>
      <c r="P1907" s="16"/>
      <c r="Q1907" s="16"/>
      <c r="R1907" s="16"/>
    </row>
    <row r="1908" spans="1:18" ht="18">
      <c r="A1908" s="61"/>
      <c r="B1908" s="15"/>
      <c r="C1908" s="31"/>
      <c r="D1908" s="90"/>
      <c r="E1908" s="16"/>
      <c r="F1908" s="33"/>
      <c r="G1908" s="16"/>
      <c r="H1908" s="16"/>
      <c r="I1908" s="16"/>
      <c r="J1908" s="16"/>
      <c r="K1908" s="16"/>
      <c r="L1908" s="16"/>
      <c r="M1908" s="16"/>
      <c r="N1908" s="16"/>
      <c r="O1908" s="16"/>
      <c r="P1908" s="16"/>
      <c r="Q1908" s="16"/>
      <c r="R1908" s="16"/>
    </row>
    <row r="1909" spans="1:18" ht="18">
      <c r="A1909" s="61"/>
      <c r="B1909" s="15"/>
      <c r="C1909" s="31"/>
      <c r="D1909" s="90"/>
      <c r="E1909" s="16"/>
      <c r="F1909" s="33"/>
      <c r="G1909" s="16"/>
      <c r="H1909" s="16"/>
      <c r="I1909" s="16"/>
      <c r="J1909" s="16"/>
      <c r="K1909" s="16"/>
      <c r="L1909" s="16"/>
      <c r="M1909" s="16"/>
      <c r="N1909" s="16"/>
      <c r="O1909" s="16"/>
      <c r="P1909" s="16"/>
      <c r="Q1909" s="16"/>
      <c r="R1909" s="16"/>
    </row>
    <row r="1910" spans="1:18" ht="18">
      <c r="A1910" s="61"/>
      <c r="B1910" s="15"/>
      <c r="C1910" s="31"/>
      <c r="D1910" s="90"/>
      <c r="E1910" s="16"/>
      <c r="F1910" s="33"/>
      <c r="G1910" s="16"/>
      <c r="H1910" s="16"/>
      <c r="I1910" s="16"/>
      <c r="J1910" s="16"/>
      <c r="K1910" s="16"/>
      <c r="L1910" s="16"/>
      <c r="M1910" s="16"/>
      <c r="N1910" s="16"/>
      <c r="O1910" s="16"/>
      <c r="P1910" s="16"/>
      <c r="Q1910" s="16"/>
      <c r="R1910" s="16"/>
    </row>
    <row r="1911" spans="1:18" ht="18">
      <c r="A1911" s="61"/>
      <c r="B1911" s="15"/>
      <c r="C1911" s="31"/>
      <c r="D1911" s="90"/>
      <c r="E1911" s="16"/>
      <c r="F1911" s="33"/>
      <c r="G1911" s="16"/>
      <c r="H1911" s="16"/>
      <c r="I1911" s="16"/>
      <c r="J1911" s="16"/>
      <c r="K1911" s="16"/>
      <c r="L1911" s="16"/>
      <c r="M1911" s="16"/>
      <c r="N1911" s="16"/>
      <c r="O1911" s="16"/>
      <c r="P1911" s="16"/>
      <c r="Q1911" s="16"/>
      <c r="R1911" s="16"/>
    </row>
    <row r="1912" spans="1:18" ht="18">
      <c r="A1912" s="61"/>
      <c r="B1912" s="15"/>
      <c r="C1912" s="31"/>
      <c r="D1912" s="90"/>
      <c r="E1912" s="16"/>
      <c r="F1912" s="33"/>
      <c r="G1912" s="16"/>
      <c r="H1912" s="16"/>
      <c r="I1912" s="16"/>
      <c r="J1912" s="16"/>
      <c r="K1912" s="16"/>
      <c r="L1912" s="16"/>
      <c r="M1912" s="16"/>
      <c r="N1912" s="16"/>
      <c r="O1912" s="16"/>
      <c r="P1912" s="16"/>
      <c r="Q1912" s="16"/>
      <c r="R1912" s="16"/>
    </row>
    <row r="1913" spans="1:18" ht="18">
      <c r="A1913" s="61"/>
      <c r="B1913" s="15"/>
      <c r="C1913" s="31"/>
      <c r="D1913" s="90"/>
      <c r="E1913" s="16"/>
      <c r="F1913" s="33"/>
      <c r="G1913" s="16"/>
      <c r="H1913" s="16"/>
      <c r="I1913" s="16"/>
      <c r="J1913" s="16"/>
      <c r="K1913" s="16"/>
      <c r="L1913" s="16"/>
      <c r="M1913" s="16"/>
      <c r="N1913" s="16"/>
      <c r="O1913" s="16"/>
      <c r="P1913" s="16"/>
      <c r="Q1913" s="16"/>
      <c r="R1913" s="16"/>
    </row>
    <row r="1914" spans="1:18" ht="18">
      <c r="A1914" s="61"/>
      <c r="B1914" s="15"/>
      <c r="C1914" s="31"/>
      <c r="D1914" s="90"/>
      <c r="E1914" s="16"/>
      <c r="F1914" s="33"/>
      <c r="G1914" s="16"/>
      <c r="H1914" s="16"/>
      <c r="I1914" s="16"/>
      <c r="J1914" s="16"/>
      <c r="K1914" s="16"/>
      <c r="L1914" s="16"/>
      <c r="M1914" s="16"/>
      <c r="N1914" s="16"/>
      <c r="O1914" s="16"/>
      <c r="P1914" s="16"/>
      <c r="Q1914" s="16"/>
      <c r="R1914" s="16"/>
    </row>
    <row r="1915" spans="1:18" ht="18">
      <c r="A1915" s="61"/>
      <c r="B1915" s="15"/>
      <c r="C1915" s="31"/>
      <c r="D1915" s="90"/>
      <c r="E1915" s="16"/>
      <c r="F1915" s="33"/>
      <c r="G1915" s="16"/>
      <c r="H1915" s="16"/>
      <c r="I1915" s="16"/>
      <c r="J1915" s="16"/>
      <c r="K1915" s="16"/>
      <c r="L1915" s="16"/>
      <c r="M1915" s="16"/>
      <c r="N1915" s="16"/>
      <c r="O1915" s="16"/>
      <c r="P1915" s="16"/>
      <c r="Q1915" s="16"/>
      <c r="R1915" s="16"/>
    </row>
    <row r="1916" spans="1:18" ht="18">
      <c r="A1916" s="61"/>
      <c r="B1916" s="15"/>
      <c r="C1916" s="31"/>
      <c r="D1916" s="90"/>
      <c r="E1916" s="16"/>
      <c r="F1916" s="33"/>
      <c r="G1916" s="16"/>
      <c r="H1916" s="16"/>
      <c r="I1916" s="16"/>
      <c r="J1916" s="16"/>
      <c r="K1916" s="16"/>
      <c r="L1916" s="16"/>
      <c r="M1916" s="16"/>
      <c r="N1916" s="16"/>
      <c r="O1916" s="16"/>
      <c r="P1916" s="16"/>
      <c r="Q1916" s="16"/>
      <c r="R1916" s="16"/>
    </row>
    <row r="1917" spans="1:18" ht="18">
      <c r="A1917" s="61"/>
      <c r="B1917" s="15"/>
      <c r="C1917" s="31"/>
      <c r="D1917" s="90"/>
      <c r="E1917" s="16"/>
      <c r="F1917" s="33"/>
      <c r="G1917" s="16"/>
      <c r="H1917" s="16"/>
      <c r="I1917" s="16"/>
      <c r="J1917" s="16"/>
      <c r="K1917" s="16"/>
      <c r="L1917" s="16"/>
      <c r="M1917" s="16"/>
      <c r="N1917" s="16"/>
      <c r="O1917" s="16"/>
      <c r="P1917" s="16"/>
      <c r="Q1917" s="16"/>
      <c r="R1917" s="16"/>
    </row>
    <row r="1918" spans="1:18" ht="18">
      <c r="A1918" s="61"/>
      <c r="B1918" s="15"/>
      <c r="C1918" s="31"/>
      <c r="D1918" s="90"/>
      <c r="E1918" s="16"/>
      <c r="F1918" s="33"/>
      <c r="G1918" s="16"/>
      <c r="H1918" s="16"/>
      <c r="I1918" s="16"/>
      <c r="J1918" s="16"/>
      <c r="K1918" s="16"/>
      <c r="L1918" s="16"/>
      <c r="M1918" s="16"/>
      <c r="N1918" s="16"/>
      <c r="O1918" s="16"/>
      <c r="P1918" s="16"/>
      <c r="Q1918" s="16"/>
      <c r="R1918" s="16"/>
    </row>
    <row r="1919" spans="1:18" ht="18">
      <c r="A1919" s="61"/>
      <c r="B1919" s="15"/>
      <c r="C1919" s="31"/>
      <c r="D1919" s="90"/>
      <c r="E1919" s="16"/>
      <c r="F1919" s="33"/>
      <c r="G1919" s="16"/>
      <c r="H1919" s="16"/>
      <c r="I1919" s="16"/>
      <c r="J1919" s="16"/>
      <c r="K1919" s="16"/>
      <c r="L1919" s="16"/>
      <c r="M1919" s="16"/>
      <c r="N1919" s="16"/>
      <c r="O1919" s="16"/>
      <c r="P1919" s="16"/>
      <c r="Q1919" s="16"/>
      <c r="R1919" s="16"/>
    </row>
    <row r="1920" spans="1:18" ht="18">
      <c r="A1920" s="61"/>
      <c r="B1920" s="15"/>
      <c r="C1920" s="31"/>
      <c r="D1920" s="90"/>
      <c r="E1920" s="16"/>
      <c r="F1920" s="33"/>
      <c r="G1920" s="16"/>
      <c r="H1920" s="16"/>
      <c r="I1920" s="16"/>
      <c r="J1920" s="16"/>
      <c r="K1920" s="16"/>
      <c r="L1920" s="16"/>
      <c r="M1920" s="16"/>
      <c r="N1920" s="16"/>
      <c r="O1920" s="16"/>
      <c r="P1920" s="16"/>
      <c r="Q1920" s="16"/>
      <c r="R1920" s="16"/>
    </row>
    <row r="1921" spans="1:18" ht="18">
      <c r="A1921" s="61"/>
      <c r="B1921" s="15"/>
      <c r="C1921" s="31"/>
      <c r="D1921" s="90"/>
      <c r="E1921" s="16"/>
      <c r="F1921" s="33"/>
      <c r="G1921" s="16"/>
      <c r="H1921" s="16"/>
      <c r="I1921" s="16"/>
      <c r="J1921" s="16"/>
      <c r="K1921" s="16"/>
      <c r="L1921" s="16"/>
      <c r="M1921" s="16"/>
      <c r="N1921" s="16"/>
      <c r="O1921" s="16"/>
      <c r="P1921" s="16"/>
      <c r="Q1921" s="16"/>
      <c r="R1921" s="16"/>
    </row>
    <row r="1922" spans="1:18" ht="18">
      <c r="A1922" s="61"/>
      <c r="B1922" s="15"/>
      <c r="C1922" s="31"/>
      <c r="D1922" s="90"/>
      <c r="E1922" s="16"/>
      <c r="F1922" s="33"/>
      <c r="G1922" s="16"/>
      <c r="H1922" s="16"/>
      <c r="I1922" s="16"/>
      <c r="J1922" s="16"/>
      <c r="K1922" s="16"/>
      <c r="L1922" s="16"/>
      <c r="M1922" s="16"/>
      <c r="N1922" s="16"/>
      <c r="O1922" s="16"/>
      <c r="P1922" s="16"/>
      <c r="Q1922" s="16"/>
      <c r="R1922" s="16"/>
    </row>
    <row r="1923" spans="1:18" ht="18">
      <c r="A1923" s="61"/>
      <c r="B1923" s="15"/>
      <c r="C1923" s="31"/>
      <c r="D1923" s="90"/>
      <c r="E1923" s="16"/>
      <c r="F1923" s="33"/>
      <c r="G1923" s="16"/>
      <c r="H1923" s="16"/>
      <c r="I1923" s="16"/>
      <c r="J1923" s="16"/>
      <c r="K1923" s="16"/>
      <c r="L1923" s="16"/>
      <c r="M1923" s="16"/>
      <c r="N1923" s="16"/>
      <c r="O1923" s="16"/>
      <c r="P1923" s="16"/>
      <c r="Q1923" s="16"/>
      <c r="R1923" s="16"/>
    </row>
    <row r="1924" spans="1:18" ht="18">
      <c r="A1924" s="61"/>
      <c r="B1924" s="15"/>
      <c r="C1924" s="31"/>
      <c r="D1924" s="90"/>
      <c r="E1924" s="16"/>
      <c r="F1924" s="33"/>
      <c r="G1924" s="16"/>
      <c r="H1924" s="16"/>
      <c r="I1924" s="16"/>
      <c r="J1924" s="16"/>
      <c r="K1924" s="16"/>
      <c r="L1924" s="16"/>
      <c r="M1924" s="16"/>
      <c r="N1924" s="16"/>
      <c r="O1924" s="16"/>
      <c r="P1924" s="16"/>
      <c r="Q1924" s="16"/>
      <c r="R1924" s="16"/>
    </row>
    <row r="1925" spans="1:18" ht="18">
      <c r="A1925" s="61"/>
      <c r="B1925" s="15"/>
      <c r="C1925" s="31"/>
      <c r="D1925" s="90"/>
      <c r="E1925" s="16"/>
      <c r="F1925" s="33"/>
      <c r="G1925" s="16"/>
      <c r="H1925" s="16"/>
      <c r="I1925" s="16"/>
      <c r="J1925" s="16"/>
      <c r="K1925" s="16"/>
      <c r="L1925" s="16"/>
      <c r="M1925" s="16"/>
      <c r="N1925" s="16"/>
      <c r="O1925" s="16"/>
      <c r="P1925" s="16"/>
      <c r="Q1925" s="16"/>
      <c r="R1925" s="16"/>
    </row>
    <row r="1926" spans="1:18" ht="18">
      <c r="A1926" s="61"/>
      <c r="B1926" s="15"/>
      <c r="C1926" s="31"/>
      <c r="D1926" s="90"/>
      <c r="E1926" s="16"/>
      <c r="F1926" s="33"/>
      <c r="G1926" s="16"/>
      <c r="H1926" s="16"/>
      <c r="I1926" s="16"/>
      <c r="J1926" s="16"/>
      <c r="K1926" s="16"/>
      <c r="L1926" s="16"/>
      <c r="M1926" s="16"/>
      <c r="N1926" s="16"/>
      <c r="O1926" s="16"/>
      <c r="P1926" s="16"/>
      <c r="Q1926" s="16"/>
      <c r="R1926" s="16"/>
    </row>
    <row r="1927" spans="1:18" ht="18">
      <c r="A1927" s="61"/>
      <c r="B1927" s="15"/>
      <c r="C1927" s="31"/>
      <c r="D1927" s="90"/>
      <c r="E1927" s="16"/>
      <c r="F1927" s="33"/>
      <c r="G1927" s="16"/>
      <c r="H1927" s="16"/>
      <c r="I1927" s="16"/>
      <c r="J1927" s="16"/>
      <c r="K1927" s="16"/>
      <c r="L1927" s="16"/>
      <c r="M1927" s="16"/>
      <c r="N1927" s="16"/>
      <c r="O1927" s="16"/>
      <c r="P1927" s="16"/>
      <c r="Q1927" s="16"/>
      <c r="R1927" s="16"/>
    </row>
    <row r="1928" spans="1:18" ht="18">
      <c r="A1928" s="61"/>
      <c r="B1928" s="15"/>
      <c r="C1928" s="31"/>
      <c r="D1928" s="90"/>
      <c r="E1928" s="16"/>
      <c r="F1928" s="33"/>
      <c r="G1928" s="16"/>
      <c r="H1928" s="16"/>
      <c r="I1928" s="16"/>
      <c r="J1928" s="16"/>
      <c r="K1928" s="16"/>
      <c r="L1928" s="16"/>
      <c r="M1928" s="16"/>
      <c r="N1928" s="16"/>
      <c r="O1928" s="16"/>
      <c r="P1928" s="16"/>
      <c r="Q1928" s="16"/>
      <c r="R1928" s="16"/>
    </row>
    <row r="1929" spans="1:18" ht="18">
      <c r="A1929" s="61"/>
      <c r="B1929" s="15"/>
      <c r="C1929" s="31"/>
      <c r="D1929" s="90"/>
      <c r="E1929" s="16"/>
      <c r="F1929" s="33"/>
      <c r="G1929" s="16"/>
      <c r="H1929" s="16"/>
      <c r="I1929" s="16"/>
      <c r="J1929" s="16"/>
      <c r="K1929" s="16"/>
      <c r="L1929" s="16"/>
      <c r="M1929" s="16"/>
      <c r="N1929" s="16"/>
      <c r="O1929" s="16"/>
      <c r="P1929" s="16"/>
      <c r="Q1929" s="16"/>
      <c r="R1929" s="16"/>
    </row>
    <row r="1930" spans="1:18" ht="18">
      <c r="A1930" s="61"/>
      <c r="B1930" s="15"/>
      <c r="C1930" s="31"/>
      <c r="D1930" s="90"/>
      <c r="E1930" s="16"/>
      <c r="F1930" s="33"/>
      <c r="G1930" s="16"/>
      <c r="H1930" s="16"/>
      <c r="I1930" s="16"/>
      <c r="J1930" s="16"/>
      <c r="K1930" s="16"/>
      <c r="L1930" s="16"/>
      <c r="M1930" s="16"/>
      <c r="N1930" s="16"/>
      <c r="O1930" s="16"/>
      <c r="P1930" s="16"/>
      <c r="Q1930" s="16"/>
      <c r="R1930" s="16"/>
    </row>
    <row r="1931" spans="1:18" ht="18">
      <c r="A1931" s="61"/>
      <c r="B1931" s="15"/>
      <c r="C1931" s="31"/>
      <c r="D1931" s="90"/>
      <c r="E1931" s="16"/>
      <c r="F1931" s="33"/>
      <c r="G1931" s="16"/>
      <c r="H1931" s="16"/>
      <c r="I1931" s="16"/>
      <c r="J1931" s="16"/>
      <c r="K1931" s="16"/>
      <c r="L1931" s="16"/>
      <c r="M1931" s="16"/>
      <c r="N1931" s="16"/>
      <c r="O1931" s="16"/>
      <c r="P1931" s="16"/>
      <c r="Q1931" s="16"/>
      <c r="R1931" s="16"/>
    </row>
    <row r="1932" spans="1:18" ht="18">
      <c r="A1932" s="61"/>
      <c r="B1932" s="15"/>
      <c r="C1932" s="31"/>
      <c r="D1932" s="90"/>
      <c r="E1932" s="16"/>
      <c r="F1932" s="33"/>
      <c r="G1932" s="16"/>
      <c r="H1932" s="16"/>
      <c r="I1932" s="16"/>
      <c r="J1932" s="16"/>
      <c r="K1932" s="16"/>
      <c r="L1932" s="16"/>
      <c r="M1932" s="16"/>
      <c r="N1932" s="16"/>
      <c r="O1932" s="16"/>
      <c r="P1932" s="16"/>
      <c r="Q1932" s="16"/>
      <c r="R1932" s="16"/>
    </row>
    <row r="1933" spans="1:18" ht="18">
      <c r="A1933" s="61"/>
      <c r="B1933" s="15"/>
      <c r="C1933" s="31"/>
      <c r="D1933" s="90"/>
      <c r="E1933" s="16"/>
      <c r="F1933" s="33"/>
      <c r="G1933" s="16"/>
      <c r="H1933" s="16"/>
      <c r="I1933" s="16"/>
      <c r="J1933" s="16"/>
      <c r="K1933" s="16"/>
      <c r="L1933" s="16"/>
      <c r="M1933" s="16"/>
      <c r="N1933" s="16"/>
      <c r="O1933" s="16"/>
      <c r="P1933" s="16"/>
      <c r="Q1933" s="16"/>
      <c r="R1933" s="16"/>
    </row>
    <row r="1934" spans="1:18" ht="18">
      <c r="A1934" s="61"/>
      <c r="B1934" s="15"/>
      <c r="C1934" s="31"/>
      <c r="D1934" s="90"/>
      <c r="E1934" s="16"/>
      <c r="F1934" s="33"/>
      <c r="G1934" s="16"/>
      <c r="H1934" s="16"/>
      <c r="I1934" s="16"/>
      <c r="J1934" s="16"/>
      <c r="K1934" s="16"/>
      <c r="L1934" s="16"/>
      <c r="M1934" s="16"/>
      <c r="N1934" s="16"/>
      <c r="O1934" s="16"/>
      <c r="P1934" s="16"/>
      <c r="Q1934" s="16"/>
      <c r="R1934" s="16"/>
    </row>
    <row r="1935" spans="1:18" ht="18">
      <c r="A1935" s="61"/>
      <c r="B1935" s="15"/>
      <c r="C1935" s="31"/>
      <c r="D1935" s="90"/>
      <c r="E1935" s="16"/>
      <c r="F1935" s="33"/>
      <c r="G1935" s="16"/>
      <c r="H1935" s="16"/>
      <c r="I1935" s="16"/>
      <c r="J1935" s="16"/>
      <c r="K1935" s="16"/>
      <c r="L1935" s="16"/>
      <c r="M1935" s="16"/>
      <c r="N1935" s="16"/>
      <c r="O1935" s="16"/>
      <c r="P1935" s="16"/>
      <c r="Q1935" s="16"/>
      <c r="R1935" s="16"/>
    </row>
    <row r="1936" spans="1:18" ht="18">
      <c r="A1936" s="61"/>
      <c r="B1936" s="15"/>
      <c r="C1936" s="31"/>
      <c r="D1936" s="90"/>
      <c r="E1936" s="16"/>
      <c r="F1936" s="33"/>
      <c r="G1936" s="16"/>
      <c r="H1936" s="16"/>
      <c r="I1936" s="16"/>
      <c r="J1936" s="16"/>
      <c r="K1936" s="16"/>
      <c r="L1936" s="16"/>
      <c r="M1936" s="16"/>
      <c r="N1936" s="16"/>
      <c r="O1936" s="16"/>
      <c r="P1936" s="16"/>
      <c r="Q1936" s="16"/>
      <c r="R1936" s="16"/>
    </row>
    <row r="1937" spans="1:18" ht="18">
      <c r="A1937" s="61"/>
      <c r="B1937" s="15"/>
      <c r="C1937" s="31"/>
      <c r="D1937" s="90"/>
      <c r="E1937" s="16"/>
      <c r="F1937" s="33"/>
      <c r="G1937" s="16"/>
      <c r="H1937" s="16"/>
      <c r="I1937" s="16"/>
      <c r="J1937" s="16"/>
      <c r="K1937" s="16"/>
      <c r="L1937" s="16"/>
      <c r="M1937" s="16"/>
      <c r="N1937" s="16"/>
      <c r="O1937" s="16"/>
      <c r="P1937" s="16"/>
      <c r="Q1937" s="16"/>
      <c r="R1937" s="16"/>
    </row>
    <row r="1938" spans="1:18" ht="18">
      <c r="A1938" s="61"/>
      <c r="B1938" s="15"/>
      <c r="C1938" s="31"/>
      <c r="D1938" s="90"/>
      <c r="E1938" s="16"/>
      <c r="F1938" s="33"/>
      <c r="G1938" s="16"/>
      <c r="H1938" s="16"/>
      <c r="I1938" s="16"/>
      <c r="J1938" s="16"/>
      <c r="K1938" s="16"/>
      <c r="L1938" s="16"/>
      <c r="M1938" s="16"/>
      <c r="N1938" s="16"/>
      <c r="O1938" s="16"/>
      <c r="P1938" s="16"/>
      <c r="Q1938" s="16"/>
      <c r="R1938" s="16"/>
    </row>
    <row r="1939" spans="1:18" ht="18">
      <c r="A1939" s="61"/>
      <c r="B1939" s="15"/>
      <c r="C1939" s="31"/>
      <c r="D1939" s="90"/>
      <c r="E1939" s="16"/>
      <c r="F1939" s="33"/>
      <c r="G1939" s="16"/>
      <c r="H1939" s="16"/>
      <c r="I1939" s="16"/>
      <c r="J1939" s="16"/>
      <c r="K1939" s="16"/>
      <c r="L1939" s="16"/>
      <c r="M1939" s="16"/>
      <c r="N1939" s="16"/>
      <c r="O1939" s="16"/>
      <c r="P1939" s="16"/>
      <c r="Q1939" s="16"/>
      <c r="R1939" s="16"/>
    </row>
    <row r="1940" spans="1:18" ht="18">
      <c r="A1940" s="61"/>
      <c r="B1940" s="15"/>
      <c r="C1940" s="31"/>
      <c r="D1940" s="90"/>
      <c r="E1940" s="16"/>
      <c r="F1940" s="33"/>
      <c r="G1940" s="16"/>
      <c r="H1940" s="16"/>
      <c r="I1940" s="16"/>
      <c r="J1940" s="16"/>
      <c r="K1940" s="16"/>
      <c r="L1940" s="16"/>
      <c r="M1940" s="16"/>
      <c r="N1940" s="16"/>
      <c r="O1940" s="16"/>
      <c r="P1940" s="16"/>
      <c r="Q1940" s="16"/>
      <c r="R1940" s="16"/>
    </row>
    <row r="1941" spans="1:18" ht="18">
      <c r="A1941" s="61"/>
      <c r="B1941" s="15"/>
      <c r="C1941" s="31"/>
      <c r="D1941" s="90"/>
      <c r="E1941" s="16"/>
      <c r="F1941" s="33"/>
      <c r="G1941" s="16"/>
      <c r="H1941" s="16"/>
      <c r="I1941" s="16"/>
      <c r="J1941" s="16"/>
      <c r="K1941" s="16"/>
      <c r="L1941" s="16"/>
      <c r="M1941" s="16"/>
      <c r="N1941" s="16"/>
      <c r="O1941" s="16"/>
      <c r="P1941" s="16"/>
      <c r="Q1941" s="16"/>
      <c r="R1941" s="16"/>
    </row>
    <row r="1942" spans="1:18" ht="18">
      <c r="A1942" s="61"/>
      <c r="B1942" s="15"/>
      <c r="C1942" s="31"/>
      <c r="D1942" s="90"/>
      <c r="E1942" s="16"/>
      <c r="F1942" s="33"/>
      <c r="G1942" s="16"/>
      <c r="H1942" s="16"/>
      <c r="I1942" s="16"/>
      <c r="J1942" s="16"/>
      <c r="K1942" s="16"/>
      <c r="L1942" s="16"/>
      <c r="M1942" s="16"/>
      <c r="N1942" s="16"/>
      <c r="O1942" s="16"/>
      <c r="P1942" s="16"/>
      <c r="Q1942" s="16"/>
      <c r="R1942" s="16"/>
    </row>
    <row r="1943" spans="1:18" ht="18">
      <c r="A1943" s="61"/>
      <c r="B1943" s="15"/>
      <c r="C1943" s="31"/>
      <c r="D1943" s="90"/>
      <c r="E1943" s="16"/>
      <c r="F1943" s="33"/>
      <c r="G1943" s="16"/>
      <c r="H1943" s="16"/>
      <c r="I1943" s="16"/>
      <c r="J1943" s="16"/>
      <c r="K1943" s="16"/>
      <c r="L1943" s="16"/>
      <c r="M1943" s="16"/>
      <c r="N1943" s="16"/>
      <c r="O1943" s="16"/>
      <c r="P1943" s="16"/>
      <c r="Q1943" s="16"/>
      <c r="R1943" s="16"/>
    </row>
    <row r="1944" spans="1:18" ht="18">
      <c r="A1944" s="61"/>
      <c r="B1944" s="15"/>
      <c r="C1944" s="31"/>
      <c r="D1944" s="90"/>
      <c r="E1944" s="16"/>
      <c r="F1944" s="33"/>
      <c r="G1944" s="16"/>
      <c r="H1944" s="16"/>
      <c r="I1944" s="16"/>
      <c r="J1944" s="16"/>
      <c r="K1944" s="16"/>
      <c r="L1944" s="16"/>
      <c r="M1944" s="16"/>
      <c r="N1944" s="16"/>
      <c r="O1944" s="16"/>
      <c r="P1944" s="16"/>
      <c r="Q1944" s="16"/>
      <c r="R1944" s="16"/>
    </row>
    <row r="1945" spans="1:18" ht="18">
      <c r="A1945" s="61"/>
      <c r="B1945" s="15"/>
      <c r="C1945" s="31"/>
      <c r="D1945" s="90"/>
      <c r="E1945" s="16"/>
      <c r="F1945" s="33"/>
      <c r="G1945" s="16"/>
      <c r="H1945" s="16"/>
      <c r="I1945" s="16"/>
      <c r="J1945" s="16"/>
      <c r="K1945" s="16"/>
      <c r="L1945" s="16"/>
      <c r="M1945" s="16"/>
      <c r="N1945" s="16"/>
      <c r="O1945" s="16"/>
      <c r="P1945" s="16"/>
      <c r="Q1945" s="16"/>
      <c r="R1945" s="16"/>
    </row>
    <row r="1946" spans="1:18" ht="18">
      <c r="A1946" s="61"/>
      <c r="B1946" s="15"/>
      <c r="C1946" s="31"/>
      <c r="D1946" s="90"/>
      <c r="E1946" s="16"/>
      <c r="F1946" s="33"/>
      <c r="G1946" s="16"/>
      <c r="H1946" s="16"/>
      <c r="I1946" s="16"/>
      <c r="J1946" s="16"/>
      <c r="K1946" s="16"/>
      <c r="L1946" s="16"/>
      <c r="M1946" s="16"/>
      <c r="N1946" s="16"/>
      <c r="O1946" s="16"/>
      <c r="P1946" s="16"/>
      <c r="Q1946" s="16"/>
      <c r="R1946" s="16"/>
    </row>
    <row r="1947" spans="1:18" ht="18">
      <c r="A1947" s="61"/>
      <c r="B1947" s="15"/>
      <c r="C1947" s="31"/>
      <c r="D1947" s="90"/>
      <c r="E1947" s="16"/>
      <c r="F1947" s="33"/>
      <c r="G1947" s="16"/>
      <c r="H1947" s="16"/>
      <c r="I1947" s="16"/>
      <c r="J1947" s="16"/>
      <c r="K1947" s="16"/>
      <c r="L1947" s="16"/>
      <c r="M1947" s="16"/>
      <c r="N1947" s="16"/>
      <c r="O1947" s="16"/>
      <c r="P1947" s="16"/>
      <c r="Q1947" s="16"/>
      <c r="R1947" s="16"/>
    </row>
    <row r="1948" spans="1:18" ht="18">
      <c r="A1948" s="61"/>
      <c r="B1948" s="15"/>
      <c r="C1948" s="31"/>
      <c r="D1948" s="90"/>
      <c r="E1948" s="16"/>
      <c r="F1948" s="33"/>
      <c r="G1948" s="16"/>
      <c r="H1948" s="16"/>
      <c r="I1948" s="16"/>
      <c r="J1948" s="16"/>
      <c r="K1948" s="16"/>
      <c r="L1948" s="16"/>
      <c r="M1948" s="16"/>
      <c r="N1948" s="16"/>
      <c r="O1948" s="16"/>
      <c r="P1948" s="16"/>
      <c r="Q1948" s="16"/>
      <c r="R1948" s="16"/>
    </row>
    <row r="1949" spans="1:18" ht="18">
      <c r="A1949" s="61"/>
      <c r="B1949" s="15"/>
      <c r="C1949" s="31"/>
      <c r="D1949" s="90"/>
      <c r="E1949" s="16"/>
      <c r="F1949" s="33"/>
      <c r="G1949" s="16"/>
      <c r="H1949" s="16"/>
      <c r="I1949" s="16"/>
      <c r="J1949" s="16"/>
      <c r="K1949" s="16"/>
      <c r="L1949" s="16"/>
      <c r="M1949" s="16"/>
      <c r="N1949" s="16"/>
      <c r="O1949" s="16"/>
      <c r="P1949" s="16"/>
      <c r="Q1949" s="16"/>
      <c r="R1949" s="16"/>
    </row>
    <row r="1950" spans="1:18" ht="18">
      <c r="A1950" s="61"/>
      <c r="B1950" s="15"/>
      <c r="C1950" s="31"/>
      <c r="D1950" s="90"/>
      <c r="E1950" s="16"/>
      <c r="F1950" s="33"/>
      <c r="G1950" s="16"/>
      <c r="H1950" s="16"/>
      <c r="I1950" s="16"/>
      <c r="J1950" s="16"/>
      <c r="K1950" s="16"/>
      <c r="L1950" s="16"/>
      <c r="M1950" s="16"/>
      <c r="N1950" s="16"/>
      <c r="O1950" s="16"/>
      <c r="P1950" s="16"/>
      <c r="Q1950" s="16"/>
      <c r="R1950" s="16"/>
    </row>
    <row r="1951" spans="1:18" ht="18">
      <c r="A1951" s="61"/>
      <c r="B1951" s="15"/>
      <c r="C1951" s="31"/>
      <c r="D1951" s="90"/>
      <c r="E1951" s="16"/>
      <c r="F1951" s="33"/>
      <c r="G1951" s="16"/>
      <c r="H1951" s="16"/>
      <c r="I1951" s="16"/>
      <c r="J1951" s="16"/>
      <c r="K1951" s="16"/>
      <c r="L1951" s="16"/>
      <c r="M1951" s="16"/>
      <c r="N1951" s="16"/>
      <c r="O1951" s="16"/>
      <c r="P1951" s="16"/>
      <c r="Q1951" s="16"/>
      <c r="R1951" s="16"/>
    </row>
    <row r="1952" spans="1:18" ht="18">
      <c r="A1952" s="61"/>
      <c r="B1952" s="15"/>
      <c r="C1952" s="31"/>
      <c r="D1952" s="90"/>
      <c r="E1952" s="16"/>
      <c r="F1952" s="33"/>
      <c r="G1952" s="16"/>
      <c r="H1952" s="16"/>
      <c r="I1952" s="16"/>
      <c r="J1952" s="16"/>
      <c r="K1952" s="16"/>
      <c r="L1952" s="16"/>
      <c r="M1952" s="16"/>
      <c r="N1952" s="16"/>
      <c r="O1952" s="16"/>
      <c r="P1952" s="16"/>
      <c r="Q1952" s="16"/>
      <c r="R1952" s="16"/>
    </row>
    <row r="1953" spans="1:18" ht="18">
      <c r="A1953" s="61"/>
      <c r="B1953" s="15"/>
      <c r="C1953" s="31"/>
      <c r="D1953" s="90"/>
      <c r="E1953" s="16"/>
      <c r="F1953" s="33"/>
      <c r="G1953" s="16"/>
      <c r="H1953" s="16"/>
      <c r="I1953" s="16"/>
      <c r="J1953" s="16"/>
      <c r="K1953" s="16"/>
      <c r="L1953" s="16"/>
      <c r="M1953" s="16"/>
      <c r="N1953" s="16"/>
      <c r="O1953" s="16"/>
      <c r="P1953" s="16"/>
      <c r="Q1953" s="16"/>
      <c r="R1953" s="16"/>
    </row>
    <row r="1954" spans="1:18" ht="18">
      <c r="A1954" s="61"/>
      <c r="B1954" s="15"/>
      <c r="C1954" s="31"/>
      <c r="D1954" s="90"/>
      <c r="E1954" s="16"/>
      <c r="F1954" s="33"/>
      <c r="G1954" s="16"/>
      <c r="H1954" s="16"/>
      <c r="I1954" s="16"/>
      <c r="J1954" s="16"/>
      <c r="K1954" s="16"/>
      <c r="L1954" s="16"/>
      <c r="M1954" s="16"/>
      <c r="N1954" s="16"/>
      <c r="O1954" s="16"/>
      <c r="P1954" s="16"/>
      <c r="Q1954" s="16"/>
      <c r="R1954" s="16"/>
    </row>
    <row r="1955" spans="1:18" ht="18">
      <c r="A1955" s="61"/>
      <c r="B1955" s="15"/>
      <c r="C1955" s="31"/>
      <c r="D1955" s="90"/>
      <c r="E1955" s="16"/>
      <c r="F1955" s="33"/>
      <c r="G1955" s="16"/>
      <c r="H1955" s="16"/>
      <c r="I1955" s="16"/>
      <c r="J1955" s="16"/>
      <c r="K1955" s="16"/>
      <c r="L1955" s="16"/>
      <c r="M1955" s="16"/>
      <c r="N1955" s="16"/>
      <c r="O1955" s="16"/>
      <c r="P1955" s="16"/>
      <c r="Q1955" s="16"/>
      <c r="R1955" s="16"/>
    </row>
    <row r="1956" spans="1:18" ht="18">
      <c r="A1956" s="61"/>
      <c r="B1956" s="15"/>
      <c r="C1956" s="31"/>
      <c r="D1956" s="90"/>
      <c r="E1956" s="16"/>
      <c r="F1956" s="33"/>
      <c r="G1956" s="16"/>
      <c r="H1956" s="16"/>
      <c r="I1956" s="16"/>
      <c r="J1956" s="16"/>
      <c r="K1956" s="16"/>
      <c r="L1956" s="16"/>
      <c r="M1956" s="16"/>
      <c r="N1956" s="16"/>
      <c r="O1956" s="16"/>
      <c r="P1956" s="16"/>
      <c r="Q1956" s="16"/>
      <c r="R1956" s="16"/>
    </row>
    <row r="1957" spans="1:18" ht="18">
      <c r="A1957" s="61"/>
      <c r="B1957" s="15"/>
      <c r="C1957" s="31"/>
      <c r="D1957" s="90"/>
      <c r="E1957" s="16"/>
      <c r="F1957" s="33"/>
      <c r="G1957" s="16"/>
      <c r="H1957" s="16"/>
      <c r="I1957" s="16"/>
      <c r="J1957" s="16"/>
      <c r="K1957" s="16"/>
      <c r="L1957" s="16"/>
      <c r="M1957" s="16"/>
      <c r="N1957" s="16"/>
      <c r="O1957" s="16"/>
      <c r="P1957" s="16"/>
      <c r="Q1957" s="16"/>
      <c r="R1957" s="16"/>
    </row>
    <row r="1958" spans="1:18" ht="18">
      <c r="A1958" s="61"/>
      <c r="B1958" s="15"/>
      <c r="C1958" s="31"/>
      <c r="D1958" s="90"/>
      <c r="E1958" s="16"/>
      <c r="F1958" s="33"/>
      <c r="G1958" s="16"/>
      <c r="H1958" s="16"/>
      <c r="I1958" s="16"/>
      <c r="J1958" s="16"/>
      <c r="K1958" s="16"/>
      <c r="L1958" s="16"/>
      <c r="M1958" s="16"/>
      <c r="N1958" s="16"/>
      <c r="O1958" s="16"/>
      <c r="P1958" s="16"/>
      <c r="Q1958" s="16"/>
      <c r="R1958" s="16"/>
    </row>
    <row r="1959" spans="1:18" ht="18">
      <c r="A1959" s="61"/>
      <c r="B1959" s="15"/>
      <c r="C1959" s="31"/>
      <c r="D1959" s="90"/>
      <c r="E1959" s="16"/>
      <c r="F1959" s="33"/>
      <c r="G1959" s="16"/>
      <c r="H1959" s="16"/>
      <c r="I1959" s="16"/>
      <c r="J1959" s="16"/>
      <c r="K1959" s="16"/>
      <c r="L1959" s="16"/>
      <c r="M1959" s="16"/>
      <c r="N1959" s="16"/>
      <c r="O1959" s="16"/>
      <c r="P1959" s="16"/>
      <c r="Q1959" s="16"/>
      <c r="R1959" s="16"/>
    </row>
    <row r="1960" spans="1:18" ht="18">
      <c r="A1960" s="61"/>
      <c r="B1960" s="15"/>
      <c r="C1960" s="31"/>
      <c r="D1960" s="90"/>
      <c r="E1960" s="16"/>
      <c r="F1960" s="33"/>
      <c r="G1960" s="16"/>
      <c r="H1960" s="16"/>
      <c r="I1960" s="16"/>
      <c r="J1960" s="16"/>
      <c r="K1960" s="16"/>
      <c r="L1960" s="16"/>
      <c r="M1960" s="16"/>
      <c r="N1960" s="16"/>
      <c r="O1960" s="16"/>
      <c r="P1960" s="16"/>
      <c r="Q1960" s="16"/>
      <c r="R1960" s="16"/>
    </row>
    <row r="1961" spans="1:18" ht="18">
      <c r="A1961" s="61"/>
      <c r="B1961" s="15"/>
      <c r="C1961" s="31"/>
      <c r="D1961" s="90"/>
      <c r="E1961" s="16"/>
      <c r="F1961" s="33"/>
      <c r="G1961" s="16"/>
      <c r="H1961" s="16"/>
      <c r="I1961" s="16"/>
      <c r="J1961" s="16"/>
      <c r="K1961" s="16"/>
      <c r="L1961" s="16"/>
      <c r="M1961" s="16"/>
      <c r="N1961" s="16"/>
      <c r="O1961" s="16"/>
      <c r="P1961" s="16"/>
      <c r="Q1961" s="16"/>
      <c r="R1961" s="16"/>
    </row>
    <row r="1962" spans="1:18" ht="18">
      <c r="A1962" s="61"/>
      <c r="B1962" s="15"/>
      <c r="C1962" s="31"/>
      <c r="D1962" s="90"/>
      <c r="E1962" s="16"/>
      <c r="F1962" s="33"/>
      <c r="G1962" s="16"/>
      <c r="H1962" s="16"/>
      <c r="I1962" s="16"/>
      <c r="J1962" s="16"/>
      <c r="K1962" s="16"/>
      <c r="L1962" s="16"/>
      <c r="M1962" s="16"/>
      <c r="N1962" s="16"/>
      <c r="O1962" s="16"/>
      <c r="P1962" s="16"/>
      <c r="Q1962" s="16"/>
      <c r="R1962" s="16"/>
    </row>
    <row r="1963" spans="1:18" ht="18">
      <c r="A1963" s="61"/>
      <c r="B1963" s="15"/>
      <c r="C1963" s="31"/>
      <c r="D1963" s="90"/>
      <c r="E1963" s="16"/>
      <c r="F1963" s="33"/>
      <c r="G1963" s="16"/>
      <c r="H1963" s="16"/>
      <c r="I1963" s="16"/>
      <c r="J1963" s="16"/>
      <c r="K1963" s="16"/>
      <c r="L1963" s="16"/>
      <c r="M1963" s="16"/>
      <c r="N1963" s="16"/>
      <c r="O1963" s="16"/>
      <c r="P1963" s="16"/>
      <c r="Q1963" s="16"/>
      <c r="R1963" s="16"/>
    </row>
    <row r="1964" spans="1:18" ht="18">
      <c r="A1964" s="61"/>
      <c r="B1964" s="15"/>
      <c r="C1964" s="31"/>
      <c r="D1964" s="90"/>
      <c r="E1964" s="16"/>
      <c r="F1964" s="33"/>
      <c r="G1964" s="16"/>
      <c r="H1964" s="16"/>
      <c r="I1964" s="16"/>
      <c r="J1964" s="16"/>
      <c r="K1964" s="16"/>
      <c r="L1964" s="16"/>
      <c r="M1964" s="16"/>
      <c r="N1964" s="16"/>
      <c r="O1964" s="16"/>
      <c r="P1964" s="16"/>
      <c r="Q1964" s="16"/>
      <c r="R1964" s="16"/>
    </row>
    <row r="1965" spans="1:18" ht="18">
      <c r="A1965" s="61"/>
      <c r="B1965" s="15"/>
      <c r="C1965" s="31"/>
      <c r="D1965" s="90"/>
      <c r="E1965" s="16"/>
      <c r="F1965" s="33"/>
      <c r="G1965" s="16"/>
      <c r="H1965" s="16"/>
      <c r="I1965" s="16"/>
      <c r="J1965" s="16"/>
      <c r="K1965" s="16"/>
      <c r="L1965" s="16"/>
      <c r="M1965" s="16"/>
      <c r="N1965" s="16"/>
      <c r="O1965" s="16"/>
      <c r="P1965" s="16"/>
      <c r="Q1965" s="16"/>
      <c r="R1965" s="16"/>
    </row>
    <row r="1966" spans="1:18" ht="18">
      <c r="A1966" s="61"/>
      <c r="B1966" s="15"/>
      <c r="C1966" s="31"/>
      <c r="D1966" s="90"/>
      <c r="E1966" s="16"/>
      <c r="F1966" s="33"/>
      <c r="G1966" s="16"/>
      <c r="H1966" s="16"/>
      <c r="I1966" s="16"/>
      <c r="J1966" s="16"/>
      <c r="K1966" s="16"/>
      <c r="L1966" s="16"/>
      <c r="M1966" s="16"/>
      <c r="N1966" s="16"/>
      <c r="O1966" s="16"/>
      <c r="P1966" s="16"/>
      <c r="Q1966" s="16"/>
      <c r="R1966" s="16"/>
    </row>
    <row r="1967" spans="1:18" ht="18">
      <c r="A1967" s="61"/>
      <c r="B1967" s="15"/>
      <c r="C1967" s="31"/>
      <c r="D1967" s="90"/>
      <c r="E1967" s="16"/>
      <c r="F1967" s="33"/>
      <c r="G1967" s="16"/>
      <c r="H1967" s="16"/>
      <c r="I1967" s="16"/>
      <c r="J1967" s="16"/>
      <c r="K1967" s="16"/>
      <c r="L1967" s="16"/>
      <c r="M1967" s="16"/>
      <c r="N1967" s="16"/>
      <c r="O1967" s="16"/>
      <c r="P1967" s="16"/>
      <c r="Q1967" s="16"/>
      <c r="R1967" s="16"/>
    </row>
    <row r="1968" spans="1:18" ht="18">
      <c r="A1968" s="61"/>
      <c r="B1968" s="15"/>
      <c r="C1968" s="31"/>
      <c r="D1968" s="90"/>
      <c r="E1968" s="16"/>
      <c r="F1968" s="33"/>
      <c r="G1968" s="16"/>
      <c r="H1968" s="16"/>
      <c r="I1968" s="16"/>
      <c r="J1968" s="16"/>
      <c r="K1968" s="16"/>
      <c r="L1968" s="16"/>
      <c r="M1968" s="16"/>
      <c r="N1968" s="16"/>
      <c r="O1968" s="16"/>
      <c r="P1968" s="16"/>
      <c r="Q1968" s="16"/>
      <c r="R1968" s="16"/>
    </row>
    <row r="1969" spans="1:18" ht="18">
      <c r="A1969" s="61"/>
      <c r="B1969" s="15"/>
      <c r="C1969" s="31"/>
      <c r="D1969" s="90"/>
      <c r="E1969" s="16"/>
      <c r="F1969" s="33"/>
      <c r="G1969" s="16"/>
      <c r="H1969" s="16"/>
      <c r="I1969" s="16"/>
      <c r="J1969" s="16"/>
      <c r="K1969" s="16"/>
      <c r="L1969" s="16"/>
      <c r="M1969" s="16"/>
      <c r="N1969" s="16"/>
      <c r="O1969" s="16"/>
      <c r="P1969" s="16"/>
      <c r="Q1969" s="16"/>
      <c r="R1969" s="16"/>
    </row>
    <row r="1970" spans="1:18" ht="18">
      <c r="A1970" s="61"/>
      <c r="B1970" s="15"/>
      <c r="C1970" s="31"/>
      <c r="D1970" s="90"/>
      <c r="E1970" s="16"/>
      <c r="F1970" s="33"/>
      <c r="G1970" s="16"/>
      <c r="H1970" s="16"/>
      <c r="I1970" s="16"/>
      <c r="J1970" s="16"/>
      <c r="K1970" s="16"/>
      <c r="L1970" s="16"/>
      <c r="M1970" s="16"/>
      <c r="N1970" s="16"/>
      <c r="O1970" s="16"/>
      <c r="P1970" s="16"/>
      <c r="Q1970" s="16"/>
      <c r="R1970" s="16"/>
    </row>
    <row r="1971" spans="1:18" ht="18">
      <c r="A1971" s="61"/>
      <c r="B1971" s="15"/>
      <c r="C1971" s="31"/>
      <c r="D1971" s="90"/>
      <c r="E1971" s="16"/>
      <c r="F1971" s="33"/>
      <c r="G1971" s="16"/>
      <c r="H1971" s="16"/>
      <c r="I1971" s="16"/>
      <c r="J1971" s="16"/>
      <c r="K1971" s="16"/>
      <c r="L1971" s="16"/>
      <c r="M1971" s="16"/>
      <c r="N1971" s="16"/>
      <c r="O1971" s="16"/>
      <c r="P1971" s="16"/>
      <c r="Q1971" s="16"/>
      <c r="R1971" s="16"/>
    </row>
    <row r="1972" spans="1:18" ht="18">
      <c r="A1972" s="61"/>
      <c r="B1972" s="15"/>
      <c r="C1972" s="31"/>
      <c r="D1972" s="90"/>
      <c r="E1972" s="16"/>
      <c r="F1972" s="33"/>
      <c r="G1972" s="16"/>
      <c r="H1972" s="16"/>
      <c r="I1972" s="16"/>
      <c r="J1972" s="16"/>
      <c r="K1972" s="16"/>
      <c r="L1972" s="16"/>
      <c r="M1972" s="16"/>
      <c r="N1972" s="16"/>
      <c r="O1972" s="16"/>
      <c r="P1972" s="16"/>
      <c r="Q1972" s="16"/>
      <c r="R1972" s="16"/>
    </row>
    <row r="1973" spans="1:18" ht="18">
      <c r="A1973" s="61"/>
      <c r="B1973" s="15"/>
      <c r="C1973" s="31"/>
      <c r="D1973" s="90"/>
      <c r="E1973" s="16"/>
      <c r="F1973" s="33"/>
      <c r="G1973" s="16"/>
      <c r="H1973" s="16"/>
      <c r="I1973" s="16"/>
      <c r="J1973" s="16"/>
      <c r="K1973" s="16"/>
      <c r="L1973" s="16"/>
      <c r="M1973" s="16"/>
      <c r="N1973" s="16"/>
      <c r="O1973" s="16"/>
      <c r="P1973" s="16"/>
      <c r="Q1973" s="16"/>
      <c r="R1973" s="16"/>
    </row>
    <row r="1974" spans="1:18" ht="18">
      <c r="A1974" s="61"/>
      <c r="B1974" s="15"/>
      <c r="C1974" s="31"/>
      <c r="D1974" s="90"/>
      <c r="E1974" s="16"/>
      <c r="F1974" s="33"/>
      <c r="G1974" s="16"/>
      <c r="H1974" s="16"/>
      <c r="I1974" s="16"/>
      <c r="J1974" s="16"/>
      <c r="K1974" s="16"/>
      <c r="L1974" s="16"/>
      <c r="M1974" s="16"/>
      <c r="N1974" s="16"/>
      <c r="O1974" s="16"/>
      <c r="P1974" s="16"/>
      <c r="Q1974" s="16"/>
      <c r="R1974" s="16"/>
    </row>
    <row r="1975" spans="1:18" ht="18">
      <c r="A1975" s="61"/>
      <c r="B1975" s="15"/>
      <c r="C1975" s="31"/>
      <c r="D1975" s="90"/>
      <c r="E1975" s="16"/>
      <c r="F1975" s="33"/>
      <c r="G1975" s="16"/>
      <c r="H1975" s="16"/>
      <c r="I1975" s="16"/>
      <c r="J1975" s="16"/>
      <c r="K1975" s="16"/>
      <c r="L1975" s="16"/>
      <c r="M1975" s="16"/>
      <c r="N1975" s="16"/>
      <c r="O1975" s="16"/>
      <c r="P1975" s="16"/>
      <c r="Q1975" s="16"/>
      <c r="R1975" s="16"/>
    </row>
    <row r="1976" spans="1:18" ht="18">
      <c r="A1976" s="61"/>
      <c r="B1976" s="15"/>
      <c r="C1976" s="31"/>
      <c r="D1976" s="90"/>
      <c r="E1976" s="16"/>
      <c r="F1976" s="33"/>
      <c r="G1976" s="16"/>
      <c r="H1976" s="16"/>
      <c r="I1976" s="16"/>
      <c r="J1976" s="16"/>
      <c r="K1976" s="16"/>
      <c r="L1976" s="16"/>
      <c r="M1976" s="16"/>
      <c r="N1976" s="16"/>
      <c r="O1976" s="16"/>
      <c r="P1976" s="16"/>
      <c r="Q1976" s="16"/>
      <c r="R1976" s="16"/>
    </row>
    <row r="1977" spans="1:18" ht="18">
      <c r="A1977" s="61"/>
      <c r="B1977" s="15"/>
      <c r="C1977" s="31"/>
      <c r="D1977" s="90"/>
      <c r="E1977" s="16"/>
      <c r="F1977" s="33"/>
      <c r="G1977" s="16"/>
      <c r="H1977" s="16"/>
      <c r="I1977" s="16"/>
      <c r="J1977" s="16"/>
      <c r="K1977" s="16"/>
      <c r="L1977" s="16"/>
      <c r="M1977" s="16"/>
      <c r="N1977" s="16"/>
      <c r="O1977" s="16"/>
      <c r="P1977" s="16"/>
      <c r="Q1977" s="16"/>
      <c r="R1977" s="16"/>
    </row>
    <row r="1978" spans="1:18" ht="18">
      <c r="A1978" s="61"/>
      <c r="B1978" s="15"/>
      <c r="C1978" s="31"/>
      <c r="D1978" s="90"/>
      <c r="E1978" s="16"/>
      <c r="F1978" s="33"/>
      <c r="G1978" s="16"/>
      <c r="H1978" s="16"/>
      <c r="I1978" s="16"/>
      <c r="J1978" s="16"/>
      <c r="K1978" s="16"/>
      <c r="L1978" s="16"/>
      <c r="M1978" s="16"/>
      <c r="N1978" s="16"/>
      <c r="O1978" s="16"/>
      <c r="P1978" s="16"/>
      <c r="Q1978" s="16"/>
      <c r="R1978" s="16"/>
    </row>
    <row r="1979" spans="1:18" ht="18">
      <c r="A1979" s="61"/>
      <c r="B1979" s="15"/>
      <c r="C1979" s="31"/>
      <c r="D1979" s="90"/>
      <c r="E1979" s="16"/>
      <c r="F1979" s="33"/>
      <c r="G1979" s="16"/>
      <c r="H1979" s="16"/>
      <c r="I1979" s="16"/>
      <c r="J1979" s="16"/>
      <c r="K1979" s="16"/>
      <c r="L1979" s="16"/>
      <c r="M1979" s="16"/>
      <c r="N1979" s="16"/>
      <c r="O1979" s="16"/>
      <c r="P1979" s="16"/>
      <c r="Q1979" s="16"/>
      <c r="R1979" s="16"/>
    </row>
    <row r="1980" spans="1:18" ht="18">
      <c r="A1980" s="61"/>
      <c r="B1980" s="15"/>
      <c r="C1980" s="31"/>
      <c r="D1980" s="90"/>
      <c r="E1980" s="16"/>
      <c r="F1980" s="33"/>
      <c r="G1980" s="16"/>
      <c r="H1980" s="16"/>
      <c r="I1980" s="16"/>
      <c r="J1980" s="16"/>
      <c r="K1980" s="16"/>
      <c r="L1980" s="16"/>
      <c r="M1980" s="16"/>
      <c r="N1980" s="16"/>
      <c r="O1980" s="16"/>
      <c r="P1980" s="16"/>
      <c r="Q1980" s="16"/>
      <c r="R1980" s="16"/>
    </row>
    <row r="1981" spans="1:18" ht="18">
      <c r="A1981" s="61"/>
      <c r="B1981" s="15"/>
      <c r="C1981" s="31"/>
      <c r="D1981" s="90"/>
      <c r="E1981" s="16"/>
      <c r="F1981" s="33"/>
      <c r="G1981" s="16"/>
      <c r="H1981" s="16"/>
      <c r="I1981" s="16"/>
      <c r="J1981" s="16"/>
      <c r="K1981" s="16"/>
      <c r="L1981" s="16"/>
      <c r="M1981" s="16"/>
      <c r="N1981" s="16"/>
      <c r="O1981" s="16"/>
      <c r="P1981" s="16"/>
      <c r="Q1981" s="16"/>
      <c r="R1981" s="16"/>
    </row>
    <row r="1982" spans="1:18" ht="18">
      <c r="A1982" s="61"/>
      <c r="B1982" s="15"/>
      <c r="C1982" s="31"/>
      <c r="D1982" s="90"/>
      <c r="E1982" s="16"/>
      <c r="F1982" s="33"/>
      <c r="G1982" s="16"/>
      <c r="H1982" s="16"/>
      <c r="I1982" s="16"/>
      <c r="J1982" s="16"/>
      <c r="K1982" s="16"/>
      <c r="L1982" s="16"/>
      <c r="M1982" s="16"/>
      <c r="N1982" s="16"/>
      <c r="O1982" s="16"/>
      <c r="P1982" s="16"/>
      <c r="Q1982" s="16"/>
      <c r="R1982" s="16"/>
    </row>
    <row r="1983" spans="1:18" ht="18">
      <c r="A1983" s="61"/>
      <c r="B1983" s="15"/>
      <c r="C1983" s="31"/>
      <c r="D1983" s="90"/>
      <c r="E1983" s="16"/>
      <c r="F1983" s="33"/>
      <c r="G1983" s="16"/>
      <c r="H1983" s="16"/>
      <c r="I1983" s="16"/>
      <c r="J1983" s="16"/>
      <c r="K1983" s="16"/>
      <c r="L1983" s="16"/>
      <c r="M1983" s="16"/>
      <c r="N1983" s="16"/>
      <c r="O1983" s="16"/>
      <c r="P1983" s="16"/>
      <c r="Q1983" s="16"/>
      <c r="R1983" s="16"/>
    </row>
    <row r="1984" spans="1:18" ht="18">
      <c r="A1984" s="61"/>
      <c r="B1984" s="15"/>
      <c r="C1984" s="31"/>
      <c r="D1984" s="90"/>
      <c r="E1984" s="16"/>
      <c r="F1984" s="33"/>
      <c r="G1984" s="16"/>
      <c r="H1984" s="16"/>
      <c r="I1984" s="16"/>
      <c r="J1984" s="16"/>
      <c r="K1984" s="16"/>
      <c r="L1984" s="16"/>
      <c r="M1984" s="16"/>
      <c r="N1984" s="16"/>
      <c r="O1984" s="16"/>
      <c r="P1984" s="16"/>
      <c r="Q1984" s="16"/>
      <c r="R1984" s="16"/>
    </row>
    <row r="1985" spans="1:18" ht="18">
      <c r="A1985" s="61"/>
      <c r="B1985" s="15"/>
      <c r="C1985" s="31"/>
      <c r="D1985" s="90"/>
      <c r="E1985" s="16"/>
      <c r="F1985" s="33"/>
      <c r="G1985" s="16"/>
      <c r="H1985" s="16"/>
      <c r="I1985" s="16"/>
      <c r="J1985" s="16"/>
      <c r="K1985" s="16"/>
      <c r="L1985" s="16"/>
      <c r="M1985" s="16"/>
      <c r="N1985" s="16"/>
      <c r="O1985" s="16"/>
      <c r="P1985" s="16"/>
      <c r="Q1985" s="16"/>
      <c r="R1985" s="16"/>
    </row>
    <row r="1986" spans="1:18" ht="18">
      <c r="A1986" s="61"/>
      <c r="B1986" s="15"/>
      <c r="C1986" s="31"/>
      <c r="D1986" s="90"/>
      <c r="E1986" s="16"/>
      <c r="F1986" s="33"/>
      <c r="G1986" s="16"/>
      <c r="H1986" s="16"/>
      <c r="I1986" s="16"/>
      <c r="J1986" s="16"/>
      <c r="K1986" s="16"/>
      <c r="L1986" s="16"/>
      <c r="M1986" s="16"/>
      <c r="N1986" s="16"/>
      <c r="O1986" s="16"/>
      <c r="P1986" s="16"/>
      <c r="Q1986" s="16"/>
      <c r="R1986" s="16"/>
    </row>
    <row r="1987" spans="1:18" ht="18">
      <c r="A1987" s="61"/>
      <c r="B1987" s="15"/>
      <c r="C1987" s="31"/>
      <c r="D1987" s="90"/>
      <c r="E1987" s="16"/>
      <c r="F1987" s="33"/>
      <c r="G1987" s="16"/>
      <c r="H1987" s="16"/>
      <c r="I1987" s="16"/>
      <c r="J1987" s="16"/>
      <c r="K1987" s="16"/>
      <c r="L1987" s="16"/>
      <c r="M1987" s="16"/>
      <c r="N1987" s="16"/>
      <c r="O1987" s="16"/>
      <c r="P1987" s="16"/>
      <c r="Q1987" s="16"/>
      <c r="R1987" s="16"/>
    </row>
    <row r="1988" spans="1:18" ht="18">
      <c r="A1988" s="61"/>
      <c r="B1988" s="15"/>
      <c r="C1988" s="31"/>
      <c r="D1988" s="90"/>
      <c r="E1988" s="16"/>
      <c r="F1988" s="33"/>
      <c r="G1988" s="16"/>
      <c r="H1988" s="16"/>
      <c r="I1988" s="16"/>
      <c r="J1988" s="16"/>
      <c r="K1988" s="16"/>
      <c r="L1988" s="16"/>
      <c r="M1988" s="16"/>
      <c r="N1988" s="16"/>
      <c r="O1988" s="16"/>
      <c r="P1988" s="16"/>
      <c r="Q1988" s="16"/>
      <c r="R1988" s="16"/>
    </row>
    <row r="1989" spans="1:18" ht="18">
      <c r="A1989" s="61"/>
      <c r="B1989" s="15"/>
      <c r="C1989" s="31"/>
      <c r="D1989" s="90"/>
      <c r="E1989" s="16"/>
      <c r="F1989" s="33"/>
      <c r="G1989" s="16"/>
      <c r="H1989" s="16"/>
      <c r="I1989" s="16"/>
      <c r="J1989" s="16"/>
      <c r="K1989" s="16"/>
      <c r="L1989" s="16"/>
      <c r="M1989" s="16"/>
      <c r="N1989" s="16"/>
      <c r="O1989" s="16"/>
      <c r="P1989" s="16"/>
      <c r="Q1989" s="16"/>
      <c r="R1989" s="16"/>
    </row>
    <row r="1990" spans="1:18" ht="18">
      <c r="A1990" s="61"/>
      <c r="B1990" s="15"/>
      <c r="C1990" s="31"/>
      <c r="D1990" s="90"/>
      <c r="E1990" s="16"/>
      <c r="F1990" s="33"/>
      <c r="G1990" s="16"/>
      <c r="H1990" s="16"/>
      <c r="I1990" s="16"/>
      <c r="J1990" s="16"/>
      <c r="K1990" s="16"/>
      <c r="L1990" s="16"/>
      <c r="M1990" s="16"/>
      <c r="N1990" s="16"/>
      <c r="O1990" s="16"/>
      <c r="P1990" s="16"/>
      <c r="Q1990" s="16"/>
      <c r="R1990" s="16"/>
    </row>
    <row r="1991" spans="1:18" ht="18">
      <c r="A1991" s="61"/>
      <c r="B1991" s="15"/>
      <c r="C1991" s="31"/>
      <c r="D1991" s="90"/>
      <c r="E1991" s="16"/>
      <c r="F1991" s="33"/>
      <c r="G1991" s="16"/>
      <c r="H1991" s="16"/>
      <c r="I1991" s="16"/>
      <c r="J1991" s="16"/>
      <c r="K1991" s="16"/>
      <c r="L1991" s="16"/>
      <c r="M1991" s="16"/>
      <c r="N1991" s="16"/>
      <c r="O1991" s="16"/>
      <c r="P1991" s="16"/>
      <c r="Q1991" s="16"/>
      <c r="R1991" s="16"/>
    </row>
    <row r="1992" spans="1:18" ht="18">
      <c r="A1992" s="61"/>
      <c r="B1992" s="15"/>
      <c r="C1992" s="31"/>
      <c r="D1992" s="90"/>
      <c r="E1992" s="16"/>
      <c r="F1992" s="33"/>
      <c r="G1992" s="16"/>
      <c r="H1992" s="16"/>
      <c r="I1992" s="16"/>
      <c r="J1992" s="16"/>
      <c r="K1992" s="16"/>
      <c r="L1992" s="16"/>
      <c r="M1992" s="16"/>
      <c r="N1992" s="16"/>
      <c r="O1992" s="16"/>
      <c r="P1992" s="16"/>
      <c r="Q1992" s="16"/>
      <c r="R1992" s="16"/>
    </row>
    <row r="1993" spans="1:18" ht="18">
      <c r="A1993" s="61"/>
      <c r="B1993" s="15"/>
      <c r="C1993" s="31"/>
      <c r="D1993" s="90"/>
      <c r="E1993" s="16"/>
      <c r="F1993" s="33"/>
      <c r="G1993" s="16"/>
      <c r="H1993" s="16"/>
      <c r="I1993" s="16"/>
      <c r="J1993" s="16"/>
      <c r="K1993" s="16"/>
      <c r="L1993" s="16"/>
      <c r="M1993" s="16"/>
      <c r="N1993" s="16"/>
      <c r="O1993" s="16"/>
      <c r="P1993" s="16"/>
      <c r="Q1993" s="16"/>
      <c r="R1993" s="16"/>
    </row>
    <row r="1994" spans="1:18" ht="18">
      <c r="A1994" s="61"/>
      <c r="B1994" s="15"/>
      <c r="C1994" s="31"/>
      <c r="D1994" s="90"/>
      <c r="E1994" s="16"/>
      <c r="F1994" s="33"/>
      <c r="G1994" s="16"/>
      <c r="H1994" s="16"/>
      <c r="I1994" s="16"/>
      <c r="J1994" s="16"/>
      <c r="K1994" s="16"/>
      <c r="L1994" s="16"/>
      <c r="M1994" s="16"/>
      <c r="N1994" s="16"/>
      <c r="O1994" s="16"/>
      <c r="P1994" s="16"/>
      <c r="Q1994" s="16"/>
      <c r="R1994" s="16"/>
    </row>
    <row r="1995" spans="1:18" ht="18">
      <c r="A1995" s="61"/>
      <c r="B1995" s="15"/>
      <c r="C1995" s="31"/>
      <c r="D1995" s="90"/>
      <c r="E1995" s="16"/>
      <c r="F1995" s="33"/>
      <c r="G1995" s="16"/>
      <c r="H1995" s="16"/>
      <c r="I1995" s="16"/>
      <c r="J1995" s="16"/>
      <c r="K1995" s="16"/>
      <c r="L1995" s="16"/>
      <c r="M1995" s="16"/>
      <c r="N1995" s="16"/>
      <c r="O1995" s="16"/>
      <c r="P1995" s="16"/>
      <c r="Q1995" s="16"/>
      <c r="R1995" s="16"/>
    </row>
    <row r="1996" spans="1:18" ht="18">
      <c r="A1996" s="61"/>
      <c r="B1996" s="15"/>
      <c r="C1996" s="31"/>
      <c r="D1996" s="90"/>
      <c r="E1996" s="16"/>
      <c r="F1996" s="33"/>
      <c r="G1996" s="16"/>
      <c r="H1996" s="16"/>
      <c r="I1996" s="16"/>
      <c r="J1996" s="16"/>
      <c r="K1996" s="16"/>
      <c r="L1996" s="16"/>
      <c r="M1996" s="16"/>
      <c r="N1996" s="16"/>
      <c r="O1996" s="16"/>
      <c r="P1996" s="16"/>
      <c r="Q1996" s="16"/>
      <c r="R1996" s="16"/>
    </row>
    <row r="1997" spans="1:18" ht="18">
      <c r="A1997" s="61"/>
      <c r="B1997" s="15"/>
      <c r="C1997" s="31"/>
      <c r="D1997" s="90"/>
      <c r="E1997" s="16"/>
      <c r="F1997" s="33"/>
      <c r="G1997" s="16"/>
      <c r="H1997" s="16"/>
      <c r="I1997" s="16"/>
      <c r="J1997" s="16"/>
      <c r="K1997" s="16"/>
      <c r="L1997" s="16"/>
      <c r="M1997" s="16"/>
      <c r="N1997" s="16"/>
      <c r="O1997" s="16"/>
      <c r="P1997" s="16"/>
      <c r="Q1997" s="16"/>
      <c r="R1997" s="16"/>
    </row>
    <row r="1998" spans="1:18" ht="18">
      <c r="A1998" s="61"/>
      <c r="B1998" s="15"/>
      <c r="C1998" s="31"/>
      <c r="D1998" s="90"/>
      <c r="E1998" s="16"/>
      <c r="F1998" s="33"/>
      <c r="G1998" s="16"/>
      <c r="H1998" s="16"/>
      <c r="I1998" s="16"/>
      <c r="J1998" s="16"/>
      <c r="K1998" s="16"/>
      <c r="L1998" s="16"/>
      <c r="M1998" s="16"/>
      <c r="N1998" s="16"/>
      <c r="O1998" s="16"/>
      <c r="P1998" s="16"/>
      <c r="Q1998" s="16"/>
      <c r="R1998" s="16"/>
    </row>
    <row r="1999" spans="1:18" ht="18">
      <c r="A1999" s="61"/>
      <c r="B1999" s="15"/>
      <c r="C1999" s="31"/>
      <c r="D1999" s="90"/>
      <c r="E1999" s="16"/>
      <c r="F1999" s="33"/>
      <c r="G1999" s="16"/>
      <c r="H1999" s="16"/>
      <c r="I1999" s="16"/>
      <c r="J1999" s="16"/>
      <c r="K1999" s="16"/>
      <c r="L1999" s="16"/>
      <c r="M1999" s="16"/>
      <c r="N1999" s="16"/>
      <c r="O1999" s="16"/>
      <c r="P1999" s="16"/>
      <c r="Q1999" s="16"/>
      <c r="R1999" s="16"/>
    </row>
    <row r="2000" spans="1:18" ht="18">
      <c r="A2000" s="61"/>
      <c r="B2000" s="15"/>
      <c r="C2000" s="31"/>
      <c r="D2000" s="90"/>
      <c r="E2000" s="16"/>
      <c r="F2000" s="33"/>
      <c r="G2000" s="16"/>
      <c r="H2000" s="16"/>
      <c r="I2000" s="16"/>
      <c r="J2000" s="16"/>
      <c r="K2000" s="16"/>
      <c r="L2000" s="16"/>
      <c r="M2000" s="16"/>
      <c r="N2000" s="16"/>
      <c r="O2000" s="16"/>
      <c r="P2000" s="16"/>
      <c r="Q2000" s="16"/>
      <c r="R2000" s="16"/>
    </row>
    <row r="2001" spans="1:18" ht="18">
      <c r="A2001" s="61"/>
      <c r="B2001" s="15"/>
      <c r="C2001" s="31"/>
      <c r="D2001" s="90"/>
      <c r="E2001" s="16"/>
      <c r="F2001" s="33"/>
      <c r="G2001" s="16"/>
      <c r="H2001" s="16"/>
      <c r="I2001" s="16"/>
      <c r="J2001" s="16"/>
      <c r="K2001" s="16"/>
      <c r="L2001" s="16"/>
      <c r="M2001" s="16"/>
      <c r="N2001" s="16"/>
      <c r="O2001" s="16"/>
      <c r="P2001" s="16"/>
      <c r="Q2001" s="16"/>
      <c r="R2001" s="16"/>
    </row>
    <row r="2002" spans="1:18" ht="18">
      <c r="A2002" s="61"/>
      <c r="B2002" s="15"/>
      <c r="C2002" s="31"/>
      <c r="D2002" s="90"/>
      <c r="E2002" s="16"/>
      <c r="F2002" s="33"/>
      <c r="G2002" s="16"/>
      <c r="H2002" s="16"/>
      <c r="I2002" s="16"/>
      <c r="J2002" s="16"/>
      <c r="K2002" s="16"/>
      <c r="L2002" s="16"/>
      <c r="M2002" s="16"/>
      <c r="N2002" s="16"/>
      <c r="O2002" s="16"/>
      <c r="P2002" s="16"/>
      <c r="Q2002" s="16"/>
      <c r="R2002" s="16"/>
    </row>
    <row r="2003" spans="1:18" ht="18">
      <c r="A2003" s="61"/>
      <c r="B2003" s="15"/>
      <c r="C2003" s="31"/>
      <c r="D2003" s="90"/>
      <c r="E2003" s="16"/>
      <c r="F2003" s="33"/>
      <c r="G2003" s="16"/>
      <c r="H2003" s="16"/>
      <c r="I2003" s="16"/>
      <c r="J2003" s="16"/>
      <c r="K2003" s="16"/>
      <c r="L2003" s="16"/>
      <c r="M2003" s="16"/>
      <c r="N2003" s="16"/>
      <c r="O2003" s="16"/>
      <c r="P2003" s="16"/>
      <c r="Q2003" s="16"/>
      <c r="R2003" s="16"/>
    </row>
    <row r="2004" spans="1:18" ht="18">
      <c r="A2004" s="61"/>
      <c r="B2004" s="15"/>
      <c r="C2004" s="31"/>
      <c r="D2004" s="90"/>
      <c r="E2004" s="16"/>
      <c r="F2004" s="33"/>
      <c r="G2004" s="16"/>
      <c r="H2004" s="16"/>
      <c r="I2004" s="16"/>
      <c r="J2004" s="16"/>
      <c r="K2004" s="16"/>
      <c r="L2004" s="16"/>
      <c r="M2004" s="16"/>
      <c r="N2004" s="16"/>
      <c r="O2004" s="16"/>
      <c r="P2004" s="16"/>
      <c r="Q2004" s="16"/>
      <c r="R2004" s="16"/>
    </row>
    <row r="2005" spans="1:18" ht="18">
      <c r="A2005" s="61"/>
      <c r="B2005" s="15"/>
      <c r="C2005" s="31"/>
      <c r="D2005" s="90"/>
      <c r="E2005" s="16"/>
      <c r="F2005" s="33"/>
      <c r="G2005" s="16"/>
      <c r="H2005" s="16"/>
      <c r="I2005" s="16"/>
      <c r="J2005" s="16"/>
      <c r="K2005" s="16"/>
      <c r="L2005" s="16"/>
      <c r="M2005" s="16"/>
      <c r="N2005" s="16"/>
      <c r="O2005" s="16"/>
      <c r="P2005" s="16"/>
      <c r="Q2005" s="16"/>
      <c r="R2005" s="16"/>
    </row>
    <row r="2006" spans="1:18" ht="18">
      <c r="A2006" s="61"/>
      <c r="B2006" s="15"/>
      <c r="C2006" s="31"/>
      <c r="D2006" s="90"/>
      <c r="E2006" s="16"/>
      <c r="F2006" s="33"/>
      <c r="G2006" s="16"/>
      <c r="H2006" s="16"/>
      <c r="I2006" s="16"/>
      <c r="J2006" s="16"/>
      <c r="K2006" s="16"/>
      <c r="L2006" s="16"/>
      <c r="M2006" s="16"/>
      <c r="N2006" s="16"/>
      <c r="O2006" s="16"/>
      <c r="P2006" s="16"/>
      <c r="Q2006" s="16"/>
      <c r="R2006" s="16"/>
    </row>
    <row r="2007" spans="1:18" ht="18">
      <c r="A2007" s="61"/>
      <c r="B2007" s="15"/>
      <c r="C2007" s="31"/>
      <c r="D2007" s="90"/>
      <c r="E2007" s="16"/>
      <c r="F2007" s="33"/>
      <c r="G2007" s="16"/>
      <c r="H2007" s="16"/>
      <c r="I2007" s="16"/>
      <c r="J2007" s="16"/>
      <c r="K2007" s="16"/>
      <c r="L2007" s="16"/>
      <c r="M2007" s="16"/>
      <c r="N2007" s="16"/>
      <c r="O2007" s="16"/>
      <c r="P2007" s="16"/>
      <c r="Q2007" s="16"/>
      <c r="R2007" s="16"/>
    </row>
    <row r="2008" spans="1:18" ht="18">
      <c r="A2008" s="61"/>
      <c r="B2008" s="15"/>
      <c r="C2008" s="31"/>
      <c r="D2008" s="90"/>
      <c r="E2008" s="16"/>
      <c r="F2008" s="33"/>
      <c r="G2008" s="16"/>
      <c r="H2008" s="16"/>
      <c r="I2008" s="16"/>
      <c r="J2008" s="16"/>
      <c r="K2008" s="16"/>
      <c r="L2008" s="16"/>
      <c r="M2008" s="16"/>
      <c r="N2008" s="16"/>
      <c r="O2008" s="16"/>
      <c r="P2008" s="16"/>
      <c r="Q2008" s="16"/>
      <c r="R2008" s="16"/>
    </row>
    <row r="2009" spans="1:18" ht="18">
      <c r="A2009" s="61"/>
      <c r="B2009" s="15"/>
      <c r="C2009" s="31"/>
      <c r="D2009" s="90"/>
      <c r="E2009" s="16"/>
      <c r="F2009" s="33"/>
      <c r="G2009" s="16"/>
      <c r="H2009" s="16"/>
      <c r="I2009" s="16"/>
      <c r="J2009" s="16"/>
      <c r="K2009" s="16"/>
      <c r="L2009" s="16"/>
      <c r="M2009" s="16"/>
      <c r="N2009" s="16"/>
      <c r="O2009" s="16"/>
      <c r="P2009" s="16"/>
      <c r="Q2009" s="16"/>
      <c r="R2009" s="16"/>
    </row>
    <row r="2010" spans="1:18" ht="18">
      <c r="A2010" s="61"/>
      <c r="B2010" s="15"/>
      <c r="C2010" s="31"/>
      <c r="D2010" s="90"/>
      <c r="E2010" s="16"/>
      <c r="F2010" s="33"/>
      <c r="G2010" s="16"/>
      <c r="H2010" s="16"/>
      <c r="I2010" s="16"/>
      <c r="J2010" s="16"/>
      <c r="K2010" s="16"/>
      <c r="L2010" s="16"/>
      <c r="M2010" s="16"/>
      <c r="N2010" s="16"/>
      <c r="O2010" s="16"/>
      <c r="P2010" s="16"/>
      <c r="Q2010" s="16"/>
      <c r="R2010" s="16"/>
    </row>
    <row r="2011" spans="1:18" ht="18">
      <c r="A2011" s="61"/>
      <c r="B2011" s="15"/>
      <c r="C2011" s="31"/>
      <c r="D2011" s="90"/>
      <c r="E2011" s="16"/>
      <c r="F2011" s="33"/>
      <c r="G2011" s="16"/>
      <c r="H2011" s="16"/>
      <c r="I2011" s="16"/>
      <c r="J2011" s="16"/>
      <c r="K2011" s="16"/>
      <c r="L2011" s="16"/>
      <c r="M2011" s="16"/>
      <c r="N2011" s="16"/>
      <c r="O2011" s="16"/>
      <c r="P2011" s="16"/>
      <c r="Q2011" s="16"/>
      <c r="R2011" s="16"/>
    </row>
    <row r="2012" spans="1:18" ht="18">
      <c r="A2012" s="61"/>
      <c r="B2012" s="15"/>
      <c r="C2012" s="31"/>
      <c r="D2012" s="90"/>
      <c r="E2012" s="16"/>
      <c r="F2012" s="33"/>
      <c r="G2012" s="16"/>
      <c r="H2012" s="16"/>
      <c r="I2012" s="16"/>
      <c r="J2012" s="16"/>
      <c r="K2012" s="16"/>
      <c r="L2012" s="16"/>
      <c r="M2012" s="16"/>
      <c r="N2012" s="16"/>
      <c r="O2012" s="16"/>
      <c r="P2012" s="16"/>
      <c r="Q2012" s="16"/>
      <c r="R2012" s="16"/>
    </row>
    <row r="2013" spans="1:18" ht="18">
      <c r="A2013" s="61"/>
      <c r="B2013" s="15"/>
      <c r="C2013" s="31"/>
      <c r="D2013" s="90"/>
      <c r="E2013" s="16"/>
      <c r="F2013" s="33"/>
      <c r="G2013" s="16"/>
      <c r="H2013" s="16"/>
      <c r="I2013" s="16"/>
      <c r="J2013" s="16"/>
      <c r="K2013" s="16"/>
      <c r="L2013" s="16"/>
      <c r="M2013" s="16"/>
      <c r="N2013" s="16"/>
      <c r="O2013" s="16"/>
      <c r="P2013" s="16"/>
      <c r="Q2013" s="16"/>
      <c r="R2013" s="16"/>
    </row>
    <row r="2014" spans="1:18" ht="18">
      <c r="A2014" s="61"/>
      <c r="B2014" s="15"/>
      <c r="C2014" s="31"/>
      <c r="D2014" s="90"/>
      <c r="E2014" s="16"/>
      <c r="F2014" s="33"/>
      <c r="G2014" s="16"/>
      <c r="H2014" s="16"/>
      <c r="I2014" s="16"/>
      <c r="J2014" s="16"/>
      <c r="K2014" s="16"/>
      <c r="L2014" s="16"/>
      <c r="M2014" s="16"/>
      <c r="N2014" s="16"/>
      <c r="O2014" s="16"/>
      <c r="P2014" s="16"/>
      <c r="Q2014" s="16"/>
      <c r="R2014" s="16"/>
    </row>
    <row r="2015" spans="1:18" ht="18">
      <c r="A2015" s="61"/>
      <c r="B2015" s="15"/>
      <c r="C2015" s="31"/>
      <c r="D2015" s="90"/>
      <c r="E2015" s="16"/>
      <c r="F2015" s="33"/>
      <c r="G2015" s="16"/>
      <c r="H2015" s="16"/>
      <c r="I2015" s="16"/>
      <c r="J2015" s="16"/>
      <c r="K2015" s="16"/>
      <c r="L2015" s="16"/>
      <c r="M2015" s="16"/>
      <c r="N2015" s="16"/>
      <c r="O2015" s="16"/>
      <c r="P2015" s="16"/>
      <c r="Q2015" s="16"/>
      <c r="R2015" s="16"/>
    </row>
    <row r="2016" spans="1:18" ht="18">
      <c r="A2016" s="61"/>
      <c r="B2016" s="15"/>
      <c r="C2016" s="31"/>
      <c r="D2016" s="90"/>
      <c r="E2016" s="16"/>
      <c r="F2016" s="33"/>
      <c r="G2016" s="16"/>
      <c r="H2016" s="16"/>
      <c r="I2016" s="16"/>
      <c r="J2016" s="16"/>
      <c r="K2016" s="16"/>
      <c r="L2016" s="16"/>
      <c r="M2016" s="16"/>
      <c r="N2016" s="16"/>
      <c r="O2016" s="16"/>
      <c r="P2016" s="16"/>
      <c r="Q2016" s="16"/>
      <c r="R2016" s="16"/>
    </row>
    <row r="2017" spans="1:18" ht="18">
      <c r="A2017" s="61"/>
      <c r="B2017" s="15"/>
      <c r="C2017" s="31"/>
      <c r="D2017" s="90"/>
      <c r="E2017" s="16"/>
      <c r="F2017" s="33"/>
      <c r="G2017" s="16"/>
      <c r="H2017" s="16"/>
      <c r="I2017" s="16"/>
      <c r="J2017" s="16"/>
      <c r="K2017" s="16"/>
      <c r="L2017" s="16"/>
      <c r="M2017" s="16"/>
      <c r="N2017" s="16"/>
      <c r="O2017" s="16"/>
      <c r="P2017" s="16"/>
      <c r="Q2017" s="16"/>
      <c r="R2017" s="16"/>
    </row>
    <row r="2018" spans="1:18" ht="18">
      <c r="A2018" s="61"/>
      <c r="B2018" s="15"/>
      <c r="C2018" s="31"/>
      <c r="D2018" s="90"/>
      <c r="E2018" s="16"/>
      <c r="F2018" s="33"/>
      <c r="G2018" s="16"/>
      <c r="H2018" s="16"/>
      <c r="I2018" s="16"/>
      <c r="J2018" s="16"/>
      <c r="K2018" s="16"/>
      <c r="L2018" s="16"/>
      <c r="M2018" s="16"/>
      <c r="N2018" s="16"/>
      <c r="O2018" s="16"/>
      <c r="P2018" s="16"/>
      <c r="Q2018" s="16"/>
      <c r="R2018" s="16"/>
    </row>
    <row r="2019" spans="1:18" ht="18">
      <c r="A2019" s="61"/>
      <c r="B2019" s="15"/>
      <c r="C2019" s="31"/>
      <c r="D2019" s="90"/>
      <c r="E2019" s="16"/>
      <c r="F2019" s="33"/>
      <c r="G2019" s="16"/>
      <c r="H2019" s="16"/>
      <c r="I2019" s="16"/>
      <c r="J2019" s="16"/>
      <c r="K2019" s="16"/>
      <c r="L2019" s="16"/>
      <c r="M2019" s="16"/>
      <c r="N2019" s="16"/>
      <c r="O2019" s="16"/>
      <c r="P2019" s="16"/>
      <c r="Q2019" s="16"/>
      <c r="R2019" s="16"/>
    </row>
    <row r="2020" spans="1:18" ht="18">
      <c r="A2020" s="61"/>
      <c r="B2020" s="15"/>
      <c r="C2020" s="31"/>
      <c r="D2020" s="90"/>
      <c r="E2020" s="16"/>
      <c r="F2020" s="33"/>
      <c r="G2020" s="16"/>
      <c r="H2020" s="16"/>
      <c r="I2020" s="16"/>
      <c r="J2020" s="16"/>
      <c r="K2020" s="16"/>
      <c r="L2020" s="16"/>
      <c r="M2020" s="16"/>
      <c r="N2020" s="16"/>
      <c r="O2020" s="16"/>
      <c r="P2020" s="16"/>
      <c r="Q2020" s="16"/>
      <c r="R2020" s="16"/>
    </row>
    <row r="2021" spans="1:18" ht="18">
      <c r="A2021" s="61"/>
      <c r="B2021" s="15"/>
      <c r="C2021" s="31"/>
      <c r="D2021" s="90"/>
      <c r="E2021" s="16"/>
      <c r="F2021" s="33"/>
      <c r="G2021" s="16"/>
      <c r="H2021" s="16"/>
      <c r="I2021" s="16"/>
      <c r="J2021" s="16"/>
      <c r="K2021" s="16"/>
      <c r="L2021" s="16"/>
      <c r="M2021" s="16"/>
      <c r="N2021" s="16"/>
      <c r="O2021" s="16"/>
      <c r="P2021" s="16"/>
      <c r="Q2021" s="16"/>
      <c r="R2021" s="16"/>
    </row>
    <row r="2022" spans="1:18" ht="18">
      <c r="A2022" s="61"/>
      <c r="B2022" s="15"/>
      <c r="C2022" s="31"/>
      <c r="D2022" s="90"/>
      <c r="E2022" s="16"/>
      <c r="F2022" s="33"/>
      <c r="G2022" s="16"/>
      <c r="H2022" s="16"/>
      <c r="I2022" s="16"/>
      <c r="J2022" s="16"/>
      <c r="K2022" s="16"/>
      <c r="L2022" s="16"/>
      <c r="M2022" s="16"/>
      <c r="N2022" s="16"/>
      <c r="O2022" s="16"/>
      <c r="P2022" s="16"/>
      <c r="Q2022" s="16"/>
      <c r="R2022" s="16"/>
    </row>
    <row r="2023" spans="1:18" ht="18">
      <c r="A2023" s="61"/>
      <c r="B2023" s="15"/>
      <c r="C2023" s="31"/>
      <c r="D2023" s="90"/>
      <c r="E2023" s="16"/>
      <c r="F2023" s="33"/>
      <c r="G2023" s="16"/>
      <c r="H2023" s="16"/>
      <c r="I2023" s="16"/>
      <c r="J2023" s="16"/>
      <c r="K2023" s="16"/>
      <c r="L2023" s="16"/>
      <c r="M2023" s="16"/>
      <c r="N2023" s="16"/>
      <c r="O2023" s="16"/>
      <c r="P2023" s="16"/>
      <c r="Q2023" s="16"/>
      <c r="R2023" s="16"/>
    </row>
    <row r="2024" spans="1:18" ht="18">
      <c r="A2024" s="61"/>
      <c r="B2024" s="15"/>
      <c r="C2024" s="31"/>
      <c r="D2024" s="90"/>
      <c r="E2024" s="16"/>
      <c r="F2024" s="33"/>
      <c r="G2024" s="16"/>
      <c r="H2024" s="16"/>
      <c r="I2024" s="16"/>
      <c r="J2024" s="16"/>
      <c r="K2024" s="16"/>
      <c r="L2024" s="16"/>
      <c r="M2024" s="16"/>
      <c r="N2024" s="16"/>
      <c r="O2024" s="16"/>
      <c r="P2024" s="16"/>
      <c r="Q2024" s="16"/>
      <c r="R2024" s="16"/>
    </row>
    <row r="2025" spans="1:18" ht="18">
      <c r="A2025" s="61"/>
      <c r="B2025" s="15"/>
      <c r="C2025" s="31"/>
      <c r="D2025" s="90"/>
      <c r="E2025" s="16"/>
      <c r="F2025" s="33"/>
      <c r="G2025" s="16"/>
      <c r="H2025" s="16"/>
      <c r="I2025" s="16"/>
      <c r="J2025" s="16"/>
      <c r="K2025" s="16"/>
      <c r="L2025" s="16"/>
      <c r="M2025" s="16"/>
      <c r="N2025" s="16"/>
      <c r="O2025" s="16"/>
      <c r="P2025" s="16"/>
      <c r="Q2025" s="16"/>
      <c r="R2025" s="16"/>
    </row>
    <row r="2026" spans="1:18" ht="18">
      <c r="A2026" s="61"/>
      <c r="B2026" s="15"/>
      <c r="C2026" s="31"/>
      <c r="D2026" s="90"/>
      <c r="E2026" s="16"/>
      <c r="F2026" s="33"/>
      <c r="G2026" s="16"/>
      <c r="H2026" s="16"/>
      <c r="I2026" s="16"/>
      <c r="J2026" s="16"/>
      <c r="K2026" s="16"/>
      <c r="L2026" s="16"/>
      <c r="M2026" s="16"/>
      <c r="N2026" s="16"/>
      <c r="O2026" s="16"/>
      <c r="P2026" s="16"/>
      <c r="Q2026" s="16"/>
      <c r="R2026" s="16"/>
    </row>
    <row r="2027" spans="1:18" ht="18">
      <c r="A2027" s="61"/>
      <c r="B2027" s="15"/>
      <c r="C2027" s="31"/>
      <c r="D2027" s="90"/>
      <c r="E2027" s="16"/>
      <c r="F2027" s="33"/>
      <c r="G2027" s="16"/>
      <c r="H2027" s="16"/>
      <c r="I2027" s="16"/>
      <c r="J2027" s="16"/>
      <c r="K2027" s="16"/>
      <c r="L2027" s="16"/>
      <c r="M2027" s="16"/>
      <c r="N2027" s="16"/>
      <c r="O2027" s="16"/>
      <c r="P2027" s="16"/>
      <c r="Q2027" s="16"/>
      <c r="R2027" s="16"/>
    </row>
    <row r="2028" spans="1:18" ht="18">
      <c r="A2028" s="61"/>
      <c r="B2028" s="15"/>
      <c r="C2028" s="31"/>
      <c r="D2028" s="90"/>
      <c r="E2028" s="16"/>
      <c r="F2028" s="33"/>
      <c r="G2028" s="16"/>
      <c r="H2028" s="16"/>
      <c r="I2028" s="16"/>
      <c r="J2028" s="16"/>
      <c r="K2028" s="16"/>
      <c r="L2028" s="16"/>
      <c r="M2028" s="16"/>
      <c r="N2028" s="16"/>
      <c r="O2028" s="16"/>
      <c r="P2028" s="16"/>
      <c r="Q2028" s="16"/>
      <c r="R2028" s="16"/>
    </row>
    <row r="2029" spans="1:18" ht="18">
      <c r="A2029" s="61"/>
      <c r="B2029" s="15"/>
      <c r="C2029" s="31"/>
      <c r="D2029" s="90"/>
      <c r="E2029" s="16"/>
      <c r="F2029" s="33"/>
      <c r="G2029" s="16"/>
      <c r="H2029" s="16"/>
      <c r="I2029" s="16"/>
      <c r="J2029" s="16"/>
      <c r="K2029" s="16"/>
      <c r="L2029" s="16"/>
      <c r="M2029" s="16"/>
      <c r="N2029" s="16"/>
      <c r="O2029" s="16"/>
      <c r="P2029" s="16"/>
      <c r="Q2029" s="16"/>
      <c r="R2029" s="16"/>
    </row>
    <row r="2030" spans="1:18" ht="18">
      <c r="A2030" s="61"/>
      <c r="B2030" s="15"/>
      <c r="C2030" s="31"/>
      <c r="D2030" s="90"/>
      <c r="E2030" s="16"/>
      <c r="F2030" s="33"/>
      <c r="G2030" s="16"/>
      <c r="H2030" s="16"/>
      <c r="I2030" s="16"/>
      <c r="J2030" s="16"/>
      <c r="K2030" s="16"/>
      <c r="L2030" s="16"/>
      <c r="M2030" s="16"/>
      <c r="N2030" s="16"/>
      <c r="O2030" s="16"/>
      <c r="P2030" s="16"/>
      <c r="Q2030" s="16"/>
      <c r="R2030" s="16"/>
    </row>
    <row r="2031" spans="1:18" ht="18">
      <c r="A2031" s="61"/>
      <c r="B2031" s="15"/>
      <c r="C2031" s="31"/>
      <c r="D2031" s="90"/>
      <c r="E2031" s="16"/>
      <c r="F2031" s="33"/>
      <c r="G2031" s="16"/>
      <c r="H2031" s="16"/>
      <c r="I2031" s="16"/>
      <c r="J2031" s="16"/>
      <c r="K2031" s="16"/>
      <c r="L2031" s="16"/>
      <c r="M2031" s="16"/>
      <c r="N2031" s="16"/>
      <c r="O2031" s="16"/>
      <c r="P2031" s="16"/>
      <c r="Q2031" s="16"/>
      <c r="R2031" s="16"/>
    </row>
    <row r="2032" spans="1:18" ht="18">
      <c r="A2032" s="61"/>
      <c r="B2032" s="15"/>
      <c r="C2032" s="31"/>
      <c r="D2032" s="90"/>
      <c r="E2032" s="16"/>
      <c r="F2032" s="33"/>
      <c r="G2032" s="16"/>
      <c r="H2032" s="16"/>
      <c r="I2032" s="16"/>
      <c r="J2032" s="16"/>
      <c r="K2032" s="16"/>
      <c r="L2032" s="16"/>
      <c r="M2032" s="16"/>
      <c r="N2032" s="16"/>
      <c r="O2032" s="16"/>
      <c r="P2032" s="16"/>
      <c r="Q2032" s="16"/>
      <c r="R2032" s="16"/>
    </row>
    <row r="2033" spans="1:18" ht="18">
      <c r="A2033" s="61"/>
      <c r="B2033" s="15"/>
      <c r="C2033" s="31"/>
      <c r="D2033" s="90"/>
      <c r="E2033" s="16"/>
      <c r="F2033" s="33"/>
      <c r="G2033" s="16"/>
      <c r="H2033" s="16"/>
      <c r="I2033" s="16"/>
      <c r="J2033" s="16"/>
      <c r="K2033" s="16"/>
      <c r="L2033" s="16"/>
      <c r="M2033" s="16"/>
      <c r="N2033" s="16"/>
      <c r="O2033" s="16"/>
      <c r="P2033" s="16"/>
      <c r="Q2033" s="16"/>
      <c r="R2033" s="16"/>
    </row>
    <row r="2034" spans="1:18" ht="18">
      <c r="A2034" s="61"/>
      <c r="B2034" s="15"/>
      <c r="C2034" s="31"/>
      <c r="D2034" s="90"/>
      <c r="E2034" s="16"/>
      <c r="F2034" s="33"/>
      <c r="G2034" s="16"/>
      <c r="H2034" s="16"/>
      <c r="I2034" s="16"/>
      <c r="J2034" s="16"/>
      <c r="K2034" s="16"/>
      <c r="L2034" s="16"/>
      <c r="M2034" s="16"/>
      <c r="N2034" s="16"/>
      <c r="O2034" s="16"/>
      <c r="P2034" s="16"/>
      <c r="Q2034" s="16"/>
      <c r="R2034" s="16"/>
    </row>
    <row r="2035" spans="1:18" ht="18">
      <c r="A2035" s="61"/>
      <c r="B2035" s="15"/>
      <c r="C2035" s="31"/>
      <c r="D2035" s="90"/>
      <c r="E2035" s="16"/>
      <c r="F2035" s="33"/>
      <c r="G2035" s="16"/>
      <c r="H2035" s="16"/>
      <c r="I2035" s="16"/>
      <c r="J2035" s="16"/>
      <c r="K2035" s="16"/>
      <c r="L2035" s="16"/>
      <c r="M2035" s="16"/>
      <c r="N2035" s="16"/>
      <c r="O2035" s="16"/>
      <c r="P2035" s="16"/>
      <c r="Q2035" s="16"/>
      <c r="R2035" s="16"/>
    </row>
    <row r="2036" spans="1:18" ht="18">
      <c r="A2036" s="61"/>
      <c r="B2036" s="15"/>
      <c r="C2036" s="31"/>
      <c r="D2036" s="90"/>
      <c r="E2036" s="16"/>
      <c r="F2036" s="33"/>
      <c r="G2036" s="16"/>
      <c r="H2036" s="16"/>
      <c r="I2036" s="16"/>
      <c r="J2036" s="16"/>
      <c r="K2036" s="16"/>
      <c r="L2036" s="16"/>
      <c r="M2036" s="16"/>
      <c r="N2036" s="16"/>
      <c r="O2036" s="16"/>
      <c r="P2036" s="16"/>
      <c r="Q2036" s="16"/>
      <c r="R2036" s="16"/>
    </row>
    <row r="2037" spans="1:18" ht="18">
      <c r="A2037" s="61"/>
      <c r="B2037" s="15"/>
      <c r="C2037" s="31"/>
      <c r="D2037" s="90"/>
      <c r="E2037" s="16"/>
      <c r="F2037" s="33"/>
      <c r="G2037" s="16"/>
      <c r="H2037" s="16"/>
      <c r="I2037" s="16"/>
      <c r="J2037" s="16"/>
      <c r="K2037" s="16"/>
      <c r="L2037" s="16"/>
      <c r="M2037" s="16"/>
      <c r="N2037" s="16"/>
      <c r="O2037" s="16"/>
      <c r="P2037" s="16"/>
      <c r="Q2037" s="16"/>
      <c r="R2037" s="16"/>
    </row>
    <row r="2038" spans="1:18" ht="18">
      <c r="A2038" s="61"/>
      <c r="B2038" s="15"/>
      <c r="C2038" s="31"/>
      <c r="D2038" s="90"/>
      <c r="E2038" s="16"/>
      <c r="F2038" s="33"/>
      <c r="G2038" s="16"/>
      <c r="H2038" s="16"/>
      <c r="I2038" s="16"/>
      <c r="J2038" s="16"/>
      <c r="K2038" s="16"/>
      <c r="L2038" s="16"/>
      <c r="M2038" s="16"/>
      <c r="N2038" s="16"/>
      <c r="O2038" s="16"/>
      <c r="P2038" s="16"/>
      <c r="Q2038" s="16"/>
      <c r="R2038" s="16"/>
    </row>
    <row r="2039" spans="1:18" ht="18">
      <c r="A2039" s="61"/>
      <c r="B2039" s="15"/>
      <c r="C2039" s="31"/>
      <c r="D2039" s="90"/>
      <c r="E2039" s="16"/>
      <c r="F2039" s="33"/>
      <c r="G2039" s="16"/>
      <c r="H2039" s="16"/>
      <c r="I2039" s="16"/>
      <c r="J2039" s="16"/>
      <c r="K2039" s="16"/>
      <c r="L2039" s="16"/>
      <c r="M2039" s="16"/>
      <c r="N2039" s="16"/>
      <c r="O2039" s="16"/>
      <c r="P2039" s="16"/>
      <c r="Q2039" s="16"/>
      <c r="R2039" s="16"/>
    </row>
    <row r="2040" spans="1:18" ht="18">
      <c r="A2040" s="61"/>
      <c r="B2040" s="15"/>
      <c r="C2040" s="31"/>
      <c r="D2040" s="90"/>
      <c r="E2040" s="16"/>
      <c r="F2040" s="33"/>
      <c r="G2040" s="16"/>
      <c r="H2040" s="16"/>
      <c r="I2040" s="16"/>
      <c r="J2040" s="16"/>
      <c r="K2040" s="16"/>
      <c r="L2040" s="16"/>
      <c r="M2040" s="16"/>
      <c r="N2040" s="16"/>
      <c r="O2040" s="16"/>
      <c r="P2040" s="16"/>
      <c r="Q2040" s="16"/>
      <c r="R2040" s="16"/>
    </row>
    <row r="2041" spans="1:18" ht="18">
      <c r="A2041" s="61"/>
      <c r="B2041" s="15"/>
      <c r="C2041" s="31"/>
      <c r="D2041" s="90"/>
      <c r="E2041" s="16"/>
      <c r="F2041" s="33"/>
      <c r="G2041" s="16"/>
      <c r="H2041" s="16"/>
      <c r="I2041" s="16"/>
      <c r="J2041" s="16"/>
      <c r="K2041" s="16"/>
      <c r="L2041" s="16"/>
      <c r="M2041" s="16"/>
      <c r="N2041" s="16"/>
      <c r="O2041" s="16"/>
      <c r="P2041" s="16"/>
      <c r="Q2041" s="16"/>
      <c r="R2041" s="16"/>
    </row>
    <row r="2042" spans="1:18" ht="18">
      <c r="A2042" s="61"/>
      <c r="B2042" s="15"/>
      <c r="C2042" s="31"/>
      <c r="D2042" s="90"/>
      <c r="E2042" s="16"/>
      <c r="F2042" s="33"/>
      <c r="G2042" s="16"/>
      <c r="H2042" s="16"/>
      <c r="I2042" s="16"/>
      <c r="J2042" s="16"/>
      <c r="K2042" s="16"/>
      <c r="L2042" s="16"/>
      <c r="M2042" s="16"/>
      <c r="N2042" s="16"/>
      <c r="O2042" s="16"/>
      <c r="P2042" s="16"/>
      <c r="Q2042" s="16"/>
      <c r="R2042" s="16"/>
    </row>
    <row r="2043" spans="1:18" ht="18">
      <c r="A2043" s="61"/>
      <c r="B2043" s="15"/>
      <c r="C2043" s="31"/>
      <c r="D2043" s="90"/>
      <c r="E2043" s="16"/>
      <c r="F2043" s="33"/>
      <c r="G2043" s="16"/>
      <c r="H2043" s="16"/>
      <c r="I2043" s="16"/>
      <c r="J2043" s="16"/>
      <c r="K2043" s="16"/>
      <c r="L2043" s="16"/>
      <c r="M2043" s="16"/>
      <c r="N2043" s="16"/>
      <c r="O2043" s="16"/>
      <c r="P2043" s="16"/>
      <c r="Q2043" s="16"/>
      <c r="R2043" s="16"/>
    </row>
    <row r="2044" spans="1:18" ht="18">
      <c r="A2044" s="61"/>
      <c r="B2044" s="15"/>
      <c r="C2044" s="31"/>
      <c r="D2044" s="90"/>
      <c r="E2044" s="16"/>
      <c r="F2044" s="33"/>
      <c r="G2044" s="16"/>
      <c r="H2044" s="16"/>
      <c r="I2044" s="16"/>
      <c r="J2044" s="16"/>
      <c r="K2044" s="16"/>
      <c r="L2044" s="16"/>
      <c r="M2044" s="16"/>
      <c r="N2044" s="16"/>
      <c r="O2044" s="16"/>
      <c r="P2044" s="16"/>
      <c r="Q2044" s="16"/>
      <c r="R2044" s="16"/>
    </row>
    <row r="2045" spans="1:18" ht="18">
      <c r="A2045" s="61"/>
      <c r="B2045" s="15"/>
      <c r="C2045" s="31"/>
      <c r="D2045" s="90"/>
      <c r="E2045" s="16"/>
      <c r="F2045" s="33"/>
      <c r="G2045" s="16"/>
      <c r="H2045" s="16"/>
      <c r="I2045" s="16"/>
      <c r="J2045" s="16"/>
      <c r="K2045" s="16"/>
      <c r="L2045" s="16"/>
      <c r="M2045" s="16"/>
      <c r="N2045" s="16"/>
      <c r="O2045" s="16"/>
      <c r="P2045" s="16"/>
      <c r="Q2045" s="16"/>
      <c r="R2045" s="16"/>
    </row>
    <row r="2046" spans="1:18" ht="18">
      <c r="A2046" s="61"/>
      <c r="B2046" s="15"/>
      <c r="C2046" s="31"/>
      <c r="D2046" s="90"/>
      <c r="E2046" s="16"/>
      <c r="F2046" s="33"/>
      <c r="G2046" s="16"/>
      <c r="H2046" s="16"/>
      <c r="I2046" s="16"/>
      <c r="J2046" s="16"/>
      <c r="K2046" s="16"/>
      <c r="L2046" s="16"/>
      <c r="M2046" s="16"/>
      <c r="N2046" s="16"/>
      <c r="O2046" s="16"/>
      <c r="P2046" s="16"/>
      <c r="Q2046" s="16"/>
      <c r="R2046" s="16"/>
    </row>
    <row r="2047" spans="1:18" ht="18">
      <c r="A2047" s="61"/>
      <c r="B2047" s="15"/>
      <c r="C2047" s="31"/>
      <c r="D2047" s="90"/>
      <c r="E2047" s="16"/>
      <c r="F2047" s="33"/>
      <c r="G2047" s="16"/>
      <c r="H2047" s="16"/>
      <c r="I2047" s="16"/>
      <c r="J2047" s="16"/>
      <c r="K2047" s="16"/>
      <c r="L2047" s="16"/>
      <c r="M2047" s="16"/>
      <c r="N2047" s="16"/>
      <c r="O2047" s="16"/>
      <c r="P2047" s="16"/>
      <c r="Q2047" s="16"/>
      <c r="R2047" s="16"/>
    </row>
    <row r="2048" spans="1:18" ht="18">
      <c r="A2048" s="61"/>
      <c r="B2048" s="15"/>
      <c r="C2048" s="31"/>
      <c r="D2048" s="90"/>
      <c r="E2048" s="16"/>
      <c r="F2048" s="33"/>
      <c r="G2048" s="16"/>
      <c r="H2048" s="16"/>
      <c r="I2048" s="16"/>
      <c r="J2048" s="16"/>
      <c r="K2048" s="16"/>
      <c r="L2048" s="16"/>
      <c r="M2048" s="16"/>
      <c r="N2048" s="16"/>
      <c r="O2048" s="16"/>
      <c r="P2048" s="16"/>
      <c r="Q2048" s="16"/>
      <c r="R2048" s="16"/>
    </row>
    <row r="2049" spans="1:18" ht="18">
      <c r="A2049" s="61"/>
      <c r="B2049" s="15"/>
      <c r="C2049" s="31"/>
      <c r="D2049" s="90"/>
      <c r="E2049" s="16"/>
      <c r="F2049" s="33"/>
      <c r="G2049" s="16"/>
      <c r="H2049" s="16"/>
      <c r="I2049" s="16"/>
      <c r="J2049" s="16"/>
      <c r="K2049" s="16"/>
      <c r="L2049" s="16"/>
      <c r="M2049" s="16"/>
      <c r="N2049" s="16"/>
      <c r="O2049" s="16"/>
      <c r="P2049" s="16"/>
      <c r="Q2049" s="16"/>
      <c r="R2049" s="16"/>
    </row>
    <row r="2050" spans="1:18" ht="18">
      <c r="A2050" s="61"/>
      <c r="B2050" s="15"/>
      <c r="C2050" s="31"/>
      <c r="D2050" s="90"/>
      <c r="E2050" s="16"/>
      <c r="F2050" s="33"/>
      <c r="G2050" s="16"/>
      <c r="H2050" s="16"/>
      <c r="I2050" s="16"/>
      <c r="J2050" s="16"/>
      <c r="K2050" s="16"/>
      <c r="L2050" s="16"/>
      <c r="M2050" s="16"/>
      <c r="N2050" s="16"/>
      <c r="O2050" s="16"/>
      <c r="P2050" s="16"/>
      <c r="Q2050" s="16"/>
      <c r="R2050" s="16"/>
    </row>
    <row r="2051" spans="1:18" ht="18">
      <c r="A2051" s="61"/>
      <c r="B2051" s="15"/>
      <c r="C2051" s="31"/>
      <c r="D2051" s="90"/>
      <c r="E2051" s="16"/>
      <c r="F2051" s="33"/>
      <c r="G2051" s="16"/>
      <c r="H2051" s="16"/>
      <c r="I2051" s="16"/>
      <c r="J2051" s="16"/>
      <c r="K2051" s="16"/>
      <c r="L2051" s="16"/>
      <c r="M2051" s="16"/>
      <c r="N2051" s="16"/>
      <c r="O2051" s="16"/>
      <c r="P2051" s="16"/>
      <c r="Q2051" s="16"/>
      <c r="R2051" s="16"/>
    </row>
    <row r="2052" spans="1:18" ht="18">
      <c r="A2052" s="61"/>
      <c r="B2052" s="15"/>
      <c r="C2052" s="31"/>
      <c r="D2052" s="90"/>
      <c r="E2052" s="16"/>
      <c r="F2052" s="33"/>
      <c r="G2052" s="16"/>
      <c r="H2052" s="16"/>
      <c r="I2052" s="16"/>
      <c r="J2052" s="16"/>
      <c r="K2052" s="16"/>
      <c r="L2052" s="16"/>
      <c r="M2052" s="16"/>
      <c r="N2052" s="16"/>
      <c r="O2052" s="16"/>
      <c r="P2052" s="16"/>
      <c r="Q2052" s="16"/>
      <c r="R2052" s="16"/>
    </row>
    <row r="2053" spans="1:18" ht="18">
      <c r="A2053" s="61"/>
      <c r="B2053" s="15"/>
      <c r="C2053" s="31"/>
      <c r="D2053" s="90"/>
      <c r="E2053" s="16"/>
      <c r="F2053" s="33"/>
      <c r="G2053" s="16"/>
      <c r="H2053" s="16"/>
      <c r="I2053" s="16"/>
      <c r="J2053" s="16"/>
      <c r="K2053" s="16"/>
      <c r="L2053" s="16"/>
      <c r="M2053" s="16"/>
      <c r="N2053" s="16"/>
      <c r="O2053" s="16"/>
      <c r="P2053" s="16"/>
      <c r="Q2053" s="16"/>
      <c r="R2053" s="16"/>
    </row>
    <row r="2054" spans="1:18" ht="18">
      <c r="A2054" s="61"/>
      <c r="B2054" s="15"/>
      <c r="C2054" s="31"/>
      <c r="D2054" s="90"/>
      <c r="E2054" s="16"/>
      <c r="F2054" s="33"/>
      <c r="G2054" s="16"/>
      <c r="H2054" s="16"/>
      <c r="I2054" s="16"/>
      <c r="J2054" s="16"/>
      <c r="K2054" s="16"/>
      <c r="L2054" s="16"/>
      <c r="M2054" s="16"/>
      <c r="N2054" s="16"/>
      <c r="O2054" s="16"/>
      <c r="P2054" s="16"/>
      <c r="Q2054" s="16"/>
      <c r="R2054" s="16"/>
    </row>
    <row r="2055" spans="1:18" ht="18">
      <c r="A2055" s="61"/>
      <c r="B2055" s="15"/>
      <c r="C2055" s="31"/>
      <c r="D2055" s="90"/>
      <c r="E2055" s="16"/>
      <c r="F2055" s="33"/>
      <c r="G2055" s="16"/>
      <c r="H2055" s="16"/>
      <c r="I2055" s="16"/>
      <c r="J2055" s="16"/>
      <c r="K2055" s="16"/>
      <c r="L2055" s="16"/>
      <c r="M2055" s="16"/>
      <c r="N2055" s="16"/>
      <c r="O2055" s="16"/>
      <c r="P2055" s="16"/>
      <c r="Q2055" s="16"/>
      <c r="R2055" s="16"/>
    </row>
    <row r="2056" spans="1:18" ht="18">
      <c r="A2056" s="61"/>
      <c r="B2056" s="15"/>
      <c r="C2056" s="31"/>
      <c r="D2056" s="90"/>
      <c r="E2056" s="16"/>
      <c r="F2056" s="33"/>
      <c r="G2056" s="16"/>
      <c r="H2056" s="16"/>
      <c r="I2056" s="16"/>
      <c r="J2056" s="16"/>
      <c r="K2056" s="16"/>
      <c r="L2056" s="16"/>
      <c r="M2056" s="16"/>
      <c r="N2056" s="16"/>
      <c r="O2056" s="16"/>
      <c r="P2056" s="16"/>
      <c r="Q2056" s="16"/>
      <c r="R2056" s="16"/>
    </row>
    <row r="2057" spans="1:18" ht="18">
      <c r="A2057" s="61"/>
      <c r="B2057" s="15"/>
      <c r="C2057" s="31"/>
      <c r="D2057" s="90"/>
      <c r="E2057" s="16"/>
      <c r="F2057" s="33"/>
      <c r="G2057" s="16"/>
      <c r="H2057" s="16"/>
      <c r="I2057" s="16"/>
      <c r="J2057" s="16"/>
      <c r="K2057" s="16"/>
      <c r="L2057" s="16"/>
      <c r="M2057" s="16"/>
      <c r="N2057" s="16"/>
      <c r="O2057" s="16"/>
      <c r="P2057" s="16"/>
      <c r="Q2057" s="16"/>
      <c r="R2057" s="16"/>
    </row>
    <row r="2058" spans="1:18" ht="18">
      <c r="A2058" s="61"/>
      <c r="B2058" s="15"/>
      <c r="C2058" s="31"/>
      <c r="D2058" s="90"/>
      <c r="E2058" s="16"/>
      <c r="F2058" s="33"/>
      <c r="G2058" s="16"/>
      <c r="H2058" s="16"/>
      <c r="I2058" s="16"/>
      <c r="J2058" s="16"/>
      <c r="K2058" s="16"/>
      <c r="L2058" s="16"/>
      <c r="M2058" s="16"/>
      <c r="N2058" s="16"/>
      <c r="O2058" s="16"/>
      <c r="P2058" s="16"/>
      <c r="Q2058" s="16"/>
      <c r="R2058" s="16"/>
    </row>
    <row r="2059" spans="1:18" ht="18">
      <c r="A2059" s="61"/>
      <c r="B2059" s="15"/>
      <c r="C2059" s="31"/>
      <c r="D2059" s="90"/>
      <c r="E2059" s="16"/>
      <c r="F2059" s="33"/>
      <c r="G2059" s="16"/>
      <c r="H2059" s="16"/>
      <c r="I2059" s="16"/>
      <c r="J2059" s="16"/>
      <c r="K2059" s="16"/>
      <c r="L2059" s="16"/>
      <c r="M2059" s="16"/>
      <c r="N2059" s="16"/>
      <c r="O2059" s="16"/>
      <c r="P2059" s="16"/>
      <c r="Q2059" s="16"/>
      <c r="R2059" s="16"/>
    </row>
    <row r="2060" spans="1:18" ht="18">
      <c r="A2060" s="61"/>
      <c r="B2060" s="15"/>
      <c r="C2060" s="31"/>
      <c r="D2060" s="90"/>
      <c r="E2060" s="16"/>
      <c r="F2060" s="33"/>
      <c r="G2060" s="16"/>
      <c r="H2060" s="16"/>
      <c r="I2060" s="16"/>
      <c r="J2060" s="16"/>
      <c r="K2060" s="16"/>
      <c r="L2060" s="16"/>
      <c r="M2060" s="16"/>
      <c r="N2060" s="16"/>
      <c r="O2060" s="16"/>
      <c r="P2060" s="16"/>
      <c r="Q2060" s="16"/>
      <c r="R2060" s="16"/>
    </row>
    <row r="2061" spans="1:18" ht="18">
      <c r="A2061" s="61"/>
      <c r="B2061" s="15"/>
      <c r="C2061" s="31"/>
      <c r="D2061" s="90"/>
      <c r="E2061" s="16"/>
      <c r="F2061" s="33"/>
      <c r="G2061" s="16"/>
      <c r="H2061" s="16"/>
      <c r="I2061" s="16"/>
      <c r="J2061" s="16"/>
      <c r="K2061" s="16"/>
      <c r="L2061" s="16"/>
      <c r="M2061" s="16"/>
      <c r="N2061" s="16"/>
      <c r="O2061" s="16"/>
      <c r="P2061" s="16"/>
      <c r="Q2061" s="16"/>
      <c r="R2061" s="16"/>
    </row>
    <row r="2062" spans="1:18" ht="18">
      <c r="A2062" s="61"/>
      <c r="B2062" s="15"/>
      <c r="C2062" s="31"/>
      <c r="D2062" s="90"/>
      <c r="E2062" s="16"/>
      <c r="F2062" s="33"/>
      <c r="G2062" s="16"/>
      <c r="H2062" s="16"/>
      <c r="I2062" s="16"/>
      <c r="J2062" s="16"/>
      <c r="K2062" s="16"/>
      <c r="L2062" s="16"/>
      <c r="M2062" s="16"/>
      <c r="N2062" s="16"/>
      <c r="O2062" s="16"/>
      <c r="P2062" s="16"/>
      <c r="Q2062" s="16"/>
      <c r="R2062" s="16"/>
    </row>
    <row r="2063" spans="1:18" ht="18">
      <c r="A2063" s="61"/>
      <c r="B2063" s="15"/>
      <c r="C2063" s="31"/>
      <c r="D2063" s="90"/>
      <c r="E2063" s="16"/>
      <c r="F2063" s="33"/>
      <c r="G2063" s="16"/>
      <c r="H2063" s="16"/>
      <c r="I2063" s="16"/>
      <c r="J2063" s="16"/>
      <c r="K2063" s="16"/>
      <c r="L2063" s="16"/>
      <c r="M2063" s="16"/>
      <c r="N2063" s="16"/>
      <c r="O2063" s="16"/>
      <c r="P2063" s="16"/>
      <c r="Q2063" s="16"/>
      <c r="R2063" s="16"/>
    </row>
    <row r="2064" spans="1:18" ht="18">
      <c r="A2064" s="61"/>
      <c r="B2064" s="15"/>
      <c r="C2064" s="31"/>
      <c r="D2064" s="90"/>
      <c r="E2064" s="16"/>
      <c r="F2064" s="33"/>
      <c r="G2064" s="16"/>
      <c r="H2064" s="16"/>
      <c r="I2064" s="16"/>
      <c r="J2064" s="16"/>
      <c r="K2064" s="16"/>
      <c r="L2064" s="16"/>
      <c r="M2064" s="16"/>
      <c r="N2064" s="16"/>
      <c r="O2064" s="16"/>
      <c r="P2064" s="16"/>
      <c r="Q2064" s="16"/>
      <c r="R2064" s="16"/>
    </row>
    <row r="2065" spans="1:18" ht="18">
      <c r="A2065" s="61"/>
      <c r="B2065" s="15"/>
      <c r="C2065" s="31"/>
      <c r="D2065" s="90"/>
      <c r="E2065" s="16"/>
      <c r="F2065" s="33"/>
      <c r="G2065" s="16"/>
      <c r="H2065" s="16"/>
      <c r="I2065" s="16"/>
      <c r="J2065" s="16"/>
      <c r="K2065" s="16"/>
      <c r="L2065" s="16"/>
      <c r="M2065" s="16"/>
      <c r="N2065" s="16"/>
      <c r="O2065" s="16"/>
      <c r="P2065" s="16"/>
      <c r="Q2065" s="16"/>
      <c r="R2065" s="16"/>
    </row>
    <row r="2066" spans="1:18" ht="18">
      <c r="A2066" s="61"/>
      <c r="B2066" s="15"/>
      <c r="C2066" s="31"/>
      <c r="D2066" s="90"/>
      <c r="E2066" s="16"/>
      <c r="F2066" s="33"/>
      <c r="G2066" s="16"/>
      <c r="H2066" s="16"/>
      <c r="I2066" s="16"/>
      <c r="J2066" s="16"/>
      <c r="K2066" s="16"/>
      <c r="L2066" s="16"/>
      <c r="M2066" s="16"/>
      <c r="N2066" s="16"/>
      <c r="O2066" s="16"/>
      <c r="P2066" s="16"/>
      <c r="Q2066" s="16"/>
      <c r="R2066" s="16"/>
    </row>
    <row r="2067" spans="1:18" ht="18">
      <c r="A2067" s="61"/>
      <c r="B2067" s="15"/>
      <c r="C2067" s="31"/>
      <c r="D2067" s="90"/>
      <c r="E2067" s="16"/>
      <c r="F2067" s="33"/>
      <c r="G2067" s="16"/>
      <c r="H2067" s="16"/>
      <c r="I2067" s="16"/>
      <c r="J2067" s="16"/>
      <c r="K2067" s="16"/>
      <c r="L2067" s="16"/>
      <c r="M2067" s="16"/>
      <c r="N2067" s="16"/>
      <c r="O2067" s="16"/>
      <c r="P2067" s="16"/>
      <c r="Q2067" s="16"/>
      <c r="R2067" s="16"/>
    </row>
    <row r="2068" spans="1:18" ht="18">
      <c r="A2068" s="61"/>
      <c r="B2068" s="15"/>
      <c r="C2068" s="31"/>
      <c r="D2068" s="90"/>
      <c r="E2068" s="16"/>
      <c r="F2068" s="33"/>
      <c r="G2068" s="16"/>
      <c r="H2068" s="16"/>
      <c r="I2068" s="16"/>
      <c r="J2068" s="16"/>
      <c r="K2068" s="16"/>
      <c r="L2068" s="16"/>
      <c r="M2068" s="16"/>
      <c r="N2068" s="16"/>
      <c r="O2068" s="16"/>
      <c r="P2068" s="16"/>
      <c r="Q2068" s="16"/>
      <c r="R2068" s="16"/>
    </row>
    <row r="2069" spans="1:18" ht="18">
      <c r="A2069" s="61"/>
      <c r="B2069" s="15"/>
      <c r="C2069" s="31"/>
      <c r="D2069" s="90"/>
      <c r="E2069" s="16"/>
      <c r="F2069" s="33"/>
      <c r="G2069" s="16"/>
      <c r="H2069" s="16"/>
      <c r="I2069" s="16"/>
      <c r="J2069" s="16"/>
      <c r="K2069" s="16"/>
      <c r="L2069" s="16"/>
      <c r="M2069" s="16"/>
      <c r="N2069" s="16"/>
      <c r="O2069" s="16"/>
      <c r="P2069" s="16"/>
      <c r="Q2069" s="16"/>
      <c r="R2069" s="16"/>
    </row>
    <row r="2070" spans="1:18" ht="18">
      <c r="A2070" s="61"/>
      <c r="B2070" s="15"/>
      <c r="C2070" s="31"/>
      <c r="D2070" s="90"/>
      <c r="E2070" s="16"/>
      <c r="F2070" s="33"/>
      <c r="G2070" s="16"/>
      <c r="H2070" s="16"/>
      <c r="I2070" s="16"/>
      <c r="J2070" s="16"/>
      <c r="K2070" s="16"/>
      <c r="L2070" s="16"/>
      <c r="M2070" s="16"/>
      <c r="N2070" s="16"/>
      <c r="O2070" s="16"/>
      <c r="P2070" s="16"/>
      <c r="Q2070" s="16"/>
      <c r="R2070" s="16"/>
    </row>
    <row r="2071" spans="1:18" ht="18">
      <c r="A2071" s="61"/>
      <c r="B2071" s="15"/>
      <c r="C2071" s="31"/>
      <c r="D2071" s="90"/>
      <c r="E2071" s="16"/>
      <c r="F2071" s="33"/>
      <c r="G2071" s="16"/>
      <c r="H2071" s="16"/>
      <c r="I2071" s="16"/>
      <c r="J2071" s="16"/>
      <c r="K2071" s="16"/>
      <c r="L2071" s="16"/>
      <c r="M2071" s="16"/>
      <c r="N2071" s="16"/>
      <c r="O2071" s="16"/>
      <c r="P2071" s="16"/>
      <c r="Q2071" s="16"/>
      <c r="R2071" s="16"/>
    </row>
    <row r="2072" spans="1:18" ht="18">
      <c r="A2072" s="61"/>
      <c r="B2072" s="15"/>
      <c r="C2072" s="31"/>
      <c r="D2072" s="90"/>
      <c r="E2072" s="16"/>
      <c r="F2072" s="33"/>
      <c r="G2072" s="16"/>
      <c r="H2072" s="16"/>
      <c r="I2072" s="16"/>
      <c r="J2072" s="16"/>
      <c r="K2072" s="16"/>
      <c r="L2072" s="16"/>
      <c r="M2072" s="16"/>
      <c r="N2072" s="16"/>
      <c r="O2072" s="16"/>
      <c r="P2072" s="16"/>
      <c r="Q2072" s="16"/>
      <c r="R2072" s="16"/>
    </row>
    <row r="2073" spans="1:18" ht="18">
      <c r="A2073" s="61"/>
      <c r="B2073" s="15"/>
      <c r="C2073" s="31"/>
      <c r="D2073" s="90"/>
      <c r="E2073" s="16"/>
      <c r="F2073" s="33"/>
      <c r="G2073" s="16"/>
      <c r="H2073" s="16"/>
      <c r="I2073" s="16"/>
      <c r="J2073" s="16"/>
      <c r="K2073" s="16"/>
      <c r="L2073" s="16"/>
      <c r="M2073" s="16"/>
      <c r="N2073" s="16"/>
      <c r="O2073" s="16"/>
      <c r="P2073" s="16"/>
      <c r="Q2073" s="16"/>
      <c r="R2073" s="16"/>
    </row>
    <row r="2074" spans="1:18" ht="18">
      <c r="A2074" s="61"/>
      <c r="B2074" s="15"/>
      <c r="C2074" s="31"/>
      <c r="D2074" s="90"/>
      <c r="E2074" s="16"/>
      <c r="F2074" s="33"/>
      <c r="G2074" s="16"/>
      <c r="H2074" s="16"/>
      <c r="I2074" s="16"/>
      <c r="J2074" s="16"/>
      <c r="K2074" s="16"/>
      <c r="L2074" s="16"/>
      <c r="M2074" s="16"/>
      <c r="N2074" s="16"/>
      <c r="O2074" s="16"/>
      <c r="P2074" s="16"/>
      <c r="Q2074" s="16"/>
      <c r="R2074" s="16"/>
    </row>
    <row r="2075" spans="1:18" ht="18">
      <c r="A2075" s="61"/>
      <c r="B2075" s="15"/>
      <c r="C2075" s="31"/>
      <c r="D2075" s="90"/>
      <c r="E2075" s="16"/>
      <c r="F2075" s="33"/>
      <c r="G2075" s="16"/>
      <c r="H2075" s="16"/>
      <c r="I2075" s="16"/>
      <c r="J2075" s="16"/>
      <c r="K2075" s="16"/>
      <c r="L2075" s="16"/>
      <c r="M2075" s="16"/>
      <c r="N2075" s="16"/>
      <c r="O2075" s="16"/>
      <c r="P2075" s="16"/>
      <c r="Q2075" s="16"/>
      <c r="R2075" s="16"/>
    </row>
    <row r="2076" spans="1:18" ht="18">
      <c r="A2076" s="61"/>
      <c r="B2076" s="15"/>
      <c r="C2076" s="31"/>
      <c r="D2076" s="90"/>
      <c r="E2076" s="16"/>
      <c r="F2076" s="33"/>
      <c r="G2076" s="16"/>
      <c r="H2076" s="16"/>
      <c r="I2076" s="16"/>
      <c r="J2076" s="16"/>
      <c r="K2076" s="16"/>
      <c r="L2076" s="16"/>
      <c r="M2076" s="16"/>
      <c r="N2076" s="16"/>
      <c r="O2076" s="16"/>
      <c r="P2076" s="16"/>
      <c r="Q2076" s="16"/>
      <c r="R2076" s="16"/>
    </row>
    <row r="2077" spans="1:18" ht="18">
      <c r="A2077" s="61"/>
      <c r="B2077" s="15"/>
      <c r="C2077" s="31"/>
      <c r="D2077" s="90"/>
      <c r="E2077" s="16"/>
      <c r="F2077" s="33"/>
      <c r="G2077" s="16"/>
      <c r="H2077" s="16"/>
      <c r="I2077" s="16"/>
      <c r="J2077" s="16"/>
      <c r="K2077" s="16"/>
      <c r="L2077" s="16"/>
      <c r="M2077" s="16"/>
      <c r="N2077" s="16"/>
      <c r="O2077" s="16"/>
      <c r="P2077" s="16"/>
      <c r="Q2077" s="16"/>
      <c r="R2077" s="16"/>
    </row>
    <row r="2078" spans="1:18" ht="18">
      <c r="A2078" s="61"/>
      <c r="B2078" s="15"/>
      <c r="C2078" s="31"/>
      <c r="D2078" s="90"/>
      <c r="E2078" s="16"/>
      <c r="F2078" s="33"/>
      <c r="G2078" s="16"/>
      <c r="H2078" s="16"/>
      <c r="I2078" s="16"/>
      <c r="J2078" s="16"/>
      <c r="K2078" s="16"/>
      <c r="L2078" s="16"/>
      <c r="M2078" s="16"/>
      <c r="N2078" s="16"/>
      <c r="O2078" s="16"/>
      <c r="P2078" s="16"/>
      <c r="Q2078" s="16"/>
      <c r="R2078" s="16"/>
    </row>
    <row r="2079" spans="1:18" ht="18">
      <c r="A2079" s="61"/>
      <c r="B2079" s="15"/>
      <c r="C2079" s="31"/>
      <c r="D2079" s="90"/>
      <c r="E2079" s="16"/>
      <c r="F2079" s="33"/>
      <c r="G2079" s="16"/>
      <c r="H2079" s="16"/>
      <c r="I2079" s="16"/>
      <c r="J2079" s="16"/>
      <c r="K2079" s="16"/>
      <c r="L2079" s="16"/>
      <c r="M2079" s="16"/>
      <c r="N2079" s="16"/>
      <c r="O2079" s="16"/>
      <c r="P2079" s="16"/>
      <c r="Q2079" s="16"/>
      <c r="R2079" s="16"/>
    </row>
    <row r="2080" spans="1:18" ht="18">
      <c r="A2080" s="61"/>
      <c r="B2080" s="15"/>
      <c r="C2080" s="31"/>
      <c r="D2080" s="90"/>
      <c r="E2080" s="16"/>
      <c r="F2080" s="33"/>
      <c r="G2080" s="16"/>
      <c r="H2080" s="16"/>
      <c r="I2080" s="16"/>
      <c r="J2080" s="16"/>
      <c r="K2080" s="16"/>
      <c r="L2080" s="16"/>
      <c r="M2080" s="16"/>
      <c r="N2080" s="16"/>
      <c r="O2080" s="16"/>
      <c r="P2080" s="16"/>
      <c r="Q2080" s="16"/>
      <c r="R2080" s="16"/>
    </row>
    <row r="2081" spans="1:18" ht="18">
      <c r="A2081" s="61"/>
      <c r="B2081" s="15"/>
      <c r="C2081" s="31"/>
      <c r="D2081" s="90"/>
      <c r="E2081" s="16"/>
      <c r="F2081" s="33"/>
      <c r="G2081" s="16"/>
      <c r="H2081" s="16"/>
      <c r="I2081" s="16"/>
      <c r="J2081" s="16"/>
      <c r="K2081" s="16"/>
      <c r="L2081" s="16"/>
      <c r="M2081" s="16"/>
      <c r="N2081" s="16"/>
      <c r="O2081" s="16"/>
      <c r="P2081" s="16"/>
      <c r="Q2081" s="16"/>
      <c r="R2081" s="16"/>
    </row>
    <row r="2082" spans="1:18" ht="18">
      <c r="A2082" s="61"/>
      <c r="B2082" s="15"/>
      <c r="C2082" s="31"/>
      <c r="D2082" s="90"/>
      <c r="E2082" s="16"/>
      <c r="F2082" s="33"/>
      <c r="G2082" s="16"/>
      <c r="H2082" s="16"/>
      <c r="I2082" s="16"/>
      <c r="J2082" s="16"/>
      <c r="K2082" s="16"/>
      <c r="L2082" s="16"/>
      <c r="M2082" s="16"/>
      <c r="N2082" s="16"/>
      <c r="O2082" s="16"/>
      <c r="P2082" s="16"/>
      <c r="Q2082" s="16"/>
      <c r="R2082" s="16"/>
    </row>
    <row r="2083" spans="1:18" ht="18">
      <c r="A2083" s="61"/>
      <c r="B2083" s="15"/>
      <c r="C2083" s="31"/>
      <c r="D2083" s="90"/>
      <c r="E2083" s="16"/>
      <c r="F2083" s="33"/>
      <c r="G2083" s="16"/>
      <c r="H2083" s="16"/>
      <c r="I2083" s="16"/>
      <c r="J2083" s="16"/>
      <c r="K2083" s="16"/>
      <c r="L2083" s="16"/>
      <c r="M2083" s="16"/>
      <c r="N2083" s="16"/>
      <c r="O2083" s="16"/>
      <c r="P2083" s="16"/>
      <c r="Q2083" s="16"/>
      <c r="R2083" s="16"/>
    </row>
    <row r="2084" spans="1:18" ht="18">
      <c r="A2084" s="61"/>
      <c r="B2084" s="15"/>
      <c r="C2084" s="31"/>
      <c r="D2084" s="90"/>
      <c r="E2084" s="16"/>
      <c r="F2084" s="33"/>
      <c r="G2084" s="16"/>
      <c r="H2084" s="16"/>
      <c r="I2084" s="16"/>
      <c r="J2084" s="16"/>
      <c r="K2084" s="16"/>
      <c r="L2084" s="16"/>
      <c r="M2084" s="16"/>
      <c r="N2084" s="16"/>
      <c r="O2084" s="16"/>
      <c r="P2084" s="16"/>
      <c r="Q2084" s="16"/>
      <c r="R2084" s="16"/>
    </row>
    <row r="2085" spans="1:18" ht="18">
      <c r="A2085" s="61"/>
      <c r="B2085" s="15"/>
      <c r="C2085" s="31"/>
      <c r="D2085" s="90"/>
      <c r="E2085" s="16"/>
      <c r="F2085" s="33"/>
      <c r="G2085" s="16"/>
      <c r="H2085" s="16"/>
      <c r="I2085" s="16"/>
      <c r="J2085" s="16"/>
      <c r="K2085" s="16"/>
      <c r="L2085" s="16"/>
      <c r="M2085" s="16"/>
      <c r="N2085" s="16"/>
      <c r="O2085" s="16"/>
      <c r="P2085" s="16"/>
      <c r="Q2085" s="16"/>
      <c r="R2085" s="16"/>
    </row>
    <row r="2086" spans="1:18" ht="18">
      <c r="A2086" s="61"/>
      <c r="B2086" s="15"/>
      <c r="C2086" s="31"/>
      <c r="D2086" s="90"/>
      <c r="E2086" s="16"/>
      <c r="F2086" s="33"/>
      <c r="G2086" s="16"/>
      <c r="H2086" s="16"/>
      <c r="I2086" s="16"/>
      <c r="J2086" s="16"/>
      <c r="K2086" s="16"/>
      <c r="L2086" s="16"/>
      <c r="M2086" s="16"/>
      <c r="N2086" s="16"/>
      <c r="O2086" s="16"/>
      <c r="P2086" s="16"/>
      <c r="Q2086" s="16"/>
      <c r="R2086" s="16"/>
    </row>
    <row r="2087" spans="1:18" ht="18">
      <c r="A2087" s="61"/>
      <c r="B2087" s="15"/>
      <c r="C2087" s="31"/>
      <c r="D2087" s="90"/>
      <c r="E2087" s="16"/>
      <c r="F2087" s="33"/>
      <c r="G2087" s="16"/>
      <c r="H2087" s="16"/>
      <c r="I2087" s="16"/>
      <c r="J2087" s="16"/>
      <c r="K2087" s="16"/>
      <c r="L2087" s="16"/>
      <c r="M2087" s="16"/>
      <c r="N2087" s="16"/>
      <c r="O2087" s="16"/>
      <c r="P2087" s="16"/>
      <c r="Q2087" s="16"/>
      <c r="R2087" s="16"/>
    </row>
    <row r="2088" spans="1:18" ht="18">
      <c r="A2088" s="61"/>
      <c r="B2088" s="15"/>
      <c r="C2088" s="31"/>
      <c r="D2088" s="90"/>
      <c r="E2088" s="16"/>
      <c r="F2088" s="33"/>
      <c r="G2088" s="16"/>
      <c r="H2088" s="16"/>
      <c r="I2088" s="16"/>
      <c r="J2088" s="16"/>
      <c r="K2088" s="16"/>
      <c r="L2088" s="16"/>
      <c r="M2088" s="16"/>
      <c r="N2088" s="16"/>
      <c r="O2088" s="16"/>
      <c r="P2088" s="16"/>
      <c r="Q2088" s="16"/>
      <c r="R2088" s="16"/>
    </row>
    <row r="2089" spans="1:18" ht="18">
      <c r="A2089" s="61"/>
      <c r="B2089" s="15"/>
      <c r="C2089" s="31"/>
      <c r="D2089" s="90"/>
      <c r="E2089" s="16"/>
      <c r="F2089" s="33"/>
      <c r="G2089" s="16"/>
      <c r="H2089" s="16"/>
      <c r="I2089" s="16"/>
      <c r="J2089" s="16"/>
      <c r="K2089" s="16"/>
      <c r="L2089" s="16"/>
      <c r="M2089" s="16"/>
      <c r="N2089" s="16"/>
      <c r="O2089" s="16"/>
      <c r="P2089" s="16"/>
      <c r="Q2089" s="16"/>
      <c r="R2089" s="16"/>
    </row>
    <row r="2090" spans="1:18" ht="18">
      <c r="A2090" s="61"/>
      <c r="B2090" s="15"/>
      <c r="C2090" s="31"/>
      <c r="D2090" s="90"/>
      <c r="E2090" s="16"/>
      <c r="F2090" s="33"/>
      <c r="G2090" s="16"/>
      <c r="H2090" s="16"/>
      <c r="I2090" s="16"/>
      <c r="J2090" s="16"/>
      <c r="K2090" s="16"/>
      <c r="L2090" s="16"/>
      <c r="M2090" s="16"/>
      <c r="N2090" s="16"/>
      <c r="O2090" s="16"/>
      <c r="P2090" s="16"/>
      <c r="Q2090" s="16"/>
      <c r="R2090" s="16"/>
    </row>
    <row r="2091" spans="1:18" ht="18">
      <c r="A2091" s="61"/>
      <c r="B2091" s="15"/>
      <c r="C2091" s="31"/>
      <c r="D2091" s="90"/>
      <c r="E2091" s="16"/>
      <c r="F2091" s="33"/>
      <c r="G2091" s="16"/>
      <c r="H2091" s="16"/>
      <c r="I2091" s="16"/>
      <c r="J2091" s="16"/>
      <c r="K2091" s="16"/>
      <c r="L2091" s="16"/>
      <c r="M2091" s="16"/>
      <c r="N2091" s="16"/>
      <c r="O2091" s="16"/>
      <c r="P2091" s="16"/>
      <c r="Q2091" s="16"/>
      <c r="R2091" s="16"/>
    </row>
    <row r="2092" spans="1:18" ht="18">
      <c r="A2092" s="61"/>
      <c r="B2092" s="15"/>
      <c r="C2092" s="31"/>
      <c r="D2092" s="90"/>
      <c r="E2092" s="16"/>
      <c r="F2092" s="33"/>
      <c r="G2092" s="16"/>
      <c r="H2092" s="16"/>
      <c r="I2092" s="16"/>
      <c r="J2092" s="16"/>
      <c r="K2092" s="16"/>
      <c r="L2092" s="16"/>
      <c r="M2092" s="16"/>
      <c r="N2092" s="16"/>
      <c r="O2092" s="16"/>
      <c r="P2092" s="16"/>
      <c r="Q2092" s="16"/>
      <c r="R2092" s="16"/>
    </row>
    <row r="2093" spans="1:18" ht="18">
      <c r="A2093" s="61"/>
      <c r="B2093" s="15"/>
      <c r="C2093" s="31"/>
      <c r="D2093" s="90"/>
      <c r="E2093" s="16"/>
      <c r="F2093" s="33"/>
      <c r="G2093" s="16"/>
      <c r="H2093" s="16"/>
      <c r="I2093" s="16"/>
      <c r="J2093" s="16"/>
      <c r="K2093" s="16"/>
      <c r="L2093" s="16"/>
      <c r="M2093" s="16"/>
      <c r="N2093" s="16"/>
      <c r="O2093" s="16"/>
      <c r="P2093" s="16"/>
      <c r="Q2093" s="16"/>
      <c r="R2093" s="16"/>
    </row>
    <row r="2094" spans="1:18" ht="18">
      <c r="A2094" s="61"/>
      <c r="B2094" s="15"/>
      <c r="C2094" s="31"/>
      <c r="D2094" s="90"/>
      <c r="E2094" s="16"/>
      <c r="F2094" s="33"/>
      <c r="G2094" s="16"/>
      <c r="H2094" s="16"/>
      <c r="I2094" s="16"/>
      <c r="J2094" s="16"/>
      <c r="K2094" s="16"/>
      <c r="L2094" s="16"/>
      <c r="M2094" s="16"/>
      <c r="N2094" s="16"/>
      <c r="O2094" s="16"/>
      <c r="P2094" s="16"/>
      <c r="Q2094" s="16"/>
      <c r="R2094" s="16"/>
    </row>
    <row r="2095" spans="1:18" ht="18">
      <c r="A2095" s="61"/>
      <c r="B2095" s="15"/>
      <c r="C2095" s="31"/>
      <c r="D2095" s="90"/>
      <c r="E2095" s="16"/>
      <c r="F2095" s="33"/>
      <c r="G2095" s="16"/>
      <c r="H2095" s="16"/>
      <c r="I2095" s="16"/>
      <c r="J2095" s="16"/>
      <c r="K2095" s="16"/>
      <c r="L2095" s="16"/>
      <c r="M2095" s="16"/>
      <c r="N2095" s="16"/>
      <c r="O2095" s="16"/>
      <c r="P2095" s="16"/>
      <c r="Q2095" s="16"/>
      <c r="R2095" s="16"/>
    </row>
    <row r="2096" spans="1:18" ht="18">
      <c r="A2096" s="61"/>
      <c r="B2096" s="15"/>
      <c r="C2096" s="31"/>
      <c r="D2096" s="90"/>
      <c r="E2096" s="16"/>
      <c r="F2096" s="33"/>
      <c r="G2096" s="16"/>
      <c r="H2096" s="16"/>
      <c r="I2096" s="16"/>
      <c r="J2096" s="16"/>
      <c r="K2096" s="16"/>
      <c r="L2096" s="16"/>
      <c r="M2096" s="16"/>
      <c r="N2096" s="16"/>
      <c r="O2096" s="16"/>
      <c r="P2096" s="16"/>
      <c r="Q2096" s="16"/>
      <c r="R2096" s="16"/>
    </row>
    <row r="2097" spans="1:18" ht="18">
      <c r="A2097" s="61"/>
      <c r="B2097" s="15"/>
      <c r="C2097" s="31"/>
      <c r="D2097" s="90"/>
      <c r="E2097" s="16"/>
      <c r="F2097" s="33"/>
      <c r="G2097" s="16"/>
      <c r="H2097" s="16"/>
      <c r="I2097" s="16"/>
      <c r="J2097" s="16"/>
      <c r="K2097" s="16"/>
      <c r="L2097" s="16"/>
      <c r="M2097" s="16"/>
      <c r="N2097" s="16"/>
      <c r="O2097" s="16"/>
      <c r="P2097" s="16"/>
      <c r="Q2097" s="16"/>
      <c r="R2097" s="16"/>
    </row>
    <row r="2098" spans="1:18" ht="18">
      <c r="A2098" s="61"/>
      <c r="B2098" s="15"/>
      <c r="C2098" s="31"/>
      <c r="D2098" s="90"/>
      <c r="E2098" s="16"/>
      <c r="F2098" s="33"/>
      <c r="G2098" s="16"/>
      <c r="H2098" s="16"/>
      <c r="I2098" s="16"/>
      <c r="J2098" s="16"/>
      <c r="K2098" s="16"/>
      <c r="L2098" s="16"/>
      <c r="M2098" s="16"/>
      <c r="N2098" s="16"/>
      <c r="O2098" s="16"/>
      <c r="P2098" s="16"/>
      <c r="Q2098" s="16"/>
      <c r="R2098" s="16"/>
    </row>
    <row r="2099" spans="1:18" ht="18">
      <c r="A2099" s="61"/>
      <c r="B2099" s="15"/>
      <c r="C2099" s="31"/>
      <c r="D2099" s="90"/>
      <c r="E2099" s="16"/>
      <c r="F2099" s="33"/>
      <c r="G2099" s="16"/>
      <c r="H2099" s="16"/>
      <c r="I2099" s="16"/>
      <c r="J2099" s="16"/>
      <c r="K2099" s="16"/>
      <c r="L2099" s="16"/>
      <c r="M2099" s="16"/>
      <c r="N2099" s="16"/>
      <c r="O2099" s="16"/>
      <c r="P2099" s="16"/>
      <c r="Q2099" s="16"/>
      <c r="R2099" s="16"/>
    </row>
    <row r="2100" spans="1:18" ht="18">
      <c r="A2100" s="61"/>
      <c r="B2100" s="15"/>
      <c r="C2100" s="31"/>
      <c r="D2100" s="90"/>
      <c r="E2100" s="16"/>
      <c r="F2100" s="33"/>
      <c r="G2100" s="16"/>
      <c r="H2100" s="16"/>
      <c r="I2100" s="16"/>
      <c r="J2100" s="16"/>
      <c r="K2100" s="16"/>
      <c r="L2100" s="16"/>
      <c r="M2100" s="16"/>
      <c r="N2100" s="16"/>
      <c r="O2100" s="16"/>
      <c r="P2100" s="16"/>
      <c r="Q2100" s="16"/>
      <c r="R2100" s="16"/>
    </row>
    <row r="2101" spans="1:18" ht="18">
      <c r="A2101" s="61"/>
      <c r="B2101" s="15"/>
      <c r="C2101" s="31"/>
      <c r="D2101" s="90"/>
      <c r="E2101" s="16"/>
      <c r="F2101" s="33"/>
      <c r="G2101" s="16"/>
      <c r="H2101" s="16"/>
      <c r="I2101" s="16"/>
      <c r="J2101" s="16"/>
      <c r="K2101" s="16"/>
      <c r="L2101" s="16"/>
      <c r="M2101" s="16"/>
      <c r="N2101" s="16"/>
      <c r="O2101" s="16"/>
      <c r="P2101" s="16"/>
      <c r="Q2101" s="16"/>
      <c r="R2101" s="16"/>
    </row>
    <row r="2102" spans="1:18" ht="18">
      <c r="A2102" s="61"/>
      <c r="B2102" s="15"/>
      <c r="C2102" s="31"/>
      <c r="D2102" s="90"/>
      <c r="E2102" s="16"/>
      <c r="F2102" s="33"/>
      <c r="G2102" s="16"/>
      <c r="H2102" s="16"/>
      <c r="I2102" s="16"/>
      <c r="J2102" s="16"/>
      <c r="K2102" s="16"/>
      <c r="L2102" s="16"/>
      <c r="M2102" s="16"/>
      <c r="N2102" s="16"/>
      <c r="O2102" s="16"/>
      <c r="P2102" s="16"/>
      <c r="Q2102" s="16"/>
      <c r="R2102" s="16"/>
    </row>
    <row r="2103" spans="1:18" ht="18">
      <c r="A2103" s="61"/>
      <c r="B2103" s="15"/>
      <c r="C2103" s="31"/>
      <c r="D2103" s="90"/>
      <c r="E2103" s="16"/>
      <c r="F2103" s="33"/>
      <c r="G2103" s="16"/>
      <c r="H2103" s="16"/>
      <c r="I2103" s="16"/>
      <c r="J2103" s="16"/>
      <c r="K2103" s="16"/>
      <c r="L2103" s="16"/>
      <c r="M2103" s="16"/>
      <c r="N2103" s="16"/>
      <c r="O2103" s="16"/>
      <c r="P2103" s="16"/>
      <c r="Q2103" s="16"/>
      <c r="R2103" s="16"/>
    </row>
    <row r="2104" spans="1:18" ht="18">
      <c r="A2104" s="61"/>
      <c r="B2104" s="15"/>
      <c r="C2104" s="31"/>
      <c r="D2104" s="90"/>
      <c r="E2104" s="16"/>
      <c r="F2104" s="33"/>
      <c r="G2104" s="16"/>
      <c r="H2104" s="16"/>
      <c r="I2104" s="16"/>
      <c r="J2104" s="16"/>
      <c r="K2104" s="16"/>
      <c r="L2104" s="16"/>
      <c r="M2104" s="16"/>
      <c r="N2104" s="16"/>
      <c r="O2104" s="16"/>
      <c r="P2104" s="16"/>
      <c r="Q2104" s="16"/>
      <c r="R2104" s="16"/>
    </row>
    <row r="2105" spans="1:18" ht="18">
      <c r="A2105" s="61"/>
      <c r="B2105" s="15"/>
      <c r="C2105" s="31"/>
      <c r="D2105" s="90"/>
      <c r="E2105" s="16"/>
      <c r="F2105" s="33"/>
      <c r="G2105" s="16"/>
      <c r="H2105" s="16"/>
      <c r="I2105" s="16"/>
      <c r="J2105" s="16"/>
      <c r="K2105" s="16"/>
      <c r="L2105" s="16"/>
      <c r="M2105" s="16"/>
      <c r="N2105" s="16"/>
      <c r="O2105" s="16"/>
      <c r="P2105" s="16"/>
      <c r="Q2105" s="16"/>
      <c r="R2105" s="16"/>
    </row>
    <row r="2106" spans="1:18" ht="18">
      <c r="A2106" s="61"/>
      <c r="B2106" s="15"/>
      <c r="C2106" s="31"/>
      <c r="D2106" s="90"/>
      <c r="E2106" s="16"/>
      <c r="F2106" s="33"/>
      <c r="G2106" s="16"/>
      <c r="H2106" s="16"/>
      <c r="I2106" s="16"/>
      <c r="J2106" s="16"/>
      <c r="K2106" s="16"/>
      <c r="L2106" s="16"/>
      <c r="M2106" s="16"/>
      <c r="N2106" s="16"/>
      <c r="O2106" s="16"/>
      <c r="P2106" s="16"/>
      <c r="Q2106" s="16"/>
      <c r="R2106" s="16"/>
    </row>
    <row r="2107" spans="1:18" ht="18">
      <c r="A2107" s="61"/>
      <c r="B2107" s="15"/>
      <c r="C2107" s="31"/>
      <c r="D2107" s="90"/>
      <c r="E2107" s="16"/>
      <c r="F2107" s="33"/>
      <c r="G2107" s="16"/>
      <c r="H2107" s="16"/>
      <c r="I2107" s="16"/>
      <c r="J2107" s="16"/>
      <c r="K2107" s="16"/>
      <c r="L2107" s="16"/>
      <c r="M2107" s="16"/>
      <c r="N2107" s="16"/>
      <c r="O2107" s="16"/>
      <c r="P2107" s="16"/>
      <c r="Q2107" s="16"/>
      <c r="R2107" s="16"/>
    </row>
    <row r="2108" spans="1:18" ht="18">
      <c r="A2108" s="61"/>
      <c r="B2108" s="15"/>
      <c r="C2108" s="31"/>
      <c r="D2108" s="90"/>
      <c r="E2108" s="16"/>
      <c r="F2108" s="33"/>
      <c r="G2108" s="16"/>
      <c r="H2108" s="16"/>
      <c r="I2108" s="16"/>
      <c r="J2108" s="16"/>
      <c r="K2108" s="16"/>
      <c r="L2108" s="16"/>
      <c r="M2108" s="16"/>
      <c r="N2108" s="16"/>
      <c r="O2108" s="16"/>
      <c r="P2108" s="16"/>
      <c r="Q2108" s="16"/>
      <c r="R2108" s="16"/>
    </row>
    <row r="2109" spans="1:18" ht="18">
      <c r="A2109" s="61"/>
      <c r="B2109" s="15"/>
      <c r="C2109" s="31"/>
      <c r="D2109" s="90"/>
      <c r="E2109" s="16"/>
      <c r="F2109" s="33"/>
      <c r="G2109" s="16"/>
      <c r="H2109" s="16"/>
      <c r="I2109" s="16"/>
      <c r="J2109" s="16"/>
      <c r="K2109" s="16"/>
      <c r="L2109" s="16"/>
      <c r="M2109" s="16"/>
      <c r="N2109" s="16"/>
      <c r="O2109" s="16"/>
      <c r="P2109" s="16"/>
      <c r="Q2109" s="16"/>
      <c r="R2109" s="16"/>
    </row>
    <row r="2110" spans="1:18" ht="18">
      <c r="A2110" s="61"/>
      <c r="B2110" s="15"/>
      <c r="C2110" s="31"/>
      <c r="D2110" s="90"/>
      <c r="E2110" s="16"/>
      <c r="F2110" s="33"/>
      <c r="G2110" s="16"/>
      <c r="H2110" s="16"/>
      <c r="I2110" s="16"/>
      <c r="J2110" s="16"/>
      <c r="K2110" s="16"/>
      <c r="L2110" s="16"/>
      <c r="M2110" s="16"/>
      <c r="N2110" s="16"/>
      <c r="O2110" s="16"/>
      <c r="P2110" s="16"/>
      <c r="Q2110" s="16"/>
      <c r="R2110" s="16"/>
    </row>
    <row r="2111" spans="1:18" ht="18">
      <c r="A2111" s="61"/>
      <c r="B2111" s="15"/>
      <c r="C2111" s="31"/>
      <c r="D2111" s="90"/>
      <c r="E2111" s="16"/>
      <c r="F2111" s="33"/>
      <c r="G2111" s="16"/>
      <c r="H2111" s="16"/>
      <c r="I2111" s="16"/>
      <c r="J2111" s="16"/>
      <c r="K2111" s="16"/>
      <c r="L2111" s="16"/>
      <c r="M2111" s="16"/>
      <c r="N2111" s="16"/>
      <c r="O2111" s="16"/>
      <c r="P2111" s="16"/>
      <c r="Q2111" s="16"/>
      <c r="R2111" s="16"/>
    </row>
    <row r="2112" spans="1:18" ht="18">
      <c r="A2112" s="61"/>
      <c r="B2112" s="15"/>
      <c r="C2112" s="31"/>
      <c r="D2112" s="90"/>
      <c r="E2112" s="16"/>
      <c r="F2112" s="33"/>
      <c r="G2112" s="16"/>
      <c r="H2112" s="16"/>
      <c r="I2112" s="16"/>
      <c r="J2112" s="16"/>
      <c r="K2112" s="16"/>
      <c r="L2112" s="16"/>
      <c r="M2112" s="16"/>
      <c r="N2112" s="16"/>
      <c r="O2112" s="16"/>
      <c r="P2112" s="16"/>
      <c r="Q2112" s="16"/>
      <c r="R2112" s="16"/>
    </row>
    <row r="2113" spans="1:18" ht="18">
      <c r="A2113" s="61"/>
      <c r="B2113" s="15"/>
      <c r="C2113" s="31"/>
      <c r="D2113" s="90"/>
      <c r="E2113" s="16"/>
      <c r="F2113" s="33"/>
      <c r="G2113" s="16"/>
      <c r="H2113" s="16"/>
      <c r="I2113" s="16"/>
      <c r="J2113" s="16"/>
      <c r="K2113" s="16"/>
      <c r="L2113" s="16"/>
      <c r="M2113" s="16"/>
      <c r="N2113" s="16"/>
      <c r="O2113" s="16"/>
      <c r="P2113" s="16"/>
      <c r="Q2113" s="16"/>
      <c r="R2113" s="16"/>
    </row>
    <row r="2114" spans="1:18" ht="18">
      <c r="A2114" s="61"/>
      <c r="B2114" s="15"/>
      <c r="C2114" s="31"/>
      <c r="D2114" s="90"/>
      <c r="E2114" s="16"/>
      <c r="F2114" s="33"/>
      <c r="G2114" s="16"/>
      <c r="H2114" s="16"/>
      <c r="I2114" s="16"/>
      <c r="J2114" s="16"/>
      <c r="K2114" s="16"/>
      <c r="L2114" s="16"/>
      <c r="M2114" s="16"/>
      <c r="N2114" s="16"/>
      <c r="O2114" s="16"/>
      <c r="P2114" s="16"/>
      <c r="Q2114" s="16"/>
      <c r="R2114" s="16"/>
    </row>
    <row r="2115" spans="1:18" ht="18">
      <c r="A2115" s="61"/>
      <c r="B2115" s="15"/>
      <c r="C2115" s="31"/>
      <c r="D2115" s="90"/>
      <c r="E2115" s="16"/>
      <c r="F2115" s="33"/>
      <c r="G2115" s="16"/>
      <c r="H2115" s="16"/>
      <c r="I2115" s="16"/>
      <c r="J2115" s="16"/>
      <c r="K2115" s="16"/>
      <c r="L2115" s="16"/>
      <c r="M2115" s="16"/>
      <c r="N2115" s="16"/>
      <c r="O2115" s="16"/>
      <c r="P2115" s="16"/>
      <c r="Q2115" s="16"/>
      <c r="R2115" s="16"/>
    </row>
    <row r="2116" spans="1:18" ht="18">
      <c r="A2116" s="61"/>
      <c r="B2116" s="15"/>
      <c r="C2116" s="31"/>
      <c r="D2116" s="90"/>
      <c r="E2116" s="16"/>
      <c r="F2116" s="33"/>
      <c r="G2116" s="16"/>
      <c r="H2116" s="16"/>
      <c r="I2116" s="16"/>
      <c r="J2116" s="16"/>
      <c r="K2116" s="16"/>
      <c r="L2116" s="16"/>
      <c r="M2116" s="16"/>
      <c r="N2116" s="16"/>
      <c r="O2116" s="16"/>
      <c r="P2116" s="16"/>
      <c r="Q2116" s="16"/>
      <c r="R2116" s="16"/>
    </row>
    <row r="2117" spans="1:18" ht="18">
      <c r="A2117" s="61"/>
      <c r="B2117" s="15"/>
      <c r="C2117" s="31"/>
      <c r="D2117" s="90"/>
      <c r="E2117" s="16"/>
      <c r="F2117" s="33"/>
      <c r="G2117" s="16"/>
      <c r="H2117" s="16"/>
      <c r="I2117" s="16"/>
      <c r="J2117" s="16"/>
      <c r="K2117" s="16"/>
      <c r="L2117" s="16"/>
      <c r="M2117" s="16"/>
      <c r="N2117" s="16"/>
      <c r="O2117" s="16"/>
      <c r="P2117" s="16"/>
      <c r="Q2117" s="16"/>
      <c r="R2117" s="16"/>
    </row>
    <row r="2118" spans="1:18" ht="18">
      <c r="A2118" s="61"/>
      <c r="B2118" s="15"/>
      <c r="C2118" s="31"/>
      <c r="D2118" s="90"/>
      <c r="E2118" s="16"/>
      <c r="F2118" s="33"/>
      <c r="G2118" s="16"/>
      <c r="H2118" s="16"/>
      <c r="I2118" s="16"/>
      <c r="J2118" s="16"/>
      <c r="K2118" s="16"/>
      <c r="L2118" s="16"/>
      <c r="M2118" s="16"/>
      <c r="N2118" s="16"/>
      <c r="O2118" s="16"/>
      <c r="P2118" s="16"/>
      <c r="Q2118" s="16"/>
      <c r="R2118" s="16"/>
    </row>
    <row r="2119" spans="1:18" ht="18">
      <c r="A2119" s="61"/>
      <c r="B2119" s="15"/>
      <c r="C2119" s="31"/>
      <c r="D2119" s="90"/>
      <c r="E2119" s="16"/>
      <c r="F2119" s="33"/>
      <c r="G2119" s="16"/>
      <c r="H2119" s="16"/>
      <c r="I2119" s="16"/>
      <c r="J2119" s="16"/>
      <c r="K2119" s="16"/>
      <c r="L2119" s="16"/>
      <c r="M2119" s="16"/>
      <c r="N2119" s="16"/>
      <c r="O2119" s="16"/>
      <c r="P2119" s="16"/>
      <c r="Q2119" s="16"/>
      <c r="R2119" s="16"/>
    </row>
    <row r="2120" spans="1:18" ht="18">
      <c r="A2120" s="61"/>
      <c r="B2120" s="15"/>
      <c r="C2120" s="31"/>
      <c r="D2120" s="90"/>
      <c r="E2120" s="16"/>
      <c r="F2120" s="33"/>
      <c r="G2120" s="16"/>
      <c r="H2120" s="16"/>
      <c r="I2120" s="16"/>
      <c r="J2120" s="16"/>
      <c r="K2120" s="16"/>
      <c r="L2120" s="16"/>
      <c r="M2120" s="16"/>
      <c r="N2120" s="16"/>
      <c r="O2120" s="16"/>
      <c r="P2120" s="16"/>
      <c r="Q2120" s="16"/>
      <c r="R2120" s="16"/>
    </row>
    <row r="2121" spans="1:18" ht="18">
      <c r="A2121" s="61"/>
      <c r="B2121" s="15"/>
      <c r="C2121" s="31"/>
      <c r="D2121" s="90"/>
      <c r="E2121" s="16"/>
      <c r="F2121" s="33"/>
      <c r="G2121" s="16"/>
      <c r="H2121" s="16"/>
      <c r="I2121" s="16"/>
      <c r="J2121" s="16"/>
      <c r="K2121" s="16"/>
      <c r="L2121" s="16"/>
      <c r="M2121" s="16"/>
      <c r="N2121" s="16"/>
      <c r="O2121" s="16"/>
      <c r="P2121" s="16"/>
      <c r="Q2121" s="16"/>
      <c r="R2121" s="16"/>
    </row>
    <row r="2122" spans="1:18" ht="18">
      <c r="A2122" s="61"/>
      <c r="B2122" s="15"/>
      <c r="C2122" s="31"/>
      <c r="D2122" s="90"/>
      <c r="E2122" s="16"/>
      <c r="F2122" s="33"/>
      <c r="G2122" s="16"/>
      <c r="H2122" s="16"/>
      <c r="I2122" s="16"/>
      <c r="J2122" s="16"/>
      <c r="K2122" s="16"/>
      <c r="L2122" s="16"/>
      <c r="M2122" s="16"/>
      <c r="N2122" s="16"/>
      <c r="O2122" s="16"/>
      <c r="P2122" s="16"/>
      <c r="Q2122" s="16"/>
      <c r="R2122" s="16"/>
    </row>
    <row r="2123" spans="1:18" ht="18">
      <c r="A2123" s="61"/>
      <c r="B2123" s="15"/>
      <c r="C2123" s="31"/>
      <c r="D2123" s="90"/>
      <c r="E2123" s="16"/>
      <c r="F2123" s="33"/>
      <c r="G2123" s="16"/>
      <c r="H2123" s="16"/>
      <c r="I2123" s="16"/>
      <c r="J2123" s="16"/>
      <c r="K2123" s="16"/>
      <c r="L2123" s="16"/>
      <c r="M2123" s="16"/>
      <c r="N2123" s="16"/>
      <c r="O2123" s="16"/>
      <c r="P2123" s="16"/>
      <c r="Q2123" s="16"/>
      <c r="R2123" s="16"/>
    </row>
    <row r="2124" spans="1:18" ht="18">
      <c r="A2124" s="61"/>
      <c r="B2124" s="15"/>
      <c r="C2124" s="31"/>
      <c r="D2124" s="90"/>
      <c r="E2124" s="16"/>
      <c r="F2124" s="33"/>
      <c r="G2124" s="16"/>
      <c r="H2124" s="16"/>
      <c r="I2124" s="16"/>
      <c r="J2124" s="16"/>
      <c r="K2124" s="16"/>
      <c r="L2124" s="16"/>
      <c r="M2124" s="16"/>
      <c r="N2124" s="16"/>
      <c r="O2124" s="16"/>
      <c r="P2124" s="16"/>
      <c r="Q2124" s="16"/>
      <c r="R2124" s="16"/>
    </row>
    <row r="2125" spans="1:18" ht="18">
      <c r="A2125" s="61"/>
      <c r="B2125" s="15"/>
      <c r="C2125" s="31"/>
      <c r="D2125" s="90"/>
      <c r="E2125" s="16"/>
      <c r="F2125" s="33"/>
      <c r="G2125" s="16"/>
      <c r="H2125" s="16"/>
      <c r="I2125" s="16"/>
      <c r="J2125" s="16"/>
      <c r="K2125" s="16"/>
      <c r="L2125" s="16"/>
      <c r="M2125" s="16"/>
      <c r="N2125" s="16"/>
      <c r="O2125" s="16"/>
      <c r="P2125" s="16"/>
      <c r="Q2125" s="16"/>
      <c r="R2125" s="16"/>
    </row>
    <row r="2126" spans="1:18" ht="18">
      <c r="A2126" s="61"/>
      <c r="B2126" s="15"/>
      <c r="C2126" s="31"/>
      <c r="D2126" s="90"/>
      <c r="E2126" s="16"/>
      <c r="F2126" s="33"/>
      <c r="G2126" s="16"/>
      <c r="H2126" s="16"/>
      <c r="I2126" s="16"/>
      <c r="J2126" s="16"/>
      <c r="K2126" s="16"/>
      <c r="L2126" s="16"/>
      <c r="M2126" s="16"/>
      <c r="N2126" s="16"/>
      <c r="O2126" s="16"/>
      <c r="P2126" s="16"/>
      <c r="Q2126" s="16"/>
      <c r="R2126" s="16"/>
    </row>
    <row r="2127" spans="1:18" ht="18">
      <c r="A2127" s="61"/>
      <c r="B2127" s="15"/>
      <c r="C2127" s="31"/>
      <c r="D2127" s="90"/>
      <c r="E2127" s="16"/>
      <c r="F2127" s="33"/>
      <c r="G2127" s="16"/>
      <c r="H2127" s="16"/>
      <c r="I2127" s="16"/>
      <c r="J2127" s="16"/>
      <c r="K2127" s="16"/>
      <c r="L2127" s="16"/>
      <c r="M2127" s="16"/>
      <c r="N2127" s="16"/>
      <c r="O2127" s="16"/>
      <c r="P2127" s="16"/>
      <c r="Q2127" s="16"/>
      <c r="R2127" s="16"/>
    </row>
    <row r="2128" spans="1:18" ht="18">
      <c r="A2128" s="61"/>
      <c r="B2128" s="15"/>
      <c r="C2128" s="31"/>
      <c r="D2128" s="90"/>
      <c r="E2128" s="16"/>
      <c r="F2128" s="33"/>
      <c r="G2128" s="16"/>
      <c r="H2128" s="16"/>
      <c r="I2128" s="16"/>
      <c r="J2128" s="16"/>
      <c r="K2128" s="16"/>
      <c r="L2128" s="16"/>
      <c r="M2128" s="16"/>
      <c r="N2128" s="16"/>
      <c r="O2128" s="16"/>
      <c r="P2128" s="16"/>
      <c r="Q2128" s="16"/>
      <c r="R2128" s="16"/>
    </row>
    <row r="2129" spans="1:18" ht="18">
      <c r="A2129" s="61"/>
      <c r="B2129" s="15"/>
      <c r="C2129" s="31"/>
      <c r="D2129" s="90"/>
      <c r="E2129" s="16"/>
      <c r="F2129" s="33"/>
      <c r="G2129" s="16"/>
      <c r="H2129" s="16"/>
      <c r="I2129" s="16"/>
      <c r="J2129" s="16"/>
      <c r="K2129" s="16"/>
      <c r="L2129" s="16"/>
      <c r="M2129" s="16"/>
      <c r="N2129" s="16"/>
      <c r="O2129" s="16"/>
      <c r="P2129" s="16"/>
      <c r="Q2129" s="16"/>
      <c r="R2129" s="16"/>
    </row>
    <row r="2130" spans="1:18" ht="18">
      <c r="A2130" s="61"/>
      <c r="B2130" s="15"/>
      <c r="C2130" s="31"/>
      <c r="D2130" s="90"/>
      <c r="E2130" s="16"/>
      <c r="F2130" s="33"/>
      <c r="G2130" s="16"/>
      <c r="H2130" s="16"/>
      <c r="I2130" s="16"/>
      <c r="J2130" s="16"/>
      <c r="K2130" s="16"/>
      <c r="L2130" s="16"/>
      <c r="M2130" s="16"/>
      <c r="N2130" s="16"/>
      <c r="O2130" s="16"/>
      <c r="P2130" s="16"/>
      <c r="Q2130" s="16"/>
      <c r="R2130" s="16"/>
    </row>
    <row r="2131" spans="1:18" ht="18">
      <c r="A2131" s="61"/>
      <c r="B2131" s="15"/>
      <c r="C2131" s="31"/>
      <c r="D2131" s="90"/>
      <c r="E2131" s="16"/>
      <c r="F2131" s="33"/>
      <c r="G2131" s="16"/>
      <c r="H2131" s="16"/>
      <c r="I2131" s="16"/>
      <c r="J2131" s="16"/>
      <c r="K2131" s="16"/>
      <c r="L2131" s="16"/>
      <c r="M2131" s="16"/>
      <c r="N2131" s="16"/>
      <c r="O2131" s="16"/>
      <c r="P2131" s="16"/>
      <c r="Q2131" s="16"/>
      <c r="R2131" s="16"/>
    </row>
    <row r="2132" spans="1:18" ht="18">
      <c r="A2132" s="61"/>
      <c r="B2132" s="15"/>
      <c r="C2132" s="31"/>
      <c r="D2132" s="90"/>
      <c r="E2132" s="16"/>
      <c r="F2132" s="33"/>
      <c r="G2132" s="16"/>
      <c r="H2132" s="16"/>
      <c r="I2132" s="16"/>
      <c r="J2132" s="16"/>
      <c r="K2132" s="16"/>
      <c r="L2132" s="16"/>
      <c r="M2132" s="16"/>
      <c r="N2132" s="16"/>
      <c r="O2132" s="16"/>
      <c r="P2132" s="16"/>
      <c r="Q2132" s="16"/>
      <c r="R2132" s="16"/>
    </row>
    <row r="2133" spans="1:18" ht="18">
      <c r="A2133" s="61"/>
      <c r="B2133" s="15"/>
      <c r="C2133" s="31"/>
      <c r="D2133" s="90"/>
      <c r="E2133" s="16"/>
      <c r="F2133" s="33"/>
      <c r="G2133" s="16"/>
      <c r="H2133" s="16"/>
      <c r="I2133" s="16"/>
      <c r="J2133" s="16"/>
      <c r="K2133" s="16"/>
      <c r="L2133" s="16"/>
      <c r="M2133" s="16"/>
      <c r="N2133" s="16"/>
      <c r="O2133" s="16"/>
      <c r="P2133" s="16"/>
      <c r="Q2133" s="16"/>
      <c r="R2133" s="16"/>
    </row>
    <row r="2134" spans="1:18" ht="18">
      <c r="A2134" s="61"/>
      <c r="B2134" s="15"/>
      <c r="C2134" s="31"/>
      <c r="D2134" s="90"/>
      <c r="E2134" s="16"/>
      <c r="F2134" s="33"/>
      <c r="G2134" s="16"/>
      <c r="H2134" s="16"/>
      <c r="I2134" s="16"/>
      <c r="J2134" s="16"/>
      <c r="K2134" s="16"/>
      <c r="L2134" s="16"/>
      <c r="M2134" s="16"/>
      <c r="N2134" s="16"/>
      <c r="O2134" s="16"/>
      <c r="P2134" s="16"/>
      <c r="Q2134" s="16"/>
      <c r="R2134" s="16"/>
    </row>
    <row r="2135" spans="1:18" ht="18">
      <c r="A2135" s="61"/>
      <c r="B2135" s="15"/>
      <c r="C2135" s="31"/>
      <c r="D2135" s="90"/>
      <c r="E2135" s="16"/>
      <c r="F2135" s="33"/>
      <c r="G2135" s="16"/>
      <c r="H2135" s="16"/>
      <c r="I2135" s="16"/>
      <c r="J2135" s="16"/>
      <c r="K2135" s="16"/>
      <c r="L2135" s="16"/>
      <c r="M2135" s="16"/>
      <c r="N2135" s="16"/>
      <c r="O2135" s="16"/>
      <c r="P2135" s="16"/>
      <c r="Q2135" s="16"/>
      <c r="R2135" s="16"/>
    </row>
    <row r="2136" spans="1:18" ht="18">
      <c r="A2136" s="61"/>
      <c r="B2136" s="15"/>
      <c r="C2136" s="31"/>
      <c r="D2136" s="90"/>
      <c r="E2136" s="16"/>
      <c r="F2136" s="33"/>
      <c r="G2136" s="16"/>
      <c r="H2136" s="16"/>
      <c r="I2136" s="16"/>
      <c r="J2136" s="16"/>
      <c r="K2136" s="16"/>
      <c r="L2136" s="16"/>
      <c r="M2136" s="16"/>
      <c r="N2136" s="16"/>
      <c r="O2136" s="16"/>
      <c r="P2136" s="16"/>
      <c r="Q2136" s="16"/>
      <c r="R2136" s="16"/>
    </row>
    <row r="2137" spans="1:18" ht="18">
      <c r="A2137" s="61"/>
      <c r="B2137" s="15"/>
      <c r="C2137" s="31"/>
      <c r="D2137" s="90"/>
      <c r="E2137" s="16"/>
      <c r="F2137" s="33"/>
      <c r="G2137" s="16"/>
      <c r="H2137" s="16"/>
      <c r="I2137" s="16"/>
      <c r="J2137" s="16"/>
      <c r="K2137" s="16"/>
      <c r="L2137" s="16"/>
      <c r="M2137" s="16"/>
      <c r="N2137" s="16"/>
      <c r="O2137" s="16"/>
      <c r="P2137" s="16"/>
      <c r="Q2137" s="16"/>
      <c r="R2137" s="16"/>
    </row>
    <row r="2138" spans="1:18" ht="18">
      <c r="A2138" s="61"/>
      <c r="B2138" s="15"/>
      <c r="C2138" s="31"/>
      <c r="D2138" s="90"/>
      <c r="E2138" s="16"/>
      <c r="F2138" s="33"/>
      <c r="G2138" s="16"/>
      <c r="H2138" s="16"/>
      <c r="I2138" s="16"/>
      <c r="J2138" s="16"/>
      <c r="K2138" s="16"/>
      <c r="L2138" s="16"/>
      <c r="M2138" s="16"/>
      <c r="N2138" s="16"/>
      <c r="O2138" s="16"/>
      <c r="P2138" s="16"/>
      <c r="Q2138" s="16"/>
      <c r="R2138" s="16"/>
    </row>
    <row r="2139" spans="1:18" ht="18">
      <c r="A2139" s="61"/>
      <c r="B2139" s="15"/>
      <c r="C2139" s="31"/>
      <c r="D2139" s="90"/>
      <c r="E2139" s="16"/>
      <c r="F2139" s="33"/>
      <c r="G2139" s="16"/>
      <c r="H2139" s="16"/>
      <c r="I2139" s="16"/>
      <c r="J2139" s="16"/>
      <c r="K2139" s="16"/>
      <c r="L2139" s="16"/>
      <c r="M2139" s="16"/>
      <c r="N2139" s="16"/>
      <c r="O2139" s="16"/>
      <c r="P2139" s="16"/>
      <c r="Q2139" s="16"/>
      <c r="R2139" s="16"/>
    </row>
    <row r="2140" spans="1:18" ht="18">
      <c r="A2140" s="61"/>
      <c r="B2140" s="15"/>
      <c r="C2140" s="31"/>
      <c r="D2140" s="90"/>
      <c r="E2140" s="16"/>
      <c r="F2140" s="33"/>
      <c r="G2140" s="16"/>
      <c r="H2140" s="16"/>
      <c r="I2140" s="16"/>
      <c r="J2140" s="16"/>
      <c r="K2140" s="16"/>
      <c r="L2140" s="16"/>
      <c r="M2140" s="16"/>
      <c r="N2140" s="16"/>
      <c r="O2140" s="16"/>
      <c r="P2140" s="16"/>
      <c r="Q2140" s="16"/>
      <c r="R2140" s="16"/>
    </row>
    <row r="2141" spans="1:18" ht="18">
      <c r="A2141" s="61"/>
      <c r="B2141" s="15"/>
      <c r="C2141" s="31"/>
      <c r="D2141" s="90"/>
      <c r="E2141" s="16"/>
      <c r="F2141" s="33"/>
      <c r="G2141" s="16"/>
      <c r="H2141" s="16"/>
      <c r="I2141" s="16"/>
      <c r="J2141" s="16"/>
      <c r="K2141" s="16"/>
      <c r="L2141" s="16"/>
      <c r="M2141" s="16"/>
      <c r="N2141" s="16"/>
      <c r="O2141" s="16"/>
      <c r="P2141" s="16"/>
      <c r="Q2141" s="16"/>
      <c r="R2141" s="16"/>
    </row>
    <row r="2142" spans="1:18" ht="18">
      <c r="A2142" s="61"/>
      <c r="B2142" s="15"/>
      <c r="C2142" s="31"/>
      <c r="D2142" s="90"/>
      <c r="E2142" s="16"/>
      <c r="F2142" s="33"/>
      <c r="G2142" s="16"/>
      <c r="H2142" s="16"/>
      <c r="I2142" s="16"/>
      <c r="J2142" s="16"/>
      <c r="K2142" s="16"/>
      <c r="L2142" s="16"/>
      <c r="M2142" s="16"/>
      <c r="N2142" s="16"/>
      <c r="O2142" s="16"/>
      <c r="P2142" s="16"/>
      <c r="Q2142" s="16"/>
      <c r="R2142" s="16"/>
    </row>
    <row r="2143" spans="1:18" ht="18">
      <c r="A2143" s="61"/>
      <c r="B2143" s="15"/>
      <c r="C2143" s="31"/>
      <c r="D2143" s="90"/>
      <c r="E2143" s="16"/>
      <c r="F2143" s="33"/>
      <c r="G2143" s="16"/>
      <c r="H2143" s="16"/>
      <c r="I2143" s="16"/>
      <c r="J2143" s="16"/>
      <c r="K2143" s="16"/>
      <c r="L2143" s="16"/>
      <c r="M2143" s="16"/>
      <c r="N2143" s="16"/>
      <c r="O2143" s="16"/>
      <c r="P2143" s="16"/>
      <c r="Q2143" s="16"/>
      <c r="R2143" s="16"/>
    </row>
    <row r="2144" spans="1:18" ht="18">
      <c r="A2144" s="61"/>
      <c r="B2144" s="15"/>
      <c r="C2144" s="31"/>
      <c r="D2144" s="90"/>
      <c r="E2144" s="16"/>
      <c r="F2144" s="33"/>
      <c r="G2144" s="16"/>
      <c r="H2144" s="16"/>
      <c r="I2144" s="16"/>
      <c r="J2144" s="16"/>
      <c r="K2144" s="16"/>
      <c r="L2144" s="16"/>
      <c r="M2144" s="16"/>
      <c r="N2144" s="16"/>
      <c r="O2144" s="16"/>
      <c r="P2144" s="16"/>
      <c r="Q2144" s="16"/>
      <c r="R2144" s="16"/>
    </row>
    <row r="2145" spans="1:18" ht="18">
      <c r="A2145" s="61"/>
      <c r="B2145" s="15"/>
      <c r="C2145" s="31"/>
      <c r="D2145" s="90"/>
      <c r="E2145" s="16"/>
      <c r="F2145" s="33"/>
      <c r="G2145" s="16"/>
      <c r="H2145" s="16"/>
      <c r="I2145" s="16"/>
      <c r="J2145" s="16"/>
      <c r="K2145" s="16"/>
      <c r="L2145" s="16"/>
      <c r="M2145" s="16"/>
      <c r="N2145" s="16"/>
      <c r="O2145" s="16"/>
      <c r="P2145" s="16"/>
      <c r="Q2145" s="16"/>
      <c r="R2145" s="16"/>
    </row>
    <row r="2146" spans="1:18" ht="18">
      <c r="A2146" s="61"/>
      <c r="B2146" s="15"/>
      <c r="C2146" s="31"/>
      <c r="D2146" s="90"/>
      <c r="E2146" s="16"/>
      <c r="F2146" s="33"/>
      <c r="G2146" s="16"/>
      <c r="H2146" s="16"/>
      <c r="I2146" s="16"/>
      <c r="J2146" s="16"/>
      <c r="K2146" s="16"/>
      <c r="L2146" s="16"/>
      <c r="M2146" s="16"/>
      <c r="N2146" s="16"/>
      <c r="O2146" s="16"/>
      <c r="P2146" s="16"/>
      <c r="Q2146" s="16"/>
      <c r="R2146" s="16"/>
    </row>
    <row r="2147" spans="1:18" ht="18">
      <c r="A2147" s="61"/>
      <c r="B2147" s="15"/>
      <c r="C2147" s="31"/>
      <c r="D2147" s="90"/>
      <c r="E2147" s="16"/>
      <c r="F2147" s="33"/>
      <c r="G2147" s="16"/>
      <c r="H2147" s="16"/>
      <c r="I2147" s="16"/>
      <c r="J2147" s="16"/>
      <c r="K2147" s="16"/>
      <c r="L2147" s="16"/>
      <c r="M2147" s="16"/>
      <c r="N2147" s="16"/>
      <c r="O2147" s="16"/>
      <c r="P2147" s="16"/>
      <c r="Q2147" s="16"/>
      <c r="R2147" s="16"/>
    </row>
    <row r="2148" spans="1:18" ht="18">
      <c r="A2148" s="61"/>
      <c r="B2148" s="15"/>
      <c r="C2148" s="31"/>
      <c r="D2148" s="90"/>
      <c r="E2148" s="16"/>
      <c r="F2148" s="33"/>
      <c r="G2148" s="16"/>
      <c r="H2148" s="16"/>
      <c r="I2148" s="16"/>
      <c r="J2148" s="16"/>
      <c r="K2148" s="16"/>
      <c r="L2148" s="16"/>
      <c r="M2148" s="16"/>
      <c r="N2148" s="16"/>
      <c r="O2148" s="16"/>
      <c r="P2148" s="16"/>
      <c r="Q2148" s="16"/>
      <c r="R2148" s="16"/>
    </row>
    <row r="2149" spans="1:18" ht="18">
      <c r="A2149" s="61"/>
      <c r="B2149" s="15"/>
      <c r="C2149" s="31"/>
      <c r="D2149" s="90"/>
      <c r="E2149" s="16"/>
      <c r="F2149" s="33"/>
      <c r="G2149" s="16"/>
      <c r="H2149" s="16"/>
      <c r="I2149" s="16"/>
      <c r="J2149" s="16"/>
      <c r="K2149" s="16"/>
      <c r="L2149" s="16"/>
      <c r="M2149" s="16"/>
      <c r="N2149" s="16"/>
      <c r="O2149" s="16"/>
      <c r="P2149" s="16"/>
      <c r="Q2149" s="16"/>
      <c r="R2149" s="16"/>
    </row>
    <row r="2150" spans="1:18" ht="18">
      <c r="A2150" s="61"/>
      <c r="B2150" s="15"/>
      <c r="C2150" s="31"/>
      <c r="D2150" s="90"/>
      <c r="E2150" s="16"/>
      <c r="F2150" s="33"/>
      <c r="G2150" s="16"/>
      <c r="H2150" s="16"/>
      <c r="I2150" s="16"/>
      <c r="J2150" s="16"/>
      <c r="K2150" s="16"/>
      <c r="L2150" s="16"/>
      <c r="M2150" s="16"/>
      <c r="N2150" s="16"/>
      <c r="O2150" s="16"/>
      <c r="P2150" s="16"/>
      <c r="Q2150" s="16"/>
      <c r="R2150" s="16"/>
    </row>
    <row r="2151" spans="1:18" ht="18">
      <c r="A2151" s="61"/>
      <c r="B2151" s="15"/>
      <c r="C2151" s="31"/>
      <c r="D2151" s="90"/>
      <c r="E2151" s="16"/>
      <c r="F2151" s="33"/>
      <c r="G2151" s="16"/>
      <c r="H2151" s="16"/>
      <c r="I2151" s="16"/>
      <c r="J2151" s="16"/>
      <c r="K2151" s="16"/>
      <c r="L2151" s="16"/>
      <c r="M2151" s="16"/>
      <c r="N2151" s="16"/>
      <c r="O2151" s="16"/>
      <c r="P2151" s="16"/>
      <c r="Q2151" s="16"/>
      <c r="R2151" s="16"/>
    </row>
    <row r="2152" spans="1:18" ht="18">
      <c r="A2152" s="61"/>
      <c r="B2152" s="15"/>
      <c r="C2152" s="31"/>
      <c r="D2152" s="90"/>
      <c r="E2152" s="16"/>
      <c r="F2152" s="33"/>
      <c r="G2152" s="16"/>
      <c r="H2152" s="16"/>
      <c r="I2152" s="16"/>
      <c r="J2152" s="16"/>
      <c r="K2152" s="16"/>
      <c r="L2152" s="16"/>
      <c r="M2152" s="16"/>
      <c r="N2152" s="16"/>
      <c r="O2152" s="16"/>
      <c r="P2152" s="16"/>
      <c r="Q2152" s="16"/>
      <c r="R2152" s="16"/>
    </row>
    <row r="2153" spans="1:18" ht="18">
      <c r="A2153" s="61"/>
      <c r="B2153" s="15"/>
      <c r="C2153" s="31"/>
      <c r="D2153" s="90"/>
      <c r="E2153" s="16"/>
      <c r="F2153" s="33"/>
      <c r="G2153" s="16"/>
      <c r="H2153" s="16"/>
      <c r="I2153" s="16"/>
      <c r="J2153" s="16"/>
      <c r="K2153" s="16"/>
      <c r="L2153" s="16"/>
      <c r="M2153" s="16"/>
      <c r="N2153" s="16"/>
      <c r="O2153" s="16"/>
      <c r="P2153" s="16"/>
      <c r="Q2153" s="16"/>
      <c r="R2153" s="16"/>
    </row>
    <row r="2154" spans="1:18" ht="18">
      <c r="A2154" s="61"/>
      <c r="B2154" s="15"/>
      <c r="C2154" s="31"/>
      <c r="D2154" s="90"/>
      <c r="E2154" s="16"/>
      <c r="F2154" s="33"/>
      <c r="G2154" s="16"/>
      <c r="H2154" s="16"/>
      <c r="I2154" s="16"/>
      <c r="J2154" s="16"/>
      <c r="K2154" s="16"/>
      <c r="L2154" s="16"/>
      <c r="M2154" s="16"/>
      <c r="N2154" s="16"/>
      <c r="O2154" s="16"/>
      <c r="P2154" s="16"/>
      <c r="Q2154" s="16"/>
      <c r="R2154" s="16"/>
    </row>
    <row r="2155" spans="1:18" ht="18">
      <c r="A2155" s="61"/>
      <c r="B2155" s="15"/>
      <c r="C2155" s="31"/>
      <c r="D2155" s="90"/>
      <c r="E2155" s="16"/>
      <c r="F2155" s="33"/>
      <c r="G2155" s="16"/>
      <c r="H2155" s="16"/>
      <c r="I2155" s="16"/>
      <c r="J2155" s="16"/>
      <c r="K2155" s="16"/>
      <c r="L2155" s="16"/>
      <c r="M2155" s="16"/>
      <c r="N2155" s="16"/>
      <c r="O2155" s="16"/>
      <c r="P2155" s="16"/>
      <c r="Q2155" s="16"/>
      <c r="R2155" s="16"/>
    </row>
    <row r="2156" spans="1:18" ht="18">
      <c r="A2156" s="61"/>
      <c r="B2156" s="15"/>
      <c r="C2156" s="31"/>
      <c r="D2156" s="90"/>
      <c r="E2156" s="16"/>
      <c r="F2156" s="33"/>
      <c r="G2156" s="16"/>
      <c r="H2156" s="16"/>
      <c r="I2156" s="16"/>
      <c r="J2156" s="16"/>
      <c r="K2156" s="16"/>
      <c r="L2156" s="16"/>
      <c r="M2156" s="16"/>
      <c r="N2156" s="16"/>
      <c r="O2156" s="16"/>
      <c r="P2156" s="16"/>
      <c r="Q2156" s="16"/>
      <c r="R2156" s="16"/>
    </row>
    <row r="2157" spans="1:18" ht="18">
      <c r="A2157" s="61"/>
      <c r="B2157" s="15"/>
      <c r="C2157" s="31"/>
      <c r="D2157" s="90"/>
      <c r="E2157" s="16"/>
      <c r="F2157" s="33"/>
      <c r="G2157" s="16"/>
      <c r="H2157" s="16"/>
      <c r="I2157" s="16"/>
      <c r="J2157" s="16"/>
      <c r="K2157" s="16"/>
      <c r="L2157" s="16"/>
      <c r="M2157" s="16"/>
      <c r="N2157" s="16"/>
      <c r="O2157" s="16"/>
      <c r="P2157" s="16"/>
      <c r="Q2157" s="16"/>
      <c r="R2157" s="16"/>
    </row>
    <row r="2158" spans="1:18" ht="18">
      <c r="A2158" s="61"/>
      <c r="B2158" s="15"/>
      <c r="C2158" s="31"/>
      <c r="D2158" s="90"/>
      <c r="E2158" s="16"/>
      <c r="F2158" s="33"/>
      <c r="G2158" s="16"/>
      <c r="H2158" s="16"/>
      <c r="I2158" s="16"/>
      <c r="J2158" s="16"/>
      <c r="K2158" s="16"/>
      <c r="L2158" s="16"/>
      <c r="M2158" s="16"/>
      <c r="N2158" s="16"/>
      <c r="O2158" s="16"/>
      <c r="P2158" s="16"/>
      <c r="Q2158" s="16"/>
      <c r="R2158" s="16"/>
    </row>
    <row r="2159" spans="1:18" ht="18">
      <c r="A2159" s="61"/>
      <c r="B2159" s="15"/>
      <c r="C2159" s="31"/>
      <c r="D2159" s="90"/>
      <c r="E2159" s="16"/>
      <c r="F2159" s="33"/>
      <c r="G2159" s="16"/>
      <c r="H2159" s="16"/>
      <c r="I2159" s="16"/>
      <c r="J2159" s="16"/>
      <c r="K2159" s="16"/>
      <c r="L2159" s="16"/>
      <c r="M2159" s="16"/>
      <c r="N2159" s="16"/>
      <c r="O2159" s="16"/>
      <c r="P2159" s="16"/>
      <c r="Q2159" s="16"/>
      <c r="R2159" s="16"/>
    </row>
    <row r="2160" spans="1:18" ht="18">
      <c r="A2160" s="61"/>
      <c r="B2160" s="15"/>
      <c r="C2160" s="31"/>
      <c r="D2160" s="90"/>
      <c r="E2160" s="16"/>
      <c r="F2160" s="33"/>
      <c r="G2160" s="16"/>
      <c r="H2160" s="16"/>
      <c r="I2160" s="16"/>
      <c r="J2160" s="16"/>
      <c r="K2160" s="16"/>
      <c r="L2160" s="16"/>
      <c r="M2160" s="16"/>
      <c r="N2160" s="16"/>
      <c r="O2160" s="16"/>
      <c r="P2160" s="16"/>
      <c r="Q2160" s="16"/>
      <c r="R2160" s="16"/>
    </row>
    <row r="2161" spans="1:18" ht="18">
      <c r="A2161" s="61"/>
      <c r="B2161" s="15"/>
      <c r="C2161" s="31"/>
      <c r="D2161" s="90"/>
      <c r="E2161" s="16"/>
      <c r="F2161" s="33"/>
      <c r="G2161" s="16"/>
      <c r="H2161" s="16"/>
      <c r="I2161" s="16"/>
      <c r="J2161" s="16"/>
      <c r="K2161" s="16"/>
      <c r="L2161" s="16"/>
      <c r="M2161" s="16"/>
      <c r="N2161" s="16"/>
      <c r="O2161" s="16"/>
      <c r="P2161" s="16"/>
      <c r="Q2161" s="16"/>
      <c r="R2161" s="16"/>
    </row>
    <row r="2162" spans="1:18" ht="18">
      <c r="A2162" s="61"/>
      <c r="B2162" s="15"/>
      <c r="C2162" s="31"/>
      <c r="D2162" s="90"/>
      <c r="E2162" s="16"/>
      <c r="F2162" s="33"/>
      <c r="G2162" s="16"/>
      <c r="H2162" s="16"/>
      <c r="I2162" s="16"/>
      <c r="J2162" s="16"/>
      <c r="K2162" s="16"/>
      <c r="L2162" s="16"/>
      <c r="M2162" s="16"/>
      <c r="N2162" s="16"/>
      <c r="O2162" s="16"/>
      <c r="P2162" s="16"/>
      <c r="Q2162" s="16"/>
      <c r="R2162" s="16"/>
    </row>
    <row r="2163" spans="1:18" ht="18">
      <c r="A2163" s="61"/>
      <c r="B2163" s="15"/>
      <c r="C2163" s="31"/>
      <c r="D2163" s="90"/>
      <c r="E2163" s="16"/>
      <c r="F2163" s="33"/>
      <c r="G2163" s="16"/>
      <c r="H2163" s="16"/>
      <c r="I2163" s="16"/>
      <c r="J2163" s="16"/>
      <c r="K2163" s="16"/>
      <c r="L2163" s="16"/>
      <c r="M2163" s="16"/>
      <c r="N2163" s="16"/>
      <c r="O2163" s="16"/>
      <c r="P2163" s="16"/>
      <c r="Q2163" s="16"/>
      <c r="R2163" s="16"/>
    </row>
    <row r="2164" spans="1:18" ht="18">
      <c r="A2164" s="61"/>
      <c r="B2164" s="15"/>
      <c r="C2164" s="31"/>
      <c r="D2164" s="90"/>
      <c r="E2164" s="16"/>
      <c r="F2164" s="33"/>
      <c r="G2164" s="16"/>
      <c r="H2164" s="16"/>
      <c r="I2164" s="16"/>
      <c r="J2164" s="16"/>
      <c r="K2164" s="16"/>
      <c r="L2164" s="16"/>
      <c r="M2164" s="16"/>
      <c r="N2164" s="16"/>
      <c r="O2164" s="16"/>
      <c r="P2164" s="16"/>
      <c r="Q2164" s="16"/>
      <c r="R2164" s="16"/>
    </row>
    <row r="2165" spans="1:18" ht="18">
      <c r="A2165" s="61"/>
      <c r="B2165" s="15"/>
      <c r="C2165" s="31"/>
      <c r="D2165" s="90"/>
      <c r="E2165" s="16"/>
      <c r="F2165" s="33"/>
      <c r="G2165" s="16"/>
      <c r="H2165" s="16"/>
      <c r="I2165" s="16"/>
      <c r="J2165" s="16"/>
      <c r="K2165" s="16"/>
      <c r="L2165" s="16"/>
      <c r="M2165" s="16"/>
      <c r="N2165" s="16"/>
      <c r="O2165" s="16"/>
      <c r="P2165" s="16"/>
      <c r="Q2165" s="16"/>
      <c r="R2165" s="16"/>
    </row>
    <row r="2166" spans="1:18" ht="18">
      <c r="A2166" s="61"/>
      <c r="B2166" s="15"/>
      <c r="C2166" s="31"/>
      <c r="D2166" s="90"/>
      <c r="E2166" s="16"/>
      <c r="F2166" s="33"/>
      <c r="G2166" s="16"/>
      <c r="H2166" s="16"/>
      <c r="I2166" s="16"/>
      <c r="J2166" s="16"/>
      <c r="K2166" s="16"/>
      <c r="L2166" s="16"/>
      <c r="M2166" s="16"/>
      <c r="N2166" s="16"/>
      <c r="O2166" s="16"/>
      <c r="P2166" s="16"/>
      <c r="Q2166" s="16"/>
      <c r="R2166" s="16"/>
    </row>
    <row r="2167" spans="1:18" ht="18">
      <c r="A2167" s="61"/>
      <c r="B2167" s="15"/>
      <c r="C2167" s="31"/>
      <c r="D2167" s="90"/>
      <c r="E2167" s="16"/>
      <c r="F2167" s="33"/>
      <c r="G2167" s="16"/>
      <c r="H2167" s="16"/>
      <c r="I2167" s="16"/>
      <c r="J2167" s="16"/>
      <c r="K2167" s="16"/>
      <c r="L2167" s="16"/>
      <c r="M2167" s="16"/>
      <c r="N2167" s="16"/>
      <c r="O2167" s="16"/>
      <c r="P2167" s="16"/>
      <c r="Q2167" s="16"/>
      <c r="R2167" s="16"/>
    </row>
    <row r="2168" spans="1:18" ht="18">
      <c r="A2168" s="61"/>
      <c r="B2168" s="15"/>
      <c r="C2168" s="31"/>
      <c r="D2168" s="90"/>
      <c r="E2168" s="16"/>
      <c r="F2168" s="33"/>
      <c r="G2168" s="16"/>
      <c r="H2168" s="16"/>
      <c r="I2168" s="16"/>
      <c r="J2168" s="16"/>
      <c r="K2168" s="16"/>
      <c r="L2168" s="16"/>
      <c r="M2168" s="16"/>
      <c r="N2168" s="16"/>
      <c r="O2168" s="16"/>
      <c r="P2168" s="16"/>
      <c r="Q2168" s="16"/>
      <c r="R2168" s="16"/>
    </row>
    <row r="2169" spans="1:18" ht="18">
      <c r="A2169" s="61"/>
      <c r="B2169" s="15"/>
      <c r="C2169" s="31"/>
      <c r="D2169" s="90"/>
      <c r="E2169" s="16"/>
      <c r="F2169" s="33"/>
      <c r="G2169" s="16"/>
      <c r="H2169" s="16"/>
      <c r="I2169" s="16"/>
      <c r="J2169" s="16"/>
      <c r="K2169" s="16"/>
      <c r="L2169" s="16"/>
      <c r="M2169" s="16"/>
      <c r="N2169" s="16"/>
      <c r="O2169" s="16"/>
      <c r="P2169" s="16"/>
      <c r="Q2169" s="16"/>
      <c r="R2169" s="16"/>
    </row>
    <row r="2170" spans="1:18" ht="18">
      <c r="A2170" s="61"/>
      <c r="B2170" s="15"/>
      <c r="C2170" s="31"/>
      <c r="D2170" s="90"/>
      <c r="E2170" s="16"/>
      <c r="F2170" s="33"/>
      <c r="G2170" s="16"/>
      <c r="H2170" s="16"/>
      <c r="I2170" s="16"/>
      <c r="J2170" s="16"/>
      <c r="K2170" s="16"/>
      <c r="L2170" s="16"/>
      <c r="M2170" s="16"/>
      <c r="N2170" s="16"/>
      <c r="O2170" s="16"/>
      <c r="P2170" s="16"/>
      <c r="Q2170" s="16"/>
      <c r="R2170" s="16"/>
    </row>
    <row r="2171" spans="1:18" ht="18">
      <c r="A2171" s="61"/>
      <c r="B2171" s="15"/>
      <c r="C2171" s="31"/>
      <c r="D2171" s="90"/>
      <c r="E2171" s="16"/>
      <c r="F2171" s="33"/>
      <c r="G2171" s="16"/>
      <c r="H2171" s="16"/>
      <c r="I2171" s="16"/>
      <c r="J2171" s="16"/>
      <c r="K2171" s="16"/>
      <c r="L2171" s="16"/>
      <c r="M2171" s="16"/>
      <c r="N2171" s="16"/>
      <c r="O2171" s="16"/>
      <c r="P2171" s="16"/>
      <c r="Q2171" s="16"/>
      <c r="R2171" s="16"/>
    </row>
    <row r="2172" spans="1:18" ht="18">
      <c r="A2172" s="61"/>
      <c r="B2172" s="15"/>
      <c r="C2172" s="31"/>
      <c r="D2172" s="90"/>
      <c r="E2172" s="16"/>
      <c r="F2172" s="33"/>
      <c r="G2172" s="16"/>
      <c r="H2172" s="16"/>
      <c r="I2172" s="16"/>
      <c r="J2172" s="16"/>
      <c r="K2172" s="16"/>
      <c r="L2172" s="16"/>
      <c r="M2172" s="16"/>
      <c r="N2172" s="16"/>
      <c r="O2172" s="16"/>
      <c r="P2172" s="16"/>
      <c r="Q2172" s="16"/>
      <c r="R2172" s="16"/>
    </row>
    <row r="2173" spans="1:18" ht="18">
      <c r="A2173" s="61"/>
      <c r="B2173" s="15"/>
      <c r="C2173" s="31"/>
      <c r="D2173" s="90"/>
      <c r="E2173" s="16"/>
      <c r="F2173" s="33"/>
      <c r="G2173" s="16"/>
      <c r="H2173" s="16"/>
      <c r="I2173" s="16"/>
      <c r="J2173" s="16"/>
      <c r="K2173" s="16"/>
      <c r="L2173" s="16"/>
      <c r="M2173" s="16"/>
      <c r="N2173" s="16"/>
      <c r="O2173" s="16"/>
      <c r="P2173" s="16"/>
      <c r="Q2173" s="16"/>
      <c r="R2173" s="16"/>
    </row>
    <row r="2174" spans="1:18" ht="18">
      <c r="A2174" s="61"/>
      <c r="B2174" s="15"/>
      <c r="C2174" s="31"/>
      <c r="D2174" s="90"/>
      <c r="E2174" s="16"/>
      <c r="F2174" s="33"/>
      <c r="G2174" s="16"/>
      <c r="H2174" s="16"/>
      <c r="I2174" s="16"/>
      <c r="J2174" s="16"/>
      <c r="K2174" s="16"/>
      <c r="L2174" s="16"/>
      <c r="M2174" s="16"/>
      <c r="N2174" s="16"/>
      <c r="O2174" s="16"/>
      <c r="P2174" s="16"/>
      <c r="Q2174" s="16"/>
      <c r="R2174" s="16"/>
    </row>
    <row r="2175" spans="1:18" ht="18">
      <c r="A2175" s="61"/>
      <c r="B2175" s="15"/>
      <c r="C2175" s="31"/>
      <c r="D2175" s="90"/>
      <c r="E2175" s="16"/>
      <c r="F2175" s="33"/>
      <c r="G2175" s="16"/>
      <c r="H2175" s="16"/>
      <c r="I2175" s="16"/>
      <c r="J2175" s="16"/>
      <c r="K2175" s="16"/>
      <c r="L2175" s="16"/>
      <c r="M2175" s="16"/>
      <c r="N2175" s="16"/>
      <c r="O2175" s="16"/>
      <c r="P2175" s="16"/>
      <c r="Q2175" s="16"/>
      <c r="R2175" s="16"/>
    </row>
    <row r="2176" spans="1:18" ht="18">
      <c r="A2176" s="61"/>
      <c r="B2176" s="15"/>
      <c r="C2176" s="31"/>
      <c r="D2176" s="90"/>
      <c r="E2176" s="16"/>
      <c r="F2176" s="33"/>
      <c r="G2176" s="16"/>
      <c r="H2176" s="16"/>
      <c r="I2176" s="16"/>
      <c r="J2176" s="16"/>
      <c r="K2176" s="16"/>
      <c r="L2176" s="16"/>
      <c r="M2176" s="16"/>
      <c r="N2176" s="16"/>
      <c r="O2176" s="16"/>
      <c r="P2176" s="16"/>
      <c r="Q2176" s="16"/>
      <c r="R2176" s="16"/>
    </row>
    <row r="2177" spans="1:18" ht="18">
      <c r="A2177" s="61"/>
      <c r="B2177" s="15"/>
      <c r="C2177" s="31"/>
      <c r="D2177" s="90"/>
      <c r="E2177" s="16"/>
      <c r="F2177" s="33"/>
      <c r="G2177" s="16"/>
      <c r="H2177" s="16"/>
      <c r="I2177" s="16"/>
      <c r="J2177" s="16"/>
      <c r="K2177" s="16"/>
      <c r="L2177" s="16"/>
      <c r="M2177" s="16"/>
      <c r="N2177" s="16"/>
      <c r="O2177" s="16"/>
      <c r="P2177" s="16"/>
      <c r="Q2177" s="16"/>
      <c r="R2177" s="16"/>
    </row>
    <row r="2178" spans="1:18" ht="18">
      <c r="A2178" s="61"/>
      <c r="B2178" s="15"/>
      <c r="C2178" s="31"/>
      <c r="D2178" s="90"/>
      <c r="E2178" s="16"/>
      <c r="F2178" s="33"/>
      <c r="G2178" s="16"/>
      <c r="H2178" s="16"/>
      <c r="I2178" s="16"/>
      <c r="J2178" s="16"/>
      <c r="K2178" s="16"/>
      <c r="L2178" s="16"/>
      <c r="M2178" s="16"/>
      <c r="N2178" s="16"/>
      <c r="O2178" s="16"/>
      <c r="P2178" s="16"/>
      <c r="Q2178" s="16"/>
      <c r="R2178" s="16"/>
    </row>
    <row r="2179" spans="1:18" ht="18">
      <c r="A2179" s="61"/>
      <c r="B2179" s="15"/>
      <c r="C2179" s="31"/>
      <c r="D2179" s="90"/>
      <c r="E2179" s="16"/>
      <c r="F2179" s="33"/>
      <c r="G2179" s="16"/>
      <c r="H2179" s="16"/>
      <c r="I2179" s="16"/>
      <c r="J2179" s="16"/>
      <c r="K2179" s="16"/>
      <c r="L2179" s="16"/>
      <c r="M2179" s="16"/>
      <c r="N2179" s="16"/>
      <c r="O2179" s="16"/>
      <c r="P2179" s="16"/>
      <c r="Q2179" s="16"/>
      <c r="R2179" s="16"/>
    </row>
    <row r="2180" spans="1:18" ht="18">
      <c r="A2180" s="61"/>
      <c r="B2180" s="15"/>
      <c r="C2180" s="31"/>
      <c r="D2180" s="90"/>
      <c r="E2180" s="16"/>
      <c r="F2180" s="33"/>
      <c r="G2180" s="16"/>
      <c r="H2180" s="16"/>
      <c r="I2180" s="16"/>
      <c r="J2180" s="16"/>
      <c r="K2180" s="16"/>
      <c r="L2180" s="16"/>
      <c r="M2180" s="16"/>
      <c r="N2180" s="16"/>
      <c r="O2180" s="16"/>
      <c r="P2180" s="16"/>
      <c r="Q2180" s="16"/>
      <c r="R2180" s="16"/>
    </row>
    <row r="2181" spans="1:18" ht="18">
      <c r="A2181" s="61"/>
      <c r="B2181" s="15"/>
      <c r="C2181" s="31"/>
      <c r="D2181" s="90"/>
      <c r="E2181" s="16"/>
      <c r="F2181" s="33"/>
      <c r="G2181" s="16"/>
      <c r="H2181" s="16"/>
      <c r="I2181" s="16"/>
      <c r="J2181" s="16"/>
      <c r="K2181" s="16"/>
      <c r="L2181" s="16"/>
      <c r="M2181" s="16"/>
      <c r="N2181" s="16"/>
      <c r="O2181" s="16"/>
      <c r="P2181" s="16"/>
      <c r="Q2181" s="16"/>
      <c r="R2181" s="16"/>
    </row>
    <row r="2182" spans="1:18" ht="18">
      <c r="A2182" s="61"/>
      <c r="B2182" s="15"/>
      <c r="C2182" s="31"/>
      <c r="D2182" s="90"/>
      <c r="E2182" s="16"/>
      <c r="F2182" s="33"/>
      <c r="G2182" s="16"/>
      <c r="H2182" s="16"/>
      <c r="I2182" s="16"/>
      <c r="J2182" s="16"/>
      <c r="K2182" s="16"/>
      <c r="L2182" s="16"/>
      <c r="M2182" s="16"/>
      <c r="N2182" s="16"/>
      <c r="O2182" s="16"/>
      <c r="P2182" s="16"/>
      <c r="Q2182" s="16"/>
      <c r="R2182" s="16"/>
    </row>
    <row r="2183" spans="1:18" ht="18">
      <c r="A2183" s="61"/>
      <c r="B2183" s="15"/>
      <c r="C2183" s="31"/>
      <c r="D2183" s="90"/>
      <c r="E2183" s="16"/>
      <c r="F2183" s="33"/>
      <c r="G2183" s="16"/>
      <c r="H2183" s="16"/>
      <c r="I2183" s="16"/>
      <c r="J2183" s="16"/>
      <c r="K2183" s="16"/>
      <c r="L2183" s="16"/>
      <c r="M2183" s="16"/>
      <c r="N2183" s="16"/>
      <c r="O2183" s="16"/>
      <c r="P2183" s="16"/>
      <c r="Q2183" s="16"/>
      <c r="R2183" s="16"/>
    </row>
    <row r="2184" spans="1:18" ht="18">
      <c r="A2184" s="61"/>
      <c r="B2184" s="15"/>
      <c r="C2184" s="31"/>
      <c r="D2184" s="90"/>
      <c r="E2184" s="16"/>
      <c r="F2184" s="33"/>
      <c r="G2184" s="16"/>
      <c r="H2184" s="16"/>
      <c r="I2184" s="16"/>
      <c r="J2184" s="16"/>
      <c r="K2184" s="16"/>
      <c r="L2184" s="16"/>
      <c r="M2184" s="16"/>
      <c r="N2184" s="16"/>
      <c r="O2184" s="16"/>
      <c r="P2184" s="16"/>
      <c r="Q2184" s="16"/>
      <c r="R2184" s="16"/>
    </row>
    <row r="2185" spans="1:18" ht="18">
      <c r="A2185" s="61"/>
      <c r="B2185" s="15"/>
      <c r="C2185" s="31"/>
      <c r="D2185" s="90"/>
      <c r="E2185" s="16"/>
      <c r="F2185" s="33"/>
      <c r="G2185" s="16"/>
      <c r="H2185" s="16"/>
      <c r="I2185" s="16"/>
      <c r="J2185" s="16"/>
      <c r="K2185" s="16"/>
      <c r="L2185" s="16"/>
      <c r="M2185" s="16"/>
      <c r="N2185" s="16"/>
      <c r="O2185" s="16"/>
      <c r="P2185" s="16"/>
      <c r="Q2185" s="16"/>
      <c r="R2185" s="16"/>
    </row>
    <row r="2186" spans="1:18" ht="18">
      <c r="A2186" s="61"/>
      <c r="B2186" s="15"/>
      <c r="C2186" s="31"/>
      <c r="D2186" s="90"/>
      <c r="E2186" s="16"/>
      <c r="F2186" s="33"/>
      <c r="G2186" s="16"/>
      <c r="H2186" s="16"/>
      <c r="I2186" s="16"/>
      <c r="J2186" s="16"/>
      <c r="K2186" s="16"/>
      <c r="L2186" s="16"/>
      <c r="M2186" s="16"/>
      <c r="N2186" s="16"/>
      <c r="O2186" s="16"/>
      <c r="P2186" s="16"/>
      <c r="Q2186" s="16"/>
      <c r="R2186" s="16"/>
    </row>
    <row r="2187" spans="1:18" ht="18">
      <c r="A2187" s="61"/>
      <c r="B2187" s="15"/>
      <c r="C2187" s="31"/>
      <c r="D2187" s="90"/>
      <c r="E2187" s="16"/>
      <c r="F2187" s="33"/>
      <c r="G2187" s="16"/>
      <c r="H2187" s="16"/>
      <c r="I2187" s="16"/>
      <c r="J2187" s="16"/>
      <c r="K2187" s="16"/>
      <c r="L2187" s="16"/>
      <c r="M2187" s="16"/>
      <c r="N2187" s="16"/>
      <c r="O2187" s="16"/>
      <c r="P2187" s="16"/>
      <c r="Q2187" s="16"/>
      <c r="R2187" s="16"/>
    </row>
    <row r="2188" spans="1:18" ht="18">
      <c r="A2188" s="61"/>
      <c r="B2188" s="15"/>
      <c r="C2188" s="31"/>
      <c r="D2188" s="90"/>
      <c r="E2188" s="16"/>
      <c r="F2188" s="33"/>
      <c r="G2188" s="16"/>
      <c r="H2188" s="16"/>
      <c r="I2188" s="16"/>
      <c r="J2188" s="16"/>
      <c r="K2188" s="16"/>
      <c r="L2188" s="16"/>
      <c r="M2188" s="16"/>
      <c r="N2188" s="16"/>
      <c r="O2188" s="16"/>
      <c r="P2188" s="16"/>
      <c r="Q2188" s="16"/>
      <c r="R2188" s="16"/>
    </row>
    <row r="2189" spans="1:18" ht="18">
      <c r="A2189" s="61"/>
      <c r="B2189" s="15"/>
      <c r="C2189" s="31"/>
      <c r="D2189" s="90"/>
      <c r="E2189" s="16"/>
      <c r="F2189" s="33"/>
      <c r="G2189" s="16"/>
      <c r="H2189" s="16"/>
      <c r="I2189" s="16"/>
      <c r="J2189" s="16"/>
      <c r="K2189" s="16"/>
      <c r="L2189" s="16"/>
      <c r="M2189" s="16"/>
      <c r="N2189" s="16"/>
      <c r="O2189" s="16"/>
      <c r="P2189" s="16"/>
      <c r="Q2189" s="16"/>
      <c r="R2189" s="16"/>
    </row>
    <row r="2190" spans="1:18" ht="18">
      <c r="A2190" s="61"/>
      <c r="B2190" s="15"/>
      <c r="C2190" s="31"/>
      <c r="D2190" s="90"/>
      <c r="E2190" s="16"/>
      <c r="F2190" s="33"/>
      <c r="G2190" s="16"/>
      <c r="H2190" s="16"/>
      <c r="I2190" s="16"/>
      <c r="J2190" s="16"/>
      <c r="K2190" s="16"/>
      <c r="L2190" s="16"/>
      <c r="M2190" s="16"/>
      <c r="N2190" s="16"/>
      <c r="O2190" s="16"/>
      <c r="P2190" s="16"/>
      <c r="Q2190" s="16"/>
      <c r="R2190" s="16"/>
    </row>
    <row r="2191" spans="1:18" ht="18">
      <c r="A2191" s="61"/>
      <c r="B2191" s="15"/>
      <c r="C2191" s="31"/>
      <c r="D2191" s="90"/>
      <c r="E2191" s="16"/>
      <c r="F2191" s="33"/>
      <c r="G2191" s="16"/>
      <c r="H2191" s="16"/>
      <c r="I2191" s="16"/>
      <c r="J2191" s="16"/>
      <c r="K2191" s="16"/>
      <c r="L2191" s="16"/>
      <c r="M2191" s="16"/>
      <c r="N2191" s="16"/>
      <c r="O2191" s="16"/>
      <c r="P2191" s="16"/>
      <c r="Q2191" s="16"/>
      <c r="R2191" s="16"/>
    </row>
    <row r="2192" spans="1:18" ht="18">
      <c r="A2192" s="61"/>
      <c r="B2192" s="15"/>
      <c r="C2192" s="31"/>
      <c r="D2192" s="90"/>
      <c r="E2192" s="16"/>
      <c r="F2192" s="33"/>
      <c r="G2192" s="16"/>
      <c r="H2192" s="16"/>
      <c r="I2192" s="16"/>
      <c r="J2192" s="16"/>
      <c r="K2192" s="16"/>
      <c r="L2192" s="16"/>
      <c r="M2192" s="16"/>
      <c r="N2192" s="16"/>
      <c r="O2192" s="16"/>
      <c r="P2192" s="16"/>
      <c r="Q2192" s="16"/>
      <c r="R2192" s="16"/>
    </row>
    <row r="2193" spans="1:18" ht="18">
      <c r="A2193" s="61"/>
      <c r="B2193" s="15"/>
      <c r="C2193" s="31"/>
      <c r="D2193" s="90"/>
      <c r="E2193" s="16"/>
      <c r="F2193" s="33"/>
      <c r="G2193" s="16"/>
      <c r="H2193" s="16"/>
      <c r="I2193" s="16"/>
      <c r="J2193" s="16"/>
      <c r="K2193" s="16"/>
      <c r="L2193" s="16"/>
      <c r="M2193" s="16"/>
      <c r="N2193" s="16"/>
      <c r="O2193" s="16"/>
      <c r="P2193" s="16"/>
      <c r="Q2193" s="16"/>
      <c r="R2193" s="16"/>
    </row>
    <row r="2194" spans="1:18" ht="18">
      <c r="A2194" s="61"/>
      <c r="B2194" s="15"/>
      <c r="C2194" s="31"/>
      <c r="D2194" s="90"/>
      <c r="E2194" s="16"/>
      <c r="F2194" s="33"/>
      <c r="G2194" s="16"/>
      <c r="H2194" s="16"/>
      <c r="I2194" s="16"/>
      <c r="J2194" s="16"/>
      <c r="K2194" s="16"/>
      <c r="L2194" s="16"/>
      <c r="M2194" s="16"/>
      <c r="N2194" s="16"/>
      <c r="O2194" s="16"/>
      <c r="P2194" s="16"/>
      <c r="Q2194" s="16"/>
      <c r="R2194" s="16"/>
    </row>
    <row r="2195" spans="1:18" ht="18">
      <c r="A2195" s="61"/>
      <c r="B2195" s="15"/>
      <c r="C2195" s="31"/>
      <c r="D2195" s="90"/>
      <c r="E2195" s="16"/>
      <c r="F2195" s="33"/>
      <c r="G2195" s="16"/>
      <c r="H2195" s="16"/>
      <c r="I2195" s="16"/>
      <c r="J2195" s="16"/>
      <c r="K2195" s="16"/>
      <c r="L2195" s="16"/>
      <c r="M2195" s="16"/>
      <c r="N2195" s="16"/>
      <c r="O2195" s="16"/>
      <c r="P2195" s="16"/>
      <c r="Q2195" s="16"/>
      <c r="R2195" s="16"/>
    </row>
    <row r="2196" spans="1:18" ht="18">
      <c r="A2196" s="61"/>
      <c r="B2196" s="15"/>
      <c r="C2196" s="31"/>
      <c r="D2196" s="90"/>
      <c r="E2196" s="16"/>
      <c r="F2196" s="33"/>
      <c r="G2196" s="16"/>
      <c r="H2196" s="16"/>
      <c r="I2196" s="16"/>
      <c r="J2196" s="16"/>
      <c r="K2196" s="16"/>
      <c r="L2196" s="16"/>
      <c r="M2196" s="16"/>
      <c r="N2196" s="16"/>
      <c r="O2196" s="16"/>
      <c r="P2196" s="16"/>
      <c r="Q2196" s="16"/>
      <c r="R2196" s="16"/>
    </row>
    <row r="2197" spans="1:18" ht="18">
      <c r="A2197" s="61"/>
      <c r="B2197" s="15"/>
      <c r="C2197" s="31"/>
      <c r="D2197" s="90"/>
      <c r="E2197" s="16"/>
      <c r="F2197" s="33"/>
      <c r="G2197" s="16"/>
      <c r="H2197" s="16"/>
      <c r="I2197" s="16"/>
      <c r="J2197" s="16"/>
      <c r="K2197" s="16"/>
      <c r="L2197" s="16"/>
      <c r="M2197" s="16"/>
      <c r="N2197" s="16"/>
      <c r="O2197" s="16"/>
      <c r="P2197" s="16"/>
      <c r="Q2197" s="16"/>
      <c r="R2197" s="16"/>
    </row>
    <row r="2198" spans="1:18" ht="18">
      <c r="A2198" s="61"/>
      <c r="B2198" s="15"/>
      <c r="C2198" s="31"/>
      <c r="D2198" s="90"/>
      <c r="E2198" s="16"/>
      <c r="F2198" s="33"/>
      <c r="G2198" s="16"/>
      <c r="H2198" s="16"/>
      <c r="I2198" s="16"/>
      <c r="J2198" s="16"/>
      <c r="K2198" s="16"/>
      <c r="L2198" s="16"/>
      <c r="M2198" s="16"/>
      <c r="N2198" s="16"/>
      <c r="O2198" s="16"/>
      <c r="P2198" s="16"/>
      <c r="Q2198" s="16"/>
      <c r="R2198" s="16"/>
    </row>
    <row r="2199" spans="1:18" ht="18">
      <c r="A2199" s="61"/>
      <c r="B2199" s="15"/>
      <c r="C2199" s="31"/>
      <c r="D2199" s="90"/>
      <c r="E2199" s="16"/>
      <c r="F2199" s="33"/>
      <c r="G2199" s="16"/>
      <c r="H2199" s="16"/>
      <c r="I2199" s="16"/>
      <c r="J2199" s="16"/>
      <c r="K2199" s="16"/>
      <c r="L2199" s="16"/>
      <c r="M2199" s="16"/>
      <c r="N2199" s="16"/>
      <c r="O2199" s="16"/>
      <c r="P2199" s="16"/>
      <c r="Q2199" s="16"/>
      <c r="R2199" s="16"/>
    </row>
    <row r="2200" spans="1:18" ht="18">
      <c r="A2200" s="61"/>
      <c r="B2200" s="15"/>
      <c r="C2200" s="31"/>
      <c r="D2200" s="90"/>
      <c r="E2200" s="16"/>
      <c r="F2200" s="33"/>
      <c r="G2200" s="16"/>
      <c r="H2200" s="16"/>
      <c r="I2200" s="16"/>
      <c r="J2200" s="16"/>
      <c r="K2200" s="16"/>
      <c r="L2200" s="16"/>
      <c r="M2200" s="16"/>
      <c r="N2200" s="16"/>
      <c r="O2200" s="16"/>
      <c r="P2200" s="16"/>
      <c r="Q2200" s="16"/>
      <c r="R2200" s="16"/>
    </row>
    <row r="2201" spans="1:18" ht="18">
      <c r="A2201" s="61"/>
      <c r="B2201" s="15"/>
      <c r="C2201" s="31"/>
      <c r="D2201" s="90"/>
      <c r="E2201" s="16"/>
      <c r="F2201" s="33"/>
      <c r="G2201" s="16"/>
      <c r="H2201" s="16"/>
      <c r="I2201" s="16"/>
      <c r="J2201" s="16"/>
      <c r="K2201" s="16"/>
      <c r="L2201" s="16"/>
      <c r="M2201" s="16"/>
      <c r="N2201" s="16"/>
      <c r="O2201" s="16"/>
      <c r="P2201" s="16"/>
      <c r="Q2201" s="16"/>
      <c r="R2201" s="16"/>
    </row>
    <row r="2202" spans="1:18" ht="18">
      <c r="A2202" s="61"/>
      <c r="B2202" s="15"/>
      <c r="C2202" s="31"/>
      <c r="D2202" s="90"/>
      <c r="E2202" s="16"/>
      <c r="F2202" s="33"/>
      <c r="G2202" s="16"/>
      <c r="H2202" s="16"/>
      <c r="I2202" s="16"/>
      <c r="J2202" s="16"/>
      <c r="K2202" s="16"/>
      <c r="L2202" s="16"/>
      <c r="M2202" s="16"/>
      <c r="N2202" s="16"/>
      <c r="O2202" s="16"/>
      <c r="P2202" s="16"/>
      <c r="Q2202" s="16"/>
      <c r="R2202" s="16"/>
    </row>
    <row r="2203" spans="1:18" ht="18">
      <c r="A2203" s="61"/>
      <c r="B2203" s="15"/>
      <c r="C2203" s="31"/>
      <c r="D2203" s="90"/>
      <c r="E2203" s="16"/>
      <c r="F2203" s="33"/>
      <c r="G2203" s="16"/>
      <c r="H2203" s="16"/>
      <c r="I2203" s="16"/>
      <c r="J2203" s="16"/>
      <c r="K2203" s="16"/>
      <c r="L2203" s="16"/>
      <c r="M2203" s="16"/>
      <c r="N2203" s="16"/>
      <c r="O2203" s="16"/>
      <c r="P2203" s="16"/>
      <c r="Q2203" s="16"/>
      <c r="R2203" s="16"/>
    </row>
    <row r="2204" spans="1:18" ht="18">
      <c r="A2204" s="61"/>
      <c r="B2204" s="15"/>
      <c r="C2204" s="31"/>
      <c r="D2204" s="90"/>
      <c r="E2204" s="16"/>
      <c r="F2204" s="33"/>
      <c r="G2204" s="16"/>
      <c r="H2204" s="16"/>
      <c r="I2204" s="16"/>
      <c r="J2204" s="16"/>
      <c r="K2204" s="16"/>
      <c r="L2204" s="16"/>
      <c r="M2204" s="16"/>
      <c r="N2204" s="16"/>
      <c r="O2204" s="16"/>
      <c r="P2204" s="16"/>
      <c r="Q2204" s="16"/>
      <c r="R2204" s="16"/>
    </row>
    <row r="2205" spans="1:18" ht="18">
      <c r="A2205" s="61"/>
      <c r="B2205" s="15"/>
      <c r="C2205" s="31"/>
      <c r="D2205" s="90"/>
      <c r="E2205" s="16"/>
      <c r="F2205" s="33"/>
      <c r="G2205" s="16"/>
      <c r="H2205" s="16"/>
      <c r="I2205" s="16"/>
      <c r="J2205" s="16"/>
      <c r="K2205" s="16"/>
      <c r="L2205" s="16"/>
      <c r="M2205" s="16"/>
      <c r="N2205" s="16"/>
      <c r="O2205" s="16"/>
      <c r="P2205" s="16"/>
      <c r="Q2205" s="16"/>
      <c r="R2205" s="16"/>
    </row>
    <row r="2206" spans="1:18" ht="18">
      <c r="A2206" s="61"/>
      <c r="B2206" s="15"/>
      <c r="C2206" s="31"/>
      <c r="D2206" s="90"/>
      <c r="E2206" s="16"/>
      <c r="F2206" s="33"/>
      <c r="G2206" s="16"/>
      <c r="H2206" s="16"/>
      <c r="I2206" s="16"/>
      <c r="J2206" s="16"/>
      <c r="K2206" s="16"/>
      <c r="L2206" s="16"/>
      <c r="M2206" s="16"/>
      <c r="N2206" s="16"/>
      <c r="O2206" s="16"/>
      <c r="P2206" s="16"/>
      <c r="Q2206" s="16"/>
      <c r="R2206" s="16"/>
    </row>
    <row r="2207" spans="1:18" ht="18">
      <c r="A2207" s="61"/>
      <c r="B2207" s="15"/>
      <c r="C2207" s="31"/>
      <c r="D2207" s="90"/>
      <c r="E2207" s="16"/>
      <c r="F2207" s="33"/>
      <c r="G2207" s="16"/>
      <c r="H2207" s="16"/>
      <c r="I2207" s="16"/>
      <c r="J2207" s="16"/>
      <c r="K2207" s="16"/>
      <c r="L2207" s="16"/>
      <c r="M2207" s="16"/>
      <c r="N2207" s="16"/>
      <c r="O2207" s="16"/>
      <c r="P2207" s="16"/>
      <c r="Q2207" s="16"/>
      <c r="R2207" s="16"/>
    </row>
    <row r="2208" spans="1:18" ht="18">
      <c r="A2208" s="61"/>
      <c r="B2208" s="15"/>
      <c r="C2208" s="31"/>
      <c r="D2208" s="90"/>
      <c r="E2208" s="16"/>
      <c r="F2208" s="33"/>
      <c r="G2208" s="16"/>
      <c r="H2208" s="16"/>
      <c r="I2208" s="16"/>
      <c r="J2208" s="16"/>
      <c r="K2208" s="16"/>
      <c r="L2208" s="16"/>
      <c r="M2208" s="16"/>
      <c r="N2208" s="16"/>
      <c r="O2208" s="16"/>
      <c r="P2208" s="16"/>
      <c r="Q2208" s="16"/>
      <c r="R2208" s="16"/>
    </row>
    <row r="2209" spans="1:18" ht="18">
      <c r="A2209" s="61"/>
      <c r="B2209" s="15"/>
      <c r="C2209" s="31"/>
      <c r="D2209" s="90"/>
      <c r="E2209" s="16"/>
      <c r="F2209" s="33"/>
      <c r="G2209" s="16"/>
      <c r="H2209" s="16"/>
      <c r="I2209" s="16"/>
      <c r="J2209" s="16"/>
      <c r="K2209" s="16"/>
      <c r="L2209" s="16"/>
      <c r="M2209" s="16"/>
      <c r="N2209" s="16"/>
      <c r="O2209" s="16"/>
      <c r="P2209" s="16"/>
      <c r="Q2209" s="16"/>
      <c r="R2209" s="16"/>
    </row>
    <row r="2210" spans="1:18" ht="18">
      <c r="A2210" s="61"/>
      <c r="B2210" s="15"/>
      <c r="C2210" s="31"/>
      <c r="D2210" s="90"/>
      <c r="E2210" s="16"/>
      <c r="F2210" s="33"/>
      <c r="G2210" s="16"/>
      <c r="H2210" s="16"/>
      <c r="I2210" s="16"/>
      <c r="J2210" s="16"/>
      <c r="K2210" s="16"/>
      <c r="L2210" s="16"/>
      <c r="M2210" s="16"/>
      <c r="N2210" s="16"/>
      <c r="O2210" s="16"/>
      <c r="P2210" s="16"/>
      <c r="Q2210" s="16"/>
      <c r="R2210" s="16"/>
    </row>
    <row r="2211" spans="1:18" ht="18">
      <c r="A2211" s="61"/>
      <c r="B2211" s="15"/>
      <c r="C2211" s="31"/>
      <c r="D2211" s="90"/>
      <c r="E2211" s="16"/>
      <c r="F2211" s="33"/>
      <c r="G2211" s="16"/>
      <c r="H2211" s="16"/>
      <c r="I2211" s="16"/>
      <c r="J2211" s="16"/>
      <c r="K2211" s="16"/>
      <c r="L2211" s="16"/>
      <c r="M2211" s="16"/>
      <c r="N2211" s="16"/>
      <c r="O2211" s="16"/>
      <c r="P2211" s="16"/>
      <c r="Q2211" s="16"/>
      <c r="R2211" s="16"/>
    </row>
    <row r="2212" spans="1:18" ht="18">
      <c r="A2212" s="61"/>
      <c r="B2212" s="15"/>
      <c r="C2212" s="31"/>
      <c r="D2212" s="90"/>
      <c r="E2212" s="16"/>
      <c r="F2212" s="33"/>
      <c r="G2212" s="16"/>
      <c r="H2212" s="16"/>
      <c r="I2212" s="16"/>
      <c r="J2212" s="16"/>
      <c r="K2212" s="16"/>
      <c r="L2212" s="16"/>
      <c r="M2212" s="16"/>
      <c r="N2212" s="16"/>
      <c r="O2212" s="16"/>
      <c r="P2212" s="16"/>
      <c r="Q2212" s="16"/>
      <c r="R2212" s="16"/>
    </row>
    <row r="2213" spans="1:18" ht="18">
      <c r="A2213" s="61"/>
      <c r="B2213" s="15"/>
      <c r="C2213" s="31"/>
      <c r="D2213" s="90"/>
      <c r="E2213" s="16"/>
      <c r="F2213" s="33"/>
      <c r="G2213" s="16"/>
      <c r="H2213" s="16"/>
      <c r="I2213" s="16"/>
      <c r="J2213" s="16"/>
      <c r="K2213" s="16"/>
      <c r="L2213" s="16"/>
      <c r="M2213" s="16"/>
      <c r="N2213" s="16"/>
      <c r="O2213" s="16"/>
      <c r="P2213" s="16"/>
      <c r="Q2213" s="16"/>
      <c r="R2213" s="16"/>
    </row>
    <row r="2214" spans="1:18" ht="18">
      <c r="A2214" s="61"/>
      <c r="B2214" s="15"/>
      <c r="C2214" s="31"/>
      <c r="D2214" s="90"/>
      <c r="E2214" s="16"/>
      <c r="F2214" s="33"/>
      <c r="G2214" s="16"/>
      <c r="H2214" s="16"/>
      <c r="I2214" s="16"/>
      <c r="J2214" s="16"/>
      <c r="K2214" s="16"/>
      <c r="L2214" s="16"/>
      <c r="M2214" s="16"/>
      <c r="N2214" s="16"/>
      <c r="O2214" s="16"/>
      <c r="P2214" s="16"/>
      <c r="Q2214" s="16"/>
      <c r="R2214" s="16"/>
    </row>
    <row r="2215" spans="1:18" ht="18">
      <c r="A2215" s="61"/>
      <c r="B2215" s="15"/>
      <c r="C2215" s="31"/>
      <c r="D2215" s="90"/>
      <c r="E2215" s="16"/>
      <c r="F2215" s="33"/>
      <c r="G2215" s="16"/>
      <c r="H2215" s="16"/>
      <c r="I2215" s="16"/>
      <c r="J2215" s="16"/>
      <c r="K2215" s="16"/>
      <c r="L2215" s="16"/>
      <c r="M2215" s="16"/>
      <c r="N2215" s="16"/>
      <c r="O2215" s="16"/>
      <c r="P2215" s="16"/>
      <c r="Q2215" s="16"/>
      <c r="R2215" s="16"/>
    </row>
    <row r="2216" spans="1:18" ht="18">
      <c r="A2216" s="61"/>
      <c r="B2216" s="15"/>
      <c r="C2216" s="31"/>
      <c r="D2216" s="90"/>
      <c r="E2216" s="16"/>
      <c r="F2216" s="33"/>
      <c r="G2216" s="16"/>
      <c r="H2216" s="16"/>
      <c r="I2216" s="16"/>
      <c r="J2216" s="16"/>
      <c r="K2216" s="16"/>
      <c r="L2216" s="16"/>
      <c r="M2216" s="16"/>
      <c r="N2216" s="16"/>
      <c r="O2216" s="16"/>
      <c r="P2216" s="16"/>
      <c r="Q2216" s="16"/>
      <c r="R2216" s="16"/>
    </row>
    <row r="2217" spans="1:18" ht="18">
      <c r="A2217" s="61"/>
      <c r="B2217" s="15"/>
      <c r="C2217" s="31"/>
      <c r="D2217" s="90"/>
      <c r="E2217" s="16"/>
      <c r="F2217" s="33"/>
      <c r="G2217" s="16"/>
      <c r="H2217" s="16"/>
      <c r="I2217" s="16"/>
      <c r="J2217" s="16"/>
      <c r="K2217" s="16"/>
      <c r="L2217" s="16"/>
      <c r="M2217" s="16"/>
      <c r="N2217" s="16"/>
      <c r="O2217" s="16"/>
      <c r="P2217" s="16"/>
      <c r="Q2217" s="16"/>
      <c r="R2217" s="16"/>
    </row>
    <row r="2218" spans="1:18" ht="18">
      <c r="A2218" s="61"/>
      <c r="B2218" s="15"/>
      <c r="C2218" s="31"/>
      <c r="D2218" s="90"/>
      <c r="E2218" s="16"/>
      <c r="F2218" s="33"/>
      <c r="G2218" s="16"/>
      <c r="H2218" s="16"/>
      <c r="I2218" s="16"/>
      <c r="J2218" s="16"/>
      <c r="K2218" s="16"/>
      <c r="L2218" s="16"/>
      <c r="M2218" s="16"/>
      <c r="N2218" s="16"/>
      <c r="O2218" s="16"/>
      <c r="P2218" s="16"/>
      <c r="Q2218" s="16"/>
      <c r="R2218" s="16"/>
    </row>
    <row r="2219" spans="1:18" ht="18">
      <c r="A2219" s="61"/>
      <c r="B2219" s="15"/>
      <c r="C2219" s="31"/>
      <c r="D2219" s="90"/>
      <c r="E2219" s="16"/>
      <c r="F2219" s="33"/>
      <c r="G2219" s="16"/>
      <c r="H2219" s="16"/>
      <c r="I2219" s="16"/>
      <c r="J2219" s="16"/>
      <c r="K2219" s="16"/>
      <c r="L2219" s="16"/>
      <c r="M2219" s="16"/>
      <c r="N2219" s="16"/>
      <c r="O2219" s="16"/>
      <c r="P2219" s="16"/>
      <c r="Q2219" s="16"/>
      <c r="R2219" s="16"/>
    </row>
    <row r="2220" spans="1:18" ht="18">
      <c r="A2220" s="61"/>
      <c r="B2220" s="15"/>
      <c r="C2220" s="31"/>
      <c r="D2220" s="90"/>
      <c r="E2220" s="16"/>
      <c r="F2220" s="33"/>
      <c r="G2220" s="16"/>
      <c r="H2220" s="16"/>
      <c r="I2220" s="16"/>
      <c r="J2220" s="16"/>
      <c r="K2220" s="16"/>
      <c r="L2220" s="16"/>
      <c r="M2220" s="16"/>
      <c r="N2220" s="16"/>
      <c r="O2220" s="16"/>
      <c r="P2220" s="16"/>
      <c r="Q2220" s="16"/>
      <c r="R2220" s="16"/>
    </row>
    <row r="2221" spans="1:18" ht="18">
      <c r="A2221" s="61"/>
      <c r="B2221" s="15"/>
      <c r="C2221" s="31"/>
      <c r="D2221" s="90"/>
      <c r="E2221" s="16"/>
      <c r="F2221" s="33"/>
      <c r="G2221" s="16"/>
      <c r="H2221" s="16"/>
      <c r="I2221" s="16"/>
      <c r="J2221" s="16"/>
      <c r="K2221" s="16"/>
      <c r="L2221" s="16"/>
      <c r="M2221" s="16"/>
      <c r="N2221" s="16"/>
      <c r="O2221" s="16"/>
      <c r="P2221" s="16"/>
      <c r="Q2221" s="16"/>
      <c r="R2221" s="16"/>
    </row>
    <row r="2222" spans="1:18" ht="18">
      <c r="A2222" s="61"/>
      <c r="B2222" s="15"/>
      <c r="C2222" s="31"/>
      <c r="D2222" s="90"/>
      <c r="E2222" s="16"/>
      <c r="F2222" s="33"/>
      <c r="G2222" s="16"/>
      <c r="H2222" s="16"/>
      <c r="I2222" s="16"/>
      <c r="J2222" s="16"/>
      <c r="K2222" s="16"/>
      <c r="L2222" s="16"/>
      <c r="M2222" s="16"/>
      <c r="N2222" s="16"/>
      <c r="O2222" s="16"/>
      <c r="P2222" s="16"/>
      <c r="Q2222" s="16"/>
      <c r="R2222" s="16"/>
    </row>
    <row r="2223" spans="1:18" ht="18">
      <c r="A2223" s="61"/>
      <c r="B2223" s="15"/>
      <c r="C2223" s="31"/>
      <c r="D2223" s="90"/>
      <c r="E2223" s="16"/>
      <c r="F2223" s="33"/>
      <c r="G2223" s="16"/>
      <c r="H2223" s="16"/>
      <c r="I2223" s="16"/>
      <c r="J2223" s="16"/>
      <c r="K2223" s="16"/>
      <c r="L2223" s="16"/>
      <c r="M2223" s="16"/>
      <c r="N2223" s="16"/>
      <c r="O2223" s="16"/>
      <c r="P2223" s="16"/>
      <c r="Q2223" s="16"/>
      <c r="R2223" s="16"/>
    </row>
    <row r="2224" spans="1:18" ht="18">
      <c r="A2224" s="61"/>
      <c r="B2224" s="15"/>
      <c r="C2224" s="31"/>
      <c r="D2224" s="90"/>
      <c r="E2224" s="16"/>
      <c r="F2224" s="33"/>
      <c r="G2224" s="16"/>
      <c r="H2224" s="16"/>
      <c r="I2224" s="16"/>
      <c r="J2224" s="16"/>
      <c r="K2224" s="16"/>
      <c r="L2224" s="16"/>
      <c r="M2224" s="16"/>
      <c r="N2224" s="16"/>
      <c r="O2224" s="16"/>
      <c r="P2224" s="16"/>
      <c r="Q2224" s="16"/>
      <c r="R2224" s="16"/>
    </row>
    <row r="2225" spans="1:18" ht="18">
      <c r="A2225" s="61"/>
      <c r="B2225" s="15"/>
      <c r="C2225" s="31"/>
      <c r="D2225" s="90"/>
      <c r="E2225" s="16"/>
      <c r="F2225" s="33"/>
      <c r="G2225" s="16"/>
      <c r="H2225" s="16"/>
      <c r="I2225" s="16"/>
      <c r="J2225" s="16"/>
      <c r="K2225" s="16"/>
      <c r="L2225" s="16"/>
      <c r="M2225" s="16"/>
      <c r="N2225" s="16"/>
      <c r="O2225" s="16"/>
      <c r="P2225" s="16"/>
      <c r="Q2225" s="16"/>
      <c r="R2225" s="16"/>
    </row>
    <row r="2226" spans="1:18" ht="18">
      <c r="A2226" s="61"/>
      <c r="B2226" s="15"/>
      <c r="C2226" s="31"/>
      <c r="D2226" s="90"/>
      <c r="E2226" s="16"/>
      <c r="F2226" s="33"/>
      <c r="G2226" s="16"/>
      <c r="H2226" s="16"/>
      <c r="I2226" s="16"/>
      <c r="J2226" s="16"/>
      <c r="K2226" s="16"/>
      <c r="L2226" s="16"/>
      <c r="M2226" s="16"/>
      <c r="N2226" s="16"/>
      <c r="O2226" s="16"/>
      <c r="P2226" s="16"/>
      <c r="Q2226" s="16"/>
      <c r="R2226" s="16"/>
    </row>
    <row r="2227" spans="1:18" ht="18">
      <c r="A2227" s="61"/>
      <c r="B2227" s="15"/>
      <c r="C2227" s="31"/>
      <c r="D2227" s="90"/>
      <c r="E2227" s="16"/>
      <c r="F2227" s="33"/>
      <c r="G2227" s="16"/>
      <c r="H2227" s="16"/>
      <c r="I2227" s="16"/>
      <c r="J2227" s="16"/>
      <c r="K2227" s="16"/>
      <c r="L2227" s="16"/>
      <c r="M2227" s="16"/>
      <c r="N2227" s="16"/>
      <c r="O2227" s="16"/>
      <c r="P2227" s="16"/>
      <c r="Q2227" s="16"/>
      <c r="R2227" s="16"/>
    </row>
    <row r="2228" spans="1:18" ht="18">
      <c r="A2228" s="61"/>
      <c r="B2228" s="15"/>
      <c r="C2228" s="31"/>
      <c r="D2228" s="90"/>
      <c r="E2228" s="16"/>
      <c r="F2228" s="33"/>
      <c r="G2228" s="16"/>
      <c r="H2228" s="16"/>
      <c r="I2228" s="16"/>
      <c r="J2228" s="16"/>
      <c r="K2228" s="16"/>
      <c r="L2228" s="16"/>
      <c r="M2228" s="16"/>
      <c r="N2228" s="16"/>
      <c r="O2228" s="16"/>
      <c r="P2228" s="16"/>
      <c r="Q2228" s="16"/>
      <c r="R2228" s="16"/>
    </row>
    <row r="2229" spans="1:18" ht="18">
      <c r="A2229" s="61"/>
      <c r="B2229" s="15"/>
      <c r="C2229" s="31"/>
      <c r="D2229" s="90"/>
      <c r="E2229" s="16"/>
      <c r="F2229" s="33"/>
      <c r="G2229" s="16"/>
      <c r="H2229" s="16"/>
      <c r="I2229" s="16"/>
      <c r="J2229" s="16"/>
      <c r="K2229" s="16"/>
      <c r="L2229" s="16"/>
      <c r="M2229" s="16"/>
      <c r="N2229" s="16"/>
      <c r="O2229" s="16"/>
      <c r="P2229" s="16"/>
      <c r="Q2229" s="16"/>
      <c r="R2229" s="16"/>
    </row>
    <row r="2230" spans="1:18" ht="18">
      <c r="A2230" s="61"/>
      <c r="B2230" s="15"/>
      <c r="C2230" s="31"/>
      <c r="D2230" s="90"/>
      <c r="E2230" s="16"/>
      <c r="F2230" s="33"/>
      <c r="G2230" s="16"/>
      <c r="H2230" s="16"/>
      <c r="I2230" s="16"/>
      <c r="J2230" s="16"/>
      <c r="K2230" s="16"/>
      <c r="L2230" s="16"/>
      <c r="M2230" s="16"/>
      <c r="N2230" s="16"/>
      <c r="O2230" s="16"/>
      <c r="P2230" s="16"/>
      <c r="Q2230" s="16"/>
      <c r="R2230" s="16"/>
    </row>
    <row r="2231" spans="1:18" ht="18">
      <c r="A2231" s="61"/>
      <c r="B2231" s="15"/>
      <c r="C2231" s="31"/>
      <c r="D2231" s="90"/>
      <c r="E2231" s="16"/>
      <c r="F2231" s="33"/>
      <c r="G2231" s="16"/>
      <c r="H2231" s="16"/>
      <c r="I2231" s="16"/>
      <c r="J2231" s="16"/>
      <c r="K2231" s="16"/>
      <c r="L2231" s="16"/>
      <c r="M2231" s="16"/>
      <c r="N2231" s="16"/>
      <c r="O2231" s="16"/>
      <c r="P2231" s="16"/>
      <c r="Q2231" s="16"/>
      <c r="R2231" s="16"/>
    </row>
    <row r="2232" spans="1:18" ht="18">
      <c r="A2232" s="61"/>
      <c r="B2232" s="15"/>
      <c r="C2232" s="31"/>
      <c r="D2232" s="90"/>
      <c r="E2232" s="16"/>
      <c r="F2232" s="33"/>
      <c r="G2232" s="16"/>
      <c r="H2232" s="16"/>
      <c r="I2232" s="16"/>
      <c r="J2232" s="16"/>
      <c r="K2232" s="16"/>
      <c r="L2232" s="16"/>
      <c r="M2232" s="16"/>
      <c r="N2232" s="16"/>
      <c r="O2232" s="16"/>
      <c r="P2232" s="16"/>
      <c r="Q2232" s="16"/>
      <c r="R2232" s="16"/>
    </row>
    <row r="2233" spans="1:18" ht="18">
      <c r="A2233" s="61"/>
      <c r="B2233" s="15"/>
      <c r="C2233" s="31"/>
      <c r="D2233" s="90"/>
      <c r="E2233" s="16"/>
      <c r="F2233" s="33"/>
      <c r="G2233" s="16"/>
      <c r="H2233" s="16"/>
      <c r="I2233" s="16"/>
      <c r="J2233" s="16"/>
      <c r="K2233" s="16"/>
      <c r="L2233" s="16"/>
      <c r="M2233" s="16"/>
      <c r="N2233" s="16"/>
      <c r="O2233" s="16"/>
      <c r="P2233" s="16"/>
      <c r="Q2233" s="16"/>
      <c r="R2233" s="16"/>
    </row>
    <row r="2234" spans="1:18" ht="18">
      <c r="A2234" s="61"/>
      <c r="B2234" s="15"/>
      <c r="C2234" s="31"/>
      <c r="D2234" s="90"/>
      <c r="E2234" s="16"/>
      <c r="F2234" s="33"/>
      <c r="G2234" s="16"/>
      <c r="H2234" s="16"/>
      <c r="I2234" s="16"/>
      <c r="J2234" s="16"/>
      <c r="K2234" s="16"/>
      <c r="L2234" s="16"/>
      <c r="M2234" s="16"/>
      <c r="N2234" s="16"/>
      <c r="O2234" s="16"/>
      <c r="P2234" s="16"/>
      <c r="Q2234" s="16"/>
      <c r="R2234" s="16"/>
    </row>
    <row r="2235" spans="1:18" ht="18">
      <c r="A2235" s="61"/>
      <c r="B2235" s="15"/>
      <c r="C2235" s="31"/>
      <c r="D2235" s="90"/>
      <c r="E2235" s="16"/>
      <c r="F2235" s="33"/>
      <c r="G2235" s="16"/>
      <c r="H2235" s="16"/>
      <c r="I2235" s="16"/>
      <c r="J2235" s="16"/>
      <c r="K2235" s="16"/>
      <c r="L2235" s="16"/>
      <c r="M2235" s="16"/>
      <c r="N2235" s="16"/>
      <c r="O2235" s="16"/>
      <c r="P2235" s="16"/>
      <c r="Q2235" s="16"/>
      <c r="R2235" s="16"/>
    </row>
    <row r="2236" spans="1:18" ht="18">
      <c r="A2236" s="61"/>
      <c r="B2236" s="15"/>
      <c r="C2236" s="31"/>
      <c r="D2236" s="90"/>
      <c r="E2236" s="16"/>
      <c r="F2236" s="33"/>
      <c r="G2236" s="16"/>
      <c r="H2236" s="16"/>
      <c r="I2236" s="16"/>
      <c r="J2236" s="16"/>
      <c r="K2236" s="16"/>
      <c r="L2236" s="16"/>
      <c r="M2236" s="16"/>
      <c r="N2236" s="16"/>
      <c r="O2236" s="16"/>
      <c r="P2236" s="16"/>
      <c r="Q2236" s="16"/>
      <c r="R2236" s="16"/>
    </row>
    <row r="2237" spans="1:18" ht="18">
      <c r="A2237" s="61"/>
      <c r="B2237" s="15"/>
      <c r="C2237" s="31"/>
      <c r="D2237" s="90"/>
      <c r="E2237" s="16"/>
      <c r="F2237" s="33"/>
      <c r="G2237" s="16"/>
      <c r="H2237" s="16"/>
      <c r="I2237" s="16"/>
      <c r="J2237" s="16"/>
      <c r="K2237" s="16"/>
      <c r="L2237" s="16"/>
      <c r="M2237" s="16"/>
      <c r="N2237" s="16"/>
      <c r="O2237" s="16"/>
      <c r="P2237" s="16"/>
      <c r="Q2237" s="16"/>
      <c r="R2237" s="16"/>
    </row>
    <row r="2238" spans="1:18" ht="18">
      <c r="A2238" s="61"/>
      <c r="B2238" s="15"/>
      <c r="C2238" s="31"/>
      <c r="D2238" s="90"/>
      <c r="E2238" s="16"/>
      <c r="F2238" s="33"/>
      <c r="G2238" s="16"/>
      <c r="H2238" s="16"/>
      <c r="I2238" s="16"/>
      <c r="J2238" s="16"/>
      <c r="K2238" s="16"/>
      <c r="L2238" s="16"/>
      <c r="M2238" s="16"/>
      <c r="N2238" s="16"/>
      <c r="O2238" s="16"/>
      <c r="P2238" s="16"/>
      <c r="Q2238" s="16"/>
      <c r="R2238" s="16"/>
    </row>
    <row r="2239" spans="1:18" ht="18">
      <c r="A2239" s="61"/>
      <c r="B2239" s="15"/>
      <c r="C2239" s="31"/>
      <c r="D2239" s="90"/>
      <c r="E2239" s="16"/>
      <c r="F2239" s="33"/>
      <c r="G2239" s="16"/>
      <c r="H2239" s="16"/>
      <c r="I2239" s="16"/>
      <c r="J2239" s="16"/>
      <c r="K2239" s="16"/>
      <c r="L2239" s="16"/>
      <c r="M2239" s="16"/>
      <c r="N2239" s="16"/>
      <c r="O2239" s="16"/>
      <c r="P2239" s="16"/>
      <c r="Q2239" s="16"/>
      <c r="R2239" s="16"/>
    </row>
    <row r="2240" spans="1:18" ht="18">
      <c r="A2240" s="61"/>
      <c r="B2240" s="15"/>
      <c r="C2240" s="31"/>
      <c r="D2240" s="90"/>
      <c r="E2240" s="16"/>
      <c r="F2240" s="33"/>
      <c r="G2240" s="16"/>
      <c r="H2240" s="16"/>
      <c r="I2240" s="16"/>
      <c r="J2240" s="16"/>
      <c r="K2240" s="16"/>
      <c r="L2240" s="16"/>
      <c r="M2240" s="16"/>
      <c r="N2240" s="16"/>
      <c r="O2240" s="16"/>
      <c r="P2240" s="16"/>
      <c r="Q2240" s="16"/>
      <c r="R2240" s="16"/>
    </row>
    <row r="2241" spans="1:18" ht="18">
      <c r="A2241" s="61"/>
      <c r="B2241" s="15"/>
      <c r="C2241" s="31"/>
      <c r="D2241" s="90"/>
      <c r="E2241" s="16"/>
      <c r="F2241" s="33"/>
      <c r="G2241" s="16"/>
      <c r="H2241" s="16"/>
      <c r="I2241" s="16"/>
      <c r="J2241" s="16"/>
      <c r="K2241" s="16"/>
      <c r="L2241" s="16"/>
      <c r="M2241" s="16"/>
      <c r="N2241" s="16"/>
      <c r="O2241" s="16"/>
      <c r="P2241" s="16"/>
      <c r="Q2241" s="16"/>
      <c r="R2241" s="16"/>
    </row>
    <row r="2242" spans="1:18" ht="18">
      <c r="A2242" s="61"/>
      <c r="B2242" s="15"/>
      <c r="C2242" s="31"/>
      <c r="D2242" s="90"/>
      <c r="E2242" s="16"/>
      <c r="F2242" s="33"/>
      <c r="G2242" s="16"/>
      <c r="H2242" s="16"/>
      <c r="I2242" s="16"/>
      <c r="J2242" s="16"/>
      <c r="K2242" s="16"/>
      <c r="L2242" s="16"/>
      <c r="M2242" s="16"/>
      <c r="N2242" s="16"/>
      <c r="O2242" s="16"/>
      <c r="P2242" s="16"/>
      <c r="Q2242" s="16"/>
      <c r="R2242" s="16"/>
    </row>
    <row r="2243" spans="1:18" ht="18">
      <c r="A2243" s="61"/>
      <c r="B2243" s="15"/>
      <c r="C2243" s="31"/>
      <c r="D2243" s="90"/>
      <c r="E2243" s="16"/>
      <c r="F2243" s="33"/>
      <c r="G2243" s="16"/>
      <c r="H2243" s="16"/>
      <c r="I2243" s="16"/>
      <c r="J2243" s="16"/>
      <c r="K2243" s="16"/>
      <c r="L2243" s="16"/>
      <c r="M2243" s="16"/>
      <c r="N2243" s="16"/>
      <c r="O2243" s="16"/>
      <c r="P2243" s="16"/>
      <c r="Q2243" s="16"/>
      <c r="R2243" s="16"/>
    </row>
    <row r="2244" spans="1:18" ht="18">
      <c r="A2244" s="61"/>
      <c r="B2244" s="15"/>
      <c r="C2244" s="31"/>
      <c r="D2244" s="90"/>
      <c r="E2244" s="16"/>
      <c r="F2244" s="33"/>
      <c r="G2244" s="16"/>
      <c r="H2244" s="16"/>
      <c r="I2244" s="16"/>
      <c r="J2244" s="16"/>
      <c r="K2244" s="16"/>
      <c r="L2244" s="16"/>
      <c r="M2244" s="16"/>
      <c r="N2244" s="16"/>
      <c r="O2244" s="16"/>
      <c r="P2244" s="16"/>
      <c r="Q2244" s="16"/>
      <c r="R2244" s="16"/>
    </row>
    <row r="2245" spans="1:18" ht="18">
      <c r="A2245" s="61"/>
      <c r="B2245" s="15"/>
      <c r="C2245" s="31"/>
      <c r="D2245" s="90"/>
      <c r="E2245" s="16"/>
      <c r="F2245" s="33"/>
      <c r="G2245" s="16"/>
      <c r="H2245" s="16"/>
      <c r="I2245" s="16"/>
      <c r="J2245" s="16"/>
      <c r="K2245" s="16"/>
      <c r="L2245" s="16"/>
      <c r="M2245" s="16"/>
      <c r="N2245" s="16"/>
      <c r="O2245" s="16"/>
      <c r="P2245" s="16"/>
      <c r="Q2245" s="16"/>
      <c r="R2245" s="16"/>
    </row>
    <row r="2246" spans="1:18" ht="18">
      <c r="A2246" s="61"/>
      <c r="B2246" s="15"/>
      <c r="C2246" s="31"/>
      <c r="D2246" s="90"/>
      <c r="E2246" s="16"/>
      <c r="F2246" s="33"/>
      <c r="G2246" s="16"/>
      <c r="H2246" s="16"/>
      <c r="I2246" s="16"/>
      <c r="J2246" s="16"/>
      <c r="K2246" s="16"/>
      <c r="L2246" s="16"/>
      <c r="M2246" s="16"/>
      <c r="N2246" s="16"/>
      <c r="O2246" s="16"/>
      <c r="P2246" s="16"/>
      <c r="Q2246" s="16"/>
      <c r="R2246" s="16"/>
    </row>
    <row r="2247" spans="1:18" ht="18">
      <c r="A2247" s="61"/>
      <c r="B2247" s="15"/>
      <c r="C2247" s="31"/>
      <c r="D2247" s="90"/>
      <c r="E2247" s="16"/>
      <c r="F2247" s="33"/>
      <c r="G2247" s="16"/>
      <c r="H2247" s="16"/>
      <c r="I2247" s="16"/>
      <c r="J2247" s="16"/>
      <c r="K2247" s="16"/>
      <c r="L2247" s="16"/>
      <c r="M2247" s="16"/>
      <c r="N2247" s="16"/>
      <c r="O2247" s="16"/>
      <c r="P2247" s="16"/>
      <c r="Q2247" s="16"/>
      <c r="R2247" s="16"/>
    </row>
    <row r="2248" spans="1:18" ht="18">
      <c r="A2248" s="61"/>
      <c r="B2248" s="15"/>
      <c r="C2248" s="31"/>
      <c r="D2248" s="90"/>
      <c r="E2248" s="16"/>
      <c r="F2248" s="33"/>
      <c r="G2248" s="16"/>
      <c r="H2248" s="16"/>
      <c r="I2248" s="16"/>
      <c r="J2248" s="16"/>
      <c r="K2248" s="16"/>
      <c r="L2248" s="16"/>
      <c r="M2248" s="16"/>
      <c r="N2248" s="16"/>
      <c r="O2248" s="16"/>
      <c r="P2248" s="16"/>
      <c r="Q2248" s="16"/>
      <c r="R2248" s="16"/>
    </row>
    <row r="2249" spans="1:18" ht="18">
      <c r="A2249" s="61"/>
      <c r="B2249" s="15"/>
      <c r="C2249" s="31"/>
      <c r="D2249" s="90"/>
      <c r="E2249" s="16"/>
      <c r="F2249" s="33"/>
      <c r="G2249" s="16"/>
      <c r="H2249" s="16"/>
      <c r="I2249" s="16"/>
      <c r="J2249" s="16"/>
      <c r="K2249" s="16"/>
      <c r="L2249" s="16"/>
      <c r="M2249" s="16"/>
      <c r="N2249" s="16"/>
      <c r="O2249" s="16"/>
      <c r="P2249" s="16"/>
      <c r="Q2249" s="16"/>
      <c r="R2249" s="16"/>
    </row>
    <row r="2250" spans="1:18" ht="18">
      <c r="A2250" s="61"/>
      <c r="B2250" s="15"/>
      <c r="C2250" s="31"/>
      <c r="D2250" s="90"/>
      <c r="E2250" s="16"/>
      <c r="F2250" s="33"/>
      <c r="G2250" s="16"/>
      <c r="H2250" s="16"/>
      <c r="I2250" s="16"/>
      <c r="J2250" s="16"/>
      <c r="K2250" s="16"/>
      <c r="L2250" s="16"/>
      <c r="M2250" s="16"/>
      <c r="N2250" s="16"/>
      <c r="O2250" s="16"/>
      <c r="P2250" s="16"/>
      <c r="Q2250" s="16"/>
      <c r="R2250" s="16"/>
    </row>
    <row r="2251" spans="1:18" ht="18">
      <c r="A2251" s="61"/>
      <c r="B2251" s="15"/>
      <c r="C2251" s="31"/>
      <c r="D2251" s="90"/>
      <c r="E2251" s="16"/>
      <c r="F2251" s="33"/>
      <c r="G2251" s="16"/>
      <c r="H2251" s="16"/>
      <c r="I2251" s="16"/>
      <c r="J2251" s="16"/>
      <c r="K2251" s="16"/>
      <c r="L2251" s="16"/>
      <c r="M2251" s="16"/>
      <c r="N2251" s="16"/>
      <c r="O2251" s="16"/>
      <c r="P2251" s="16"/>
      <c r="Q2251" s="16"/>
      <c r="R2251" s="16"/>
    </row>
    <row r="2252" spans="1:18" ht="18">
      <c r="A2252" s="61"/>
      <c r="B2252" s="15"/>
      <c r="C2252" s="31"/>
      <c r="D2252" s="90"/>
      <c r="E2252" s="16"/>
      <c r="F2252" s="33"/>
      <c r="G2252" s="16"/>
      <c r="H2252" s="16"/>
      <c r="I2252" s="16"/>
      <c r="J2252" s="16"/>
      <c r="K2252" s="16"/>
      <c r="L2252" s="16"/>
      <c r="M2252" s="16"/>
      <c r="N2252" s="16"/>
      <c r="O2252" s="16"/>
      <c r="P2252" s="16"/>
      <c r="Q2252" s="16"/>
      <c r="R2252" s="16"/>
    </row>
    <row r="2253" spans="1:18" ht="18">
      <c r="A2253" s="61"/>
      <c r="B2253" s="15"/>
      <c r="C2253" s="31"/>
      <c r="D2253" s="90"/>
      <c r="E2253" s="16"/>
      <c r="F2253" s="33"/>
      <c r="G2253" s="16"/>
      <c r="H2253" s="16"/>
      <c r="I2253" s="16"/>
      <c r="J2253" s="16"/>
      <c r="K2253" s="16"/>
      <c r="L2253" s="16"/>
      <c r="M2253" s="16"/>
      <c r="N2253" s="16"/>
      <c r="O2253" s="16"/>
      <c r="P2253" s="16"/>
      <c r="Q2253" s="16"/>
      <c r="R2253" s="16"/>
    </row>
    <row r="2254" spans="1:18" ht="18">
      <c r="A2254" s="61"/>
      <c r="B2254" s="15"/>
      <c r="C2254" s="31"/>
      <c r="D2254" s="90"/>
      <c r="E2254" s="16"/>
      <c r="F2254" s="33"/>
      <c r="G2254" s="16"/>
      <c r="H2254" s="16"/>
      <c r="I2254" s="16"/>
      <c r="J2254" s="16"/>
      <c r="K2254" s="16"/>
      <c r="L2254" s="16"/>
      <c r="M2254" s="16"/>
      <c r="N2254" s="16"/>
      <c r="O2254" s="16"/>
      <c r="P2254" s="16"/>
      <c r="Q2254" s="16"/>
      <c r="R2254" s="16"/>
    </row>
    <row r="2255" spans="1:18" ht="18">
      <c r="A2255" s="61"/>
      <c r="B2255" s="15"/>
      <c r="C2255" s="31"/>
      <c r="D2255" s="90"/>
      <c r="E2255" s="16"/>
      <c r="F2255" s="33"/>
      <c r="G2255" s="16"/>
      <c r="H2255" s="16"/>
      <c r="I2255" s="16"/>
      <c r="J2255" s="16"/>
      <c r="K2255" s="16"/>
      <c r="L2255" s="16"/>
      <c r="M2255" s="16"/>
      <c r="N2255" s="16"/>
      <c r="O2255" s="16"/>
      <c r="P2255" s="16"/>
      <c r="Q2255" s="16"/>
      <c r="R2255" s="16"/>
    </row>
    <row r="2256" spans="1:18" ht="18">
      <c r="A2256" s="61"/>
      <c r="B2256" s="15"/>
      <c r="C2256" s="31"/>
      <c r="D2256" s="90"/>
      <c r="E2256" s="16"/>
      <c r="F2256" s="33"/>
      <c r="G2256" s="16"/>
      <c r="H2256" s="16"/>
      <c r="I2256" s="16"/>
      <c r="J2256" s="16"/>
      <c r="K2256" s="16"/>
      <c r="L2256" s="16"/>
      <c r="M2256" s="16"/>
      <c r="N2256" s="16"/>
      <c r="O2256" s="16"/>
      <c r="P2256" s="16"/>
      <c r="Q2256" s="16"/>
      <c r="R2256" s="16"/>
    </row>
    <row r="2257" spans="1:18" ht="18">
      <c r="A2257" s="61"/>
      <c r="B2257" s="15"/>
      <c r="C2257" s="31"/>
      <c r="D2257" s="90"/>
      <c r="E2257" s="16"/>
      <c r="F2257" s="33"/>
      <c r="G2257" s="16"/>
      <c r="H2257" s="16"/>
      <c r="I2257" s="16"/>
      <c r="J2257" s="16"/>
      <c r="K2257" s="16"/>
      <c r="L2257" s="16"/>
      <c r="M2257" s="16"/>
      <c r="N2257" s="16"/>
      <c r="O2257" s="16"/>
      <c r="P2257" s="16"/>
      <c r="Q2257" s="16"/>
      <c r="R2257" s="16"/>
    </row>
    <row r="2258" spans="1:18" ht="18">
      <c r="A2258" s="61"/>
      <c r="B2258" s="15"/>
      <c r="C2258" s="31"/>
      <c r="D2258" s="90"/>
      <c r="E2258" s="16"/>
      <c r="F2258" s="33"/>
      <c r="G2258" s="16"/>
      <c r="H2258" s="16"/>
      <c r="I2258" s="16"/>
      <c r="J2258" s="16"/>
      <c r="K2258" s="16"/>
      <c r="L2258" s="16"/>
      <c r="M2258" s="16"/>
      <c r="N2258" s="16"/>
      <c r="O2258" s="16"/>
      <c r="P2258" s="16"/>
      <c r="Q2258" s="16"/>
      <c r="R2258" s="16"/>
    </row>
    <row r="2259" spans="1:18" ht="18">
      <c r="A2259" s="61"/>
      <c r="B2259" s="15"/>
      <c r="C2259" s="31"/>
      <c r="D2259" s="90"/>
      <c r="E2259" s="16"/>
      <c r="F2259" s="33"/>
      <c r="G2259" s="16"/>
      <c r="H2259" s="16"/>
      <c r="I2259" s="16"/>
      <c r="J2259" s="16"/>
      <c r="K2259" s="16"/>
      <c r="L2259" s="16"/>
      <c r="M2259" s="16"/>
      <c r="N2259" s="16"/>
      <c r="O2259" s="16"/>
      <c r="P2259" s="16"/>
      <c r="Q2259" s="16"/>
      <c r="R2259" s="16"/>
    </row>
    <row r="2260" spans="1:18" ht="18">
      <c r="A2260" s="61"/>
      <c r="B2260" s="15"/>
      <c r="C2260" s="31"/>
      <c r="D2260" s="90"/>
      <c r="E2260" s="16"/>
      <c r="F2260" s="33"/>
      <c r="G2260" s="16"/>
      <c r="H2260" s="16"/>
      <c r="I2260" s="16"/>
      <c r="J2260" s="16"/>
      <c r="K2260" s="16"/>
      <c r="L2260" s="16"/>
      <c r="M2260" s="16"/>
      <c r="N2260" s="16"/>
      <c r="O2260" s="16"/>
      <c r="P2260" s="16"/>
      <c r="Q2260" s="16"/>
      <c r="R2260" s="16"/>
    </row>
    <row r="2261" spans="1:18" ht="18">
      <c r="A2261" s="61"/>
      <c r="B2261" s="15"/>
      <c r="C2261" s="31"/>
      <c r="D2261" s="90"/>
      <c r="E2261" s="16"/>
      <c r="F2261" s="33"/>
      <c r="G2261" s="16"/>
      <c r="H2261" s="16"/>
      <c r="I2261" s="16"/>
      <c r="J2261" s="16"/>
      <c r="K2261" s="16"/>
      <c r="L2261" s="16"/>
      <c r="M2261" s="16"/>
      <c r="N2261" s="16"/>
      <c r="O2261" s="16"/>
      <c r="P2261" s="16"/>
      <c r="Q2261" s="16"/>
      <c r="R2261" s="16"/>
    </row>
    <row r="2262" spans="1:18" ht="18">
      <c r="A2262" s="61"/>
      <c r="B2262" s="15"/>
      <c r="C2262" s="31"/>
      <c r="D2262" s="90"/>
      <c r="E2262" s="16"/>
      <c r="F2262" s="33"/>
      <c r="G2262" s="16"/>
      <c r="H2262" s="16"/>
      <c r="I2262" s="16"/>
      <c r="J2262" s="16"/>
      <c r="K2262" s="16"/>
      <c r="L2262" s="16"/>
      <c r="M2262" s="16"/>
      <c r="N2262" s="16"/>
      <c r="O2262" s="16"/>
      <c r="P2262" s="16"/>
      <c r="Q2262" s="16"/>
      <c r="R2262" s="16"/>
    </row>
    <row r="2263" spans="1:18" ht="18">
      <c r="A2263" s="61"/>
      <c r="B2263" s="15"/>
      <c r="C2263" s="31"/>
      <c r="D2263" s="90"/>
      <c r="E2263" s="16"/>
      <c r="F2263" s="33"/>
      <c r="G2263" s="16"/>
      <c r="H2263" s="16"/>
      <c r="I2263" s="16"/>
      <c r="J2263" s="16"/>
      <c r="K2263" s="16"/>
      <c r="L2263" s="16"/>
      <c r="M2263" s="16"/>
      <c r="N2263" s="16"/>
      <c r="O2263" s="16"/>
      <c r="P2263" s="16"/>
      <c r="Q2263" s="16"/>
      <c r="R2263" s="16"/>
    </row>
    <row r="2264" spans="1:18" ht="18">
      <c r="A2264" s="61"/>
      <c r="B2264" s="15"/>
      <c r="C2264" s="31"/>
      <c r="D2264" s="90"/>
      <c r="E2264" s="16"/>
      <c r="F2264" s="33"/>
      <c r="G2264" s="16"/>
      <c r="H2264" s="16"/>
      <c r="I2264" s="16"/>
      <c r="J2264" s="16"/>
      <c r="K2264" s="16"/>
      <c r="L2264" s="16"/>
      <c r="M2264" s="16"/>
      <c r="N2264" s="16"/>
      <c r="O2264" s="16"/>
      <c r="P2264" s="16"/>
      <c r="Q2264" s="16"/>
      <c r="R2264" s="16"/>
    </row>
    <row r="2265" spans="1:18" ht="18">
      <c r="A2265" s="61"/>
      <c r="B2265" s="15"/>
      <c r="C2265" s="31"/>
      <c r="D2265" s="90"/>
      <c r="E2265" s="16"/>
      <c r="F2265" s="33"/>
      <c r="G2265" s="16"/>
      <c r="H2265" s="16"/>
      <c r="I2265" s="16"/>
      <c r="J2265" s="16"/>
      <c r="K2265" s="16"/>
      <c r="L2265" s="16"/>
      <c r="M2265" s="16"/>
      <c r="N2265" s="16"/>
      <c r="O2265" s="16"/>
      <c r="P2265" s="16"/>
      <c r="Q2265" s="16"/>
      <c r="R2265" s="16"/>
    </row>
    <row r="2266" spans="1:18" ht="18">
      <c r="A2266" s="61"/>
      <c r="B2266" s="15"/>
      <c r="C2266" s="31"/>
      <c r="D2266" s="90"/>
      <c r="E2266" s="16"/>
      <c r="F2266" s="33"/>
      <c r="G2266" s="16"/>
      <c r="H2266" s="16"/>
      <c r="I2266" s="16"/>
      <c r="J2266" s="16"/>
      <c r="K2266" s="16"/>
      <c r="L2266" s="16"/>
      <c r="M2266" s="16"/>
      <c r="N2266" s="16"/>
      <c r="O2266" s="16"/>
      <c r="P2266" s="16"/>
      <c r="Q2266" s="16"/>
      <c r="R2266" s="16"/>
    </row>
    <row r="2267" spans="1:18" ht="18">
      <c r="A2267" s="61"/>
      <c r="B2267" s="15"/>
      <c r="C2267" s="31"/>
      <c r="D2267" s="90"/>
      <c r="E2267" s="16"/>
      <c r="F2267" s="33"/>
      <c r="G2267" s="16"/>
      <c r="H2267" s="16"/>
      <c r="I2267" s="16"/>
      <c r="J2267" s="16"/>
      <c r="K2267" s="16"/>
      <c r="L2267" s="16"/>
      <c r="M2267" s="16"/>
      <c r="N2267" s="16"/>
      <c r="O2267" s="16"/>
      <c r="P2267" s="16"/>
      <c r="Q2267" s="16"/>
      <c r="R2267" s="16"/>
    </row>
    <row r="2268" spans="1:18" ht="18">
      <c r="A2268" s="61"/>
      <c r="B2268" s="15"/>
      <c r="C2268" s="31"/>
      <c r="D2268" s="90"/>
      <c r="E2268" s="16"/>
      <c r="F2268" s="33"/>
      <c r="G2268" s="16"/>
      <c r="H2268" s="16"/>
      <c r="I2268" s="16"/>
      <c r="J2268" s="16"/>
      <c r="K2268" s="16"/>
      <c r="L2268" s="16"/>
      <c r="M2268" s="16"/>
      <c r="N2268" s="16"/>
      <c r="O2268" s="16"/>
      <c r="P2268" s="16"/>
      <c r="Q2268" s="16"/>
      <c r="R2268" s="16"/>
    </row>
    <row r="2269" spans="1:18" ht="18">
      <c r="A2269" s="61"/>
      <c r="B2269" s="15"/>
      <c r="C2269" s="31"/>
      <c r="D2269" s="90"/>
      <c r="E2269" s="16"/>
      <c r="F2269" s="33"/>
      <c r="G2269" s="16"/>
      <c r="H2269" s="16"/>
      <c r="I2269" s="16"/>
      <c r="J2269" s="16"/>
      <c r="K2269" s="16"/>
      <c r="L2269" s="16"/>
      <c r="M2269" s="16"/>
      <c r="N2269" s="16"/>
      <c r="O2269" s="16"/>
      <c r="P2269" s="16"/>
      <c r="Q2269" s="16"/>
      <c r="R2269" s="16"/>
    </row>
    <row r="2270" spans="1:18" ht="18">
      <c r="A2270" s="61"/>
      <c r="B2270" s="15"/>
      <c r="C2270" s="31"/>
      <c r="D2270" s="90"/>
      <c r="E2270" s="16"/>
      <c r="F2270" s="33"/>
      <c r="G2270" s="16"/>
      <c r="H2270" s="16"/>
      <c r="I2270" s="16"/>
      <c r="J2270" s="16"/>
      <c r="K2270" s="16"/>
      <c r="L2270" s="16"/>
      <c r="M2270" s="16"/>
      <c r="N2270" s="16"/>
      <c r="O2270" s="16"/>
      <c r="P2270" s="16"/>
      <c r="Q2270" s="16"/>
      <c r="R2270" s="16"/>
    </row>
    <row r="2271" spans="1:18" ht="18">
      <c r="A2271" s="61"/>
      <c r="B2271" s="15"/>
      <c r="C2271" s="31"/>
      <c r="D2271" s="90"/>
      <c r="E2271" s="16"/>
      <c r="F2271" s="33"/>
      <c r="G2271" s="16"/>
      <c r="H2271" s="16"/>
      <c r="I2271" s="16"/>
      <c r="J2271" s="16"/>
      <c r="K2271" s="16"/>
      <c r="L2271" s="16"/>
      <c r="M2271" s="16"/>
      <c r="N2271" s="16"/>
      <c r="O2271" s="16"/>
      <c r="P2271" s="16"/>
      <c r="Q2271" s="16"/>
      <c r="R2271" s="16"/>
    </row>
    <row r="2272" spans="1:18" ht="18">
      <c r="A2272" s="61"/>
      <c r="B2272" s="15"/>
      <c r="C2272" s="31"/>
      <c r="D2272" s="90"/>
      <c r="E2272" s="16"/>
      <c r="F2272" s="33"/>
      <c r="G2272" s="16"/>
      <c r="H2272" s="16"/>
      <c r="I2272" s="16"/>
      <c r="J2272" s="16"/>
      <c r="K2272" s="16"/>
      <c r="L2272" s="16"/>
      <c r="M2272" s="16"/>
      <c r="N2272" s="16"/>
      <c r="O2272" s="16"/>
      <c r="P2272" s="16"/>
      <c r="Q2272" s="16"/>
      <c r="R2272" s="16"/>
    </row>
    <row r="2273" spans="1:18" ht="18">
      <c r="A2273" s="61"/>
      <c r="B2273" s="15"/>
      <c r="C2273" s="31"/>
      <c r="D2273" s="90"/>
      <c r="E2273" s="16"/>
      <c r="F2273" s="33"/>
      <c r="G2273" s="16"/>
      <c r="H2273" s="16"/>
      <c r="I2273" s="16"/>
      <c r="J2273" s="16"/>
      <c r="K2273" s="16"/>
      <c r="L2273" s="16"/>
      <c r="M2273" s="16"/>
      <c r="N2273" s="16"/>
      <c r="O2273" s="16"/>
      <c r="P2273" s="16"/>
      <c r="Q2273" s="16"/>
      <c r="R2273" s="16"/>
    </row>
    <row r="2274" spans="1:18" ht="18">
      <c r="A2274" s="61"/>
      <c r="B2274" s="15"/>
      <c r="C2274" s="31"/>
      <c r="D2274" s="90"/>
      <c r="E2274" s="16"/>
      <c r="F2274" s="33"/>
      <c r="G2274" s="16"/>
      <c r="H2274" s="16"/>
      <c r="I2274" s="16"/>
      <c r="J2274" s="16"/>
      <c r="K2274" s="16"/>
      <c r="L2274" s="16"/>
      <c r="M2274" s="16"/>
      <c r="N2274" s="16"/>
      <c r="O2274" s="16"/>
      <c r="P2274" s="16"/>
      <c r="Q2274" s="16"/>
      <c r="R2274" s="16"/>
    </row>
    <row r="2275" spans="1:18" ht="18">
      <c r="A2275" s="61"/>
      <c r="B2275" s="15"/>
      <c r="C2275" s="31"/>
      <c r="D2275" s="90"/>
      <c r="E2275" s="16"/>
      <c r="F2275" s="33"/>
      <c r="G2275" s="16"/>
      <c r="H2275" s="16"/>
      <c r="I2275" s="16"/>
      <c r="J2275" s="16"/>
      <c r="K2275" s="16"/>
      <c r="L2275" s="16"/>
      <c r="M2275" s="16"/>
      <c r="N2275" s="16"/>
      <c r="O2275" s="16"/>
      <c r="P2275" s="16"/>
      <c r="Q2275" s="16"/>
      <c r="R2275" s="16"/>
    </row>
    <row r="2276" spans="1:18" ht="18">
      <c r="A2276" s="61"/>
      <c r="B2276" s="15"/>
      <c r="C2276" s="31"/>
      <c r="D2276" s="90"/>
      <c r="E2276" s="16"/>
      <c r="F2276" s="33"/>
      <c r="G2276" s="16"/>
      <c r="H2276" s="16"/>
      <c r="I2276" s="16"/>
      <c r="J2276" s="16"/>
      <c r="K2276" s="16"/>
      <c r="L2276" s="16"/>
      <c r="M2276" s="16"/>
      <c r="N2276" s="16"/>
      <c r="O2276" s="16"/>
      <c r="P2276" s="16"/>
      <c r="Q2276" s="16"/>
      <c r="R2276" s="16"/>
    </row>
    <row r="2277" spans="1:18" ht="18">
      <c r="A2277" s="61"/>
      <c r="B2277" s="15"/>
      <c r="C2277" s="31"/>
      <c r="D2277" s="90"/>
      <c r="E2277" s="16"/>
      <c r="F2277" s="33"/>
      <c r="G2277" s="16"/>
      <c r="H2277" s="16"/>
      <c r="I2277" s="16"/>
      <c r="J2277" s="16"/>
      <c r="K2277" s="16"/>
      <c r="L2277" s="16"/>
      <c r="M2277" s="16"/>
      <c r="N2277" s="16"/>
      <c r="O2277" s="16"/>
      <c r="P2277" s="16"/>
      <c r="Q2277" s="16"/>
      <c r="R2277" s="16"/>
    </row>
    <row r="2278" spans="1:18" ht="18">
      <c r="A2278" s="61"/>
      <c r="B2278" s="15"/>
      <c r="C2278" s="31"/>
      <c r="D2278" s="90"/>
      <c r="E2278" s="16"/>
      <c r="F2278" s="33"/>
      <c r="G2278" s="16"/>
      <c r="H2278" s="16"/>
      <c r="I2278" s="16"/>
      <c r="J2278" s="16"/>
      <c r="K2278" s="16"/>
      <c r="L2278" s="16"/>
      <c r="M2278" s="16"/>
      <c r="N2278" s="16"/>
      <c r="O2278" s="16"/>
      <c r="P2278" s="16"/>
      <c r="Q2278" s="16"/>
      <c r="R2278" s="16"/>
    </row>
    <row r="2279" spans="1:18" ht="18">
      <c r="A2279" s="61"/>
      <c r="B2279" s="15"/>
      <c r="C2279" s="31"/>
      <c r="D2279" s="90"/>
      <c r="E2279" s="16"/>
      <c r="F2279" s="33"/>
      <c r="G2279" s="16"/>
      <c r="H2279" s="16"/>
      <c r="I2279" s="16"/>
      <c r="J2279" s="16"/>
      <c r="K2279" s="16"/>
      <c r="L2279" s="16"/>
      <c r="M2279" s="16"/>
      <c r="N2279" s="16"/>
      <c r="O2279" s="16"/>
      <c r="P2279" s="16"/>
      <c r="Q2279" s="16"/>
      <c r="R2279" s="16"/>
    </row>
    <row r="2280" spans="1:18" ht="18">
      <c r="A2280" s="61"/>
      <c r="B2280" s="15"/>
      <c r="C2280" s="31"/>
      <c r="D2280" s="90"/>
      <c r="E2280" s="16"/>
      <c r="F2280" s="33"/>
      <c r="G2280" s="16"/>
      <c r="H2280" s="16"/>
      <c r="I2280" s="16"/>
      <c r="J2280" s="16"/>
      <c r="K2280" s="16"/>
      <c r="L2280" s="16"/>
      <c r="M2280" s="16"/>
      <c r="N2280" s="16"/>
      <c r="O2280" s="16"/>
      <c r="P2280" s="16"/>
      <c r="Q2280" s="16"/>
      <c r="R2280" s="16"/>
    </row>
    <row r="2281" spans="1:18" ht="18">
      <c r="A2281" s="61"/>
      <c r="B2281" s="15"/>
      <c r="C2281" s="31"/>
      <c r="D2281" s="90"/>
      <c r="E2281" s="16"/>
      <c r="F2281" s="33"/>
      <c r="G2281" s="16"/>
      <c r="H2281" s="16"/>
      <c r="I2281" s="16"/>
      <c r="J2281" s="16"/>
      <c r="K2281" s="16"/>
      <c r="L2281" s="16"/>
      <c r="M2281" s="16"/>
      <c r="N2281" s="16"/>
      <c r="O2281" s="16"/>
      <c r="P2281" s="16"/>
      <c r="Q2281" s="16"/>
      <c r="R2281" s="16"/>
    </row>
    <row r="2282" spans="1:18" ht="18">
      <c r="A2282" s="61"/>
      <c r="B2282" s="15"/>
      <c r="C2282" s="31"/>
      <c r="D2282" s="90"/>
      <c r="E2282" s="16"/>
      <c r="F2282" s="33"/>
      <c r="G2282" s="16"/>
      <c r="H2282" s="16"/>
      <c r="I2282" s="16"/>
      <c r="J2282" s="16"/>
      <c r="K2282" s="16"/>
      <c r="L2282" s="16"/>
      <c r="M2282" s="16"/>
      <c r="N2282" s="16"/>
      <c r="O2282" s="16"/>
      <c r="P2282" s="16"/>
      <c r="Q2282" s="16"/>
      <c r="R2282" s="16"/>
    </row>
    <row r="2283" spans="1:18" ht="18">
      <c r="A2283" s="61"/>
      <c r="B2283" s="15"/>
      <c r="C2283" s="31"/>
      <c r="D2283" s="90"/>
      <c r="E2283" s="16"/>
      <c r="F2283" s="33"/>
      <c r="G2283" s="16"/>
      <c r="H2283" s="16"/>
      <c r="I2283" s="16"/>
      <c r="J2283" s="16"/>
      <c r="K2283" s="16"/>
      <c r="L2283" s="16"/>
      <c r="M2283" s="16"/>
      <c r="N2283" s="16"/>
      <c r="O2283" s="16"/>
      <c r="P2283" s="16"/>
      <c r="Q2283" s="16"/>
      <c r="R2283" s="16"/>
    </row>
    <row r="2284" spans="1:18" ht="18">
      <c r="A2284" s="61"/>
      <c r="B2284" s="15"/>
      <c r="C2284" s="31"/>
      <c r="D2284" s="90"/>
      <c r="E2284" s="16"/>
      <c r="F2284" s="33"/>
      <c r="G2284" s="16"/>
      <c r="H2284" s="16"/>
      <c r="I2284" s="16"/>
      <c r="J2284" s="16"/>
      <c r="K2284" s="16"/>
      <c r="L2284" s="16"/>
      <c r="M2284" s="16"/>
      <c r="N2284" s="16"/>
      <c r="O2284" s="16"/>
      <c r="P2284" s="16"/>
      <c r="Q2284" s="16"/>
      <c r="R2284" s="16"/>
    </row>
    <row r="2285" spans="1:18" ht="18">
      <c r="A2285" s="61"/>
      <c r="B2285" s="15"/>
      <c r="C2285" s="31"/>
      <c r="D2285" s="90"/>
      <c r="E2285" s="16"/>
      <c r="F2285" s="33"/>
      <c r="G2285" s="16"/>
      <c r="H2285" s="16"/>
      <c r="I2285" s="16"/>
      <c r="J2285" s="16"/>
      <c r="K2285" s="16"/>
      <c r="L2285" s="16"/>
      <c r="M2285" s="16"/>
      <c r="N2285" s="16"/>
      <c r="O2285" s="16"/>
      <c r="P2285" s="16"/>
      <c r="Q2285" s="16"/>
      <c r="R2285" s="16"/>
    </row>
    <row r="2286" spans="1:18" ht="18">
      <c r="A2286" s="61"/>
      <c r="B2286" s="15"/>
      <c r="C2286" s="31"/>
      <c r="D2286" s="90"/>
      <c r="E2286" s="16"/>
      <c r="F2286" s="33"/>
      <c r="G2286" s="16"/>
      <c r="H2286" s="16"/>
      <c r="I2286" s="16"/>
      <c r="J2286" s="16"/>
      <c r="K2286" s="16"/>
      <c r="L2286" s="16"/>
      <c r="M2286" s="16"/>
      <c r="N2286" s="16"/>
      <c r="O2286" s="16"/>
      <c r="P2286" s="16"/>
      <c r="Q2286" s="16"/>
      <c r="R2286" s="16"/>
    </row>
    <row r="2287" spans="1:18" ht="18">
      <c r="A2287" s="61"/>
      <c r="B2287" s="15"/>
      <c r="C2287" s="31"/>
      <c r="D2287" s="90"/>
      <c r="E2287" s="16"/>
      <c r="F2287" s="33"/>
      <c r="G2287" s="16"/>
      <c r="H2287" s="16"/>
      <c r="I2287" s="16"/>
      <c r="J2287" s="16"/>
      <c r="K2287" s="16"/>
      <c r="L2287" s="16"/>
      <c r="M2287" s="16"/>
      <c r="N2287" s="16"/>
      <c r="O2287" s="16"/>
      <c r="P2287" s="16"/>
      <c r="Q2287" s="16"/>
      <c r="R2287" s="16"/>
    </row>
    <row r="2288" spans="1:18" ht="18">
      <c r="A2288" s="61"/>
      <c r="B2288" s="15"/>
      <c r="C2288" s="31"/>
      <c r="D2288" s="90"/>
      <c r="E2288" s="16"/>
      <c r="F2288" s="33"/>
      <c r="G2288" s="16"/>
      <c r="H2288" s="16"/>
      <c r="I2288" s="16"/>
      <c r="J2288" s="16"/>
      <c r="K2288" s="16"/>
      <c r="L2288" s="16"/>
      <c r="M2288" s="16"/>
      <c r="N2288" s="16"/>
      <c r="O2288" s="16"/>
      <c r="P2288" s="16"/>
      <c r="Q2288" s="16"/>
      <c r="R2288" s="16"/>
    </row>
    <row r="2289" spans="1:18" ht="18">
      <c r="A2289" s="61"/>
      <c r="B2289" s="15"/>
      <c r="C2289" s="31"/>
      <c r="D2289" s="90"/>
      <c r="E2289" s="16"/>
      <c r="F2289" s="33"/>
      <c r="G2289" s="16"/>
      <c r="H2289" s="16"/>
      <c r="I2289" s="16"/>
      <c r="J2289" s="16"/>
      <c r="K2289" s="16"/>
      <c r="L2289" s="16"/>
      <c r="M2289" s="16"/>
      <c r="N2289" s="16"/>
      <c r="O2289" s="16"/>
      <c r="P2289" s="16"/>
      <c r="Q2289" s="16"/>
      <c r="R2289" s="16"/>
    </row>
    <row r="2290" spans="1:18" ht="18">
      <c r="A2290" s="61"/>
      <c r="B2290" s="15"/>
      <c r="C2290" s="31"/>
      <c r="D2290" s="90"/>
      <c r="E2290" s="16"/>
      <c r="F2290" s="33"/>
      <c r="G2290" s="16"/>
      <c r="H2290" s="16"/>
      <c r="I2290" s="16"/>
      <c r="J2290" s="16"/>
      <c r="K2290" s="16"/>
      <c r="L2290" s="16"/>
      <c r="M2290" s="16"/>
      <c r="N2290" s="16"/>
      <c r="O2290" s="16"/>
      <c r="P2290" s="16"/>
      <c r="Q2290" s="16"/>
      <c r="R2290" s="16"/>
    </row>
    <row r="2291" spans="1:18" ht="18">
      <c r="A2291" s="61"/>
      <c r="B2291" s="15"/>
      <c r="C2291" s="31"/>
      <c r="D2291" s="90"/>
      <c r="E2291" s="16"/>
      <c r="F2291" s="33"/>
      <c r="G2291" s="16"/>
      <c r="H2291" s="16"/>
      <c r="I2291" s="16"/>
      <c r="J2291" s="16"/>
      <c r="K2291" s="16"/>
      <c r="L2291" s="16"/>
      <c r="M2291" s="16"/>
      <c r="N2291" s="16"/>
      <c r="O2291" s="16"/>
      <c r="P2291" s="16"/>
      <c r="Q2291" s="16"/>
      <c r="R2291" s="16"/>
    </row>
    <row r="2292" spans="1:18" ht="18">
      <c r="A2292" s="61"/>
      <c r="B2292" s="15"/>
      <c r="C2292" s="31"/>
      <c r="D2292" s="90"/>
      <c r="E2292" s="16"/>
      <c r="F2292" s="33"/>
      <c r="G2292" s="16"/>
      <c r="H2292" s="16"/>
      <c r="I2292" s="16"/>
      <c r="J2292" s="16"/>
      <c r="K2292" s="16"/>
      <c r="L2292" s="16"/>
      <c r="M2292" s="16"/>
      <c r="N2292" s="16"/>
      <c r="O2292" s="16"/>
      <c r="P2292" s="16"/>
      <c r="Q2292" s="16"/>
      <c r="R2292" s="16"/>
    </row>
    <row r="2293" spans="1:18" ht="18">
      <c r="A2293" s="61"/>
      <c r="B2293" s="15"/>
      <c r="C2293" s="31"/>
      <c r="D2293" s="90"/>
      <c r="E2293" s="16"/>
      <c r="F2293" s="33"/>
      <c r="G2293" s="16"/>
      <c r="H2293" s="16"/>
      <c r="I2293" s="16"/>
      <c r="J2293" s="16"/>
      <c r="K2293" s="16"/>
      <c r="L2293" s="16"/>
      <c r="M2293" s="16"/>
      <c r="N2293" s="16"/>
      <c r="O2293" s="16"/>
      <c r="P2293" s="16"/>
      <c r="Q2293" s="16"/>
      <c r="R2293" s="16"/>
    </row>
    <row r="2294" spans="1:18" ht="18">
      <c r="A2294" s="61"/>
      <c r="B2294" s="15"/>
      <c r="C2294" s="31"/>
      <c r="D2294" s="90"/>
      <c r="E2294" s="16"/>
      <c r="F2294" s="33"/>
      <c r="G2294" s="16"/>
      <c r="H2294" s="16"/>
      <c r="I2294" s="16"/>
      <c r="J2294" s="16"/>
      <c r="K2294" s="16"/>
      <c r="L2294" s="16"/>
      <c r="M2294" s="16"/>
      <c r="N2294" s="16"/>
      <c r="O2294" s="16"/>
      <c r="P2294" s="16"/>
      <c r="Q2294" s="16"/>
      <c r="R2294" s="16"/>
    </row>
    <row r="2295" spans="1:18" ht="18">
      <c r="A2295" s="61"/>
      <c r="B2295" s="15"/>
      <c r="C2295" s="31"/>
      <c r="D2295" s="90"/>
      <c r="E2295" s="16"/>
      <c r="F2295" s="33"/>
      <c r="G2295" s="16"/>
      <c r="H2295" s="16"/>
      <c r="I2295" s="16"/>
      <c r="J2295" s="16"/>
      <c r="K2295" s="16"/>
      <c r="L2295" s="16"/>
      <c r="M2295" s="16"/>
      <c r="N2295" s="16"/>
      <c r="O2295" s="16"/>
      <c r="P2295" s="16"/>
      <c r="Q2295" s="16"/>
      <c r="R2295" s="16"/>
    </row>
    <row r="2296" spans="1:18" ht="18">
      <c r="A2296" s="61"/>
      <c r="B2296" s="15"/>
      <c r="C2296" s="31"/>
      <c r="D2296" s="90"/>
      <c r="E2296" s="16"/>
      <c r="F2296" s="33"/>
      <c r="G2296" s="16"/>
      <c r="H2296" s="16"/>
      <c r="I2296" s="16"/>
      <c r="J2296" s="16"/>
      <c r="K2296" s="16"/>
      <c r="L2296" s="16"/>
      <c r="M2296" s="16"/>
      <c r="N2296" s="16"/>
      <c r="O2296" s="16"/>
      <c r="P2296" s="16"/>
      <c r="Q2296" s="16"/>
      <c r="R2296" s="16"/>
    </row>
    <row r="2297" spans="1:18" ht="18">
      <c r="A2297" s="61"/>
      <c r="B2297" s="15"/>
      <c r="C2297" s="31"/>
      <c r="D2297" s="90"/>
      <c r="E2297" s="16"/>
      <c r="F2297" s="33"/>
      <c r="G2297" s="16"/>
      <c r="H2297" s="16"/>
      <c r="I2297" s="16"/>
      <c r="J2297" s="16"/>
      <c r="K2297" s="16"/>
      <c r="L2297" s="16"/>
      <c r="M2297" s="16"/>
      <c r="N2297" s="16"/>
      <c r="O2297" s="16"/>
      <c r="P2297" s="16"/>
      <c r="Q2297" s="16"/>
      <c r="R2297" s="16"/>
    </row>
    <row r="2298" spans="1:18" ht="18">
      <c r="A2298" s="61"/>
      <c r="B2298" s="15"/>
      <c r="C2298" s="31"/>
      <c r="D2298" s="90"/>
      <c r="E2298" s="16"/>
      <c r="F2298" s="33"/>
      <c r="G2298" s="16"/>
      <c r="H2298" s="16"/>
      <c r="I2298" s="16"/>
      <c r="J2298" s="16"/>
      <c r="K2298" s="16"/>
      <c r="L2298" s="16"/>
      <c r="M2298" s="16"/>
      <c r="N2298" s="16"/>
      <c r="O2298" s="16"/>
      <c r="P2298" s="16"/>
      <c r="Q2298" s="16"/>
      <c r="R2298" s="16"/>
    </row>
    <row r="2299" spans="1:18" ht="18">
      <c r="A2299" s="61"/>
      <c r="B2299" s="15"/>
      <c r="C2299" s="31"/>
      <c r="D2299" s="90"/>
      <c r="E2299" s="16"/>
      <c r="F2299" s="33"/>
      <c r="G2299" s="16"/>
      <c r="H2299" s="16"/>
      <c r="I2299" s="16"/>
      <c r="J2299" s="16"/>
      <c r="K2299" s="16"/>
      <c r="L2299" s="16"/>
      <c r="M2299" s="16"/>
      <c r="N2299" s="16"/>
      <c r="O2299" s="16"/>
      <c r="P2299" s="16"/>
      <c r="Q2299" s="16"/>
      <c r="R2299" s="16"/>
    </row>
    <row r="2300" spans="1:18" ht="18">
      <c r="A2300" s="61"/>
      <c r="B2300" s="15"/>
      <c r="C2300" s="31"/>
      <c r="D2300" s="90"/>
      <c r="E2300" s="16"/>
      <c r="F2300" s="33"/>
      <c r="G2300" s="16"/>
      <c r="H2300" s="16"/>
      <c r="I2300" s="16"/>
      <c r="J2300" s="16"/>
      <c r="K2300" s="16"/>
      <c r="L2300" s="16"/>
      <c r="M2300" s="16"/>
      <c r="N2300" s="16"/>
      <c r="O2300" s="16"/>
      <c r="P2300" s="16"/>
      <c r="Q2300" s="16"/>
      <c r="R2300" s="16"/>
    </row>
    <row r="2301" spans="1:18" ht="18">
      <c r="A2301" s="61"/>
      <c r="B2301" s="15"/>
      <c r="C2301" s="31"/>
      <c r="D2301" s="90"/>
      <c r="E2301" s="16"/>
      <c r="F2301" s="33"/>
      <c r="G2301" s="16"/>
      <c r="H2301" s="16"/>
      <c r="I2301" s="16"/>
      <c r="J2301" s="16"/>
      <c r="K2301" s="16"/>
      <c r="L2301" s="16"/>
      <c r="M2301" s="16"/>
      <c r="N2301" s="16"/>
      <c r="O2301" s="16"/>
      <c r="P2301" s="16"/>
      <c r="Q2301" s="16"/>
      <c r="R2301" s="16"/>
    </row>
    <row r="2302" spans="1:18" ht="18">
      <c r="A2302" s="61"/>
      <c r="B2302" s="15"/>
      <c r="C2302" s="31"/>
      <c r="D2302" s="90"/>
      <c r="E2302" s="16"/>
      <c r="F2302" s="33"/>
      <c r="G2302" s="16"/>
      <c r="H2302" s="16"/>
      <c r="I2302" s="16"/>
      <c r="J2302" s="16"/>
      <c r="K2302" s="16"/>
      <c r="L2302" s="16"/>
      <c r="M2302" s="16"/>
      <c r="N2302" s="16"/>
      <c r="O2302" s="16"/>
      <c r="P2302" s="16"/>
      <c r="Q2302" s="16"/>
      <c r="R2302" s="16"/>
    </row>
    <row r="2303" spans="1:18" ht="18">
      <c r="A2303" s="61"/>
      <c r="B2303" s="15"/>
      <c r="C2303" s="31"/>
      <c r="D2303" s="90"/>
      <c r="E2303" s="16"/>
      <c r="F2303" s="33"/>
      <c r="G2303" s="16"/>
      <c r="H2303" s="16"/>
      <c r="I2303" s="16"/>
      <c r="J2303" s="16"/>
      <c r="K2303" s="16"/>
      <c r="L2303" s="16"/>
      <c r="M2303" s="16"/>
      <c r="N2303" s="16"/>
      <c r="O2303" s="16"/>
      <c r="P2303" s="16"/>
      <c r="Q2303" s="16"/>
      <c r="R2303" s="16"/>
    </row>
    <row r="2304" spans="1:18" ht="18">
      <c r="A2304" s="61"/>
      <c r="B2304" s="15"/>
      <c r="C2304" s="31"/>
      <c r="D2304" s="90"/>
      <c r="E2304" s="16"/>
      <c r="F2304" s="33"/>
      <c r="G2304" s="16"/>
      <c r="H2304" s="16"/>
      <c r="I2304" s="16"/>
      <c r="J2304" s="16"/>
      <c r="K2304" s="16"/>
      <c r="L2304" s="16"/>
      <c r="M2304" s="16"/>
      <c r="N2304" s="16"/>
      <c r="O2304" s="16"/>
      <c r="P2304" s="16"/>
      <c r="Q2304" s="16"/>
      <c r="R2304" s="16"/>
    </row>
    <row r="2305" spans="1:18" ht="18">
      <c r="A2305" s="61"/>
      <c r="B2305" s="15"/>
      <c r="C2305" s="31"/>
      <c r="D2305" s="90"/>
      <c r="E2305" s="16"/>
      <c r="F2305" s="33"/>
      <c r="G2305" s="16"/>
      <c r="H2305" s="16"/>
      <c r="I2305" s="16"/>
      <c r="J2305" s="16"/>
      <c r="K2305" s="16"/>
      <c r="L2305" s="16"/>
      <c r="M2305" s="16"/>
      <c r="N2305" s="16"/>
      <c r="O2305" s="16"/>
      <c r="P2305" s="16"/>
      <c r="Q2305" s="16"/>
      <c r="R2305" s="16"/>
    </row>
    <row r="2306" spans="1:18" ht="18">
      <c r="A2306" s="61"/>
      <c r="B2306" s="15"/>
      <c r="C2306" s="31"/>
      <c r="D2306" s="90"/>
      <c r="E2306" s="16"/>
      <c r="F2306" s="33"/>
      <c r="G2306" s="16"/>
      <c r="H2306" s="16"/>
      <c r="I2306" s="16"/>
      <c r="J2306" s="16"/>
      <c r="K2306" s="16"/>
      <c r="L2306" s="16"/>
      <c r="M2306" s="16"/>
      <c r="N2306" s="16"/>
      <c r="O2306" s="16"/>
      <c r="P2306" s="16"/>
      <c r="Q2306" s="16"/>
      <c r="R2306" s="16"/>
    </row>
    <row r="2307" spans="1:18" ht="18">
      <c r="A2307" s="61"/>
      <c r="B2307" s="15"/>
      <c r="C2307" s="31"/>
      <c r="D2307" s="90"/>
      <c r="E2307" s="16"/>
      <c r="F2307" s="33"/>
      <c r="G2307" s="16"/>
      <c r="H2307" s="16"/>
      <c r="I2307" s="16"/>
      <c r="J2307" s="16"/>
      <c r="K2307" s="16"/>
      <c r="L2307" s="16"/>
      <c r="M2307" s="16"/>
      <c r="N2307" s="16"/>
      <c r="O2307" s="16"/>
      <c r="P2307" s="16"/>
      <c r="Q2307" s="16"/>
      <c r="R2307" s="16"/>
    </row>
    <row r="2308" spans="1:18" ht="18">
      <c r="A2308" s="61"/>
      <c r="B2308" s="15"/>
      <c r="C2308" s="31"/>
      <c r="D2308" s="90"/>
      <c r="E2308" s="16"/>
      <c r="F2308" s="33"/>
      <c r="G2308" s="16"/>
      <c r="H2308" s="16"/>
      <c r="I2308" s="16"/>
      <c r="J2308" s="16"/>
      <c r="K2308" s="16"/>
      <c r="L2308" s="16"/>
      <c r="M2308" s="16"/>
      <c r="N2308" s="16"/>
      <c r="O2308" s="16"/>
      <c r="P2308" s="16"/>
      <c r="Q2308" s="16"/>
      <c r="R2308" s="16"/>
    </row>
    <row r="2309" spans="1:18" ht="18">
      <c r="A2309" s="61"/>
      <c r="B2309" s="15"/>
      <c r="C2309" s="31"/>
      <c r="D2309" s="90"/>
      <c r="E2309" s="16"/>
      <c r="F2309" s="33"/>
      <c r="G2309" s="16"/>
      <c r="H2309" s="16"/>
      <c r="I2309" s="16"/>
      <c r="J2309" s="16"/>
      <c r="K2309" s="16"/>
      <c r="L2309" s="16"/>
      <c r="M2309" s="16"/>
      <c r="N2309" s="16"/>
      <c r="O2309" s="16"/>
      <c r="P2309" s="16"/>
      <c r="Q2309" s="16"/>
      <c r="R2309" s="16"/>
    </row>
    <row r="2310" spans="1:18" ht="18">
      <c r="A2310" s="61"/>
      <c r="B2310" s="15"/>
      <c r="C2310" s="31"/>
      <c r="D2310" s="90"/>
      <c r="E2310" s="16"/>
      <c r="F2310" s="33"/>
      <c r="G2310" s="16"/>
      <c r="H2310" s="16"/>
      <c r="I2310" s="16"/>
      <c r="J2310" s="16"/>
      <c r="K2310" s="16"/>
      <c r="L2310" s="16"/>
      <c r="M2310" s="16"/>
      <c r="N2310" s="16"/>
      <c r="O2310" s="16"/>
      <c r="P2310" s="16"/>
      <c r="Q2310" s="16"/>
      <c r="R2310" s="16"/>
    </row>
    <row r="2311" spans="1:18" ht="18">
      <c r="A2311" s="61"/>
      <c r="B2311" s="15"/>
      <c r="C2311" s="31"/>
      <c r="D2311" s="90"/>
      <c r="E2311" s="16"/>
      <c r="F2311" s="33"/>
      <c r="G2311" s="16"/>
      <c r="H2311" s="16"/>
      <c r="I2311" s="16"/>
      <c r="J2311" s="16"/>
      <c r="K2311" s="16"/>
      <c r="L2311" s="16"/>
      <c r="M2311" s="16"/>
      <c r="N2311" s="16"/>
      <c r="O2311" s="16"/>
      <c r="P2311" s="16"/>
      <c r="Q2311" s="16"/>
      <c r="R2311" s="16"/>
    </row>
    <row r="2312" spans="1:18" ht="18">
      <c r="A2312" s="61"/>
      <c r="B2312" s="15"/>
      <c r="C2312" s="31"/>
      <c r="D2312" s="90"/>
      <c r="E2312" s="16"/>
      <c r="F2312" s="33"/>
      <c r="G2312" s="16"/>
      <c r="H2312" s="16"/>
      <c r="I2312" s="16"/>
      <c r="J2312" s="16"/>
      <c r="K2312" s="16"/>
      <c r="L2312" s="16"/>
      <c r="M2312" s="16"/>
      <c r="N2312" s="16"/>
      <c r="O2312" s="16"/>
      <c r="P2312" s="16"/>
      <c r="Q2312" s="16"/>
      <c r="R2312" s="16"/>
    </row>
    <row r="2313" spans="1:18" ht="18">
      <c r="A2313" s="61"/>
      <c r="B2313" s="15"/>
      <c r="C2313" s="31"/>
      <c r="D2313" s="90"/>
      <c r="E2313" s="16"/>
      <c r="F2313" s="33"/>
      <c r="G2313" s="16"/>
      <c r="H2313" s="16"/>
      <c r="I2313" s="16"/>
      <c r="J2313" s="16"/>
      <c r="K2313" s="16"/>
      <c r="L2313" s="16"/>
      <c r="M2313" s="16"/>
      <c r="N2313" s="16"/>
      <c r="O2313" s="16"/>
      <c r="P2313" s="16"/>
      <c r="Q2313" s="16"/>
      <c r="R2313" s="16"/>
    </row>
    <row r="2314" spans="1:18" ht="18">
      <c r="A2314" s="61"/>
      <c r="B2314" s="15"/>
      <c r="C2314" s="31"/>
      <c r="D2314" s="90"/>
      <c r="E2314" s="16"/>
      <c r="F2314" s="33"/>
      <c r="G2314" s="16"/>
      <c r="H2314" s="16"/>
      <c r="I2314" s="16"/>
      <c r="J2314" s="16"/>
      <c r="K2314" s="16"/>
      <c r="L2314" s="16"/>
      <c r="M2314" s="16"/>
      <c r="N2314" s="16"/>
      <c r="O2314" s="16"/>
      <c r="P2314" s="16"/>
      <c r="Q2314" s="16"/>
      <c r="R2314" s="16"/>
    </row>
    <row r="2315" spans="1:18" ht="18">
      <c r="A2315" s="61"/>
      <c r="B2315" s="15"/>
      <c r="C2315" s="31"/>
      <c r="D2315" s="90"/>
      <c r="E2315" s="16"/>
      <c r="F2315" s="33"/>
      <c r="G2315" s="16"/>
      <c r="H2315" s="16"/>
      <c r="I2315" s="16"/>
      <c r="J2315" s="16"/>
      <c r="K2315" s="16"/>
      <c r="L2315" s="16"/>
      <c r="M2315" s="16"/>
      <c r="N2315" s="16"/>
      <c r="O2315" s="16"/>
      <c r="P2315" s="16"/>
      <c r="Q2315" s="16"/>
      <c r="R2315" s="16"/>
    </row>
    <row r="2316" spans="1:18" ht="18">
      <c r="A2316" s="61"/>
      <c r="B2316" s="15"/>
      <c r="C2316" s="31"/>
      <c r="D2316" s="90"/>
      <c r="E2316" s="16"/>
      <c r="F2316" s="33"/>
      <c r="G2316" s="16"/>
      <c r="H2316" s="16"/>
      <c r="I2316" s="16"/>
      <c r="J2316" s="16"/>
      <c r="K2316" s="16"/>
      <c r="L2316" s="16"/>
      <c r="M2316" s="16"/>
      <c r="N2316" s="16"/>
      <c r="O2316" s="16"/>
      <c r="P2316" s="16"/>
      <c r="Q2316" s="16"/>
      <c r="R2316" s="16"/>
    </row>
    <row r="2317" spans="1:18" ht="18">
      <c r="A2317" s="61"/>
      <c r="B2317" s="15"/>
      <c r="C2317" s="31"/>
      <c r="D2317" s="90"/>
      <c r="E2317" s="16"/>
      <c r="F2317" s="33"/>
      <c r="G2317" s="16"/>
      <c r="H2317" s="16"/>
      <c r="I2317" s="16"/>
      <c r="J2317" s="16"/>
      <c r="K2317" s="16"/>
      <c r="L2317" s="16"/>
      <c r="M2317" s="16"/>
      <c r="N2317" s="16"/>
      <c r="O2317" s="16"/>
      <c r="P2317" s="16"/>
      <c r="Q2317" s="16"/>
      <c r="R2317" s="16"/>
    </row>
    <row r="2318" spans="1:18" ht="18">
      <c r="A2318" s="61"/>
      <c r="B2318" s="15"/>
      <c r="C2318" s="31"/>
      <c r="D2318" s="90"/>
      <c r="E2318" s="16"/>
      <c r="F2318" s="33"/>
      <c r="G2318" s="16"/>
      <c r="H2318" s="16"/>
      <c r="I2318" s="16"/>
      <c r="J2318" s="16"/>
      <c r="K2318" s="16"/>
      <c r="L2318" s="16"/>
      <c r="M2318" s="16"/>
      <c r="N2318" s="16"/>
      <c r="O2318" s="16"/>
      <c r="P2318" s="16"/>
      <c r="Q2318" s="16"/>
      <c r="R2318" s="16"/>
    </row>
    <row r="2319" spans="1:18" ht="18">
      <c r="A2319" s="61"/>
      <c r="B2319" s="15"/>
      <c r="C2319" s="31"/>
      <c r="D2319" s="90"/>
      <c r="E2319" s="16"/>
      <c r="F2319" s="33"/>
      <c r="G2319" s="16"/>
      <c r="H2319" s="16"/>
      <c r="I2319" s="16"/>
      <c r="J2319" s="16"/>
      <c r="K2319" s="16"/>
      <c r="L2319" s="16"/>
      <c r="M2319" s="16"/>
      <c r="N2319" s="16"/>
      <c r="O2319" s="16"/>
      <c r="P2319" s="16"/>
      <c r="Q2319" s="16"/>
      <c r="R2319" s="16"/>
    </row>
    <row r="2320" spans="1:18" ht="18">
      <c r="A2320" s="61"/>
      <c r="B2320" s="15"/>
      <c r="C2320" s="31"/>
      <c r="D2320" s="90"/>
      <c r="E2320" s="16"/>
      <c r="F2320" s="33"/>
      <c r="G2320" s="16"/>
      <c r="H2320" s="16"/>
      <c r="I2320" s="16"/>
      <c r="J2320" s="16"/>
      <c r="K2320" s="16"/>
      <c r="L2320" s="16"/>
      <c r="M2320" s="16"/>
      <c r="N2320" s="16"/>
      <c r="O2320" s="16"/>
      <c r="P2320" s="16"/>
      <c r="Q2320" s="16"/>
      <c r="R2320" s="16"/>
    </row>
    <row r="2321" spans="1:18" ht="18">
      <c r="A2321" s="61"/>
      <c r="B2321" s="15"/>
      <c r="C2321" s="31"/>
      <c r="D2321" s="90"/>
      <c r="E2321" s="16"/>
      <c r="F2321" s="33"/>
      <c r="G2321" s="16"/>
      <c r="H2321" s="16"/>
      <c r="I2321" s="16"/>
      <c r="J2321" s="16"/>
      <c r="K2321" s="16"/>
      <c r="L2321" s="16"/>
      <c r="M2321" s="16"/>
      <c r="N2321" s="16"/>
      <c r="O2321" s="16"/>
      <c r="P2321" s="16"/>
      <c r="Q2321" s="16"/>
      <c r="R2321" s="16"/>
    </row>
    <row r="2322" spans="1:18" ht="18">
      <c r="A2322" s="61"/>
      <c r="B2322" s="15"/>
      <c r="C2322" s="31"/>
      <c r="D2322" s="90"/>
      <c r="E2322" s="16"/>
      <c r="F2322" s="33"/>
      <c r="G2322" s="16"/>
      <c r="H2322" s="16"/>
      <c r="I2322" s="16"/>
      <c r="J2322" s="16"/>
      <c r="K2322" s="16"/>
      <c r="L2322" s="16"/>
      <c r="M2322" s="16"/>
      <c r="N2322" s="16"/>
      <c r="O2322" s="16"/>
      <c r="P2322" s="16"/>
      <c r="Q2322" s="16"/>
      <c r="R2322" s="16"/>
    </row>
    <row r="2323" spans="1:18" ht="18">
      <c r="A2323" s="61"/>
      <c r="B2323" s="15"/>
      <c r="C2323" s="31"/>
      <c r="D2323" s="90"/>
      <c r="E2323" s="16"/>
      <c r="F2323" s="33"/>
      <c r="G2323" s="16"/>
      <c r="H2323" s="16"/>
      <c r="I2323" s="16"/>
      <c r="J2323" s="16"/>
      <c r="K2323" s="16"/>
      <c r="L2323" s="16"/>
      <c r="M2323" s="16"/>
      <c r="N2323" s="16"/>
      <c r="O2323" s="16"/>
      <c r="P2323" s="16"/>
      <c r="Q2323" s="16"/>
      <c r="R2323" s="16"/>
    </row>
    <row r="2324" spans="1:18" ht="18">
      <c r="A2324" s="61"/>
      <c r="B2324" s="15"/>
      <c r="C2324" s="31"/>
      <c r="D2324" s="90"/>
      <c r="E2324" s="16"/>
      <c r="F2324" s="33"/>
      <c r="G2324" s="16"/>
      <c r="H2324" s="16"/>
      <c r="I2324" s="16"/>
      <c r="J2324" s="16"/>
      <c r="K2324" s="16"/>
      <c r="L2324" s="16"/>
      <c r="M2324" s="16"/>
      <c r="N2324" s="16"/>
      <c r="O2324" s="16"/>
      <c r="P2324" s="16"/>
      <c r="Q2324" s="16"/>
      <c r="R2324" s="16"/>
    </row>
    <row r="2325" spans="1:18" ht="18">
      <c r="A2325" s="61"/>
      <c r="B2325" s="15"/>
      <c r="C2325" s="31"/>
      <c r="D2325" s="90"/>
      <c r="E2325" s="16"/>
      <c r="F2325" s="33"/>
      <c r="G2325" s="16"/>
      <c r="H2325" s="16"/>
      <c r="I2325" s="16"/>
      <c r="J2325" s="16"/>
      <c r="K2325" s="16"/>
      <c r="L2325" s="16"/>
      <c r="M2325" s="16"/>
      <c r="N2325" s="16"/>
      <c r="O2325" s="16"/>
      <c r="P2325" s="16"/>
      <c r="Q2325" s="16"/>
      <c r="R2325" s="16"/>
    </row>
    <row r="2326" spans="1:18" ht="18">
      <c r="A2326" s="61"/>
      <c r="B2326" s="15"/>
      <c r="C2326" s="31"/>
      <c r="D2326" s="90"/>
      <c r="E2326" s="16"/>
      <c r="F2326" s="33"/>
      <c r="G2326" s="16"/>
      <c r="H2326" s="16"/>
      <c r="I2326" s="16"/>
      <c r="J2326" s="16"/>
      <c r="K2326" s="16"/>
      <c r="L2326" s="16"/>
      <c r="M2326" s="16"/>
      <c r="N2326" s="16"/>
      <c r="O2326" s="16"/>
      <c r="P2326" s="16"/>
      <c r="Q2326" s="16"/>
      <c r="R2326" s="16"/>
    </row>
    <row r="2327" spans="1:18" ht="18">
      <c r="A2327" s="61"/>
      <c r="B2327" s="15"/>
      <c r="C2327" s="31"/>
      <c r="D2327" s="90"/>
      <c r="E2327" s="16"/>
      <c r="F2327" s="33"/>
      <c r="G2327" s="16"/>
      <c r="H2327" s="16"/>
      <c r="I2327" s="16"/>
      <c r="J2327" s="16"/>
      <c r="K2327" s="16"/>
      <c r="L2327" s="16"/>
      <c r="M2327" s="16"/>
      <c r="N2327" s="16"/>
      <c r="O2327" s="16"/>
      <c r="P2327" s="16"/>
      <c r="Q2327" s="16"/>
      <c r="R2327" s="16"/>
    </row>
    <row r="2328" spans="1:18" ht="18">
      <c r="A2328" s="61"/>
      <c r="B2328" s="15"/>
      <c r="C2328" s="31"/>
      <c r="D2328" s="90"/>
      <c r="E2328" s="16"/>
      <c r="F2328" s="33"/>
      <c r="G2328" s="16"/>
      <c r="H2328" s="16"/>
      <c r="I2328" s="16"/>
      <c r="J2328" s="16"/>
      <c r="K2328" s="16"/>
      <c r="L2328" s="16"/>
      <c r="M2328" s="16"/>
      <c r="N2328" s="16"/>
      <c r="O2328" s="16"/>
      <c r="P2328" s="16"/>
      <c r="Q2328" s="16"/>
      <c r="R2328" s="16"/>
    </row>
    <row r="2329" spans="1:18" ht="18">
      <c r="A2329" s="61"/>
      <c r="B2329" s="15"/>
      <c r="C2329" s="31"/>
      <c r="D2329" s="90"/>
      <c r="E2329" s="16"/>
      <c r="F2329" s="33"/>
      <c r="G2329" s="16"/>
      <c r="H2329" s="16"/>
      <c r="I2329" s="16"/>
      <c r="J2329" s="16"/>
      <c r="K2329" s="16"/>
      <c r="L2329" s="16"/>
      <c r="M2329" s="16"/>
      <c r="N2329" s="16"/>
      <c r="O2329" s="16"/>
      <c r="P2329" s="16"/>
      <c r="Q2329" s="16"/>
      <c r="R2329" s="16"/>
    </row>
    <row r="2330" spans="1:18" ht="18">
      <c r="A2330" s="61"/>
      <c r="B2330" s="15"/>
      <c r="C2330" s="31"/>
      <c r="D2330" s="90"/>
      <c r="E2330" s="16"/>
      <c r="F2330" s="33"/>
      <c r="G2330" s="16"/>
      <c r="H2330" s="16"/>
      <c r="I2330" s="16"/>
      <c r="J2330" s="16"/>
      <c r="K2330" s="16"/>
      <c r="L2330" s="16"/>
      <c r="M2330" s="16"/>
      <c r="N2330" s="16"/>
      <c r="O2330" s="16"/>
      <c r="P2330" s="16"/>
      <c r="Q2330" s="16"/>
      <c r="R2330" s="16"/>
    </row>
    <row r="2331" spans="1:18" ht="18">
      <c r="A2331" s="61"/>
      <c r="B2331" s="15"/>
      <c r="C2331" s="31"/>
      <c r="D2331" s="90"/>
      <c r="E2331" s="16"/>
      <c r="F2331" s="33"/>
      <c r="G2331" s="16"/>
      <c r="H2331" s="16"/>
      <c r="I2331" s="16"/>
      <c r="J2331" s="16"/>
      <c r="K2331" s="16"/>
      <c r="L2331" s="16"/>
      <c r="M2331" s="16"/>
      <c r="N2331" s="16"/>
      <c r="O2331" s="16"/>
      <c r="P2331" s="16"/>
      <c r="Q2331" s="16"/>
      <c r="R2331" s="16"/>
    </row>
    <row r="2332" spans="1:18" ht="18">
      <c r="A2332" s="61"/>
      <c r="B2332" s="15"/>
      <c r="C2332" s="31"/>
      <c r="D2332" s="90"/>
      <c r="E2332" s="16"/>
      <c r="F2332" s="33"/>
      <c r="G2332" s="16"/>
      <c r="H2332" s="16"/>
      <c r="I2332" s="16"/>
      <c r="J2332" s="16"/>
      <c r="K2332" s="16"/>
      <c r="L2332" s="16"/>
      <c r="M2332" s="16"/>
      <c r="N2332" s="16"/>
      <c r="O2332" s="16"/>
      <c r="P2332" s="16"/>
      <c r="Q2332" s="16"/>
      <c r="R2332" s="16"/>
    </row>
    <row r="2333" spans="1:18" ht="18">
      <c r="A2333" s="61"/>
      <c r="B2333" s="15"/>
      <c r="C2333" s="31"/>
      <c r="D2333" s="90"/>
      <c r="E2333" s="16"/>
      <c r="F2333" s="33"/>
      <c r="G2333" s="16"/>
      <c r="H2333" s="16"/>
      <c r="I2333" s="16"/>
      <c r="J2333" s="16"/>
      <c r="K2333" s="16"/>
      <c r="L2333" s="16"/>
      <c r="M2333" s="16"/>
      <c r="N2333" s="16"/>
      <c r="O2333" s="16"/>
      <c r="P2333" s="16"/>
      <c r="Q2333" s="16"/>
      <c r="R2333" s="16"/>
    </row>
    <row r="2334" spans="1:18" ht="18">
      <c r="A2334" s="61"/>
      <c r="B2334" s="15"/>
      <c r="C2334" s="31"/>
      <c r="D2334" s="90"/>
      <c r="E2334" s="16"/>
      <c r="F2334" s="33"/>
      <c r="G2334" s="16"/>
      <c r="H2334" s="16"/>
      <c r="I2334" s="16"/>
      <c r="J2334" s="16"/>
      <c r="K2334" s="16"/>
      <c r="L2334" s="16"/>
      <c r="M2334" s="16"/>
      <c r="N2334" s="16"/>
      <c r="O2334" s="16"/>
      <c r="P2334" s="16"/>
      <c r="Q2334" s="16"/>
      <c r="R2334" s="16"/>
    </row>
    <row r="2335" spans="1:18" ht="18">
      <c r="A2335" s="61"/>
      <c r="B2335" s="15"/>
      <c r="C2335" s="31"/>
      <c r="D2335" s="90"/>
      <c r="E2335" s="16"/>
      <c r="F2335" s="33"/>
      <c r="G2335" s="16"/>
      <c r="H2335" s="16"/>
      <c r="I2335" s="16"/>
      <c r="J2335" s="16"/>
      <c r="K2335" s="16"/>
      <c r="L2335" s="16"/>
      <c r="M2335" s="16"/>
      <c r="N2335" s="16"/>
      <c r="O2335" s="16"/>
      <c r="P2335" s="16"/>
      <c r="Q2335" s="16"/>
      <c r="R2335" s="16"/>
    </row>
    <row r="2336" spans="1:18" ht="18">
      <c r="A2336" s="61"/>
      <c r="B2336" s="15"/>
      <c r="C2336" s="31"/>
      <c r="D2336" s="90"/>
      <c r="E2336" s="16"/>
      <c r="F2336" s="33"/>
      <c r="G2336" s="16"/>
      <c r="H2336" s="16"/>
      <c r="I2336" s="16"/>
      <c r="J2336" s="16"/>
      <c r="K2336" s="16"/>
      <c r="L2336" s="16"/>
      <c r="M2336" s="16"/>
      <c r="N2336" s="16"/>
      <c r="O2336" s="16"/>
      <c r="P2336" s="16"/>
      <c r="Q2336" s="16"/>
      <c r="R2336" s="16"/>
    </row>
    <row r="2337" spans="1:18" ht="18">
      <c r="A2337" s="61"/>
      <c r="B2337" s="15"/>
      <c r="C2337" s="31"/>
      <c r="D2337" s="90"/>
      <c r="E2337" s="16"/>
      <c r="F2337" s="33"/>
      <c r="G2337" s="16"/>
      <c r="H2337" s="16"/>
      <c r="I2337" s="16"/>
      <c r="J2337" s="16"/>
      <c r="K2337" s="16"/>
      <c r="L2337" s="16"/>
      <c r="M2337" s="16"/>
      <c r="N2337" s="16"/>
      <c r="O2337" s="16"/>
      <c r="P2337" s="16"/>
      <c r="Q2337" s="16"/>
      <c r="R2337" s="16"/>
    </row>
    <row r="2338" spans="1:18" ht="18">
      <c r="A2338" s="61"/>
      <c r="B2338" s="15"/>
      <c r="C2338" s="31"/>
      <c r="D2338" s="90"/>
      <c r="E2338" s="16"/>
      <c r="F2338" s="33"/>
      <c r="G2338" s="16"/>
      <c r="H2338" s="16"/>
      <c r="I2338" s="16"/>
      <c r="J2338" s="16"/>
      <c r="K2338" s="16"/>
      <c r="L2338" s="16"/>
      <c r="M2338" s="16"/>
      <c r="N2338" s="16"/>
      <c r="O2338" s="16"/>
      <c r="P2338" s="16"/>
      <c r="Q2338" s="16"/>
      <c r="R2338" s="16"/>
    </row>
    <row r="2339" spans="1:18" ht="18">
      <c r="A2339" s="61"/>
      <c r="B2339" s="15"/>
      <c r="C2339" s="31"/>
      <c r="D2339" s="90"/>
      <c r="E2339" s="16"/>
      <c r="F2339" s="33"/>
      <c r="G2339" s="16"/>
      <c r="H2339" s="16"/>
      <c r="I2339" s="16"/>
      <c r="J2339" s="16"/>
      <c r="K2339" s="16"/>
      <c r="L2339" s="16"/>
      <c r="M2339" s="16"/>
      <c r="N2339" s="16"/>
      <c r="O2339" s="16"/>
      <c r="P2339" s="16"/>
      <c r="Q2339" s="16"/>
      <c r="R2339" s="16"/>
    </row>
    <row r="2340" spans="1:18" ht="18">
      <c r="A2340" s="61"/>
      <c r="B2340" s="15"/>
      <c r="C2340" s="31"/>
      <c r="D2340" s="90"/>
      <c r="E2340" s="16"/>
      <c r="F2340" s="33"/>
      <c r="G2340" s="16"/>
      <c r="H2340" s="16"/>
      <c r="I2340" s="16"/>
      <c r="J2340" s="16"/>
      <c r="K2340" s="16"/>
      <c r="L2340" s="16"/>
      <c r="M2340" s="16"/>
      <c r="N2340" s="16"/>
      <c r="O2340" s="16"/>
      <c r="P2340" s="16"/>
      <c r="Q2340" s="16"/>
      <c r="R2340" s="16"/>
    </row>
    <row r="2341" spans="1:18" ht="18">
      <c r="A2341" s="61"/>
      <c r="B2341" s="15"/>
      <c r="C2341" s="31"/>
      <c r="D2341" s="90"/>
      <c r="E2341" s="16"/>
      <c r="F2341" s="33"/>
      <c r="G2341" s="16"/>
      <c r="H2341" s="16"/>
      <c r="I2341" s="16"/>
      <c r="J2341" s="16"/>
      <c r="K2341" s="16"/>
      <c r="L2341" s="16"/>
      <c r="M2341" s="16"/>
      <c r="N2341" s="16"/>
      <c r="O2341" s="16"/>
      <c r="P2341" s="16"/>
      <c r="Q2341" s="16"/>
      <c r="R2341" s="16"/>
    </row>
    <row r="2342" spans="1:18" ht="18">
      <c r="A2342" s="61"/>
      <c r="B2342" s="15"/>
      <c r="C2342" s="31"/>
      <c r="D2342" s="90"/>
      <c r="E2342" s="16"/>
      <c r="F2342" s="33"/>
      <c r="G2342" s="16"/>
      <c r="H2342" s="16"/>
      <c r="I2342" s="16"/>
      <c r="J2342" s="16"/>
      <c r="K2342" s="16"/>
      <c r="L2342" s="16"/>
      <c r="M2342" s="16"/>
      <c r="N2342" s="16"/>
      <c r="O2342" s="16"/>
      <c r="P2342" s="16"/>
      <c r="Q2342" s="16"/>
      <c r="R2342" s="16"/>
    </row>
    <row r="2343" spans="1:18" ht="18">
      <c r="A2343" s="61"/>
      <c r="B2343" s="15"/>
      <c r="C2343" s="31"/>
      <c r="D2343" s="90"/>
      <c r="E2343" s="16"/>
      <c r="F2343" s="33"/>
      <c r="G2343" s="16"/>
      <c r="H2343" s="16"/>
      <c r="I2343" s="16"/>
      <c r="J2343" s="16"/>
      <c r="K2343" s="16"/>
      <c r="L2343" s="16"/>
      <c r="M2343" s="16"/>
      <c r="N2343" s="16"/>
      <c r="O2343" s="16"/>
      <c r="P2343" s="16"/>
      <c r="Q2343" s="16"/>
      <c r="R2343" s="16"/>
    </row>
    <row r="2344" spans="1:18" ht="18">
      <c r="A2344" s="61"/>
      <c r="B2344" s="15"/>
      <c r="C2344" s="31"/>
      <c r="D2344" s="90"/>
      <c r="E2344" s="16"/>
      <c r="F2344" s="33"/>
      <c r="G2344" s="16"/>
      <c r="H2344" s="16"/>
      <c r="I2344" s="16"/>
      <c r="J2344" s="16"/>
      <c r="K2344" s="16"/>
      <c r="L2344" s="16"/>
      <c r="M2344" s="16"/>
      <c r="N2344" s="16"/>
      <c r="O2344" s="16"/>
      <c r="P2344" s="16"/>
      <c r="Q2344" s="16"/>
      <c r="R2344" s="16"/>
    </row>
    <row r="2345" spans="1:18" ht="18">
      <c r="A2345" s="61"/>
      <c r="B2345" s="15"/>
      <c r="C2345" s="31"/>
      <c r="D2345" s="90"/>
      <c r="E2345" s="16"/>
      <c r="F2345" s="33"/>
      <c r="G2345" s="16"/>
      <c r="H2345" s="16"/>
      <c r="I2345" s="16"/>
      <c r="J2345" s="16"/>
      <c r="K2345" s="16"/>
      <c r="L2345" s="16"/>
      <c r="M2345" s="16"/>
      <c r="N2345" s="16"/>
      <c r="O2345" s="16"/>
      <c r="P2345" s="16"/>
      <c r="Q2345" s="16"/>
      <c r="R2345" s="16"/>
    </row>
    <row r="2346" spans="1:18" ht="18">
      <c r="A2346" s="61"/>
      <c r="B2346" s="15"/>
      <c r="C2346" s="31"/>
      <c r="D2346" s="90"/>
      <c r="E2346" s="16"/>
      <c r="F2346" s="33"/>
      <c r="G2346" s="16"/>
      <c r="H2346" s="16"/>
      <c r="I2346" s="16"/>
      <c r="J2346" s="16"/>
      <c r="K2346" s="16"/>
      <c r="L2346" s="16"/>
      <c r="M2346" s="16"/>
      <c r="N2346" s="16"/>
      <c r="O2346" s="16"/>
      <c r="P2346" s="16"/>
      <c r="Q2346" s="16"/>
      <c r="R2346" s="16"/>
    </row>
    <row r="2347" spans="1:18" ht="18">
      <c r="A2347" s="61"/>
      <c r="B2347" s="15"/>
      <c r="C2347" s="31"/>
      <c r="D2347" s="90"/>
      <c r="E2347" s="16"/>
      <c r="F2347" s="33"/>
      <c r="G2347" s="16"/>
      <c r="H2347" s="16"/>
      <c r="I2347" s="16"/>
      <c r="J2347" s="16"/>
      <c r="K2347" s="16"/>
      <c r="L2347" s="16"/>
      <c r="M2347" s="16"/>
      <c r="N2347" s="16"/>
      <c r="O2347" s="16"/>
      <c r="P2347" s="16"/>
      <c r="Q2347" s="16"/>
      <c r="R2347" s="16"/>
    </row>
    <row r="2348" spans="1:18" ht="18">
      <c r="A2348" s="61"/>
      <c r="B2348" s="15"/>
      <c r="C2348" s="31"/>
      <c r="D2348" s="90"/>
      <c r="E2348" s="16"/>
      <c r="F2348" s="33"/>
      <c r="G2348" s="16"/>
      <c r="H2348" s="16"/>
      <c r="I2348" s="16"/>
      <c r="J2348" s="16"/>
      <c r="K2348" s="16"/>
      <c r="L2348" s="16"/>
      <c r="M2348" s="16"/>
      <c r="N2348" s="16"/>
      <c r="O2348" s="16"/>
      <c r="P2348" s="16"/>
      <c r="Q2348" s="16"/>
      <c r="R2348" s="16"/>
    </row>
    <row r="2349" spans="1:18" ht="18">
      <c r="A2349" s="61"/>
      <c r="B2349" s="15"/>
      <c r="C2349" s="31"/>
      <c r="D2349" s="90"/>
      <c r="E2349" s="16"/>
      <c r="F2349" s="33"/>
      <c r="G2349" s="16"/>
      <c r="H2349" s="16"/>
      <c r="I2349" s="16"/>
      <c r="J2349" s="16"/>
      <c r="K2349" s="16"/>
      <c r="L2349" s="16"/>
      <c r="M2349" s="16"/>
      <c r="N2349" s="16"/>
      <c r="O2349" s="16"/>
      <c r="P2349" s="16"/>
      <c r="Q2349" s="16"/>
      <c r="R2349" s="16"/>
    </row>
    <row r="2350" spans="1:18" ht="18">
      <c r="A2350" s="61"/>
      <c r="B2350" s="15"/>
      <c r="C2350" s="31"/>
      <c r="D2350" s="90"/>
      <c r="E2350" s="16"/>
      <c r="F2350" s="33"/>
      <c r="G2350" s="16"/>
      <c r="H2350" s="16"/>
      <c r="I2350" s="16"/>
      <c r="J2350" s="16"/>
      <c r="K2350" s="16"/>
      <c r="L2350" s="16"/>
      <c r="M2350" s="16"/>
      <c r="N2350" s="16"/>
      <c r="O2350" s="16"/>
      <c r="P2350" s="16"/>
      <c r="Q2350" s="16"/>
      <c r="R2350" s="16"/>
    </row>
    <row r="2351" spans="1:18" ht="18">
      <c r="A2351" s="61"/>
      <c r="B2351" s="15"/>
      <c r="C2351" s="31"/>
      <c r="D2351" s="90"/>
      <c r="E2351" s="16"/>
      <c r="F2351" s="33"/>
      <c r="G2351" s="16"/>
      <c r="H2351" s="16"/>
      <c r="I2351" s="16"/>
      <c r="J2351" s="16"/>
      <c r="K2351" s="16"/>
      <c r="L2351" s="16"/>
      <c r="M2351" s="16"/>
      <c r="N2351" s="16"/>
      <c r="O2351" s="16"/>
      <c r="P2351" s="16"/>
      <c r="Q2351" s="16"/>
      <c r="R2351" s="16"/>
    </row>
    <row r="2352" spans="1:18" ht="18">
      <c r="A2352" s="61"/>
      <c r="B2352" s="15"/>
      <c r="C2352" s="31"/>
      <c r="D2352" s="90"/>
      <c r="E2352" s="16"/>
      <c r="F2352" s="33"/>
      <c r="G2352" s="16"/>
      <c r="H2352" s="16"/>
      <c r="I2352" s="16"/>
      <c r="J2352" s="16"/>
      <c r="K2352" s="16"/>
      <c r="L2352" s="16"/>
      <c r="M2352" s="16"/>
      <c r="N2352" s="16"/>
      <c r="O2352" s="16"/>
      <c r="P2352" s="16"/>
      <c r="Q2352" s="16"/>
      <c r="R2352" s="16"/>
    </row>
    <row r="2353" spans="1:18" ht="18">
      <c r="A2353" s="61"/>
      <c r="B2353" s="15"/>
      <c r="C2353" s="31"/>
      <c r="D2353" s="90"/>
      <c r="E2353" s="16"/>
      <c r="F2353" s="33"/>
      <c r="G2353" s="16"/>
      <c r="H2353" s="16"/>
      <c r="I2353" s="16"/>
      <c r="J2353" s="16"/>
      <c r="K2353" s="16"/>
      <c r="L2353" s="16"/>
      <c r="M2353" s="16"/>
      <c r="N2353" s="16"/>
      <c r="O2353" s="16"/>
      <c r="P2353" s="16"/>
      <c r="Q2353" s="16"/>
      <c r="R2353" s="16"/>
    </row>
    <row r="2354" spans="1:18" ht="18">
      <c r="A2354" s="61"/>
      <c r="B2354" s="15"/>
      <c r="C2354" s="31"/>
      <c r="D2354" s="90"/>
      <c r="E2354" s="16"/>
      <c r="F2354" s="33"/>
      <c r="G2354" s="16"/>
      <c r="H2354" s="16"/>
      <c r="I2354" s="16"/>
      <c r="J2354" s="16"/>
      <c r="K2354" s="16"/>
      <c r="L2354" s="16"/>
      <c r="M2354" s="16"/>
      <c r="N2354" s="16"/>
      <c r="O2354" s="16"/>
      <c r="P2354" s="16"/>
      <c r="Q2354" s="16"/>
      <c r="R2354" s="16"/>
    </row>
    <row r="2355" spans="1:18" ht="18">
      <c r="A2355" s="61"/>
      <c r="B2355" s="15"/>
      <c r="C2355" s="31"/>
      <c r="D2355" s="90"/>
      <c r="E2355" s="16"/>
      <c r="F2355" s="33"/>
      <c r="G2355" s="16"/>
      <c r="H2355" s="16"/>
      <c r="I2355" s="16"/>
      <c r="J2355" s="16"/>
      <c r="K2355" s="16"/>
      <c r="L2355" s="16"/>
      <c r="M2355" s="16"/>
      <c r="N2355" s="16"/>
      <c r="O2355" s="16"/>
      <c r="P2355" s="16"/>
      <c r="Q2355" s="16"/>
      <c r="R2355" s="16"/>
    </row>
    <row r="2356" spans="1:18" ht="18">
      <c r="A2356" s="61"/>
      <c r="B2356" s="15"/>
      <c r="C2356" s="31"/>
      <c r="D2356" s="90"/>
      <c r="E2356" s="16"/>
      <c r="F2356" s="33"/>
      <c r="G2356" s="16"/>
      <c r="H2356" s="16"/>
      <c r="I2356" s="16"/>
      <c r="J2356" s="16"/>
      <c r="K2356" s="16"/>
      <c r="L2356" s="16"/>
      <c r="M2356" s="16"/>
      <c r="N2356" s="16"/>
      <c r="O2356" s="16"/>
      <c r="P2356" s="16"/>
      <c r="Q2356" s="16"/>
      <c r="R2356" s="16"/>
    </row>
    <row r="2357" spans="1:18" ht="18">
      <c r="A2357" s="61"/>
      <c r="B2357" s="15"/>
      <c r="C2357" s="31"/>
      <c r="D2357" s="90"/>
      <c r="E2357" s="16"/>
      <c r="F2357" s="33"/>
      <c r="G2357" s="16"/>
      <c r="H2357" s="16"/>
      <c r="I2357" s="16"/>
      <c r="J2357" s="16"/>
      <c r="K2357" s="16"/>
      <c r="L2357" s="16"/>
      <c r="M2357" s="16"/>
      <c r="N2357" s="16"/>
      <c r="O2357" s="16"/>
      <c r="P2357" s="16"/>
      <c r="Q2357" s="16"/>
      <c r="R2357" s="16"/>
    </row>
    <row r="2358" spans="1:18" ht="18">
      <c r="A2358" s="61"/>
      <c r="B2358" s="15"/>
      <c r="C2358" s="31"/>
      <c r="D2358" s="90"/>
      <c r="E2358" s="16"/>
      <c r="F2358" s="33"/>
      <c r="G2358" s="16"/>
      <c r="H2358" s="16"/>
      <c r="I2358" s="16"/>
      <c r="J2358" s="16"/>
      <c r="K2358" s="16"/>
      <c r="L2358" s="16"/>
      <c r="M2358" s="16"/>
      <c r="N2358" s="16"/>
      <c r="O2358" s="16"/>
      <c r="P2358" s="16"/>
      <c r="Q2358" s="16"/>
      <c r="R2358" s="16"/>
    </row>
    <row r="2359" spans="1:18" ht="18">
      <c r="A2359" s="61"/>
      <c r="B2359" s="15"/>
      <c r="C2359" s="31"/>
      <c r="D2359" s="90"/>
      <c r="E2359" s="16"/>
      <c r="F2359" s="33"/>
      <c r="G2359" s="16"/>
      <c r="H2359" s="16"/>
      <c r="I2359" s="16"/>
      <c r="J2359" s="16"/>
      <c r="K2359" s="16"/>
      <c r="L2359" s="16"/>
      <c r="M2359" s="16"/>
      <c r="N2359" s="16"/>
      <c r="O2359" s="16"/>
      <c r="P2359" s="16"/>
      <c r="Q2359" s="16"/>
      <c r="R2359" s="16"/>
    </row>
    <row r="2360" spans="1:18" ht="18">
      <c r="A2360" s="61"/>
      <c r="B2360" s="15"/>
      <c r="C2360" s="31"/>
      <c r="D2360" s="90"/>
      <c r="E2360" s="16"/>
      <c r="F2360" s="33"/>
      <c r="G2360" s="16"/>
      <c r="H2360" s="16"/>
      <c r="I2360" s="16"/>
      <c r="J2360" s="16"/>
      <c r="K2360" s="16"/>
      <c r="L2360" s="16"/>
      <c r="M2360" s="16"/>
      <c r="N2360" s="16"/>
      <c r="O2360" s="16"/>
      <c r="P2360" s="16"/>
      <c r="Q2360" s="16"/>
      <c r="R2360" s="16"/>
    </row>
    <row r="2361" spans="1:18" ht="18">
      <c r="A2361" s="61"/>
      <c r="B2361" s="15"/>
      <c r="C2361" s="31"/>
      <c r="D2361" s="90"/>
      <c r="E2361" s="16"/>
      <c r="F2361" s="33"/>
      <c r="G2361" s="16"/>
      <c r="H2361" s="16"/>
      <c r="I2361" s="16"/>
      <c r="J2361" s="16"/>
      <c r="K2361" s="16"/>
      <c r="L2361" s="16"/>
      <c r="M2361" s="16"/>
      <c r="N2361" s="16"/>
      <c r="O2361" s="16"/>
      <c r="P2361" s="16"/>
      <c r="Q2361" s="16"/>
      <c r="R2361" s="16"/>
    </row>
    <row r="2362" spans="1:18" ht="18">
      <c r="A2362" s="61"/>
      <c r="B2362" s="15"/>
      <c r="C2362" s="31"/>
      <c r="D2362" s="90"/>
      <c r="E2362" s="16"/>
      <c r="F2362" s="33"/>
      <c r="G2362" s="16"/>
      <c r="H2362" s="16"/>
      <c r="I2362" s="16"/>
      <c r="J2362" s="16"/>
      <c r="K2362" s="16"/>
      <c r="L2362" s="16"/>
      <c r="M2362" s="16"/>
      <c r="N2362" s="16"/>
      <c r="O2362" s="16"/>
      <c r="P2362" s="16"/>
      <c r="Q2362" s="16"/>
      <c r="R2362" s="16"/>
    </row>
    <row r="2363" spans="1:18" ht="18">
      <c r="A2363" s="61"/>
      <c r="B2363" s="15"/>
      <c r="C2363" s="31"/>
      <c r="D2363" s="90"/>
      <c r="E2363" s="16"/>
      <c r="F2363" s="33"/>
      <c r="G2363" s="16"/>
      <c r="H2363" s="16"/>
      <c r="I2363" s="16"/>
      <c r="J2363" s="16"/>
      <c r="K2363" s="16"/>
      <c r="L2363" s="16"/>
      <c r="M2363" s="16"/>
      <c r="N2363" s="16"/>
      <c r="O2363" s="16"/>
      <c r="P2363" s="16"/>
      <c r="Q2363" s="16"/>
      <c r="R2363" s="16"/>
    </row>
    <row r="2364" spans="1:18" ht="18">
      <c r="A2364" s="61"/>
      <c r="B2364" s="15"/>
      <c r="C2364" s="31"/>
      <c r="D2364" s="90"/>
      <c r="E2364" s="16"/>
      <c r="F2364" s="33"/>
      <c r="G2364" s="16"/>
      <c r="H2364" s="16"/>
      <c r="I2364" s="16"/>
      <c r="J2364" s="16"/>
      <c r="K2364" s="16"/>
      <c r="L2364" s="16"/>
      <c r="M2364" s="16"/>
      <c r="N2364" s="16"/>
      <c r="O2364" s="16"/>
      <c r="P2364" s="16"/>
      <c r="Q2364" s="16"/>
      <c r="R2364" s="16"/>
    </row>
    <row r="2365" spans="1:18" ht="18">
      <c r="A2365" s="61"/>
      <c r="B2365" s="15"/>
      <c r="C2365" s="31"/>
      <c r="D2365" s="90"/>
      <c r="E2365" s="16"/>
      <c r="F2365" s="33"/>
      <c r="G2365" s="16"/>
      <c r="H2365" s="16"/>
      <c r="I2365" s="16"/>
      <c r="J2365" s="16"/>
      <c r="K2365" s="16"/>
      <c r="L2365" s="16"/>
      <c r="M2365" s="16"/>
      <c r="N2365" s="16"/>
      <c r="O2365" s="16"/>
      <c r="P2365" s="16"/>
      <c r="Q2365" s="16"/>
      <c r="R2365" s="16"/>
    </row>
    <row r="2366" spans="1:18" ht="18">
      <c r="A2366" s="61"/>
      <c r="B2366" s="15"/>
      <c r="C2366" s="31"/>
      <c r="D2366" s="90"/>
      <c r="E2366" s="16"/>
      <c r="F2366" s="33"/>
      <c r="G2366" s="16"/>
      <c r="H2366" s="16"/>
      <c r="I2366" s="16"/>
      <c r="J2366" s="16"/>
      <c r="K2366" s="16"/>
      <c r="L2366" s="16"/>
      <c r="M2366" s="16"/>
      <c r="N2366" s="16"/>
      <c r="O2366" s="16"/>
      <c r="P2366" s="16"/>
      <c r="Q2366" s="16"/>
      <c r="R2366" s="16"/>
    </row>
    <row r="2367" spans="1:18" ht="18">
      <c r="A2367" s="61"/>
      <c r="B2367" s="15"/>
      <c r="C2367" s="31"/>
      <c r="D2367" s="90"/>
      <c r="E2367" s="16"/>
      <c r="F2367" s="33"/>
      <c r="G2367" s="16"/>
      <c r="H2367" s="16"/>
      <c r="I2367" s="16"/>
      <c r="J2367" s="16"/>
      <c r="K2367" s="16"/>
      <c r="L2367" s="16"/>
      <c r="M2367" s="16"/>
      <c r="N2367" s="16"/>
      <c r="O2367" s="16"/>
      <c r="P2367" s="16"/>
      <c r="Q2367" s="16"/>
      <c r="R2367" s="16"/>
    </row>
    <row r="2368" spans="1:18" ht="18">
      <c r="A2368" s="61"/>
      <c r="B2368" s="15"/>
      <c r="C2368" s="31"/>
      <c r="D2368" s="90"/>
      <c r="E2368" s="16"/>
      <c r="F2368" s="33"/>
      <c r="G2368" s="16"/>
      <c r="H2368" s="16"/>
      <c r="I2368" s="16"/>
      <c r="J2368" s="16"/>
      <c r="K2368" s="16"/>
      <c r="L2368" s="16"/>
      <c r="M2368" s="16"/>
      <c r="N2368" s="16"/>
      <c r="O2368" s="16"/>
      <c r="P2368" s="16"/>
      <c r="Q2368" s="16"/>
      <c r="R2368" s="16"/>
    </row>
    <row r="2369" spans="1:18" ht="18">
      <c r="A2369" s="61"/>
      <c r="B2369" s="15"/>
      <c r="C2369" s="31"/>
      <c r="D2369" s="90"/>
      <c r="E2369" s="16"/>
      <c r="F2369" s="33"/>
      <c r="G2369" s="16"/>
      <c r="H2369" s="16"/>
      <c r="I2369" s="16"/>
      <c r="J2369" s="16"/>
      <c r="K2369" s="16"/>
      <c r="L2369" s="16"/>
      <c r="M2369" s="16"/>
      <c r="N2369" s="16"/>
      <c r="O2369" s="16"/>
      <c r="P2369" s="16"/>
      <c r="Q2369" s="16"/>
      <c r="R2369" s="16"/>
    </row>
    <row r="2370" spans="1:18" ht="18">
      <c r="A2370" s="61"/>
      <c r="B2370" s="15"/>
      <c r="C2370" s="31"/>
      <c r="D2370" s="90"/>
      <c r="E2370" s="16"/>
      <c r="F2370" s="33"/>
      <c r="G2370" s="16"/>
      <c r="H2370" s="16"/>
      <c r="I2370" s="16"/>
      <c r="J2370" s="16"/>
      <c r="K2370" s="16"/>
      <c r="L2370" s="16"/>
      <c r="M2370" s="16"/>
      <c r="N2370" s="16"/>
      <c r="O2370" s="16"/>
      <c r="P2370" s="16"/>
      <c r="Q2370" s="16"/>
      <c r="R2370" s="16"/>
    </row>
    <row r="2371" spans="1:18" ht="18">
      <c r="A2371" s="61"/>
      <c r="B2371" s="15"/>
      <c r="C2371" s="31"/>
      <c r="D2371" s="90"/>
      <c r="E2371" s="16"/>
      <c r="F2371" s="33"/>
      <c r="G2371" s="16"/>
      <c r="H2371" s="16"/>
      <c r="I2371" s="16"/>
      <c r="J2371" s="16"/>
      <c r="K2371" s="16"/>
      <c r="L2371" s="16"/>
      <c r="M2371" s="16"/>
      <c r="N2371" s="16"/>
      <c r="O2371" s="16"/>
      <c r="P2371" s="16"/>
      <c r="Q2371" s="16"/>
      <c r="R2371" s="16"/>
    </row>
    <row r="2372" spans="1:18" ht="18">
      <c r="A2372" s="61"/>
      <c r="B2372" s="15"/>
      <c r="C2372" s="31"/>
      <c r="D2372" s="90"/>
      <c r="E2372" s="16"/>
      <c r="F2372" s="33"/>
      <c r="G2372" s="16"/>
      <c r="H2372" s="16"/>
      <c r="I2372" s="16"/>
      <c r="J2372" s="16"/>
      <c r="K2372" s="16"/>
      <c r="L2372" s="16"/>
      <c r="M2372" s="16"/>
      <c r="N2372" s="16"/>
      <c r="O2372" s="16"/>
      <c r="P2372" s="16"/>
      <c r="Q2372" s="16"/>
      <c r="R2372" s="16"/>
    </row>
    <row r="2373" spans="1:18" ht="18">
      <c r="A2373" s="61"/>
      <c r="B2373" s="15"/>
      <c r="C2373" s="31"/>
      <c r="D2373" s="90"/>
      <c r="E2373" s="16"/>
      <c r="F2373" s="33"/>
      <c r="G2373" s="16"/>
      <c r="H2373" s="16"/>
      <c r="I2373" s="16"/>
      <c r="J2373" s="16"/>
      <c r="K2373" s="16"/>
      <c r="L2373" s="16"/>
      <c r="M2373" s="16"/>
      <c r="N2373" s="16"/>
      <c r="O2373" s="16"/>
      <c r="P2373" s="16"/>
      <c r="Q2373" s="16"/>
      <c r="R2373" s="16"/>
    </row>
    <row r="2374" spans="1:18" ht="18">
      <c r="A2374" s="61"/>
      <c r="B2374" s="15"/>
      <c r="C2374" s="31"/>
      <c r="D2374" s="90"/>
      <c r="E2374" s="16"/>
      <c r="F2374" s="33"/>
      <c r="G2374" s="16"/>
      <c r="H2374" s="16"/>
      <c r="I2374" s="16"/>
      <c r="J2374" s="16"/>
      <c r="K2374" s="16"/>
      <c r="L2374" s="16"/>
      <c r="M2374" s="16"/>
      <c r="N2374" s="16"/>
      <c r="O2374" s="16"/>
      <c r="P2374" s="16"/>
      <c r="Q2374" s="16"/>
      <c r="R2374" s="16"/>
    </row>
    <row r="2375" spans="1:18" ht="18">
      <c r="A2375" s="61"/>
      <c r="B2375" s="15"/>
      <c r="C2375" s="31"/>
      <c r="D2375" s="90"/>
      <c r="E2375" s="16"/>
      <c r="F2375" s="33"/>
      <c r="G2375" s="16"/>
      <c r="H2375" s="16"/>
      <c r="I2375" s="16"/>
      <c r="J2375" s="16"/>
      <c r="K2375" s="16"/>
      <c r="L2375" s="16"/>
      <c r="M2375" s="16"/>
      <c r="N2375" s="16"/>
      <c r="O2375" s="16"/>
      <c r="P2375" s="16"/>
      <c r="Q2375" s="16"/>
      <c r="R2375" s="16"/>
    </row>
    <row r="2376" spans="1:18" ht="18">
      <c r="A2376" s="61"/>
      <c r="B2376" s="15"/>
      <c r="C2376" s="31"/>
      <c r="D2376" s="90"/>
      <c r="E2376" s="16"/>
      <c r="F2376" s="33"/>
      <c r="G2376" s="16"/>
      <c r="H2376" s="16"/>
      <c r="I2376" s="16"/>
      <c r="J2376" s="16"/>
      <c r="K2376" s="16"/>
      <c r="L2376" s="16"/>
      <c r="M2376" s="16"/>
      <c r="N2376" s="16"/>
      <c r="O2376" s="16"/>
      <c r="P2376" s="16"/>
      <c r="Q2376" s="16"/>
      <c r="R2376" s="16"/>
    </row>
    <row r="2377" spans="1:18" ht="18">
      <c r="A2377" s="61"/>
      <c r="B2377" s="15"/>
      <c r="C2377" s="31"/>
      <c r="D2377" s="90"/>
      <c r="E2377" s="16"/>
      <c r="F2377" s="33"/>
      <c r="G2377" s="16"/>
      <c r="H2377" s="16"/>
      <c r="I2377" s="16"/>
      <c r="J2377" s="16"/>
      <c r="K2377" s="16"/>
      <c r="L2377" s="16"/>
      <c r="M2377" s="16"/>
      <c r="N2377" s="16"/>
      <c r="O2377" s="16"/>
      <c r="P2377" s="16"/>
      <c r="Q2377" s="16"/>
      <c r="R2377" s="16"/>
    </row>
    <row r="2378" spans="1:18" ht="18">
      <c r="A2378" s="61"/>
      <c r="B2378" s="15"/>
      <c r="C2378" s="31"/>
      <c r="D2378" s="90"/>
      <c r="E2378" s="16"/>
      <c r="F2378" s="33"/>
      <c r="G2378" s="16"/>
      <c r="H2378" s="16"/>
      <c r="I2378" s="16"/>
      <c r="J2378" s="16"/>
      <c r="K2378" s="16"/>
      <c r="L2378" s="16"/>
      <c r="M2378" s="16"/>
      <c r="N2378" s="16"/>
      <c r="O2378" s="16"/>
      <c r="P2378" s="16"/>
      <c r="Q2378" s="16"/>
      <c r="R2378" s="16"/>
    </row>
    <row r="2379" spans="1:18" ht="18">
      <c r="A2379" s="61"/>
      <c r="B2379" s="15"/>
      <c r="C2379" s="31"/>
      <c r="D2379" s="90"/>
      <c r="E2379" s="16"/>
      <c r="F2379" s="33"/>
      <c r="G2379" s="16"/>
      <c r="H2379" s="16"/>
      <c r="I2379" s="16"/>
      <c r="J2379" s="16"/>
      <c r="K2379" s="16"/>
      <c r="L2379" s="16"/>
      <c r="M2379" s="16"/>
      <c r="N2379" s="16"/>
      <c r="O2379" s="16"/>
      <c r="P2379" s="16"/>
      <c r="Q2379" s="16"/>
      <c r="R2379" s="16"/>
    </row>
    <row r="2380" spans="1:18" ht="18">
      <c r="A2380" s="61"/>
      <c r="B2380" s="15"/>
      <c r="C2380" s="31"/>
      <c r="D2380" s="90"/>
      <c r="E2380" s="16"/>
      <c r="F2380" s="33"/>
      <c r="G2380" s="16"/>
      <c r="H2380" s="16"/>
      <c r="I2380" s="16"/>
      <c r="J2380" s="16"/>
      <c r="K2380" s="16"/>
      <c r="L2380" s="16"/>
      <c r="M2380" s="16"/>
      <c r="N2380" s="16"/>
      <c r="O2380" s="16"/>
      <c r="P2380" s="16"/>
      <c r="Q2380" s="16"/>
      <c r="R2380" s="16"/>
    </row>
    <row r="2381" spans="1:18" ht="18">
      <c r="A2381" s="61"/>
      <c r="B2381" s="15"/>
      <c r="C2381" s="31"/>
      <c r="D2381" s="90"/>
      <c r="E2381" s="16"/>
      <c r="F2381" s="33"/>
      <c r="G2381" s="16"/>
      <c r="H2381" s="16"/>
      <c r="I2381" s="16"/>
      <c r="J2381" s="16"/>
      <c r="K2381" s="16"/>
      <c r="L2381" s="16"/>
      <c r="M2381" s="16"/>
      <c r="N2381" s="16"/>
      <c r="O2381" s="16"/>
      <c r="P2381" s="16"/>
      <c r="Q2381" s="16"/>
      <c r="R2381" s="16"/>
    </row>
    <row r="2382" spans="1:18" ht="18">
      <c r="A2382" s="61"/>
      <c r="B2382" s="15"/>
      <c r="C2382" s="31"/>
      <c r="D2382" s="90"/>
      <c r="E2382" s="16"/>
      <c r="F2382" s="33"/>
      <c r="G2382" s="16"/>
      <c r="H2382" s="16"/>
      <c r="I2382" s="16"/>
      <c r="J2382" s="16"/>
      <c r="K2382" s="16"/>
      <c r="L2382" s="16"/>
      <c r="M2382" s="16"/>
      <c r="N2382" s="16"/>
      <c r="O2382" s="16"/>
      <c r="P2382" s="16"/>
      <c r="Q2382" s="16"/>
      <c r="R2382" s="16"/>
    </row>
    <row r="2383" spans="1:18" ht="18">
      <c r="A2383" s="61"/>
      <c r="B2383" s="15"/>
      <c r="C2383" s="31"/>
      <c r="D2383" s="90"/>
      <c r="E2383" s="16"/>
      <c r="F2383" s="33"/>
      <c r="G2383" s="16"/>
      <c r="H2383" s="16"/>
      <c r="I2383" s="16"/>
      <c r="J2383" s="16"/>
      <c r="K2383" s="16"/>
      <c r="L2383" s="16"/>
      <c r="M2383" s="16"/>
      <c r="N2383" s="16"/>
      <c r="O2383" s="16"/>
      <c r="P2383" s="16"/>
      <c r="Q2383" s="16"/>
      <c r="R2383" s="16"/>
    </row>
    <row r="2384" spans="1:18" ht="18">
      <c r="A2384" s="61"/>
      <c r="B2384" s="15"/>
      <c r="C2384" s="31"/>
      <c r="D2384" s="90"/>
      <c r="E2384" s="16"/>
      <c r="F2384" s="33"/>
      <c r="G2384" s="16"/>
      <c r="H2384" s="16"/>
      <c r="I2384" s="16"/>
      <c r="J2384" s="16"/>
      <c r="K2384" s="16"/>
      <c r="L2384" s="16"/>
      <c r="M2384" s="16"/>
      <c r="N2384" s="16"/>
      <c r="O2384" s="16"/>
      <c r="P2384" s="16"/>
      <c r="Q2384" s="16"/>
      <c r="R2384" s="16"/>
    </row>
    <row r="2385" spans="1:18" ht="18">
      <c r="A2385" s="61"/>
      <c r="B2385" s="15"/>
      <c r="C2385" s="31"/>
      <c r="D2385" s="90"/>
      <c r="E2385" s="16"/>
      <c r="F2385" s="33"/>
      <c r="G2385" s="16"/>
      <c r="H2385" s="16"/>
      <c r="I2385" s="16"/>
      <c r="J2385" s="16"/>
      <c r="K2385" s="16"/>
      <c r="L2385" s="16"/>
      <c r="M2385" s="16"/>
      <c r="N2385" s="16"/>
      <c r="O2385" s="16"/>
      <c r="P2385" s="16"/>
      <c r="Q2385" s="16"/>
      <c r="R2385" s="16"/>
    </row>
    <row r="2386" spans="1:18" ht="18">
      <c r="A2386" s="61"/>
      <c r="B2386" s="15"/>
      <c r="C2386" s="31"/>
      <c r="D2386" s="90"/>
      <c r="E2386" s="16"/>
      <c r="F2386" s="33"/>
      <c r="G2386" s="16"/>
      <c r="H2386" s="16"/>
      <c r="I2386" s="16"/>
      <c r="J2386" s="16"/>
      <c r="K2386" s="16"/>
      <c r="L2386" s="16"/>
      <c r="M2386" s="16"/>
      <c r="N2386" s="16"/>
      <c r="O2386" s="16"/>
      <c r="P2386" s="16"/>
      <c r="Q2386" s="16"/>
      <c r="R2386" s="16"/>
    </row>
    <row r="2387" spans="1:18" ht="18">
      <c r="A2387" s="61"/>
      <c r="B2387" s="15"/>
      <c r="C2387" s="31"/>
      <c r="D2387" s="90"/>
      <c r="E2387" s="16"/>
      <c r="F2387" s="33"/>
      <c r="G2387" s="16"/>
      <c r="H2387" s="16"/>
      <c r="I2387" s="16"/>
      <c r="J2387" s="16"/>
      <c r="K2387" s="16"/>
      <c r="L2387" s="16"/>
      <c r="M2387" s="16"/>
      <c r="N2387" s="16"/>
      <c r="O2387" s="16"/>
      <c r="P2387" s="16"/>
      <c r="Q2387" s="16"/>
      <c r="R2387" s="16"/>
    </row>
    <row r="2388" spans="1:18" ht="18">
      <c r="A2388" s="61"/>
      <c r="B2388" s="15"/>
      <c r="C2388" s="31"/>
      <c r="D2388" s="90"/>
      <c r="E2388" s="16"/>
      <c r="F2388" s="33"/>
      <c r="G2388" s="16"/>
      <c r="H2388" s="16"/>
      <c r="I2388" s="16"/>
      <c r="J2388" s="16"/>
      <c r="K2388" s="16"/>
      <c r="L2388" s="16"/>
      <c r="M2388" s="16"/>
      <c r="N2388" s="16"/>
      <c r="O2388" s="16"/>
      <c r="P2388" s="16"/>
      <c r="Q2388" s="16"/>
      <c r="R2388" s="16"/>
    </row>
    <row r="2389" spans="1:18" ht="18">
      <c r="A2389" s="61"/>
      <c r="B2389" s="15"/>
      <c r="C2389" s="31"/>
      <c r="D2389" s="90"/>
      <c r="E2389" s="16"/>
      <c r="F2389" s="33"/>
      <c r="G2389" s="16"/>
      <c r="H2389" s="16"/>
      <c r="I2389" s="16"/>
      <c r="J2389" s="16"/>
      <c r="K2389" s="16"/>
      <c r="L2389" s="16"/>
      <c r="M2389" s="16"/>
      <c r="N2389" s="16"/>
      <c r="O2389" s="16"/>
      <c r="P2389" s="16"/>
      <c r="Q2389" s="16"/>
      <c r="R2389" s="16"/>
    </row>
    <row r="2390" spans="1:18" ht="18">
      <c r="A2390" s="61"/>
      <c r="B2390" s="15"/>
      <c r="C2390" s="31"/>
      <c r="D2390" s="90"/>
      <c r="E2390" s="16"/>
      <c r="F2390" s="33"/>
      <c r="G2390" s="16"/>
      <c r="H2390" s="16"/>
      <c r="I2390" s="16"/>
      <c r="J2390" s="16"/>
      <c r="K2390" s="16"/>
      <c r="L2390" s="16"/>
      <c r="M2390" s="16"/>
      <c r="N2390" s="16"/>
      <c r="O2390" s="16"/>
      <c r="P2390" s="16"/>
      <c r="Q2390" s="16"/>
      <c r="R2390" s="16"/>
    </row>
    <row r="2391" spans="1:18" ht="18">
      <c r="A2391" s="61"/>
      <c r="B2391" s="15"/>
      <c r="C2391" s="31"/>
      <c r="D2391" s="90"/>
      <c r="E2391" s="16"/>
      <c r="F2391" s="33"/>
      <c r="G2391" s="16"/>
      <c r="H2391" s="16"/>
      <c r="I2391" s="16"/>
      <c r="J2391" s="16"/>
      <c r="K2391" s="16"/>
      <c r="L2391" s="16"/>
      <c r="M2391" s="16"/>
      <c r="N2391" s="16"/>
      <c r="O2391" s="16"/>
      <c r="P2391" s="16"/>
      <c r="Q2391" s="16"/>
      <c r="R2391" s="16"/>
    </row>
    <row r="2392" spans="1:18" ht="18">
      <c r="A2392" s="61"/>
      <c r="B2392" s="15"/>
      <c r="C2392" s="31"/>
      <c r="D2392" s="90"/>
      <c r="E2392" s="16"/>
      <c r="F2392" s="33"/>
      <c r="G2392" s="16"/>
      <c r="H2392" s="16"/>
      <c r="I2392" s="16"/>
      <c r="J2392" s="16"/>
      <c r="K2392" s="16"/>
      <c r="L2392" s="16"/>
      <c r="M2392" s="16"/>
      <c r="N2392" s="16"/>
      <c r="O2392" s="16"/>
      <c r="P2392" s="16"/>
      <c r="Q2392" s="16"/>
      <c r="R2392" s="16"/>
    </row>
    <row r="2393" spans="1:18" ht="18">
      <c r="A2393" s="61"/>
      <c r="B2393" s="15"/>
      <c r="C2393" s="31"/>
      <c r="D2393" s="90"/>
      <c r="E2393" s="16"/>
      <c r="F2393" s="33"/>
      <c r="G2393" s="16"/>
      <c r="H2393" s="16"/>
      <c r="I2393" s="16"/>
      <c r="J2393" s="16"/>
      <c r="K2393" s="16"/>
      <c r="L2393" s="16"/>
      <c r="M2393" s="16"/>
      <c r="N2393" s="16"/>
      <c r="O2393" s="16"/>
      <c r="P2393" s="16"/>
      <c r="Q2393" s="16"/>
      <c r="R2393" s="16"/>
    </row>
    <row r="2394" spans="1:18" ht="18">
      <c r="A2394" s="61"/>
      <c r="B2394" s="15"/>
      <c r="C2394" s="31"/>
      <c r="D2394" s="90"/>
      <c r="E2394" s="16"/>
      <c r="F2394" s="33"/>
      <c r="G2394" s="16"/>
      <c r="H2394" s="16"/>
      <c r="I2394" s="16"/>
      <c r="J2394" s="16"/>
      <c r="K2394" s="16"/>
      <c r="L2394" s="16"/>
      <c r="M2394" s="16"/>
      <c r="N2394" s="16"/>
      <c r="O2394" s="16"/>
      <c r="P2394" s="16"/>
      <c r="Q2394" s="16"/>
      <c r="R2394" s="16"/>
    </row>
    <row r="2395" spans="1:18" ht="18">
      <c r="A2395" s="61"/>
      <c r="B2395" s="15"/>
      <c r="C2395" s="31"/>
      <c r="D2395" s="90"/>
      <c r="E2395" s="16"/>
      <c r="F2395" s="33"/>
      <c r="G2395" s="16"/>
      <c r="H2395" s="16"/>
      <c r="I2395" s="16"/>
      <c r="J2395" s="16"/>
      <c r="K2395" s="16"/>
      <c r="L2395" s="16"/>
      <c r="M2395" s="16"/>
      <c r="N2395" s="16"/>
      <c r="O2395" s="16"/>
      <c r="P2395" s="16"/>
      <c r="Q2395" s="16"/>
      <c r="R2395" s="16"/>
    </row>
    <row r="2396" spans="1:18" ht="18">
      <c r="A2396" s="61"/>
      <c r="B2396" s="15"/>
      <c r="C2396" s="31"/>
      <c r="D2396" s="90"/>
      <c r="E2396" s="16"/>
      <c r="F2396" s="33"/>
      <c r="G2396" s="16"/>
      <c r="H2396" s="16"/>
      <c r="I2396" s="16"/>
      <c r="J2396" s="16"/>
      <c r="K2396" s="16"/>
      <c r="L2396" s="16"/>
      <c r="M2396" s="16"/>
      <c r="N2396" s="16"/>
      <c r="O2396" s="16"/>
      <c r="P2396" s="16"/>
      <c r="Q2396" s="16"/>
      <c r="R2396" s="16"/>
    </row>
    <row r="2397" spans="1:18" ht="18">
      <c r="A2397" s="61"/>
      <c r="B2397" s="15"/>
      <c r="C2397" s="31"/>
      <c r="D2397" s="90"/>
      <c r="E2397" s="16"/>
      <c r="F2397" s="33"/>
      <c r="G2397" s="16"/>
      <c r="H2397" s="16"/>
      <c r="I2397" s="16"/>
      <c r="J2397" s="16"/>
      <c r="K2397" s="16"/>
      <c r="L2397" s="16"/>
      <c r="M2397" s="16"/>
      <c r="N2397" s="16"/>
      <c r="O2397" s="16"/>
      <c r="P2397" s="16"/>
      <c r="Q2397" s="16"/>
      <c r="R2397" s="16"/>
    </row>
    <row r="2398" spans="1:18" ht="18">
      <c r="A2398" s="61"/>
      <c r="B2398" s="15"/>
      <c r="C2398" s="31"/>
      <c r="D2398" s="90"/>
      <c r="E2398" s="16"/>
      <c r="F2398" s="33"/>
      <c r="G2398" s="16"/>
      <c r="H2398" s="16"/>
      <c r="I2398" s="16"/>
      <c r="J2398" s="16"/>
      <c r="K2398" s="16"/>
      <c r="L2398" s="16"/>
      <c r="M2398" s="16"/>
      <c r="N2398" s="16"/>
      <c r="O2398" s="16"/>
      <c r="P2398" s="16"/>
      <c r="Q2398" s="16"/>
      <c r="R2398" s="16"/>
    </row>
    <row r="2399" spans="1:18" ht="18">
      <c r="A2399" s="61"/>
      <c r="B2399" s="15"/>
      <c r="C2399" s="31"/>
      <c r="D2399" s="90"/>
      <c r="E2399" s="16"/>
      <c r="F2399" s="33"/>
      <c r="G2399" s="16"/>
      <c r="H2399" s="16"/>
      <c r="I2399" s="16"/>
      <c r="J2399" s="16"/>
      <c r="K2399" s="16"/>
      <c r="L2399" s="16"/>
      <c r="M2399" s="16"/>
      <c r="N2399" s="16"/>
      <c r="O2399" s="16"/>
      <c r="P2399" s="16"/>
      <c r="Q2399" s="16"/>
      <c r="R2399" s="16"/>
    </row>
    <row r="2400" spans="1:18" ht="18">
      <c r="A2400" s="61"/>
      <c r="B2400" s="15"/>
      <c r="C2400" s="31"/>
      <c r="D2400" s="90"/>
      <c r="E2400" s="16"/>
      <c r="F2400" s="33"/>
      <c r="G2400" s="16"/>
      <c r="H2400" s="16"/>
      <c r="I2400" s="16"/>
      <c r="J2400" s="16"/>
      <c r="K2400" s="16"/>
      <c r="L2400" s="16"/>
      <c r="M2400" s="16"/>
      <c r="N2400" s="16"/>
      <c r="O2400" s="16"/>
      <c r="P2400" s="16"/>
      <c r="Q2400" s="16"/>
      <c r="R2400" s="16"/>
    </row>
    <row r="2401" spans="1:18" ht="18">
      <c r="A2401" s="61"/>
      <c r="B2401" s="15"/>
      <c r="C2401" s="31"/>
      <c r="D2401" s="90"/>
      <c r="E2401" s="16"/>
      <c r="F2401" s="33"/>
      <c r="G2401" s="16"/>
      <c r="H2401" s="16"/>
      <c r="I2401" s="16"/>
      <c r="J2401" s="16"/>
      <c r="K2401" s="16"/>
      <c r="L2401" s="16"/>
      <c r="M2401" s="16"/>
      <c r="N2401" s="16"/>
      <c r="O2401" s="16"/>
      <c r="P2401" s="16"/>
      <c r="Q2401" s="16"/>
      <c r="R2401" s="16"/>
    </row>
    <row r="2402" spans="1:18" ht="18">
      <c r="A2402" s="61"/>
      <c r="B2402" s="15"/>
      <c r="C2402" s="31"/>
      <c r="D2402" s="90"/>
      <c r="E2402" s="16"/>
      <c r="F2402" s="33"/>
      <c r="G2402" s="16"/>
      <c r="H2402" s="16"/>
      <c r="I2402" s="16"/>
      <c r="J2402" s="16"/>
      <c r="K2402" s="16"/>
      <c r="L2402" s="16"/>
      <c r="M2402" s="16"/>
      <c r="N2402" s="16"/>
      <c r="O2402" s="16"/>
      <c r="P2402" s="16"/>
      <c r="Q2402" s="16"/>
      <c r="R2402" s="16"/>
    </row>
    <row r="2403" spans="1:18" ht="18">
      <c r="A2403" s="61"/>
      <c r="B2403" s="15"/>
      <c r="C2403" s="31"/>
      <c r="D2403" s="90"/>
      <c r="E2403" s="16"/>
      <c r="F2403" s="33"/>
      <c r="G2403" s="16"/>
      <c r="H2403" s="16"/>
      <c r="I2403" s="16"/>
      <c r="J2403" s="16"/>
      <c r="K2403" s="16"/>
      <c r="L2403" s="16"/>
      <c r="M2403" s="16"/>
      <c r="N2403" s="16"/>
      <c r="O2403" s="16"/>
      <c r="P2403" s="16"/>
      <c r="Q2403" s="16"/>
      <c r="R2403" s="16"/>
    </row>
    <row r="2404" spans="1:18" ht="18">
      <c r="A2404" s="61"/>
      <c r="B2404" s="15"/>
      <c r="C2404" s="31"/>
      <c r="D2404" s="90"/>
      <c r="E2404" s="16"/>
      <c r="F2404" s="33"/>
      <c r="G2404" s="16"/>
      <c r="H2404" s="16"/>
      <c r="I2404" s="16"/>
      <c r="J2404" s="16"/>
      <c r="K2404" s="16"/>
      <c r="L2404" s="16"/>
      <c r="M2404" s="16"/>
      <c r="N2404" s="16"/>
      <c r="O2404" s="16"/>
      <c r="P2404" s="16"/>
      <c r="Q2404" s="16"/>
      <c r="R2404" s="16"/>
    </row>
    <row r="2405" spans="1:18" ht="18">
      <c r="A2405" s="61"/>
      <c r="B2405" s="15"/>
      <c r="C2405" s="31"/>
      <c r="D2405" s="90"/>
      <c r="E2405" s="16"/>
      <c r="F2405" s="33"/>
      <c r="G2405" s="16"/>
      <c r="H2405" s="16"/>
      <c r="I2405" s="16"/>
      <c r="J2405" s="16"/>
      <c r="K2405" s="16"/>
      <c r="L2405" s="16"/>
      <c r="M2405" s="16"/>
      <c r="N2405" s="16"/>
      <c r="O2405" s="16"/>
      <c r="P2405" s="16"/>
      <c r="Q2405" s="16"/>
      <c r="R2405" s="16"/>
    </row>
    <row r="2406" spans="1:18" ht="18">
      <c r="A2406" s="61"/>
      <c r="B2406" s="15"/>
      <c r="C2406" s="31"/>
      <c r="D2406" s="90"/>
      <c r="E2406" s="16"/>
      <c r="F2406" s="33"/>
      <c r="G2406" s="16"/>
      <c r="H2406" s="16"/>
      <c r="I2406" s="16"/>
      <c r="J2406" s="16"/>
      <c r="K2406" s="16"/>
      <c r="L2406" s="16"/>
      <c r="M2406" s="16"/>
      <c r="N2406" s="16"/>
      <c r="O2406" s="16"/>
      <c r="P2406" s="16"/>
      <c r="Q2406" s="16"/>
      <c r="R2406" s="16"/>
    </row>
    <row r="2407" spans="1:18" ht="18">
      <c r="A2407" s="61"/>
      <c r="B2407" s="15"/>
      <c r="C2407" s="31"/>
      <c r="D2407" s="90"/>
      <c r="E2407" s="16"/>
      <c r="F2407" s="33"/>
      <c r="G2407" s="16"/>
      <c r="H2407" s="16"/>
      <c r="I2407" s="16"/>
      <c r="J2407" s="16"/>
      <c r="K2407" s="16"/>
      <c r="L2407" s="16"/>
      <c r="M2407" s="16"/>
      <c r="N2407" s="16"/>
      <c r="O2407" s="16"/>
      <c r="P2407" s="16"/>
      <c r="Q2407" s="16"/>
      <c r="R2407" s="16"/>
    </row>
    <row r="2408" spans="1:18" ht="18">
      <c r="A2408" s="61"/>
      <c r="B2408" s="15"/>
      <c r="C2408" s="31"/>
      <c r="D2408" s="90"/>
      <c r="E2408" s="16"/>
      <c r="F2408" s="33"/>
      <c r="G2408" s="16"/>
      <c r="H2408" s="16"/>
      <c r="I2408" s="16"/>
      <c r="J2408" s="16"/>
      <c r="K2408" s="16"/>
      <c r="L2408" s="16"/>
      <c r="M2408" s="16"/>
      <c r="N2408" s="16"/>
      <c r="O2408" s="16"/>
      <c r="P2408" s="16"/>
      <c r="Q2408" s="16"/>
      <c r="R2408" s="16"/>
    </row>
    <row r="2409" spans="1:18" ht="18">
      <c r="A2409" s="61"/>
      <c r="B2409" s="15"/>
      <c r="C2409" s="31"/>
      <c r="D2409" s="90"/>
      <c r="E2409" s="16"/>
      <c r="F2409" s="33"/>
      <c r="G2409" s="16"/>
      <c r="H2409" s="16"/>
      <c r="I2409" s="16"/>
      <c r="J2409" s="16"/>
      <c r="K2409" s="16"/>
      <c r="L2409" s="16"/>
      <c r="M2409" s="16"/>
      <c r="N2409" s="16"/>
      <c r="O2409" s="16"/>
      <c r="P2409" s="16"/>
      <c r="Q2409" s="16"/>
      <c r="R2409" s="16"/>
    </row>
    <row r="2410" spans="1:18" ht="18">
      <c r="A2410" s="61"/>
      <c r="B2410" s="15"/>
      <c r="C2410" s="31"/>
      <c r="D2410" s="90"/>
      <c r="E2410" s="16"/>
      <c r="F2410" s="33"/>
      <c r="G2410" s="16"/>
      <c r="H2410" s="16"/>
      <c r="I2410" s="16"/>
      <c r="J2410" s="16"/>
      <c r="K2410" s="16"/>
      <c r="L2410" s="16"/>
      <c r="M2410" s="16"/>
      <c r="N2410" s="16"/>
      <c r="O2410" s="16"/>
      <c r="P2410" s="16"/>
      <c r="Q2410" s="16"/>
      <c r="R2410" s="16"/>
    </row>
    <row r="2411" spans="1:18" ht="18">
      <c r="A2411" s="61"/>
      <c r="B2411" s="15"/>
      <c r="C2411" s="31"/>
      <c r="D2411" s="90"/>
      <c r="E2411" s="16"/>
      <c r="F2411" s="33"/>
      <c r="G2411" s="16"/>
      <c r="H2411" s="16"/>
      <c r="I2411" s="16"/>
      <c r="J2411" s="16"/>
      <c r="K2411" s="16"/>
      <c r="L2411" s="16"/>
      <c r="M2411" s="16"/>
      <c r="N2411" s="16"/>
      <c r="O2411" s="16"/>
      <c r="P2411" s="16"/>
      <c r="Q2411" s="16"/>
      <c r="R2411" s="16"/>
    </row>
    <row r="2412" spans="1:18" ht="18">
      <c r="A2412" s="61"/>
      <c r="B2412" s="15"/>
      <c r="C2412" s="31"/>
      <c r="D2412" s="90"/>
      <c r="E2412" s="16"/>
      <c r="F2412" s="33"/>
      <c r="G2412" s="16"/>
      <c r="H2412" s="16"/>
      <c r="I2412" s="16"/>
      <c r="J2412" s="16"/>
      <c r="K2412" s="16"/>
      <c r="L2412" s="16"/>
      <c r="M2412" s="16"/>
      <c r="N2412" s="16"/>
      <c r="O2412" s="16"/>
      <c r="P2412" s="16"/>
      <c r="Q2412" s="16"/>
      <c r="R2412" s="16"/>
    </row>
    <row r="2413" spans="1:18" ht="18">
      <c r="A2413" s="61"/>
      <c r="B2413" s="15"/>
      <c r="C2413" s="31"/>
      <c r="D2413" s="90"/>
      <c r="E2413" s="16"/>
      <c r="F2413" s="33"/>
      <c r="G2413" s="16"/>
      <c r="H2413" s="16"/>
      <c r="I2413" s="16"/>
      <c r="J2413" s="16"/>
      <c r="K2413" s="16"/>
      <c r="L2413" s="16"/>
      <c r="M2413" s="16"/>
      <c r="N2413" s="16"/>
      <c r="O2413" s="16"/>
      <c r="P2413" s="16"/>
      <c r="Q2413" s="16"/>
      <c r="R2413" s="16"/>
    </row>
    <row r="2414" spans="1:18" ht="18">
      <c r="A2414" s="61"/>
      <c r="B2414" s="15"/>
      <c r="C2414" s="31"/>
      <c r="D2414" s="90"/>
      <c r="E2414" s="16"/>
      <c r="F2414" s="33"/>
      <c r="G2414" s="16"/>
      <c r="H2414" s="16"/>
      <c r="I2414" s="16"/>
      <c r="J2414" s="16"/>
      <c r="K2414" s="16"/>
      <c r="L2414" s="16"/>
      <c r="M2414" s="16"/>
      <c r="N2414" s="16"/>
      <c r="O2414" s="16"/>
      <c r="P2414" s="16"/>
      <c r="Q2414" s="16"/>
      <c r="R2414" s="16"/>
    </row>
    <row r="2415" spans="1:18" ht="18">
      <c r="A2415" s="61"/>
      <c r="B2415" s="15"/>
      <c r="C2415" s="31"/>
      <c r="D2415" s="90"/>
      <c r="E2415" s="16"/>
      <c r="F2415" s="33"/>
      <c r="G2415" s="16"/>
      <c r="H2415" s="16"/>
      <c r="I2415" s="16"/>
      <c r="J2415" s="16"/>
      <c r="K2415" s="16"/>
      <c r="L2415" s="16"/>
      <c r="M2415" s="16"/>
      <c r="N2415" s="16"/>
      <c r="O2415" s="16"/>
      <c r="P2415" s="16"/>
      <c r="Q2415" s="16"/>
      <c r="R2415" s="16"/>
    </row>
    <row r="2416" spans="1:18" ht="18">
      <c r="A2416" s="61"/>
      <c r="B2416" s="15"/>
      <c r="C2416" s="31"/>
      <c r="D2416" s="90"/>
      <c r="E2416" s="16"/>
      <c r="F2416" s="33"/>
      <c r="G2416" s="16"/>
      <c r="H2416" s="16"/>
      <c r="I2416" s="16"/>
      <c r="J2416" s="16"/>
      <c r="K2416" s="16"/>
      <c r="L2416" s="16"/>
      <c r="M2416" s="16"/>
      <c r="N2416" s="16"/>
      <c r="O2416" s="16"/>
      <c r="P2416" s="16"/>
      <c r="Q2416" s="16"/>
      <c r="R2416" s="16"/>
    </row>
    <row r="2417" spans="1:18" ht="18">
      <c r="A2417" s="61"/>
      <c r="B2417" s="15"/>
      <c r="C2417" s="31"/>
      <c r="D2417" s="90"/>
      <c r="E2417" s="16"/>
      <c r="F2417" s="33"/>
      <c r="G2417" s="16"/>
      <c r="H2417" s="16"/>
      <c r="I2417" s="16"/>
      <c r="J2417" s="16"/>
      <c r="K2417" s="16"/>
      <c r="L2417" s="16"/>
      <c r="M2417" s="16"/>
      <c r="N2417" s="16"/>
      <c r="O2417" s="16"/>
      <c r="P2417" s="16"/>
      <c r="Q2417" s="16"/>
      <c r="R2417" s="16"/>
    </row>
    <row r="2418" spans="1:18" ht="18">
      <c r="A2418" s="61"/>
      <c r="B2418" s="15"/>
      <c r="C2418" s="31"/>
      <c r="D2418" s="90"/>
      <c r="E2418" s="16"/>
      <c r="F2418" s="33"/>
      <c r="G2418" s="16"/>
      <c r="H2418" s="16"/>
      <c r="I2418" s="16"/>
      <c r="J2418" s="16"/>
      <c r="K2418" s="16"/>
      <c r="L2418" s="16"/>
      <c r="M2418" s="16"/>
      <c r="N2418" s="16"/>
      <c r="O2418" s="16"/>
      <c r="P2418" s="16"/>
      <c r="Q2418" s="16"/>
      <c r="R2418" s="16"/>
    </row>
    <row r="2419" spans="1:18" ht="18">
      <c r="A2419" s="61"/>
      <c r="B2419" s="15"/>
      <c r="C2419" s="31"/>
      <c r="D2419" s="90"/>
      <c r="E2419" s="16"/>
      <c r="F2419" s="33"/>
      <c r="G2419" s="16"/>
      <c r="H2419" s="16"/>
      <c r="I2419" s="16"/>
      <c r="J2419" s="16"/>
      <c r="K2419" s="16"/>
      <c r="L2419" s="16"/>
      <c r="M2419" s="16"/>
      <c r="N2419" s="16"/>
      <c r="O2419" s="16"/>
      <c r="P2419" s="16"/>
      <c r="Q2419" s="16"/>
      <c r="R2419" s="16"/>
    </row>
    <row r="2420" spans="1:18" ht="18">
      <c r="A2420" s="61"/>
      <c r="B2420" s="15"/>
      <c r="C2420" s="31"/>
      <c r="D2420" s="90"/>
      <c r="E2420" s="16"/>
      <c r="F2420" s="33"/>
      <c r="G2420" s="16"/>
      <c r="H2420" s="16"/>
      <c r="I2420" s="16"/>
      <c r="J2420" s="16"/>
      <c r="K2420" s="16"/>
      <c r="L2420" s="16"/>
      <c r="M2420" s="16"/>
      <c r="N2420" s="16"/>
      <c r="O2420" s="16"/>
      <c r="P2420" s="16"/>
      <c r="Q2420" s="16"/>
      <c r="R2420" s="16"/>
    </row>
    <row r="2421" spans="1:18" ht="18">
      <c r="A2421" s="61"/>
      <c r="B2421" s="15"/>
      <c r="C2421" s="31"/>
      <c r="D2421" s="90"/>
      <c r="E2421" s="16"/>
      <c r="F2421" s="33"/>
      <c r="G2421" s="16"/>
      <c r="H2421" s="16"/>
      <c r="I2421" s="16"/>
      <c r="J2421" s="16"/>
      <c r="K2421" s="16"/>
      <c r="L2421" s="16"/>
      <c r="M2421" s="16"/>
      <c r="N2421" s="16"/>
      <c r="O2421" s="16"/>
      <c r="P2421" s="16"/>
      <c r="Q2421" s="16"/>
      <c r="R2421" s="16"/>
    </row>
    <row r="2422" spans="1:18" ht="18">
      <c r="A2422" s="61"/>
      <c r="B2422" s="15"/>
      <c r="C2422" s="31"/>
      <c r="D2422" s="90"/>
      <c r="E2422" s="16"/>
      <c r="F2422" s="33"/>
      <c r="G2422" s="16"/>
      <c r="H2422" s="16"/>
      <c r="I2422" s="16"/>
      <c r="J2422" s="16"/>
      <c r="K2422" s="16"/>
      <c r="L2422" s="16"/>
      <c r="M2422" s="16"/>
      <c r="N2422" s="16"/>
      <c r="O2422" s="16"/>
      <c r="P2422" s="16"/>
      <c r="Q2422" s="16"/>
      <c r="R2422" s="16"/>
    </row>
    <row r="2423" spans="1:18" ht="18">
      <c r="A2423" s="61"/>
      <c r="B2423" s="15"/>
      <c r="C2423" s="31"/>
      <c r="D2423" s="90"/>
      <c r="E2423" s="16"/>
      <c r="F2423" s="33"/>
      <c r="G2423" s="16"/>
      <c r="H2423" s="16"/>
      <c r="I2423" s="16"/>
      <c r="J2423" s="16"/>
      <c r="K2423" s="16"/>
      <c r="L2423" s="16"/>
      <c r="M2423" s="16"/>
      <c r="N2423" s="16"/>
      <c r="O2423" s="16"/>
      <c r="P2423" s="16"/>
      <c r="Q2423" s="16"/>
      <c r="R2423" s="16"/>
    </row>
    <row r="2424" spans="1:18" ht="18">
      <c r="A2424" s="61"/>
      <c r="B2424" s="15"/>
      <c r="C2424" s="31"/>
      <c r="D2424" s="90"/>
      <c r="E2424" s="16"/>
      <c r="F2424" s="33"/>
      <c r="G2424" s="16"/>
      <c r="H2424" s="16"/>
      <c r="I2424" s="16"/>
      <c r="J2424" s="16"/>
      <c r="K2424" s="16"/>
      <c r="L2424" s="16"/>
      <c r="M2424" s="16"/>
      <c r="N2424" s="16"/>
      <c r="O2424" s="16"/>
      <c r="P2424" s="16"/>
      <c r="Q2424" s="16"/>
      <c r="R2424" s="16"/>
    </row>
    <row r="2425" spans="1:18" ht="18">
      <c r="A2425" s="61"/>
      <c r="B2425" s="15"/>
      <c r="C2425" s="31"/>
      <c r="D2425" s="90"/>
      <c r="E2425" s="16"/>
      <c r="F2425" s="33"/>
      <c r="G2425" s="16"/>
      <c r="H2425" s="16"/>
      <c r="I2425" s="16"/>
      <c r="J2425" s="16"/>
      <c r="K2425" s="16"/>
      <c r="L2425" s="16"/>
      <c r="M2425" s="16"/>
      <c r="N2425" s="16"/>
      <c r="O2425" s="16"/>
      <c r="P2425" s="16"/>
      <c r="Q2425" s="16"/>
      <c r="R2425" s="16"/>
    </row>
    <row r="2426" spans="1:18" ht="18">
      <c r="A2426" s="61"/>
      <c r="B2426" s="15"/>
      <c r="C2426" s="31"/>
      <c r="D2426" s="90"/>
      <c r="E2426" s="16"/>
      <c r="F2426" s="33"/>
      <c r="G2426" s="16"/>
      <c r="H2426" s="16"/>
      <c r="I2426" s="16"/>
      <c r="J2426" s="16"/>
      <c r="K2426" s="16"/>
      <c r="L2426" s="16"/>
      <c r="M2426" s="16"/>
      <c r="N2426" s="16"/>
      <c r="O2426" s="16"/>
      <c r="P2426" s="16"/>
      <c r="Q2426" s="16"/>
      <c r="R2426" s="16"/>
    </row>
    <row r="2427" spans="1:18" ht="18">
      <c r="A2427" s="61"/>
      <c r="B2427" s="15"/>
      <c r="C2427" s="31"/>
      <c r="D2427" s="90"/>
      <c r="E2427" s="16"/>
      <c r="F2427" s="33"/>
      <c r="G2427" s="16"/>
      <c r="H2427" s="16"/>
      <c r="I2427" s="16"/>
      <c r="J2427" s="16"/>
      <c r="K2427" s="16"/>
      <c r="L2427" s="16"/>
      <c r="M2427" s="16"/>
      <c r="N2427" s="16"/>
      <c r="O2427" s="16"/>
      <c r="P2427" s="16"/>
      <c r="Q2427" s="16"/>
      <c r="R2427" s="16"/>
    </row>
    <row r="2428" spans="1:18" ht="18">
      <c r="A2428" s="61"/>
      <c r="B2428" s="15"/>
      <c r="C2428" s="31"/>
      <c r="D2428" s="90"/>
      <c r="E2428" s="16"/>
      <c r="F2428" s="33"/>
      <c r="G2428" s="16"/>
      <c r="H2428" s="16"/>
      <c r="I2428" s="16"/>
      <c r="J2428" s="16"/>
      <c r="K2428" s="16"/>
      <c r="L2428" s="16"/>
      <c r="M2428" s="16"/>
      <c r="N2428" s="16"/>
      <c r="O2428" s="16"/>
      <c r="P2428" s="16"/>
      <c r="Q2428" s="16"/>
      <c r="R2428" s="16"/>
    </row>
    <row r="2429" spans="1:18" ht="18">
      <c r="A2429" s="61"/>
      <c r="B2429" s="15"/>
      <c r="C2429" s="31"/>
      <c r="D2429" s="90"/>
      <c r="E2429" s="16"/>
      <c r="F2429" s="33"/>
      <c r="G2429" s="16"/>
      <c r="H2429" s="16"/>
      <c r="I2429" s="16"/>
      <c r="J2429" s="16"/>
      <c r="K2429" s="16"/>
      <c r="L2429" s="16"/>
      <c r="M2429" s="16"/>
      <c r="N2429" s="16"/>
      <c r="O2429" s="16"/>
      <c r="P2429" s="16"/>
      <c r="Q2429" s="16"/>
      <c r="R2429" s="16"/>
    </row>
    <row r="2430" spans="1:18" ht="18">
      <c r="A2430" s="61"/>
      <c r="B2430" s="15"/>
      <c r="C2430" s="31"/>
      <c r="D2430" s="90"/>
      <c r="E2430" s="16"/>
      <c r="F2430" s="33"/>
      <c r="G2430" s="16"/>
      <c r="H2430" s="16"/>
      <c r="I2430" s="16"/>
      <c r="J2430" s="16"/>
      <c r="K2430" s="16"/>
      <c r="L2430" s="16"/>
      <c r="M2430" s="16"/>
      <c r="N2430" s="16"/>
      <c r="O2430" s="16"/>
      <c r="P2430" s="16"/>
      <c r="Q2430" s="16"/>
      <c r="R2430" s="16"/>
    </row>
    <row r="2431" spans="1:18" ht="18">
      <c r="A2431" s="61"/>
      <c r="B2431" s="15"/>
      <c r="C2431" s="31"/>
      <c r="D2431" s="90"/>
      <c r="E2431" s="16"/>
      <c r="F2431" s="33"/>
      <c r="G2431" s="16"/>
      <c r="H2431" s="16"/>
      <c r="I2431" s="16"/>
      <c r="J2431" s="16"/>
      <c r="K2431" s="16"/>
      <c r="L2431" s="16"/>
      <c r="M2431" s="16"/>
      <c r="N2431" s="16"/>
      <c r="O2431" s="16"/>
      <c r="P2431" s="16"/>
      <c r="Q2431" s="16"/>
      <c r="R2431" s="16"/>
    </row>
    <row r="2432" spans="1:18" ht="18">
      <c r="A2432" s="61"/>
      <c r="B2432" s="15"/>
      <c r="C2432" s="31"/>
      <c r="D2432" s="90"/>
      <c r="E2432" s="16"/>
      <c r="F2432" s="33"/>
      <c r="G2432" s="16"/>
      <c r="H2432" s="16"/>
      <c r="I2432" s="16"/>
      <c r="J2432" s="16"/>
      <c r="K2432" s="16"/>
      <c r="L2432" s="16"/>
      <c r="M2432" s="16"/>
      <c r="N2432" s="16"/>
      <c r="O2432" s="16"/>
      <c r="P2432" s="16"/>
      <c r="Q2432" s="16"/>
      <c r="R2432" s="16"/>
    </row>
    <row r="2433" spans="1:18" ht="18">
      <c r="A2433" s="61"/>
      <c r="B2433" s="15"/>
      <c r="C2433" s="31"/>
      <c r="D2433" s="90"/>
      <c r="E2433" s="16"/>
      <c r="F2433" s="33"/>
      <c r="G2433" s="16"/>
      <c r="H2433" s="16"/>
      <c r="I2433" s="16"/>
      <c r="J2433" s="16"/>
      <c r="K2433" s="16"/>
      <c r="L2433" s="16"/>
      <c r="M2433" s="16"/>
      <c r="N2433" s="16"/>
      <c r="O2433" s="16"/>
      <c r="P2433" s="16"/>
      <c r="Q2433" s="16"/>
      <c r="R2433" s="16"/>
    </row>
    <row r="2434" spans="1:18" ht="18">
      <c r="A2434" s="61"/>
      <c r="B2434" s="15"/>
      <c r="C2434" s="31"/>
      <c r="D2434" s="90"/>
      <c r="E2434" s="16"/>
      <c r="F2434" s="33"/>
      <c r="G2434" s="16"/>
      <c r="H2434" s="16"/>
      <c r="I2434" s="16"/>
      <c r="J2434" s="16"/>
      <c r="K2434" s="16"/>
      <c r="L2434" s="16"/>
      <c r="M2434" s="16"/>
      <c r="N2434" s="16"/>
      <c r="O2434" s="16"/>
      <c r="P2434" s="16"/>
      <c r="Q2434" s="16"/>
      <c r="R2434" s="16"/>
    </row>
    <row r="2435" spans="1:18" ht="18">
      <c r="A2435" s="61"/>
      <c r="B2435" s="15"/>
      <c r="C2435" s="31"/>
      <c r="D2435" s="90"/>
      <c r="E2435" s="16"/>
      <c r="F2435" s="33"/>
      <c r="G2435" s="16"/>
      <c r="H2435" s="16"/>
      <c r="I2435" s="16"/>
      <c r="J2435" s="16"/>
      <c r="K2435" s="16"/>
      <c r="L2435" s="16"/>
      <c r="M2435" s="16"/>
      <c r="N2435" s="16"/>
      <c r="O2435" s="16"/>
      <c r="P2435" s="16"/>
      <c r="Q2435" s="16"/>
      <c r="R2435" s="16"/>
    </row>
    <row r="2436" spans="1:18" ht="18">
      <c r="A2436" s="61"/>
      <c r="B2436" s="15"/>
      <c r="C2436" s="31"/>
      <c r="D2436" s="90"/>
      <c r="E2436" s="16"/>
      <c r="F2436" s="33"/>
      <c r="G2436" s="16"/>
      <c r="H2436" s="16"/>
      <c r="I2436" s="16"/>
      <c r="J2436" s="16"/>
      <c r="K2436" s="16"/>
      <c r="L2436" s="16"/>
      <c r="M2436" s="16"/>
      <c r="N2436" s="16"/>
      <c r="O2436" s="16"/>
      <c r="P2436" s="16"/>
      <c r="Q2436" s="16"/>
      <c r="R2436" s="16"/>
    </row>
    <row r="2437" spans="1:18" ht="18">
      <c r="A2437" s="61"/>
      <c r="B2437" s="15"/>
      <c r="C2437" s="31"/>
      <c r="D2437" s="90"/>
      <c r="E2437" s="16"/>
      <c r="F2437" s="33"/>
      <c r="G2437" s="16"/>
      <c r="H2437" s="16"/>
      <c r="I2437" s="16"/>
      <c r="J2437" s="16"/>
      <c r="K2437" s="16"/>
      <c r="L2437" s="16"/>
      <c r="M2437" s="16"/>
      <c r="N2437" s="16"/>
      <c r="O2437" s="16"/>
      <c r="P2437" s="16"/>
      <c r="Q2437" s="16"/>
      <c r="R2437" s="16"/>
    </row>
    <row r="2438" spans="1:18" ht="18">
      <c r="A2438" s="61"/>
      <c r="B2438" s="15"/>
      <c r="C2438" s="31"/>
      <c r="D2438" s="90"/>
      <c r="E2438" s="16"/>
      <c r="F2438" s="33"/>
      <c r="G2438" s="16"/>
      <c r="H2438" s="16"/>
      <c r="I2438" s="16"/>
      <c r="J2438" s="16"/>
      <c r="K2438" s="16"/>
      <c r="L2438" s="16"/>
      <c r="M2438" s="16"/>
      <c r="N2438" s="16"/>
      <c r="O2438" s="16"/>
      <c r="P2438" s="16"/>
      <c r="Q2438" s="16"/>
      <c r="R2438" s="16"/>
    </row>
    <row r="2439" spans="1:18" ht="18">
      <c r="A2439" s="61"/>
      <c r="B2439" s="15"/>
      <c r="C2439" s="31"/>
      <c r="D2439" s="90"/>
      <c r="E2439" s="16"/>
      <c r="F2439" s="33"/>
      <c r="G2439" s="16"/>
      <c r="H2439" s="16"/>
      <c r="I2439" s="16"/>
      <c r="J2439" s="16"/>
      <c r="K2439" s="16"/>
      <c r="L2439" s="16"/>
      <c r="M2439" s="16"/>
      <c r="N2439" s="16"/>
      <c r="O2439" s="16"/>
      <c r="P2439" s="16"/>
      <c r="Q2439" s="16"/>
      <c r="R2439" s="16"/>
    </row>
    <row r="2440" spans="1:18" ht="18">
      <c r="A2440" s="61"/>
      <c r="B2440" s="15"/>
      <c r="C2440" s="31"/>
      <c r="D2440" s="90"/>
      <c r="E2440" s="16"/>
      <c r="F2440" s="33"/>
      <c r="G2440" s="16"/>
      <c r="H2440" s="16"/>
      <c r="I2440" s="16"/>
      <c r="J2440" s="16"/>
      <c r="K2440" s="16"/>
      <c r="L2440" s="16"/>
      <c r="M2440" s="16"/>
      <c r="N2440" s="16"/>
      <c r="O2440" s="16"/>
      <c r="P2440" s="16"/>
      <c r="Q2440" s="16"/>
      <c r="R2440" s="16"/>
    </row>
    <row r="2441" spans="1:18" ht="18">
      <c r="A2441" s="61"/>
      <c r="B2441" s="15"/>
      <c r="C2441" s="31"/>
      <c r="D2441" s="90"/>
      <c r="E2441" s="16"/>
      <c r="F2441" s="33"/>
      <c r="G2441" s="16"/>
      <c r="H2441" s="16"/>
      <c r="I2441" s="16"/>
      <c r="J2441" s="16"/>
      <c r="K2441" s="16"/>
      <c r="L2441" s="16"/>
      <c r="M2441" s="16"/>
      <c r="N2441" s="16"/>
      <c r="O2441" s="16"/>
      <c r="P2441" s="16"/>
      <c r="Q2441" s="16"/>
      <c r="R2441" s="16"/>
    </row>
    <row r="2442" spans="1:18" ht="18">
      <c r="A2442" s="61"/>
      <c r="B2442" s="15"/>
      <c r="C2442" s="31"/>
      <c r="D2442" s="90"/>
      <c r="E2442" s="16"/>
      <c r="F2442" s="33"/>
      <c r="G2442" s="16"/>
      <c r="H2442" s="16"/>
      <c r="I2442" s="16"/>
      <c r="J2442" s="16"/>
      <c r="K2442" s="16"/>
      <c r="L2442" s="16"/>
      <c r="M2442" s="16"/>
      <c r="N2442" s="16"/>
      <c r="O2442" s="16"/>
      <c r="P2442" s="16"/>
      <c r="Q2442" s="16"/>
      <c r="R2442" s="16"/>
    </row>
    <row r="2443" spans="1:18" ht="18">
      <c r="A2443" s="61"/>
      <c r="B2443" s="15"/>
      <c r="C2443" s="31"/>
      <c r="D2443" s="90"/>
      <c r="E2443" s="16"/>
      <c r="F2443" s="33"/>
      <c r="G2443" s="16"/>
      <c r="H2443" s="16"/>
      <c r="I2443" s="16"/>
      <c r="J2443" s="16"/>
      <c r="K2443" s="16"/>
      <c r="L2443" s="16"/>
      <c r="M2443" s="16"/>
      <c r="N2443" s="16"/>
      <c r="O2443" s="16"/>
      <c r="P2443" s="16"/>
      <c r="Q2443" s="16"/>
      <c r="R2443" s="16"/>
    </row>
    <row r="2444" spans="1:18" ht="18">
      <c r="A2444" s="61"/>
      <c r="B2444" s="15"/>
      <c r="C2444" s="31"/>
      <c r="D2444" s="90"/>
      <c r="E2444" s="16"/>
      <c r="F2444" s="33"/>
      <c r="G2444" s="16"/>
      <c r="H2444" s="16"/>
      <c r="I2444" s="16"/>
      <c r="J2444" s="16"/>
      <c r="K2444" s="16"/>
      <c r="L2444" s="16"/>
      <c r="M2444" s="16"/>
      <c r="N2444" s="16"/>
      <c r="O2444" s="16"/>
      <c r="P2444" s="16"/>
      <c r="Q2444" s="16"/>
      <c r="R2444" s="16"/>
    </row>
    <row r="2445" spans="1:18" ht="18">
      <c r="A2445" s="61"/>
      <c r="B2445" s="15"/>
      <c r="C2445" s="31"/>
      <c r="D2445" s="90"/>
      <c r="E2445" s="16"/>
      <c r="F2445" s="33"/>
      <c r="G2445" s="16"/>
      <c r="H2445" s="16"/>
      <c r="I2445" s="16"/>
      <c r="J2445" s="16"/>
      <c r="K2445" s="16"/>
      <c r="L2445" s="16"/>
      <c r="M2445" s="16"/>
      <c r="N2445" s="16"/>
      <c r="O2445" s="16"/>
      <c r="P2445" s="16"/>
      <c r="Q2445" s="16"/>
      <c r="R2445" s="16"/>
    </row>
    <row r="2446" spans="1:18" ht="18">
      <c r="A2446" s="61"/>
      <c r="B2446" s="15"/>
      <c r="C2446" s="31"/>
      <c r="D2446" s="90"/>
      <c r="E2446" s="16"/>
      <c r="F2446" s="33"/>
      <c r="G2446" s="16"/>
      <c r="H2446" s="16"/>
      <c r="I2446" s="16"/>
      <c r="J2446" s="16"/>
      <c r="K2446" s="16"/>
      <c r="L2446" s="16"/>
      <c r="M2446" s="16"/>
      <c r="N2446" s="16"/>
      <c r="O2446" s="16"/>
      <c r="P2446" s="16"/>
      <c r="Q2446" s="16"/>
      <c r="R2446" s="16"/>
    </row>
    <row r="2447" spans="1:18" ht="18">
      <c r="A2447" s="61"/>
      <c r="B2447" s="15"/>
      <c r="C2447" s="31"/>
      <c r="D2447" s="90"/>
      <c r="E2447" s="16"/>
      <c r="F2447" s="33"/>
      <c r="G2447" s="16"/>
      <c r="H2447" s="16"/>
      <c r="I2447" s="16"/>
      <c r="J2447" s="16"/>
      <c r="K2447" s="16"/>
      <c r="L2447" s="16"/>
      <c r="M2447" s="16"/>
      <c r="N2447" s="16"/>
      <c r="O2447" s="16"/>
      <c r="P2447" s="16"/>
      <c r="Q2447" s="16"/>
      <c r="R2447" s="16"/>
    </row>
    <row r="2448" spans="1:18" ht="18">
      <c r="A2448" s="61"/>
      <c r="B2448" s="15"/>
      <c r="C2448" s="31"/>
      <c r="D2448" s="90"/>
      <c r="E2448" s="16"/>
      <c r="F2448" s="33"/>
      <c r="G2448" s="16"/>
      <c r="H2448" s="16"/>
      <c r="I2448" s="16"/>
      <c r="J2448" s="16"/>
      <c r="K2448" s="16"/>
      <c r="L2448" s="16"/>
      <c r="M2448" s="16"/>
      <c r="N2448" s="16"/>
      <c r="O2448" s="16"/>
      <c r="P2448" s="16"/>
      <c r="Q2448" s="16"/>
      <c r="R2448" s="16"/>
    </row>
    <row r="2449" spans="1:18" ht="18">
      <c r="A2449" s="61"/>
      <c r="B2449" s="15"/>
      <c r="C2449" s="31"/>
      <c r="D2449" s="90"/>
      <c r="E2449" s="16"/>
      <c r="F2449" s="33"/>
      <c r="G2449" s="16"/>
      <c r="H2449" s="16"/>
      <c r="I2449" s="16"/>
      <c r="J2449" s="16"/>
      <c r="K2449" s="16"/>
      <c r="L2449" s="16"/>
      <c r="M2449" s="16"/>
      <c r="N2449" s="16"/>
      <c r="O2449" s="16"/>
      <c r="P2449" s="16"/>
      <c r="Q2449" s="16"/>
      <c r="R2449" s="16"/>
    </row>
    <row r="2450" spans="1:18" ht="18">
      <c r="A2450" s="61"/>
      <c r="B2450" s="15"/>
      <c r="C2450" s="31"/>
      <c r="D2450" s="90"/>
      <c r="E2450" s="16"/>
      <c r="F2450" s="33"/>
      <c r="G2450" s="16"/>
      <c r="H2450" s="16"/>
      <c r="I2450" s="16"/>
      <c r="J2450" s="16"/>
      <c r="K2450" s="16"/>
      <c r="L2450" s="16"/>
      <c r="M2450" s="16"/>
      <c r="N2450" s="16"/>
      <c r="O2450" s="16"/>
      <c r="P2450" s="16"/>
      <c r="Q2450" s="16"/>
      <c r="R2450" s="16"/>
    </row>
    <row r="2451" spans="1:18" ht="18">
      <c r="A2451" s="61"/>
      <c r="B2451" s="15"/>
      <c r="C2451" s="31"/>
      <c r="D2451" s="90"/>
      <c r="E2451" s="16"/>
      <c r="F2451" s="33"/>
      <c r="G2451" s="16"/>
      <c r="H2451" s="16"/>
      <c r="I2451" s="16"/>
      <c r="J2451" s="16"/>
      <c r="K2451" s="16"/>
      <c r="L2451" s="16"/>
      <c r="M2451" s="16"/>
      <c r="N2451" s="16"/>
      <c r="O2451" s="16"/>
      <c r="P2451" s="16"/>
      <c r="Q2451" s="16"/>
      <c r="R2451" s="16"/>
    </row>
    <row r="2452" spans="1:18" ht="18">
      <c r="A2452" s="61"/>
      <c r="B2452" s="15"/>
      <c r="C2452" s="31"/>
      <c r="D2452" s="90"/>
      <c r="E2452" s="16"/>
      <c r="F2452" s="33"/>
      <c r="G2452" s="16"/>
      <c r="H2452" s="16"/>
      <c r="I2452" s="16"/>
      <c r="J2452" s="16"/>
      <c r="K2452" s="16"/>
      <c r="L2452" s="16"/>
      <c r="M2452" s="16"/>
      <c r="N2452" s="16"/>
      <c r="O2452" s="16"/>
      <c r="P2452" s="16"/>
      <c r="Q2452" s="16"/>
      <c r="R2452" s="16"/>
    </row>
    <row r="2453" spans="1:18" ht="18">
      <c r="A2453" s="61"/>
      <c r="B2453" s="15"/>
      <c r="C2453" s="31"/>
      <c r="D2453" s="90"/>
      <c r="E2453" s="16"/>
      <c r="F2453" s="33"/>
      <c r="G2453" s="16"/>
      <c r="H2453" s="16"/>
      <c r="I2453" s="16"/>
      <c r="J2453" s="16"/>
      <c r="K2453" s="16"/>
      <c r="L2453" s="16"/>
      <c r="M2453" s="16"/>
      <c r="N2453" s="16"/>
      <c r="O2453" s="16"/>
      <c r="P2453" s="16"/>
      <c r="Q2453" s="16"/>
      <c r="R2453" s="16"/>
    </row>
    <row r="2454" spans="1:18" ht="18">
      <c r="A2454" s="61"/>
      <c r="B2454" s="15"/>
      <c r="C2454" s="31"/>
      <c r="D2454" s="90"/>
      <c r="E2454" s="16"/>
      <c r="F2454" s="33"/>
      <c r="G2454" s="16"/>
      <c r="H2454" s="16"/>
      <c r="I2454" s="16"/>
      <c r="J2454" s="16"/>
      <c r="K2454" s="16"/>
      <c r="L2454" s="16"/>
      <c r="M2454" s="16"/>
      <c r="N2454" s="16"/>
      <c r="O2454" s="16"/>
      <c r="P2454" s="16"/>
      <c r="Q2454" s="16"/>
      <c r="R2454" s="16"/>
    </row>
    <row r="2455" spans="1:18" ht="18">
      <c r="A2455" s="61"/>
      <c r="B2455" s="15"/>
      <c r="C2455" s="31"/>
      <c r="D2455" s="90"/>
      <c r="E2455" s="16"/>
      <c r="F2455" s="33"/>
      <c r="G2455" s="16"/>
      <c r="H2455" s="16"/>
      <c r="I2455" s="16"/>
      <c r="J2455" s="16"/>
      <c r="K2455" s="16"/>
      <c r="L2455" s="16"/>
      <c r="M2455" s="16"/>
      <c r="N2455" s="16"/>
      <c r="O2455" s="16"/>
      <c r="P2455" s="16"/>
      <c r="Q2455" s="16"/>
      <c r="R2455" s="16"/>
    </row>
    <row r="2456" spans="1:18" ht="18">
      <c r="A2456" s="61"/>
      <c r="B2456" s="15"/>
      <c r="C2456" s="31"/>
      <c r="D2456" s="90"/>
      <c r="E2456" s="16"/>
      <c r="F2456" s="33"/>
      <c r="G2456" s="16"/>
      <c r="H2456" s="16"/>
      <c r="I2456" s="16"/>
      <c r="J2456" s="16"/>
      <c r="K2456" s="16"/>
      <c r="L2456" s="16"/>
      <c r="M2456" s="16"/>
      <c r="N2456" s="16"/>
      <c r="O2456" s="16"/>
      <c r="P2456" s="16"/>
      <c r="Q2456" s="16"/>
      <c r="R2456" s="16"/>
    </row>
    <row r="2457" spans="1:18" ht="18">
      <c r="A2457" s="61"/>
      <c r="B2457" s="15"/>
      <c r="C2457" s="31"/>
      <c r="D2457" s="90"/>
      <c r="E2457" s="16"/>
      <c r="F2457" s="33"/>
      <c r="G2457" s="16"/>
      <c r="H2457" s="16"/>
      <c r="I2457" s="16"/>
      <c r="J2457" s="16"/>
      <c r="K2457" s="16"/>
      <c r="L2457" s="16"/>
      <c r="M2457" s="16"/>
      <c r="N2457" s="16"/>
      <c r="O2457" s="16"/>
      <c r="P2457" s="16"/>
      <c r="Q2457" s="16"/>
      <c r="R2457" s="16"/>
    </row>
    <row r="2458" spans="1:18" ht="18">
      <c r="A2458" s="61"/>
      <c r="B2458" s="15"/>
      <c r="C2458" s="31"/>
      <c r="D2458" s="90"/>
      <c r="E2458" s="16"/>
      <c r="F2458" s="33"/>
      <c r="G2458" s="16"/>
      <c r="H2458" s="16"/>
      <c r="I2458" s="16"/>
      <c r="J2458" s="16"/>
      <c r="K2458" s="16"/>
      <c r="L2458" s="16"/>
      <c r="M2458" s="16"/>
      <c r="N2458" s="16"/>
      <c r="O2458" s="16"/>
      <c r="P2458" s="16"/>
      <c r="Q2458" s="16"/>
      <c r="R2458" s="16"/>
    </row>
    <row r="2459" spans="1:18" ht="18">
      <c r="A2459" s="61"/>
      <c r="B2459" s="15"/>
      <c r="C2459" s="31"/>
      <c r="D2459" s="90"/>
      <c r="E2459" s="16"/>
      <c r="F2459" s="33"/>
      <c r="G2459" s="16"/>
      <c r="H2459" s="16"/>
      <c r="I2459" s="16"/>
      <c r="J2459" s="16"/>
      <c r="K2459" s="16"/>
      <c r="L2459" s="16"/>
      <c r="M2459" s="16"/>
      <c r="N2459" s="16"/>
      <c r="O2459" s="16"/>
      <c r="P2459" s="16"/>
      <c r="Q2459" s="16"/>
      <c r="R2459" s="16"/>
    </row>
    <row r="2460" spans="1:18" ht="18">
      <c r="A2460" s="61"/>
      <c r="B2460" s="15"/>
      <c r="C2460" s="31"/>
      <c r="D2460" s="90"/>
      <c r="E2460" s="16"/>
      <c r="F2460" s="33"/>
      <c r="G2460" s="16"/>
      <c r="H2460" s="16"/>
      <c r="I2460" s="16"/>
      <c r="J2460" s="16"/>
      <c r="K2460" s="16"/>
      <c r="L2460" s="16"/>
      <c r="M2460" s="16"/>
      <c r="N2460" s="16"/>
      <c r="O2460" s="16"/>
      <c r="P2460" s="16"/>
      <c r="Q2460" s="16"/>
      <c r="R2460" s="16"/>
    </row>
    <row r="2461" spans="1:18" ht="18">
      <c r="A2461" s="61"/>
      <c r="B2461" s="15"/>
      <c r="C2461" s="31"/>
      <c r="D2461" s="90"/>
      <c r="E2461" s="16"/>
      <c r="F2461" s="33"/>
      <c r="G2461" s="16"/>
      <c r="H2461" s="16"/>
      <c r="I2461" s="16"/>
      <c r="J2461" s="16"/>
      <c r="K2461" s="16"/>
      <c r="L2461" s="16"/>
      <c r="M2461" s="16"/>
      <c r="N2461" s="16"/>
      <c r="O2461" s="16"/>
      <c r="P2461" s="16"/>
      <c r="Q2461" s="16"/>
      <c r="R2461" s="16"/>
    </row>
    <row r="2462" spans="1:18" ht="18">
      <c r="A2462" s="61"/>
      <c r="B2462" s="15"/>
      <c r="C2462" s="31"/>
      <c r="D2462" s="90"/>
      <c r="E2462" s="16"/>
      <c r="F2462" s="33"/>
      <c r="G2462" s="16"/>
      <c r="H2462" s="16"/>
      <c r="I2462" s="16"/>
      <c r="J2462" s="16"/>
      <c r="K2462" s="16"/>
      <c r="L2462" s="16"/>
      <c r="M2462" s="16"/>
      <c r="N2462" s="16"/>
      <c r="O2462" s="16"/>
      <c r="P2462" s="16"/>
      <c r="Q2462" s="16"/>
      <c r="R2462" s="16"/>
    </row>
    <row r="2463" spans="1:18" ht="18">
      <c r="A2463" s="61"/>
      <c r="B2463" s="15"/>
      <c r="C2463" s="31"/>
      <c r="D2463" s="90"/>
      <c r="E2463" s="16"/>
      <c r="F2463" s="33"/>
      <c r="G2463" s="16"/>
      <c r="H2463" s="16"/>
      <c r="I2463" s="16"/>
      <c r="J2463" s="16"/>
      <c r="K2463" s="16"/>
      <c r="L2463" s="16"/>
      <c r="M2463" s="16"/>
      <c r="N2463" s="16"/>
      <c r="O2463" s="16"/>
      <c r="P2463" s="16"/>
      <c r="Q2463" s="16"/>
      <c r="R2463" s="16"/>
    </row>
    <row r="2464" spans="1:18" ht="18">
      <c r="A2464" s="61"/>
      <c r="B2464" s="15"/>
      <c r="C2464" s="31"/>
      <c r="D2464" s="90"/>
      <c r="E2464" s="16"/>
      <c r="F2464" s="33"/>
      <c r="G2464" s="16"/>
      <c r="H2464" s="16"/>
      <c r="I2464" s="16"/>
      <c r="J2464" s="16"/>
      <c r="K2464" s="16"/>
      <c r="L2464" s="16"/>
      <c r="M2464" s="16"/>
      <c r="N2464" s="16"/>
      <c r="O2464" s="16"/>
      <c r="P2464" s="16"/>
      <c r="Q2464" s="16"/>
      <c r="R2464" s="16"/>
    </row>
    <row r="2465" spans="1:18" ht="18">
      <c r="A2465" s="61"/>
      <c r="B2465" s="15"/>
      <c r="C2465" s="31"/>
      <c r="D2465" s="90"/>
      <c r="E2465" s="16"/>
      <c r="F2465" s="33"/>
      <c r="G2465" s="16"/>
      <c r="H2465" s="16"/>
      <c r="I2465" s="16"/>
      <c r="J2465" s="16"/>
      <c r="K2465" s="16"/>
      <c r="L2465" s="16"/>
      <c r="M2465" s="16"/>
      <c r="N2465" s="16"/>
      <c r="O2465" s="16"/>
      <c r="P2465" s="16"/>
      <c r="Q2465" s="16"/>
      <c r="R2465" s="16"/>
    </row>
    <row r="2466" spans="1:18" ht="18">
      <c r="A2466" s="61"/>
      <c r="B2466" s="15"/>
      <c r="C2466" s="31"/>
      <c r="D2466" s="90"/>
      <c r="E2466" s="16"/>
      <c r="F2466" s="33"/>
      <c r="G2466" s="16"/>
      <c r="H2466" s="16"/>
      <c r="I2466" s="16"/>
      <c r="J2466" s="16"/>
      <c r="K2466" s="16"/>
      <c r="L2466" s="16"/>
      <c r="M2466" s="16"/>
      <c r="N2466" s="16"/>
      <c r="O2466" s="16"/>
      <c r="P2466" s="16"/>
      <c r="Q2466" s="16"/>
      <c r="R2466" s="16"/>
    </row>
    <row r="2467" spans="1:18" ht="18">
      <c r="A2467" s="61"/>
      <c r="B2467" s="15"/>
      <c r="C2467" s="31"/>
      <c r="D2467" s="90"/>
      <c r="E2467" s="16"/>
      <c r="F2467" s="33"/>
      <c r="G2467" s="16"/>
      <c r="H2467" s="16"/>
      <c r="I2467" s="16"/>
      <c r="J2467" s="16"/>
      <c r="K2467" s="16"/>
      <c r="L2467" s="16"/>
      <c r="M2467" s="16"/>
      <c r="N2467" s="16"/>
      <c r="O2467" s="16"/>
      <c r="P2467" s="16"/>
      <c r="Q2467" s="16"/>
      <c r="R2467" s="16"/>
    </row>
    <row r="2468" spans="1:18" ht="18">
      <c r="A2468" s="61"/>
      <c r="B2468" s="15"/>
      <c r="C2468" s="31"/>
      <c r="D2468" s="90"/>
      <c r="E2468" s="16"/>
      <c r="F2468" s="33"/>
      <c r="G2468" s="16"/>
      <c r="H2468" s="16"/>
      <c r="I2468" s="16"/>
      <c r="J2468" s="16"/>
      <c r="K2468" s="16"/>
      <c r="L2468" s="16"/>
      <c r="M2468" s="16"/>
      <c r="N2468" s="16"/>
      <c r="O2468" s="16"/>
      <c r="P2468" s="16"/>
      <c r="Q2468" s="16"/>
      <c r="R2468" s="16"/>
    </row>
    <row r="2469" spans="1:18" ht="18">
      <c r="A2469" s="61"/>
      <c r="B2469" s="15"/>
      <c r="C2469" s="31"/>
      <c r="D2469" s="90"/>
      <c r="E2469" s="16"/>
      <c r="F2469" s="33"/>
      <c r="G2469" s="16"/>
      <c r="H2469" s="16"/>
      <c r="I2469" s="16"/>
      <c r="J2469" s="16"/>
      <c r="K2469" s="16"/>
      <c r="L2469" s="16"/>
      <c r="M2469" s="16"/>
      <c r="N2469" s="16"/>
      <c r="O2469" s="16"/>
      <c r="P2469" s="16"/>
      <c r="Q2469" s="16"/>
      <c r="R2469" s="16"/>
    </row>
    <row r="2470" spans="1:18" ht="18">
      <c r="A2470" s="61"/>
      <c r="B2470" s="15"/>
      <c r="C2470" s="31"/>
      <c r="D2470" s="90"/>
      <c r="E2470" s="16"/>
      <c r="F2470" s="33"/>
      <c r="G2470" s="16"/>
      <c r="H2470" s="16"/>
      <c r="I2470" s="16"/>
      <c r="J2470" s="16"/>
      <c r="K2470" s="16"/>
      <c r="L2470" s="16"/>
      <c r="M2470" s="16"/>
      <c r="N2470" s="16"/>
      <c r="O2470" s="16"/>
      <c r="P2470" s="16"/>
      <c r="Q2470" s="16"/>
      <c r="R2470" s="16"/>
    </row>
    <row r="2471" spans="1:18" ht="18">
      <c r="A2471" s="61"/>
      <c r="B2471" s="15"/>
      <c r="C2471" s="31"/>
      <c r="D2471" s="90"/>
      <c r="E2471" s="16"/>
      <c r="F2471" s="33"/>
      <c r="G2471" s="16"/>
      <c r="H2471" s="16"/>
      <c r="I2471" s="16"/>
      <c r="J2471" s="16"/>
      <c r="K2471" s="16"/>
      <c r="L2471" s="16"/>
      <c r="M2471" s="16"/>
      <c r="N2471" s="16"/>
      <c r="O2471" s="16"/>
      <c r="P2471" s="16"/>
      <c r="Q2471" s="16"/>
      <c r="R2471" s="16"/>
    </row>
    <row r="2472" spans="1:18" ht="18">
      <c r="A2472" s="61"/>
      <c r="B2472" s="15"/>
      <c r="C2472" s="31"/>
      <c r="D2472" s="90"/>
      <c r="E2472" s="16"/>
      <c r="F2472" s="33"/>
      <c r="G2472" s="16"/>
      <c r="H2472" s="16"/>
      <c r="I2472" s="16"/>
      <c r="J2472" s="16"/>
      <c r="K2472" s="16"/>
      <c r="L2472" s="16"/>
      <c r="M2472" s="16"/>
      <c r="N2472" s="16"/>
      <c r="O2472" s="16"/>
      <c r="P2472" s="16"/>
      <c r="Q2472" s="16"/>
      <c r="R2472" s="16"/>
    </row>
    <row r="2473" spans="1:18" ht="18">
      <c r="A2473" s="61"/>
      <c r="B2473" s="15"/>
      <c r="C2473" s="31"/>
      <c r="D2473" s="90"/>
      <c r="E2473" s="16"/>
      <c r="F2473" s="33"/>
      <c r="G2473" s="16"/>
      <c r="H2473" s="16"/>
      <c r="I2473" s="16"/>
      <c r="J2473" s="16"/>
      <c r="K2473" s="16"/>
      <c r="L2473" s="16"/>
      <c r="M2473" s="16"/>
      <c r="N2473" s="16"/>
      <c r="O2473" s="16"/>
      <c r="P2473" s="16"/>
      <c r="Q2473" s="16"/>
      <c r="R2473" s="16"/>
    </row>
    <row r="2474" spans="1:18" ht="18">
      <c r="A2474" s="61"/>
      <c r="B2474" s="15"/>
      <c r="C2474" s="31"/>
      <c r="D2474" s="90"/>
      <c r="E2474" s="16"/>
      <c r="F2474" s="33"/>
      <c r="G2474" s="16"/>
      <c r="H2474" s="16"/>
      <c r="I2474" s="16"/>
      <c r="J2474" s="16"/>
      <c r="K2474" s="16"/>
      <c r="L2474" s="16"/>
      <c r="M2474" s="16"/>
      <c r="N2474" s="16"/>
      <c r="O2474" s="16"/>
      <c r="P2474" s="16"/>
      <c r="Q2474" s="16"/>
      <c r="R2474" s="16"/>
    </row>
    <row r="2475" spans="1:18" ht="18">
      <c r="A2475" s="61"/>
      <c r="B2475" s="15"/>
      <c r="C2475" s="31"/>
      <c r="D2475" s="90"/>
      <c r="E2475" s="16"/>
      <c r="F2475" s="33"/>
      <c r="G2475" s="16"/>
      <c r="H2475" s="16"/>
      <c r="I2475" s="16"/>
      <c r="J2475" s="16"/>
      <c r="K2475" s="16"/>
      <c r="L2475" s="16"/>
      <c r="M2475" s="16"/>
      <c r="N2475" s="16"/>
      <c r="O2475" s="16"/>
      <c r="P2475" s="16"/>
      <c r="Q2475" s="16"/>
      <c r="R2475" s="16"/>
    </row>
    <row r="2476" spans="1:18" ht="18">
      <c r="A2476" s="61"/>
      <c r="B2476" s="15"/>
      <c r="C2476" s="31"/>
      <c r="D2476" s="90"/>
      <c r="E2476" s="16"/>
      <c r="F2476" s="33"/>
      <c r="G2476" s="16"/>
      <c r="H2476" s="16"/>
      <c r="I2476" s="16"/>
      <c r="J2476" s="16"/>
      <c r="K2476" s="16"/>
      <c r="L2476" s="16"/>
      <c r="M2476" s="16"/>
      <c r="N2476" s="16"/>
      <c r="O2476" s="16"/>
      <c r="P2476" s="16"/>
      <c r="Q2476" s="16"/>
      <c r="R2476" s="16"/>
    </row>
    <row r="2477" spans="1:18" ht="18">
      <c r="A2477" s="61"/>
      <c r="B2477" s="15"/>
      <c r="C2477" s="31"/>
      <c r="D2477" s="90"/>
      <c r="E2477" s="16"/>
      <c r="F2477" s="33"/>
      <c r="G2477" s="16"/>
      <c r="H2477" s="16"/>
      <c r="I2477" s="16"/>
      <c r="J2477" s="16"/>
      <c r="K2477" s="16"/>
      <c r="L2477" s="16"/>
      <c r="M2477" s="16"/>
      <c r="N2477" s="16"/>
      <c r="O2477" s="16"/>
      <c r="P2477" s="16"/>
      <c r="Q2477" s="16"/>
      <c r="R2477" s="16"/>
    </row>
    <row r="2478" spans="1:18" ht="18">
      <c r="A2478" s="61"/>
      <c r="B2478" s="15"/>
      <c r="C2478" s="31"/>
      <c r="D2478" s="90"/>
      <c r="E2478" s="16"/>
      <c r="F2478" s="33"/>
      <c r="G2478" s="16"/>
      <c r="H2478" s="16"/>
      <c r="I2478" s="16"/>
      <c r="J2478" s="16"/>
      <c r="K2478" s="16"/>
      <c r="L2478" s="16"/>
      <c r="M2478" s="16"/>
      <c r="N2478" s="16"/>
      <c r="O2478" s="16"/>
      <c r="P2478" s="16"/>
      <c r="Q2478" s="16"/>
      <c r="R2478" s="16"/>
    </row>
    <row r="2479" spans="1:18" ht="18">
      <c r="A2479" s="61"/>
      <c r="B2479" s="15"/>
      <c r="C2479" s="31"/>
      <c r="D2479" s="90"/>
      <c r="E2479" s="16"/>
      <c r="F2479" s="33"/>
      <c r="G2479" s="16"/>
      <c r="H2479" s="16"/>
      <c r="I2479" s="16"/>
      <c r="J2479" s="16"/>
      <c r="K2479" s="16"/>
      <c r="L2479" s="16"/>
      <c r="M2479" s="16"/>
      <c r="N2479" s="16"/>
      <c r="O2479" s="16"/>
      <c r="P2479" s="16"/>
      <c r="Q2479" s="16"/>
      <c r="R2479" s="16"/>
    </row>
    <row r="2480" spans="1:18" ht="18">
      <c r="A2480" s="61"/>
      <c r="B2480" s="15"/>
      <c r="C2480" s="31"/>
      <c r="D2480" s="90"/>
      <c r="E2480" s="16"/>
      <c r="F2480" s="33"/>
      <c r="G2480" s="16"/>
      <c r="H2480" s="16"/>
      <c r="I2480" s="16"/>
      <c r="J2480" s="16"/>
      <c r="K2480" s="16"/>
      <c r="L2480" s="16"/>
      <c r="M2480" s="16"/>
      <c r="N2480" s="16"/>
      <c r="O2480" s="16"/>
      <c r="P2480" s="16"/>
      <c r="Q2480" s="16"/>
      <c r="R2480" s="16"/>
    </row>
    <row r="2481" spans="1:18" ht="18">
      <c r="A2481" s="61"/>
      <c r="B2481" s="15"/>
      <c r="C2481" s="31"/>
      <c r="D2481" s="90"/>
      <c r="E2481" s="16"/>
      <c r="F2481" s="33"/>
      <c r="G2481" s="16"/>
      <c r="H2481" s="16"/>
      <c r="I2481" s="16"/>
      <c r="J2481" s="16"/>
      <c r="K2481" s="16"/>
      <c r="L2481" s="16"/>
      <c r="M2481" s="16"/>
      <c r="N2481" s="16"/>
      <c r="O2481" s="16"/>
      <c r="P2481" s="16"/>
      <c r="Q2481" s="16"/>
      <c r="R2481" s="16"/>
    </row>
    <row r="2482" spans="1:18" ht="18">
      <c r="A2482" s="61"/>
      <c r="B2482" s="15"/>
      <c r="C2482" s="31"/>
      <c r="D2482" s="90"/>
      <c r="E2482" s="16"/>
      <c r="F2482" s="33"/>
      <c r="G2482" s="16"/>
      <c r="H2482" s="16"/>
      <c r="I2482" s="16"/>
      <c r="J2482" s="16"/>
      <c r="K2482" s="16"/>
      <c r="L2482" s="16"/>
      <c r="M2482" s="16"/>
      <c r="N2482" s="16"/>
      <c r="O2482" s="16"/>
      <c r="P2482" s="16"/>
      <c r="Q2482" s="16"/>
      <c r="R2482" s="16"/>
    </row>
    <row r="2483" spans="1:18" ht="18">
      <c r="A2483" s="61"/>
      <c r="B2483" s="15"/>
      <c r="C2483" s="31"/>
      <c r="D2483" s="90"/>
      <c r="E2483" s="16"/>
      <c r="F2483" s="33"/>
      <c r="G2483" s="16"/>
      <c r="H2483" s="16"/>
      <c r="I2483" s="16"/>
      <c r="J2483" s="16"/>
      <c r="K2483" s="16"/>
      <c r="L2483" s="16"/>
      <c r="M2483" s="16"/>
      <c r="N2483" s="16"/>
      <c r="O2483" s="16"/>
      <c r="P2483" s="16"/>
      <c r="Q2483" s="16"/>
      <c r="R2483" s="16"/>
    </row>
    <row r="2484" spans="1:18" ht="18">
      <c r="A2484" s="61"/>
      <c r="B2484" s="15"/>
      <c r="C2484" s="31"/>
      <c r="D2484" s="90"/>
      <c r="E2484" s="16"/>
      <c r="F2484" s="33"/>
      <c r="G2484" s="16"/>
      <c r="H2484" s="16"/>
      <c r="I2484" s="16"/>
      <c r="J2484" s="16"/>
      <c r="K2484" s="16"/>
      <c r="L2484" s="16"/>
      <c r="M2484" s="16"/>
      <c r="N2484" s="16"/>
      <c r="O2484" s="16"/>
      <c r="P2484" s="16"/>
      <c r="Q2484" s="16"/>
      <c r="R2484" s="16"/>
    </row>
    <row r="2485" spans="1:18" ht="18">
      <c r="A2485" s="61"/>
      <c r="B2485" s="15"/>
      <c r="C2485" s="31"/>
      <c r="D2485" s="90"/>
      <c r="E2485" s="16"/>
      <c r="F2485" s="33"/>
      <c r="G2485" s="16"/>
      <c r="H2485" s="16"/>
      <c r="I2485" s="16"/>
      <c r="J2485" s="16"/>
      <c r="K2485" s="16"/>
      <c r="L2485" s="16"/>
      <c r="M2485" s="16"/>
      <c r="N2485" s="16"/>
      <c r="O2485" s="16"/>
      <c r="P2485" s="16"/>
      <c r="Q2485" s="16"/>
      <c r="R2485" s="16"/>
    </row>
    <row r="2486" spans="1:18" ht="18">
      <c r="A2486" s="61"/>
      <c r="B2486" s="15"/>
      <c r="C2486" s="31"/>
      <c r="D2486" s="90"/>
      <c r="E2486" s="16"/>
      <c r="F2486" s="33"/>
      <c r="G2486" s="16"/>
      <c r="H2486" s="16"/>
      <c r="I2486" s="16"/>
      <c r="J2486" s="16"/>
      <c r="K2486" s="16"/>
      <c r="L2486" s="16"/>
      <c r="M2486" s="16"/>
      <c r="N2486" s="16"/>
      <c r="O2486" s="16"/>
      <c r="P2486" s="16"/>
      <c r="Q2486" s="16"/>
      <c r="R2486" s="16"/>
    </row>
    <row r="2487" spans="1:18" ht="18">
      <c r="A2487" s="61"/>
      <c r="B2487" s="15"/>
      <c r="C2487" s="31"/>
      <c r="D2487" s="90"/>
      <c r="E2487" s="16"/>
      <c r="F2487" s="33"/>
      <c r="G2487" s="16"/>
      <c r="H2487" s="16"/>
      <c r="I2487" s="16"/>
      <c r="J2487" s="16"/>
      <c r="K2487" s="16"/>
      <c r="L2487" s="16"/>
      <c r="M2487" s="16"/>
      <c r="N2487" s="16"/>
      <c r="O2487" s="16"/>
      <c r="P2487" s="16"/>
      <c r="Q2487" s="16"/>
      <c r="R2487" s="16"/>
    </row>
    <row r="2488" spans="1:18" ht="18">
      <c r="A2488" s="61"/>
      <c r="B2488" s="15"/>
      <c r="C2488" s="31"/>
      <c r="D2488" s="90"/>
      <c r="E2488" s="16"/>
      <c r="F2488" s="33"/>
      <c r="G2488" s="16"/>
      <c r="H2488" s="16"/>
      <c r="I2488" s="16"/>
      <c r="J2488" s="16"/>
      <c r="K2488" s="16"/>
      <c r="L2488" s="16"/>
      <c r="M2488" s="16"/>
      <c r="N2488" s="16"/>
      <c r="O2488" s="16"/>
      <c r="P2488" s="16"/>
      <c r="Q2488" s="16"/>
      <c r="R2488" s="16"/>
    </row>
    <row r="2489" spans="1:18" ht="18">
      <c r="A2489" s="61"/>
      <c r="B2489" s="15"/>
      <c r="C2489" s="31"/>
      <c r="D2489" s="90"/>
      <c r="E2489" s="16"/>
      <c r="F2489" s="33"/>
      <c r="G2489" s="16"/>
      <c r="H2489" s="16"/>
      <c r="I2489" s="16"/>
      <c r="J2489" s="16"/>
      <c r="K2489" s="16"/>
      <c r="L2489" s="16"/>
      <c r="M2489" s="16"/>
      <c r="N2489" s="16"/>
      <c r="O2489" s="16"/>
      <c r="P2489" s="16"/>
      <c r="Q2489" s="16"/>
      <c r="R2489" s="16"/>
    </row>
    <row r="2490" spans="1:18" ht="18">
      <c r="A2490" s="61"/>
      <c r="B2490" s="15"/>
      <c r="C2490" s="31"/>
      <c r="D2490" s="90"/>
      <c r="E2490" s="16"/>
      <c r="F2490" s="33"/>
      <c r="G2490" s="16"/>
      <c r="H2490" s="16"/>
      <c r="I2490" s="16"/>
      <c r="J2490" s="16"/>
      <c r="K2490" s="16"/>
      <c r="L2490" s="16"/>
      <c r="M2490" s="16"/>
      <c r="N2490" s="16"/>
      <c r="O2490" s="16"/>
      <c r="P2490" s="16"/>
      <c r="Q2490" s="16"/>
      <c r="R2490" s="16"/>
    </row>
    <row r="2491" spans="1:18" ht="18">
      <c r="A2491" s="61"/>
      <c r="B2491" s="15"/>
      <c r="C2491" s="31"/>
      <c r="D2491" s="90"/>
      <c r="E2491" s="16"/>
      <c r="F2491" s="33"/>
      <c r="G2491" s="16"/>
      <c r="H2491" s="16"/>
      <c r="I2491" s="16"/>
      <c r="J2491" s="16"/>
      <c r="K2491" s="16"/>
      <c r="L2491" s="16"/>
      <c r="M2491" s="16"/>
      <c r="N2491" s="16"/>
      <c r="O2491" s="16"/>
      <c r="P2491" s="16"/>
      <c r="Q2491" s="16"/>
      <c r="R2491" s="16"/>
    </row>
    <row r="2492" spans="1:18" ht="18">
      <c r="A2492" s="61"/>
      <c r="B2492" s="15"/>
      <c r="C2492" s="31"/>
      <c r="D2492" s="90"/>
      <c r="E2492" s="16"/>
      <c r="F2492" s="33"/>
      <c r="G2492" s="16"/>
      <c r="H2492" s="16"/>
      <c r="I2492" s="16"/>
      <c r="J2492" s="16"/>
      <c r="K2492" s="16"/>
      <c r="L2492" s="16"/>
      <c r="M2492" s="16"/>
      <c r="N2492" s="16"/>
      <c r="O2492" s="16"/>
      <c r="P2492" s="16"/>
      <c r="Q2492" s="16"/>
      <c r="R2492" s="16"/>
    </row>
    <row r="2493" spans="1:18" ht="18">
      <c r="A2493" s="61"/>
      <c r="B2493" s="15"/>
      <c r="C2493" s="31"/>
      <c r="D2493" s="90"/>
      <c r="E2493" s="16"/>
      <c r="F2493" s="33"/>
      <c r="G2493" s="16"/>
      <c r="H2493" s="16"/>
      <c r="I2493" s="16"/>
      <c r="J2493" s="16"/>
      <c r="K2493" s="16"/>
      <c r="L2493" s="16"/>
      <c r="M2493" s="16"/>
      <c r="N2493" s="16"/>
      <c r="O2493" s="16"/>
      <c r="P2493" s="16"/>
      <c r="Q2493" s="16"/>
      <c r="R2493" s="16"/>
    </row>
    <row r="2494" spans="1:18" ht="18">
      <c r="A2494" s="61"/>
      <c r="B2494" s="15"/>
      <c r="C2494" s="31"/>
      <c r="D2494" s="90"/>
      <c r="E2494" s="16"/>
      <c r="F2494" s="33"/>
      <c r="G2494" s="16"/>
      <c r="H2494" s="16"/>
      <c r="I2494" s="16"/>
      <c r="J2494" s="16"/>
      <c r="K2494" s="16"/>
      <c r="L2494" s="16"/>
      <c r="M2494" s="16"/>
      <c r="N2494" s="16"/>
      <c r="O2494" s="16"/>
      <c r="P2494" s="16"/>
      <c r="Q2494" s="16"/>
      <c r="R2494" s="16"/>
    </row>
    <row r="2495" spans="1:18" ht="18">
      <c r="A2495" s="61"/>
      <c r="B2495" s="15"/>
      <c r="C2495" s="31"/>
      <c r="D2495" s="90"/>
      <c r="E2495" s="16"/>
      <c r="F2495" s="33"/>
      <c r="G2495" s="16"/>
      <c r="H2495" s="16"/>
      <c r="I2495" s="16"/>
      <c r="J2495" s="16"/>
      <c r="K2495" s="16"/>
      <c r="L2495" s="16"/>
      <c r="M2495" s="16"/>
      <c r="N2495" s="16"/>
      <c r="O2495" s="16"/>
      <c r="P2495" s="16"/>
      <c r="Q2495" s="16"/>
      <c r="R2495" s="16"/>
    </row>
    <row r="2496" spans="1:18" ht="18">
      <c r="A2496" s="61"/>
      <c r="B2496" s="15"/>
      <c r="C2496" s="31"/>
      <c r="D2496" s="90"/>
      <c r="E2496" s="16"/>
      <c r="F2496" s="33"/>
      <c r="G2496" s="16"/>
      <c r="H2496" s="16"/>
      <c r="I2496" s="16"/>
      <c r="J2496" s="16"/>
      <c r="K2496" s="16"/>
      <c r="L2496" s="16"/>
      <c r="M2496" s="16"/>
      <c r="N2496" s="16"/>
      <c r="O2496" s="16"/>
      <c r="P2496" s="16"/>
      <c r="Q2496" s="16"/>
      <c r="R2496" s="16"/>
    </row>
    <row r="2497" spans="1:18" ht="18">
      <c r="A2497" s="61"/>
      <c r="B2497" s="15"/>
      <c r="C2497" s="31"/>
      <c r="D2497" s="90"/>
      <c r="E2497" s="16"/>
      <c r="F2497" s="33"/>
      <c r="G2497" s="16"/>
      <c r="H2497" s="16"/>
      <c r="I2497" s="16"/>
      <c r="J2497" s="16"/>
      <c r="K2497" s="16"/>
      <c r="L2497" s="16"/>
      <c r="M2497" s="16"/>
      <c r="N2497" s="16"/>
      <c r="O2497" s="16"/>
      <c r="P2497" s="16"/>
      <c r="Q2497" s="16"/>
      <c r="R2497" s="16"/>
    </row>
    <row r="2498" spans="1:18" ht="18">
      <c r="A2498" s="61"/>
      <c r="B2498" s="15"/>
      <c r="C2498" s="31"/>
      <c r="D2498" s="90"/>
      <c r="E2498" s="16"/>
      <c r="F2498" s="33"/>
      <c r="G2498" s="16"/>
      <c r="H2498" s="16"/>
      <c r="I2498" s="16"/>
      <c r="J2498" s="16"/>
      <c r="K2498" s="16"/>
      <c r="L2498" s="16"/>
      <c r="M2498" s="16"/>
      <c r="N2498" s="16"/>
      <c r="O2498" s="16"/>
      <c r="P2498" s="16"/>
      <c r="Q2498" s="16"/>
      <c r="R2498" s="16"/>
    </row>
    <row r="2499" spans="1:18" ht="18">
      <c r="A2499" s="61"/>
      <c r="B2499" s="15"/>
      <c r="C2499" s="31"/>
      <c r="D2499" s="90"/>
      <c r="E2499" s="16"/>
      <c r="F2499" s="33"/>
      <c r="G2499" s="16"/>
      <c r="H2499" s="16"/>
      <c r="I2499" s="16"/>
      <c r="J2499" s="16"/>
      <c r="K2499" s="16"/>
      <c r="L2499" s="16"/>
      <c r="M2499" s="16"/>
      <c r="N2499" s="16"/>
      <c r="O2499" s="16"/>
      <c r="P2499" s="16"/>
      <c r="Q2499" s="16"/>
      <c r="R2499" s="16"/>
    </row>
    <row r="2500" spans="1:18" ht="18">
      <c r="A2500" s="61"/>
      <c r="B2500" s="15"/>
      <c r="C2500" s="31"/>
      <c r="D2500" s="90"/>
      <c r="E2500" s="16"/>
      <c r="F2500" s="33"/>
      <c r="G2500" s="16"/>
      <c r="H2500" s="16"/>
      <c r="I2500" s="16"/>
      <c r="J2500" s="16"/>
      <c r="K2500" s="16"/>
      <c r="L2500" s="16"/>
      <c r="M2500" s="16"/>
      <c r="N2500" s="16"/>
      <c r="O2500" s="16"/>
      <c r="P2500" s="16"/>
      <c r="Q2500" s="16"/>
      <c r="R2500" s="16"/>
    </row>
    <row r="2501" spans="1:18" ht="18">
      <c r="A2501" s="61"/>
      <c r="B2501" s="15"/>
      <c r="C2501" s="31"/>
      <c r="D2501" s="90"/>
      <c r="E2501" s="16"/>
      <c r="F2501" s="33"/>
      <c r="G2501" s="16"/>
      <c r="H2501" s="16"/>
      <c r="I2501" s="16"/>
      <c r="J2501" s="16"/>
      <c r="K2501" s="16"/>
      <c r="L2501" s="16"/>
      <c r="M2501" s="16"/>
      <c r="N2501" s="16"/>
      <c r="O2501" s="16"/>
      <c r="P2501" s="16"/>
      <c r="Q2501" s="16"/>
      <c r="R2501" s="16"/>
    </row>
    <row r="2502" spans="1:18" ht="18">
      <c r="A2502" s="61"/>
      <c r="B2502" s="15"/>
      <c r="C2502" s="31"/>
      <c r="D2502" s="90"/>
      <c r="E2502" s="16"/>
      <c r="F2502" s="33"/>
      <c r="G2502" s="16"/>
      <c r="H2502" s="16"/>
      <c r="I2502" s="16"/>
      <c r="J2502" s="16"/>
      <c r="K2502" s="16"/>
      <c r="L2502" s="16"/>
      <c r="M2502" s="16"/>
      <c r="N2502" s="16"/>
      <c r="O2502" s="16"/>
      <c r="P2502" s="16"/>
      <c r="Q2502" s="16"/>
      <c r="R2502" s="16"/>
    </row>
    <row r="2503" spans="1:18" ht="18">
      <c r="A2503" s="61"/>
      <c r="B2503" s="15"/>
      <c r="C2503" s="31"/>
      <c r="D2503" s="90"/>
      <c r="E2503" s="16"/>
      <c r="F2503" s="33"/>
      <c r="G2503" s="16"/>
      <c r="H2503" s="16"/>
      <c r="I2503" s="16"/>
      <c r="J2503" s="16"/>
      <c r="K2503" s="16"/>
      <c r="L2503" s="16"/>
      <c r="M2503" s="16"/>
      <c r="N2503" s="16"/>
      <c r="O2503" s="16"/>
      <c r="P2503" s="16"/>
      <c r="Q2503" s="16"/>
      <c r="R2503" s="16"/>
    </row>
    <row r="2504" spans="1:18" ht="18">
      <c r="A2504" s="61"/>
      <c r="B2504" s="15"/>
      <c r="C2504" s="31"/>
      <c r="D2504" s="90"/>
      <c r="E2504" s="16"/>
      <c r="F2504" s="33"/>
      <c r="G2504" s="16"/>
      <c r="H2504" s="16"/>
      <c r="I2504" s="16"/>
      <c r="J2504" s="16"/>
      <c r="K2504" s="16"/>
      <c r="L2504" s="16"/>
      <c r="M2504" s="16"/>
      <c r="N2504" s="16"/>
      <c r="O2504" s="16"/>
      <c r="P2504" s="16"/>
      <c r="Q2504" s="16"/>
      <c r="R2504" s="16"/>
    </row>
    <row r="2505" spans="1:18" ht="18">
      <c r="A2505" s="61"/>
      <c r="B2505" s="15"/>
      <c r="C2505" s="31"/>
      <c r="D2505" s="90"/>
      <c r="E2505" s="16"/>
      <c r="F2505" s="33"/>
      <c r="G2505" s="16"/>
      <c r="H2505" s="16"/>
      <c r="I2505" s="16"/>
      <c r="J2505" s="16"/>
      <c r="K2505" s="16"/>
      <c r="L2505" s="16"/>
      <c r="M2505" s="16"/>
      <c r="N2505" s="16"/>
      <c r="O2505" s="16"/>
      <c r="P2505" s="16"/>
      <c r="Q2505" s="16"/>
      <c r="R2505" s="16"/>
    </row>
    <row r="2506" spans="1:18" ht="18">
      <c r="A2506" s="61"/>
      <c r="B2506" s="15"/>
      <c r="C2506" s="31"/>
      <c r="D2506" s="90"/>
      <c r="E2506" s="16"/>
      <c r="F2506" s="33"/>
      <c r="G2506" s="16"/>
      <c r="H2506" s="16"/>
      <c r="I2506" s="16"/>
      <c r="J2506" s="16"/>
      <c r="K2506" s="16"/>
      <c r="L2506" s="16"/>
      <c r="M2506" s="16"/>
      <c r="N2506" s="16"/>
      <c r="O2506" s="16"/>
      <c r="P2506" s="16"/>
      <c r="Q2506" s="16"/>
      <c r="R2506" s="16"/>
    </row>
    <row r="2507" spans="1:18" ht="18">
      <c r="A2507" s="61"/>
      <c r="B2507" s="15"/>
      <c r="C2507" s="31"/>
      <c r="D2507" s="90"/>
      <c r="E2507" s="16"/>
      <c r="F2507" s="33"/>
      <c r="G2507" s="16"/>
      <c r="H2507" s="16"/>
      <c r="I2507" s="16"/>
      <c r="J2507" s="16"/>
      <c r="K2507" s="16"/>
      <c r="L2507" s="16"/>
      <c r="M2507" s="16"/>
      <c r="N2507" s="16"/>
      <c r="O2507" s="16"/>
      <c r="P2507" s="16"/>
      <c r="Q2507" s="16"/>
      <c r="R2507" s="16"/>
    </row>
    <row r="2508" spans="1:18" ht="18">
      <c r="A2508" s="61"/>
      <c r="B2508" s="15"/>
      <c r="C2508" s="31"/>
      <c r="D2508" s="90"/>
      <c r="E2508" s="16"/>
      <c r="F2508" s="33"/>
      <c r="G2508" s="16"/>
      <c r="H2508" s="16"/>
      <c r="I2508" s="16"/>
      <c r="J2508" s="16"/>
      <c r="K2508" s="16"/>
      <c r="L2508" s="16"/>
      <c r="M2508" s="16"/>
      <c r="N2508" s="16"/>
      <c r="O2508" s="16"/>
      <c r="P2508" s="16"/>
      <c r="Q2508" s="16"/>
      <c r="R2508" s="16"/>
    </row>
    <row r="2509" spans="1:18" ht="18">
      <c r="A2509" s="61"/>
      <c r="B2509" s="15"/>
      <c r="C2509" s="31"/>
      <c r="D2509" s="90"/>
      <c r="E2509" s="16"/>
      <c r="F2509" s="33"/>
      <c r="G2509" s="16"/>
      <c r="H2509" s="16"/>
      <c r="I2509" s="16"/>
      <c r="J2509" s="16"/>
      <c r="K2509" s="16"/>
      <c r="L2509" s="16"/>
      <c r="M2509" s="16"/>
      <c r="N2509" s="16"/>
      <c r="O2509" s="16"/>
      <c r="P2509" s="16"/>
      <c r="Q2509" s="16"/>
      <c r="R2509" s="16"/>
    </row>
    <row r="2510" spans="1:18" ht="18">
      <c r="A2510" s="61"/>
      <c r="B2510" s="15"/>
      <c r="C2510" s="31"/>
      <c r="D2510" s="90"/>
      <c r="E2510" s="16"/>
      <c r="F2510" s="33"/>
      <c r="G2510" s="16"/>
      <c r="H2510" s="16"/>
      <c r="I2510" s="16"/>
      <c r="J2510" s="16"/>
      <c r="K2510" s="16"/>
      <c r="L2510" s="16"/>
      <c r="M2510" s="16"/>
      <c r="N2510" s="16"/>
      <c r="O2510" s="16"/>
      <c r="P2510" s="16"/>
      <c r="Q2510" s="16"/>
      <c r="R2510" s="16"/>
    </row>
    <row r="2511" spans="1:18" ht="18">
      <c r="A2511" s="61"/>
      <c r="B2511" s="15"/>
      <c r="C2511" s="31"/>
      <c r="D2511" s="90"/>
      <c r="E2511" s="16"/>
      <c r="F2511" s="33"/>
      <c r="G2511" s="16"/>
      <c r="H2511" s="16"/>
      <c r="I2511" s="16"/>
      <c r="J2511" s="16"/>
      <c r="K2511" s="16"/>
      <c r="L2511" s="16"/>
      <c r="M2511" s="16"/>
      <c r="N2511" s="16"/>
      <c r="O2511" s="16"/>
      <c r="P2511" s="16"/>
      <c r="Q2511" s="16"/>
      <c r="R2511" s="16"/>
    </row>
    <row r="2512" spans="1:18" ht="18">
      <c r="A2512" s="61"/>
      <c r="B2512" s="15"/>
      <c r="C2512" s="31"/>
      <c r="D2512" s="90"/>
      <c r="E2512" s="16"/>
      <c r="F2512" s="33"/>
      <c r="G2512" s="16"/>
      <c r="H2512" s="16"/>
      <c r="I2512" s="16"/>
      <c r="J2512" s="16"/>
      <c r="K2512" s="16"/>
      <c r="L2512" s="16"/>
      <c r="M2512" s="16"/>
      <c r="N2512" s="16"/>
      <c r="O2512" s="16"/>
      <c r="P2512" s="16"/>
      <c r="Q2512" s="16"/>
      <c r="R2512" s="16"/>
    </row>
    <row r="2513" spans="1:18" ht="18">
      <c r="A2513" s="61"/>
      <c r="B2513" s="15"/>
      <c r="C2513" s="31"/>
      <c r="D2513" s="90"/>
      <c r="E2513" s="16"/>
      <c r="F2513" s="33"/>
      <c r="G2513" s="16"/>
      <c r="H2513" s="16"/>
      <c r="I2513" s="16"/>
      <c r="J2513" s="16"/>
      <c r="K2513" s="16"/>
      <c r="L2513" s="16"/>
      <c r="M2513" s="16"/>
      <c r="N2513" s="16"/>
      <c r="O2513" s="16"/>
      <c r="P2513" s="16"/>
      <c r="Q2513" s="16"/>
      <c r="R2513" s="16"/>
    </row>
    <row r="2514" spans="1:18" ht="18">
      <c r="A2514" s="61"/>
      <c r="B2514" s="15"/>
      <c r="C2514" s="31"/>
      <c r="D2514" s="90"/>
      <c r="E2514" s="16"/>
      <c r="F2514" s="33"/>
      <c r="G2514" s="16"/>
      <c r="H2514" s="16"/>
      <c r="I2514" s="16"/>
      <c r="J2514" s="16"/>
      <c r="K2514" s="16"/>
      <c r="L2514" s="16"/>
      <c r="M2514" s="16"/>
      <c r="N2514" s="16"/>
      <c r="O2514" s="16"/>
      <c r="P2514" s="16"/>
      <c r="Q2514" s="16"/>
      <c r="R2514" s="16"/>
    </row>
    <row r="2515" spans="1:18" ht="18">
      <c r="A2515" s="61"/>
      <c r="B2515" s="15"/>
      <c r="C2515" s="31"/>
      <c r="D2515" s="90"/>
      <c r="E2515" s="16"/>
      <c r="F2515" s="33"/>
      <c r="G2515" s="16"/>
      <c r="H2515" s="16"/>
      <c r="I2515" s="16"/>
      <c r="J2515" s="16"/>
      <c r="K2515" s="16"/>
      <c r="L2515" s="16"/>
      <c r="M2515" s="16"/>
      <c r="N2515" s="16"/>
      <c r="O2515" s="16"/>
      <c r="P2515" s="16"/>
      <c r="Q2515" s="16"/>
      <c r="R2515" s="16"/>
    </row>
    <row r="2516" spans="1:18" ht="18">
      <c r="A2516" s="61"/>
      <c r="B2516" s="15"/>
      <c r="C2516" s="31"/>
      <c r="D2516" s="90"/>
      <c r="E2516" s="16"/>
      <c r="F2516" s="33"/>
      <c r="G2516" s="16"/>
      <c r="H2516" s="16"/>
      <c r="I2516" s="16"/>
      <c r="J2516" s="16"/>
      <c r="K2516" s="16"/>
      <c r="L2516" s="16"/>
      <c r="M2516" s="16"/>
      <c r="N2516" s="16"/>
      <c r="O2516" s="16"/>
      <c r="P2516" s="16"/>
      <c r="Q2516" s="16"/>
      <c r="R2516" s="16"/>
    </row>
    <row r="2517" spans="1:18" ht="18">
      <c r="A2517" s="61"/>
      <c r="B2517" s="15"/>
      <c r="C2517" s="31"/>
      <c r="D2517" s="90"/>
      <c r="E2517" s="16"/>
      <c r="F2517" s="33"/>
      <c r="G2517" s="16"/>
      <c r="H2517" s="16"/>
      <c r="I2517" s="16"/>
      <c r="J2517" s="16"/>
      <c r="K2517" s="16"/>
      <c r="L2517" s="16"/>
      <c r="M2517" s="16"/>
      <c r="N2517" s="16"/>
      <c r="O2517" s="16"/>
      <c r="P2517" s="16"/>
      <c r="Q2517" s="16"/>
      <c r="R2517" s="16"/>
    </row>
    <row r="2518" spans="1:18" ht="18">
      <c r="A2518" s="61"/>
      <c r="B2518" s="15"/>
      <c r="C2518" s="31"/>
      <c r="D2518" s="90"/>
      <c r="E2518" s="16"/>
      <c r="F2518" s="33"/>
      <c r="G2518" s="16"/>
      <c r="H2518" s="16"/>
      <c r="I2518" s="16"/>
      <c r="J2518" s="16"/>
      <c r="K2518" s="16"/>
      <c r="L2518" s="16"/>
      <c r="M2518" s="16"/>
      <c r="N2518" s="16"/>
      <c r="O2518" s="16"/>
      <c r="P2518" s="16"/>
      <c r="Q2518" s="16"/>
      <c r="R2518" s="16"/>
    </row>
    <row r="2519" spans="1:18" ht="18">
      <c r="A2519" s="61"/>
      <c r="B2519" s="15"/>
      <c r="C2519" s="31"/>
      <c r="D2519" s="90"/>
      <c r="E2519" s="16"/>
      <c r="F2519" s="33"/>
      <c r="G2519" s="16"/>
      <c r="H2519" s="16"/>
      <c r="I2519" s="16"/>
      <c r="J2519" s="16"/>
      <c r="K2519" s="16"/>
      <c r="L2519" s="16"/>
      <c r="M2519" s="16"/>
      <c r="N2519" s="16"/>
      <c r="O2519" s="16"/>
      <c r="P2519" s="16"/>
      <c r="Q2519" s="16"/>
      <c r="R2519" s="16"/>
    </row>
    <row r="2520" spans="1:18" ht="18">
      <c r="A2520" s="61"/>
      <c r="B2520" s="15"/>
      <c r="C2520" s="31"/>
      <c r="D2520" s="90"/>
      <c r="E2520" s="16"/>
      <c r="F2520" s="33"/>
      <c r="G2520" s="16"/>
      <c r="H2520" s="16"/>
      <c r="I2520" s="16"/>
      <c r="J2520" s="16"/>
      <c r="K2520" s="16"/>
      <c r="L2520" s="16"/>
      <c r="M2520" s="16"/>
      <c r="N2520" s="16"/>
      <c r="O2520" s="16"/>
      <c r="P2520" s="16"/>
      <c r="Q2520" s="16"/>
      <c r="R2520" s="16"/>
    </row>
    <row r="2521" spans="1:18" ht="18">
      <c r="A2521" s="61"/>
      <c r="B2521" s="15"/>
      <c r="C2521" s="31"/>
      <c r="D2521" s="90"/>
      <c r="E2521" s="16"/>
      <c r="F2521" s="33"/>
      <c r="G2521" s="16"/>
      <c r="H2521" s="16"/>
      <c r="I2521" s="16"/>
      <c r="J2521" s="16"/>
      <c r="K2521" s="16"/>
      <c r="L2521" s="16"/>
      <c r="M2521" s="16"/>
      <c r="N2521" s="16"/>
      <c r="O2521" s="16"/>
      <c r="P2521" s="16"/>
      <c r="Q2521" s="16"/>
      <c r="R2521" s="16"/>
    </row>
    <row r="2522" spans="1:18" ht="18">
      <c r="A2522" s="61"/>
      <c r="B2522" s="15"/>
      <c r="C2522" s="31"/>
      <c r="D2522" s="90"/>
      <c r="E2522" s="16"/>
      <c r="F2522" s="33"/>
      <c r="G2522" s="16"/>
      <c r="H2522" s="16"/>
      <c r="I2522" s="16"/>
      <c r="J2522" s="16"/>
      <c r="K2522" s="16"/>
      <c r="L2522" s="16"/>
      <c r="M2522" s="16"/>
      <c r="N2522" s="16"/>
      <c r="O2522" s="16"/>
      <c r="P2522" s="16"/>
      <c r="Q2522" s="16"/>
      <c r="R2522" s="16"/>
    </row>
    <row r="2523" spans="1:18" ht="18">
      <c r="A2523" s="61"/>
      <c r="B2523" s="15"/>
      <c r="C2523" s="31"/>
      <c r="D2523" s="90"/>
      <c r="E2523" s="16"/>
      <c r="F2523" s="33"/>
      <c r="G2523" s="16"/>
      <c r="H2523" s="16"/>
      <c r="I2523" s="16"/>
      <c r="J2523" s="16"/>
      <c r="K2523" s="16"/>
      <c r="L2523" s="16"/>
      <c r="M2523" s="16"/>
      <c r="N2523" s="16"/>
      <c r="O2523" s="16"/>
      <c r="P2523" s="16"/>
      <c r="Q2523" s="16"/>
      <c r="R2523" s="16"/>
    </row>
    <row r="2524" spans="1:18" ht="18">
      <c r="A2524" s="61"/>
      <c r="B2524" s="15"/>
      <c r="C2524" s="31"/>
      <c r="D2524" s="90"/>
      <c r="E2524" s="16"/>
      <c r="F2524" s="33"/>
      <c r="G2524" s="16"/>
      <c r="H2524" s="16"/>
      <c r="I2524" s="16"/>
      <c r="J2524" s="16"/>
      <c r="K2524" s="16"/>
      <c r="L2524" s="16"/>
      <c r="M2524" s="16"/>
      <c r="N2524" s="16"/>
      <c r="O2524" s="16"/>
      <c r="P2524" s="16"/>
      <c r="Q2524" s="16"/>
      <c r="R2524" s="16"/>
    </row>
    <row r="2525" spans="1:18" ht="18">
      <c r="A2525" s="61"/>
      <c r="B2525" s="15"/>
      <c r="C2525" s="31"/>
      <c r="D2525" s="90"/>
      <c r="E2525" s="16"/>
      <c r="F2525" s="33"/>
      <c r="G2525" s="16"/>
      <c r="H2525" s="16"/>
      <c r="I2525" s="16"/>
      <c r="J2525" s="16"/>
      <c r="K2525" s="16"/>
      <c r="L2525" s="16"/>
      <c r="M2525" s="16"/>
      <c r="N2525" s="16"/>
      <c r="O2525" s="16"/>
      <c r="P2525" s="16"/>
      <c r="Q2525" s="16"/>
      <c r="R2525" s="16"/>
    </row>
    <row r="2526" spans="1:18" ht="18">
      <c r="A2526" s="61"/>
      <c r="B2526" s="15"/>
      <c r="C2526" s="31"/>
      <c r="D2526" s="90"/>
      <c r="E2526" s="16"/>
      <c r="F2526" s="33"/>
      <c r="G2526" s="16"/>
      <c r="H2526" s="16"/>
      <c r="I2526" s="16"/>
      <c r="J2526" s="16"/>
      <c r="K2526" s="16"/>
      <c r="L2526" s="16"/>
      <c r="M2526" s="16"/>
      <c r="N2526" s="16"/>
      <c r="O2526" s="16"/>
      <c r="P2526" s="16"/>
      <c r="Q2526" s="16"/>
      <c r="R2526" s="16"/>
    </row>
    <row r="2527" spans="1:18" ht="18">
      <c r="A2527" s="61"/>
      <c r="B2527" s="15"/>
      <c r="C2527" s="31"/>
      <c r="D2527" s="90"/>
      <c r="E2527" s="16"/>
      <c r="F2527" s="33"/>
      <c r="G2527" s="16"/>
      <c r="H2527" s="16"/>
      <c r="I2527" s="16"/>
      <c r="J2527" s="16"/>
      <c r="K2527" s="16"/>
      <c r="L2527" s="16"/>
      <c r="M2527" s="16"/>
      <c r="N2527" s="16"/>
      <c r="O2527" s="16"/>
      <c r="P2527" s="16"/>
      <c r="Q2527" s="16"/>
      <c r="R2527" s="16"/>
    </row>
    <row r="2528" spans="1:18" ht="18">
      <c r="A2528" s="61"/>
      <c r="B2528" s="15"/>
      <c r="C2528" s="31"/>
      <c r="D2528" s="90"/>
      <c r="E2528" s="16"/>
      <c r="F2528" s="33"/>
      <c r="G2528" s="16"/>
      <c r="H2528" s="16"/>
      <c r="I2528" s="16"/>
      <c r="J2528" s="16"/>
      <c r="K2528" s="16"/>
      <c r="L2528" s="16"/>
      <c r="M2528" s="16"/>
      <c r="N2528" s="16"/>
      <c r="O2528" s="16"/>
      <c r="P2528" s="16"/>
      <c r="Q2528" s="16"/>
      <c r="R2528" s="16"/>
    </row>
    <row r="2529" spans="1:18" ht="18">
      <c r="A2529" s="61"/>
      <c r="B2529" s="15"/>
      <c r="C2529" s="31"/>
      <c r="D2529" s="90"/>
      <c r="E2529" s="16"/>
      <c r="F2529" s="33"/>
      <c r="G2529" s="16"/>
      <c r="H2529" s="16"/>
      <c r="I2529" s="16"/>
      <c r="J2529" s="16"/>
      <c r="K2529" s="16"/>
      <c r="L2529" s="16"/>
      <c r="M2529" s="16"/>
      <c r="N2529" s="16"/>
      <c r="O2529" s="16"/>
      <c r="P2529" s="16"/>
      <c r="Q2529" s="16"/>
      <c r="R2529" s="16"/>
    </row>
    <row r="2530" spans="1:18" ht="18">
      <c r="A2530" s="61"/>
      <c r="B2530" s="15"/>
      <c r="C2530" s="31"/>
      <c r="D2530" s="90"/>
      <c r="E2530" s="16"/>
      <c r="F2530" s="33"/>
      <c r="G2530" s="16"/>
      <c r="H2530" s="16"/>
      <c r="I2530" s="16"/>
      <c r="J2530" s="16"/>
      <c r="K2530" s="16"/>
      <c r="L2530" s="16"/>
      <c r="M2530" s="16"/>
      <c r="N2530" s="16"/>
      <c r="O2530" s="16"/>
      <c r="P2530" s="16"/>
      <c r="Q2530" s="16"/>
      <c r="R2530" s="16"/>
    </row>
    <row r="2531" spans="1:18" ht="18">
      <c r="A2531" s="61"/>
      <c r="B2531" s="15"/>
      <c r="C2531" s="31"/>
      <c r="D2531" s="90"/>
      <c r="E2531" s="16"/>
      <c r="F2531" s="33"/>
      <c r="G2531" s="16"/>
      <c r="H2531" s="16"/>
      <c r="I2531" s="16"/>
      <c r="J2531" s="16"/>
      <c r="K2531" s="16"/>
      <c r="L2531" s="16"/>
      <c r="M2531" s="16"/>
      <c r="N2531" s="16"/>
      <c r="O2531" s="16"/>
      <c r="P2531" s="16"/>
      <c r="Q2531" s="16"/>
      <c r="R2531" s="16"/>
    </row>
    <row r="2532" spans="1:18" ht="18">
      <c r="A2532" s="61"/>
      <c r="B2532" s="15"/>
      <c r="C2532" s="31"/>
      <c r="D2532" s="90"/>
      <c r="E2532" s="16"/>
      <c r="F2532" s="33"/>
      <c r="G2532" s="16"/>
      <c r="H2532" s="16"/>
      <c r="I2532" s="16"/>
      <c r="J2532" s="16"/>
      <c r="K2532" s="16"/>
      <c r="L2532" s="16"/>
      <c r="M2532" s="16"/>
      <c r="N2532" s="16"/>
      <c r="O2532" s="16"/>
      <c r="P2532" s="16"/>
      <c r="Q2532" s="16"/>
      <c r="R2532" s="16"/>
    </row>
    <row r="2533" spans="1:18" ht="18">
      <c r="A2533" s="61"/>
      <c r="B2533" s="15"/>
      <c r="C2533" s="31"/>
      <c r="D2533" s="90"/>
      <c r="E2533" s="16"/>
      <c r="F2533" s="33"/>
      <c r="G2533" s="16"/>
      <c r="H2533" s="16"/>
      <c r="I2533" s="16"/>
      <c r="J2533" s="16"/>
      <c r="K2533" s="16"/>
      <c r="L2533" s="16"/>
      <c r="M2533" s="16"/>
      <c r="N2533" s="16"/>
      <c r="O2533" s="16"/>
      <c r="P2533" s="16"/>
      <c r="Q2533" s="16"/>
      <c r="R2533" s="16"/>
    </row>
    <row r="2534" spans="1:18" ht="18">
      <c r="A2534" s="61"/>
      <c r="B2534" s="15"/>
      <c r="C2534" s="31"/>
      <c r="D2534" s="90"/>
      <c r="E2534" s="16"/>
      <c r="F2534" s="33"/>
      <c r="G2534" s="16"/>
      <c r="H2534" s="16"/>
      <c r="I2534" s="16"/>
      <c r="J2534" s="16"/>
      <c r="K2534" s="16"/>
      <c r="L2534" s="16"/>
      <c r="M2534" s="16"/>
      <c r="N2534" s="16"/>
      <c r="O2534" s="16"/>
      <c r="P2534" s="16"/>
      <c r="Q2534" s="16"/>
      <c r="R2534" s="16"/>
    </row>
    <row r="2535" spans="1:18" ht="18">
      <c r="A2535" s="61"/>
      <c r="B2535" s="15"/>
      <c r="C2535" s="31"/>
      <c r="D2535" s="90"/>
      <c r="E2535" s="16"/>
      <c r="F2535" s="33"/>
      <c r="G2535" s="16"/>
      <c r="H2535" s="16"/>
      <c r="I2535" s="16"/>
      <c r="J2535" s="16"/>
      <c r="K2535" s="16"/>
      <c r="L2535" s="16"/>
      <c r="M2535" s="16"/>
      <c r="N2535" s="16"/>
      <c r="O2535" s="16"/>
      <c r="P2535" s="16"/>
      <c r="Q2535" s="16"/>
      <c r="R2535" s="16"/>
    </row>
    <row r="2536" spans="1:18" ht="18">
      <c r="A2536" s="61"/>
      <c r="B2536" s="15"/>
      <c r="C2536" s="31"/>
      <c r="D2536" s="90"/>
      <c r="E2536" s="16"/>
      <c r="F2536" s="33"/>
      <c r="G2536" s="16"/>
      <c r="H2536" s="16"/>
      <c r="I2536" s="16"/>
      <c r="J2536" s="16"/>
      <c r="K2536" s="16"/>
      <c r="L2536" s="16"/>
      <c r="M2536" s="16"/>
      <c r="N2536" s="16"/>
      <c r="O2536" s="16"/>
      <c r="P2536" s="16"/>
      <c r="Q2536" s="16"/>
      <c r="R2536" s="16"/>
    </row>
    <row r="2537" spans="1:18" ht="18">
      <c r="A2537" s="61"/>
      <c r="B2537" s="15"/>
      <c r="C2537" s="31"/>
      <c r="D2537" s="90"/>
      <c r="E2537" s="16"/>
      <c r="F2537" s="33"/>
      <c r="G2537" s="16"/>
      <c r="H2537" s="16"/>
      <c r="I2537" s="16"/>
      <c r="J2537" s="16"/>
      <c r="K2537" s="16"/>
      <c r="L2537" s="16"/>
      <c r="M2537" s="16"/>
      <c r="N2537" s="16"/>
      <c r="O2537" s="16"/>
      <c r="P2537" s="16"/>
      <c r="Q2537" s="16"/>
      <c r="R2537" s="16"/>
    </row>
    <row r="2538" spans="1:18" ht="18">
      <c r="A2538" s="61"/>
      <c r="B2538" s="15"/>
      <c r="C2538" s="31"/>
      <c r="D2538" s="90"/>
      <c r="E2538" s="16"/>
      <c r="F2538" s="33"/>
      <c r="G2538" s="16"/>
      <c r="H2538" s="16"/>
      <c r="I2538" s="16"/>
      <c r="J2538" s="16"/>
      <c r="K2538" s="16"/>
      <c r="L2538" s="16"/>
      <c r="M2538" s="16"/>
      <c r="N2538" s="16"/>
      <c r="O2538" s="16"/>
      <c r="P2538" s="16"/>
      <c r="Q2538" s="16"/>
      <c r="R2538" s="16"/>
    </row>
    <row r="2539" spans="1:18" ht="18">
      <c r="A2539" s="61"/>
      <c r="B2539" s="15"/>
      <c r="C2539" s="31"/>
      <c r="D2539" s="90"/>
      <c r="E2539" s="16"/>
      <c r="F2539" s="33"/>
      <c r="G2539" s="16"/>
      <c r="H2539" s="16"/>
      <c r="I2539" s="16"/>
      <c r="J2539" s="16"/>
      <c r="K2539" s="16"/>
      <c r="L2539" s="16"/>
      <c r="M2539" s="16"/>
      <c r="N2539" s="16"/>
      <c r="O2539" s="16"/>
      <c r="P2539" s="16"/>
      <c r="Q2539" s="16"/>
      <c r="R2539" s="16"/>
    </row>
    <row r="2540" spans="1:18" ht="18">
      <c r="A2540" s="61"/>
      <c r="B2540" s="15"/>
      <c r="C2540" s="31"/>
      <c r="D2540" s="90"/>
      <c r="E2540" s="16"/>
      <c r="F2540" s="33"/>
      <c r="G2540" s="16"/>
      <c r="H2540" s="16"/>
      <c r="I2540" s="16"/>
      <c r="J2540" s="16"/>
      <c r="K2540" s="16"/>
      <c r="L2540" s="16"/>
      <c r="M2540" s="16"/>
      <c r="N2540" s="16"/>
      <c r="O2540" s="16"/>
      <c r="P2540" s="16"/>
      <c r="Q2540" s="16"/>
      <c r="R2540" s="16"/>
    </row>
    <row r="2541" spans="1:18" ht="18">
      <c r="A2541" s="61"/>
      <c r="B2541" s="15"/>
      <c r="C2541" s="31"/>
      <c r="D2541" s="90"/>
      <c r="E2541" s="16"/>
      <c r="F2541" s="33"/>
      <c r="G2541" s="16"/>
      <c r="H2541" s="16"/>
      <c r="I2541" s="16"/>
      <c r="J2541" s="16"/>
      <c r="K2541" s="16"/>
      <c r="L2541" s="16"/>
      <c r="M2541" s="16"/>
      <c r="N2541" s="16"/>
      <c r="O2541" s="16"/>
      <c r="P2541" s="16"/>
      <c r="Q2541" s="16"/>
      <c r="R2541" s="16"/>
    </row>
    <row r="2542" spans="1:18" ht="18">
      <c r="A2542" s="61"/>
      <c r="B2542" s="15"/>
      <c r="C2542" s="31"/>
      <c r="D2542" s="90"/>
      <c r="E2542" s="16"/>
      <c r="F2542" s="33"/>
      <c r="G2542" s="16"/>
      <c r="H2542" s="16"/>
      <c r="I2542" s="16"/>
      <c r="J2542" s="16"/>
      <c r="K2542" s="16"/>
      <c r="L2542" s="16"/>
      <c r="M2542" s="16"/>
      <c r="N2542" s="16"/>
      <c r="O2542" s="16"/>
      <c r="P2542" s="16"/>
      <c r="Q2542" s="16"/>
      <c r="R2542" s="16"/>
    </row>
    <row r="2543" spans="1:18" ht="18">
      <c r="A2543" s="61"/>
      <c r="B2543" s="15"/>
      <c r="C2543" s="31"/>
      <c r="D2543" s="90"/>
      <c r="E2543" s="16"/>
      <c r="F2543" s="33"/>
      <c r="G2543" s="16"/>
      <c r="H2543" s="16"/>
      <c r="I2543" s="16"/>
      <c r="J2543" s="16"/>
      <c r="K2543" s="16"/>
      <c r="L2543" s="16"/>
      <c r="M2543" s="16"/>
      <c r="N2543" s="16"/>
      <c r="O2543" s="16"/>
      <c r="P2543" s="16"/>
      <c r="Q2543" s="16"/>
      <c r="R2543" s="16"/>
    </row>
    <row r="2544" spans="1:18" ht="18">
      <c r="A2544" s="61"/>
      <c r="B2544" s="15"/>
      <c r="C2544" s="31"/>
      <c r="D2544" s="90"/>
      <c r="E2544" s="16"/>
      <c r="F2544" s="33"/>
      <c r="G2544" s="16"/>
      <c r="H2544" s="16"/>
      <c r="I2544" s="16"/>
      <c r="J2544" s="16"/>
      <c r="K2544" s="16"/>
      <c r="L2544" s="16"/>
      <c r="M2544" s="16"/>
      <c r="N2544" s="16"/>
      <c r="O2544" s="16"/>
      <c r="P2544" s="16"/>
      <c r="Q2544" s="16"/>
      <c r="R2544" s="16"/>
    </row>
    <row r="2545" spans="1:18" ht="18">
      <c r="A2545" s="61"/>
      <c r="B2545" s="15"/>
      <c r="C2545" s="31"/>
      <c r="D2545" s="90"/>
      <c r="E2545" s="16"/>
      <c r="F2545" s="33"/>
      <c r="G2545" s="16"/>
      <c r="H2545" s="16"/>
      <c r="I2545" s="16"/>
      <c r="J2545" s="16"/>
      <c r="K2545" s="16"/>
      <c r="L2545" s="16"/>
      <c r="M2545" s="16"/>
      <c r="N2545" s="16"/>
      <c r="O2545" s="16"/>
      <c r="P2545" s="16"/>
      <c r="Q2545" s="16"/>
      <c r="R2545" s="16"/>
    </row>
    <row r="2546" spans="1:18" ht="18">
      <c r="A2546" s="61"/>
      <c r="B2546" s="15"/>
      <c r="C2546" s="31"/>
      <c r="D2546" s="90"/>
      <c r="E2546" s="16"/>
      <c r="F2546" s="33"/>
      <c r="G2546" s="16"/>
      <c r="H2546" s="16"/>
      <c r="I2546" s="16"/>
      <c r="J2546" s="16"/>
      <c r="K2546" s="16"/>
      <c r="L2546" s="16"/>
      <c r="M2546" s="16"/>
      <c r="N2546" s="16"/>
      <c r="O2546" s="16"/>
      <c r="P2546" s="16"/>
      <c r="Q2546" s="16"/>
      <c r="R2546" s="16"/>
    </row>
    <row r="2547" spans="1:18" ht="18">
      <c r="A2547" s="61"/>
      <c r="B2547" s="15"/>
      <c r="C2547" s="31"/>
      <c r="D2547" s="90"/>
      <c r="E2547" s="16"/>
      <c r="F2547" s="33"/>
      <c r="G2547" s="16"/>
      <c r="H2547" s="16"/>
      <c r="I2547" s="16"/>
      <c r="J2547" s="16"/>
      <c r="K2547" s="16"/>
      <c r="L2547" s="16"/>
      <c r="M2547" s="16"/>
      <c r="N2547" s="16"/>
      <c r="O2547" s="16"/>
      <c r="P2547" s="16"/>
      <c r="Q2547" s="16"/>
      <c r="R2547" s="16"/>
    </row>
    <row r="2548" spans="1:18" ht="18">
      <c r="A2548" s="61"/>
      <c r="B2548" s="15"/>
      <c r="C2548" s="31"/>
      <c r="D2548" s="90"/>
      <c r="E2548" s="16"/>
      <c r="F2548" s="33"/>
      <c r="G2548" s="16"/>
      <c r="H2548" s="16"/>
      <c r="I2548" s="16"/>
      <c r="J2548" s="16"/>
      <c r="K2548" s="16"/>
      <c r="L2548" s="16"/>
      <c r="M2548" s="16"/>
      <c r="N2548" s="16"/>
      <c r="O2548" s="16"/>
      <c r="P2548" s="16"/>
      <c r="Q2548" s="16"/>
      <c r="R2548" s="16"/>
    </row>
    <row r="2549" spans="1:18" ht="18">
      <c r="A2549" s="61"/>
      <c r="B2549" s="15"/>
      <c r="C2549" s="31"/>
      <c r="D2549" s="90"/>
      <c r="E2549" s="16"/>
      <c r="F2549" s="33"/>
      <c r="G2549" s="16"/>
      <c r="H2549" s="16"/>
      <c r="I2549" s="16"/>
      <c r="J2549" s="16"/>
      <c r="K2549" s="16"/>
      <c r="L2549" s="16"/>
      <c r="M2549" s="16"/>
      <c r="N2549" s="16"/>
      <c r="O2549" s="16"/>
      <c r="P2549" s="16"/>
      <c r="Q2549" s="16"/>
      <c r="R2549" s="16"/>
    </row>
    <row r="2550" spans="1:18" ht="18">
      <c r="A2550" s="61"/>
      <c r="B2550" s="15"/>
      <c r="C2550" s="31"/>
      <c r="D2550" s="90"/>
      <c r="E2550" s="16"/>
      <c r="F2550" s="33"/>
      <c r="G2550" s="16"/>
      <c r="H2550" s="16"/>
      <c r="I2550" s="16"/>
      <c r="J2550" s="16"/>
      <c r="K2550" s="16"/>
      <c r="L2550" s="16"/>
      <c r="M2550" s="16"/>
      <c r="N2550" s="16"/>
      <c r="O2550" s="16"/>
      <c r="P2550" s="16"/>
      <c r="Q2550" s="16"/>
      <c r="R2550" s="16"/>
    </row>
    <row r="2551" spans="1:18" ht="18">
      <c r="A2551" s="61"/>
      <c r="B2551" s="15"/>
      <c r="C2551" s="31"/>
      <c r="D2551" s="90"/>
      <c r="E2551" s="16"/>
      <c r="F2551" s="33"/>
      <c r="G2551" s="16"/>
      <c r="H2551" s="16"/>
      <c r="I2551" s="16"/>
      <c r="J2551" s="16"/>
      <c r="K2551" s="16"/>
      <c r="L2551" s="16"/>
      <c r="M2551" s="16"/>
      <c r="N2551" s="16"/>
      <c r="O2551" s="16"/>
      <c r="P2551" s="16"/>
      <c r="Q2551" s="16"/>
      <c r="R2551" s="16"/>
    </row>
    <row r="2552" spans="1:18" ht="18">
      <c r="A2552" s="61"/>
      <c r="B2552" s="15"/>
      <c r="C2552" s="31"/>
      <c r="D2552" s="90"/>
      <c r="E2552" s="16"/>
      <c r="F2552" s="33"/>
      <c r="G2552" s="16"/>
      <c r="H2552" s="16"/>
      <c r="I2552" s="16"/>
      <c r="J2552" s="16"/>
      <c r="K2552" s="16"/>
      <c r="L2552" s="16"/>
      <c r="M2552" s="16"/>
      <c r="N2552" s="16"/>
      <c r="O2552" s="16"/>
      <c r="P2552" s="16"/>
      <c r="Q2552" s="16"/>
      <c r="R2552" s="16"/>
    </row>
    <row r="2553" spans="1:18" ht="18">
      <c r="A2553" s="61"/>
      <c r="B2553" s="15"/>
      <c r="C2553" s="31"/>
      <c r="D2553" s="90"/>
      <c r="E2553" s="16"/>
      <c r="F2553" s="33"/>
      <c r="G2553" s="16"/>
      <c r="H2553" s="16"/>
      <c r="I2553" s="16"/>
      <c r="J2553" s="16"/>
      <c r="K2553" s="16"/>
      <c r="L2553" s="16"/>
      <c r="M2553" s="16"/>
      <c r="N2553" s="16"/>
      <c r="O2553" s="16"/>
      <c r="P2553" s="16"/>
      <c r="Q2553" s="16"/>
      <c r="R2553" s="16"/>
    </row>
    <row r="2554" spans="1:18" ht="18">
      <c r="A2554" s="61"/>
      <c r="B2554" s="15"/>
      <c r="C2554" s="31"/>
      <c r="D2554" s="90"/>
      <c r="E2554" s="16"/>
      <c r="F2554" s="33"/>
      <c r="G2554" s="16"/>
      <c r="H2554" s="16"/>
      <c r="I2554" s="16"/>
      <c r="J2554" s="16"/>
      <c r="K2554" s="16"/>
      <c r="L2554" s="16"/>
      <c r="M2554" s="16"/>
      <c r="N2554" s="16"/>
      <c r="O2554" s="16"/>
      <c r="P2554" s="16"/>
      <c r="Q2554" s="16"/>
      <c r="R2554" s="16"/>
    </row>
    <row r="2555" spans="1:18" ht="18">
      <c r="A2555" s="61"/>
      <c r="B2555" s="15"/>
      <c r="C2555" s="31"/>
      <c r="D2555" s="90"/>
      <c r="E2555" s="16"/>
      <c r="F2555" s="33"/>
      <c r="G2555" s="16"/>
      <c r="H2555" s="16"/>
      <c r="I2555" s="16"/>
      <c r="J2555" s="16"/>
      <c r="K2555" s="16"/>
      <c r="L2555" s="16"/>
      <c r="M2555" s="16"/>
      <c r="N2555" s="16"/>
      <c r="O2555" s="16"/>
      <c r="P2555" s="16"/>
      <c r="Q2555" s="16"/>
      <c r="R2555" s="16"/>
    </row>
    <row r="2556" spans="1:18" ht="18">
      <c r="A2556" s="61"/>
      <c r="B2556" s="15"/>
      <c r="C2556" s="31"/>
      <c r="D2556" s="90"/>
      <c r="E2556" s="16"/>
      <c r="F2556" s="33"/>
      <c r="G2556" s="16"/>
      <c r="H2556" s="16"/>
      <c r="I2556" s="16"/>
      <c r="J2556" s="16"/>
      <c r="K2556" s="16"/>
      <c r="L2556" s="16"/>
      <c r="M2556" s="16"/>
      <c r="N2556" s="16"/>
      <c r="O2556" s="16"/>
      <c r="P2556" s="16"/>
      <c r="Q2556" s="16"/>
      <c r="R2556" s="16"/>
    </row>
    <row r="2557" spans="1:18" ht="18">
      <c r="A2557" s="61"/>
      <c r="B2557" s="15"/>
      <c r="C2557" s="31"/>
      <c r="D2557" s="90"/>
      <c r="E2557" s="16"/>
      <c r="F2557" s="33"/>
      <c r="G2557" s="16"/>
      <c r="H2557" s="16"/>
      <c r="I2557" s="16"/>
      <c r="J2557" s="16"/>
      <c r="K2557" s="16"/>
      <c r="L2557" s="16"/>
      <c r="M2557" s="16"/>
      <c r="N2557" s="16"/>
      <c r="O2557" s="16"/>
      <c r="P2557" s="16"/>
      <c r="Q2557" s="16"/>
      <c r="R2557" s="16"/>
    </row>
    <row r="2558" spans="1:18" ht="18">
      <c r="A2558" s="61"/>
      <c r="B2558" s="15"/>
      <c r="C2558" s="31"/>
      <c r="D2558" s="90"/>
      <c r="E2558" s="16"/>
      <c r="F2558" s="33"/>
      <c r="G2558" s="16"/>
      <c r="H2558" s="16"/>
      <c r="I2558" s="16"/>
      <c r="J2558" s="16"/>
      <c r="K2558" s="16"/>
      <c r="L2558" s="16"/>
      <c r="M2558" s="16"/>
      <c r="N2558" s="16"/>
      <c r="O2558" s="16"/>
      <c r="P2558" s="16"/>
      <c r="Q2558" s="16"/>
      <c r="R2558" s="16"/>
    </row>
    <row r="2559" spans="1:18" ht="18">
      <c r="A2559" s="61"/>
      <c r="B2559" s="15"/>
      <c r="C2559" s="31"/>
      <c r="D2559" s="90"/>
      <c r="E2559" s="16"/>
      <c r="F2559" s="33"/>
      <c r="G2559" s="16"/>
      <c r="H2559" s="16"/>
      <c r="I2559" s="16"/>
      <c r="J2559" s="16"/>
      <c r="K2559" s="16"/>
      <c r="L2559" s="16"/>
      <c r="M2559" s="16"/>
      <c r="N2559" s="16"/>
      <c r="O2559" s="16"/>
      <c r="P2559" s="16"/>
      <c r="Q2559" s="16"/>
      <c r="R2559" s="16"/>
    </row>
    <row r="2560" spans="1:18" ht="18">
      <c r="A2560" s="61"/>
      <c r="B2560" s="15"/>
      <c r="C2560" s="31"/>
      <c r="D2560" s="90"/>
      <c r="E2560" s="16"/>
      <c r="F2560" s="33"/>
      <c r="G2560" s="16"/>
      <c r="H2560" s="16"/>
      <c r="I2560" s="16"/>
      <c r="J2560" s="16"/>
      <c r="K2560" s="16"/>
      <c r="L2560" s="16"/>
      <c r="M2560" s="16"/>
      <c r="N2560" s="16"/>
      <c r="O2560" s="16"/>
      <c r="P2560" s="16"/>
      <c r="Q2560" s="16"/>
      <c r="R2560" s="16"/>
    </row>
    <row r="2561" spans="1:18" ht="18">
      <c r="A2561" s="61"/>
      <c r="B2561" s="15"/>
      <c r="C2561" s="31"/>
      <c r="D2561" s="90"/>
      <c r="E2561" s="16"/>
      <c r="F2561" s="33"/>
      <c r="G2561" s="16"/>
      <c r="H2561" s="16"/>
      <c r="I2561" s="16"/>
      <c r="J2561" s="16"/>
      <c r="K2561" s="16"/>
      <c r="L2561" s="16"/>
      <c r="M2561" s="16"/>
      <c r="N2561" s="16"/>
      <c r="O2561" s="16"/>
      <c r="P2561" s="16"/>
      <c r="Q2561" s="16"/>
      <c r="R2561" s="16"/>
    </row>
    <row r="2562" spans="1:18" ht="18">
      <c r="A2562" s="61"/>
      <c r="B2562" s="15"/>
      <c r="C2562" s="31"/>
      <c r="D2562" s="90"/>
      <c r="E2562" s="16"/>
      <c r="F2562" s="33"/>
      <c r="G2562" s="16"/>
      <c r="H2562" s="16"/>
      <c r="I2562" s="16"/>
      <c r="J2562" s="16"/>
      <c r="K2562" s="16"/>
      <c r="L2562" s="16"/>
      <c r="M2562" s="16"/>
      <c r="N2562" s="16"/>
      <c r="O2562" s="16"/>
      <c r="P2562" s="16"/>
      <c r="Q2562" s="16"/>
      <c r="R2562" s="16"/>
    </row>
    <row r="2563" spans="1:18" ht="18">
      <c r="A2563" s="61"/>
      <c r="B2563" s="15"/>
      <c r="C2563" s="31"/>
      <c r="D2563" s="90"/>
      <c r="E2563" s="16"/>
      <c r="F2563" s="33"/>
      <c r="G2563" s="16"/>
      <c r="H2563" s="16"/>
      <c r="I2563" s="16"/>
      <c r="J2563" s="16"/>
      <c r="K2563" s="16"/>
      <c r="L2563" s="16"/>
      <c r="M2563" s="16"/>
      <c r="N2563" s="16"/>
      <c r="O2563" s="16"/>
      <c r="P2563" s="16"/>
      <c r="Q2563" s="16"/>
      <c r="R2563" s="16"/>
    </row>
    <row r="2564" spans="1:18" ht="18">
      <c r="A2564" s="61"/>
      <c r="B2564" s="15"/>
      <c r="C2564" s="31"/>
      <c r="D2564" s="90"/>
      <c r="E2564" s="16"/>
      <c r="F2564" s="33"/>
      <c r="G2564" s="16"/>
      <c r="H2564" s="16"/>
      <c r="I2564" s="16"/>
      <c r="J2564" s="16"/>
      <c r="K2564" s="16"/>
      <c r="L2564" s="16"/>
      <c r="M2564" s="16"/>
      <c r="N2564" s="16"/>
      <c r="O2564" s="16"/>
      <c r="P2564" s="16"/>
      <c r="Q2564" s="16"/>
      <c r="R2564" s="16"/>
    </row>
    <row r="2565" spans="1:18" ht="18">
      <c r="A2565" s="61"/>
      <c r="B2565" s="15"/>
      <c r="C2565" s="31"/>
      <c r="D2565" s="90"/>
      <c r="E2565" s="16"/>
      <c r="F2565" s="33"/>
      <c r="G2565" s="16"/>
      <c r="H2565" s="16"/>
      <c r="I2565" s="16"/>
      <c r="J2565" s="16"/>
      <c r="K2565" s="16"/>
      <c r="L2565" s="16"/>
      <c r="M2565" s="16"/>
      <c r="N2565" s="16"/>
      <c r="O2565" s="16"/>
      <c r="P2565" s="16"/>
      <c r="Q2565" s="16"/>
      <c r="R2565" s="16"/>
    </row>
    <row r="2566" spans="1:18" ht="18">
      <c r="A2566" s="61"/>
      <c r="B2566" s="15"/>
      <c r="C2566" s="31"/>
      <c r="D2566" s="90"/>
      <c r="E2566" s="16"/>
      <c r="F2566" s="33"/>
      <c r="G2566" s="16"/>
      <c r="H2566" s="16"/>
      <c r="I2566" s="16"/>
      <c r="J2566" s="16"/>
      <c r="K2566" s="16"/>
      <c r="L2566" s="16"/>
      <c r="M2566" s="16"/>
      <c r="N2566" s="16"/>
      <c r="O2566" s="16"/>
      <c r="P2566" s="16"/>
      <c r="Q2566" s="16"/>
      <c r="R2566" s="16"/>
    </row>
    <row r="2567" spans="1:18" ht="18">
      <c r="A2567" s="61"/>
      <c r="B2567" s="15"/>
      <c r="C2567" s="31"/>
      <c r="D2567" s="90"/>
      <c r="E2567" s="16"/>
      <c r="F2567" s="33"/>
      <c r="G2567" s="16"/>
      <c r="H2567" s="16"/>
      <c r="I2567" s="16"/>
      <c r="J2567" s="16"/>
      <c r="K2567" s="16"/>
      <c r="L2567" s="16"/>
      <c r="M2567" s="16"/>
      <c r="N2567" s="16"/>
      <c r="O2567" s="16"/>
      <c r="P2567" s="16"/>
      <c r="Q2567" s="16"/>
      <c r="R2567" s="16"/>
    </row>
    <row r="2568" spans="1:18" ht="18">
      <c r="A2568" s="61"/>
      <c r="B2568" s="15"/>
      <c r="C2568" s="31"/>
      <c r="D2568" s="90"/>
      <c r="E2568" s="16"/>
      <c r="F2568" s="33"/>
      <c r="G2568" s="16"/>
      <c r="H2568" s="16"/>
      <c r="I2568" s="16"/>
      <c r="J2568" s="16"/>
      <c r="K2568" s="16"/>
      <c r="L2568" s="16"/>
      <c r="M2568" s="16"/>
      <c r="N2568" s="16"/>
      <c r="O2568" s="16"/>
      <c r="P2568" s="16"/>
      <c r="Q2568" s="16"/>
      <c r="R2568" s="16"/>
    </row>
    <row r="2569" spans="1:18" ht="18">
      <c r="A2569" s="61"/>
      <c r="B2569" s="15"/>
      <c r="C2569" s="31"/>
      <c r="D2569" s="90"/>
      <c r="E2569" s="16"/>
      <c r="F2569" s="33"/>
      <c r="G2569" s="16"/>
      <c r="H2569" s="16"/>
      <c r="I2569" s="16"/>
      <c r="J2569" s="16"/>
      <c r="K2569" s="16"/>
      <c r="L2569" s="16"/>
      <c r="M2569" s="16"/>
      <c r="N2569" s="16"/>
      <c r="O2569" s="16"/>
      <c r="P2569" s="16"/>
      <c r="Q2569" s="16"/>
      <c r="R2569" s="16"/>
    </row>
    <row r="2570" spans="1:18" ht="18">
      <c r="A2570" s="61"/>
      <c r="B2570" s="15"/>
      <c r="C2570" s="31"/>
      <c r="D2570" s="90"/>
      <c r="E2570" s="16"/>
      <c r="F2570" s="33"/>
      <c r="G2570" s="16"/>
      <c r="H2570" s="16"/>
      <c r="I2570" s="16"/>
      <c r="J2570" s="16"/>
      <c r="K2570" s="16"/>
      <c r="L2570" s="16"/>
      <c r="M2570" s="16"/>
      <c r="N2570" s="16"/>
      <c r="O2570" s="16"/>
      <c r="P2570" s="16"/>
      <c r="Q2570" s="16"/>
      <c r="R2570" s="16"/>
    </row>
    <row r="2571" spans="1:18" ht="18">
      <c r="A2571" s="61"/>
      <c r="B2571" s="15"/>
      <c r="C2571" s="31"/>
      <c r="D2571" s="90"/>
      <c r="E2571" s="16"/>
      <c r="F2571" s="33"/>
      <c r="G2571" s="16"/>
      <c r="H2571" s="16"/>
      <c r="I2571" s="16"/>
      <c r="J2571" s="16"/>
      <c r="K2571" s="16"/>
      <c r="L2571" s="16"/>
      <c r="M2571" s="16"/>
      <c r="N2571" s="16"/>
      <c r="O2571" s="16"/>
      <c r="P2571" s="16"/>
      <c r="Q2571" s="16"/>
      <c r="R2571" s="16"/>
    </row>
    <row r="2572" spans="1:18" ht="18">
      <c r="A2572" s="61"/>
      <c r="B2572" s="15"/>
      <c r="C2572" s="31"/>
      <c r="D2572" s="90"/>
      <c r="E2572" s="16"/>
      <c r="F2572" s="33"/>
      <c r="G2572" s="16"/>
      <c r="H2572" s="16"/>
      <c r="I2572" s="16"/>
      <c r="J2572" s="16"/>
      <c r="K2572" s="16"/>
      <c r="L2572" s="16"/>
      <c r="M2572" s="16"/>
      <c r="N2572" s="16"/>
      <c r="O2572" s="16"/>
      <c r="P2572" s="16"/>
      <c r="Q2572" s="16"/>
      <c r="R2572" s="16"/>
    </row>
    <row r="2573" spans="1:18" ht="18">
      <c r="A2573" s="61"/>
      <c r="B2573" s="15"/>
      <c r="C2573" s="31"/>
      <c r="D2573" s="90"/>
      <c r="E2573" s="16"/>
      <c r="F2573" s="33"/>
      <c r="G2573" s="16"/>
      <c r="H2573" s="16"/>
      <c r="I2573" s="16"/>
      <c r="J2573" s="16"/>
      <c r="K2573" s="16"/>
      <c r="L2573" s="16"/>
      <c r="M2573" s="16"/>
      <c r="N2573" s="16"/>
      <c r="O2573" s="16"/>
      <c r="P2573" s="16"/>
      <c r="Q2573" s="16"/>
      <c r="R2573" s="16"/>
    </row>
    <row r="2574" spans="1:18" ht="18">
      <c r="A2574" s="61"/>
      <c r="B2574" s="15"/>
      <c r="C2574" s="31"/>
      <c r="D2574" s="90"/>
      <c r="E2574" s="16"/>
      <c r="F2574" s="33"/>
      <c r="G2574" s="16"/>
      <c r="H2574" s="16"/>
      <c r="I2574" s="16"/>
      <c r="J2574" s="16"/>
      <c r="K2574" s="16"/>
      <c r="L2574" s="16"/>
      <c r="M2574" s="16"/>
      <c r="N2574" s="16"/>
      <c r="O2574" s="16"/>
      <c r="P2574" s="16"/>
      <c r="Q2574" s="16"/>
      <c r="R2574" s="16"/>
    </row>
    <row r="2575" spans="1:18" ht="18">
      <c r="A2575" s="61"/>
      <c r="B2575" s="15"/>
      <c r="C2575" s="31"/>
      <c r="D2575" s="90"/>
      <c r="E2575" s="16"/>
      <c r="F2575" s="33"/>
      <c r="G2575" s="16"/>
      <c r="H2575" s="16"/>
      <c r="I2575" s="16"/>
      <c r="J2575" s="16"/>
      <c r="K2575" s="16"/>
      <c r="L2575" s="16"/>
      <c r="M2575" s="16"/>
      <c r="N2575" s="16"/>
      <c r="O2575" s="16"/>
      <c r="P2575" s="16"/>
      <c r="Q2575" s="16"/>
      <c r="R2575" s="16"/>
    </row>
    <row r="2576" spans="1:18" ht="18">
      <c r="A2576" s="61"/>
      <c r="B2576" s="15"/>
      <c r="C2576" s="31"/>
      <c r="D2576" s="90"/>
      <c r="E2576" s="16"/>
      <c r="F2576" s="33"/>
      <c r="G2576" s="16"/>
      <c r="H2576" s="16"/>
      <c r="I2576" s="16"/>
      <c r="J2576" s="16"/>
      <c r="K2576" s="16"/>
      <c r="L2576" s="16"/>
      <c r="M2576" s="16"/>
      <c r="N2576" s="16"/>
      <c r="O2576" s="16"/>
      <c r="P2576" s="16"/>
      <c r="Q2576" s="16"/>
      <c r="R2576" s="16"/>
    </row>
    <row r="2577" spans="1:18" ht="18">
      <c r="A2577" s="61"/>
      <c r="B2577" s="15"/>
      <c r="C2577" s="31"/>
      <c r="D2577" s="90"/>
      <c r="E2577" s="16"/>
      <c r="F2577" s="33"/>
      <c r="G2577" s="16"/>
      <c r="H2577" s="16"/>
      <c r="I2577" s="16"/>
      <c r="J2577" s="16"/>
      <c r="K2577" s="16"/>
      <c r="L2577" s="16"/>
      <c r="M2577" s="16"/>
      <c r="N2577" s="16"/>
      <c r="O2577" s="16"/>
      <c r="P2577" s="16"/>
      <c r="Q2577" s="16"/>
      <c r="R2577" s="16"/>
    </row>
    <row r="2578" spans="1:18" ht="18">
      <c r="A2578" s="61"/>
      <c r="B2578" s="15"/>
      <c r="C2578" s="31"/>
      <c r="D2578" s="90"/>
      <c r="E2578" s="16"/>
      <c r="F2578" s="33"/>
      <c r="G2578" s="16"/>
      <c r="H2578" s="16"/>
      <c r="I2578" s="16"/>
      <c r="J2578" s="16"/>
      <c r="K2578" s="16"/>
      <c r="L2578" s="16"/>
      <c r="M2578" s="16"/>
      <c r="N2578" s="16"/>
      <c r="O2578" s="16"/>
      <c r="P2578" s="16"/>
      <c r="Q2578" s="16"/>
      <c r="R2578" s="16"/>
    </row>
    <row r="2579" spans="1:18" ht="18">
      <c r="A2579" s="61"/>
      <c r="B2579" s="15"/>
      <c r="C2579" s="31"/>
      <c r="D2579" s="90"/>
      <c r="E2579" s="16"/>
      <c r="F2579" s="33"/>
      <c r="G2579" s="16"/>
      <c r="H2579" s="16"/>
      <c r="I2579" s="16"/>
      <c r="J2579" s="16"/>
      <c r="K2579" s="16"/>
      <c r="L2579" s="16"/>
      <c r="M2579" s="16"/>
      <c r="N2579" s="16"/>
      <c r="O2579" s="16"/>
      <c r="P2579" s="16"/>
      <c r="Q2579" s="16"/>
      <c r="R2579" s="16"/>
    </row>
    <row r="2580" spans="1:18" ht="18">
      <c r="A2580" s="61"/>
      <c r="B2580" s="15"/>
      <c r="C2580" s="31"/>
      <c r="D2580" s="90"/>
      <c r="E2580" s="16"/>
      <c r="F2580" s="33"/>
      <c r="G2580" s="16"/>
      <c r="H2580" s="16"/>
      <c r="I2580" s="16"/>
      <c r="J2580" s="16"/>
      <c r="K2580" s="16"/>
      <c r="L2580" s="16"/>
      <c r="M2580" s="16"/>
      <c r="N2580" s="16"/>
      <c r="O2580" s="16"/>
      <c r="P2580" s="16"/>
      <c r="Q2580" s="16"/>
      <c r="R2580" s="16"/>
    </row>
    <row r="2581" spans="1:18" ht="18">
      <c r="A2581" s="61"/>
      <c r="B2581" s="15"/>
      <c r="C2581" s="31"/>
      <c r="D2581" s="90"/>
      <c r="E2581" s="16"/>
      <c r="F2581" s="33"/>
      <c r="G2581" s="16"/>
      <c r="H2581" s="16"/>
      <c r="I2581" s="16"/>
      <c r="J2581" s="16"/>
      <c r="K2581" s="16"/>
      <c r="L2581" s="16"/>
      <c r="M2581" s="16"/>
      <c r="N2581" s="16"/>
      <c r="O2581" s="16"/>
      <c r="P2581" s="16"/>
      <c r="Q2581" s="16"/>
      <c r="R2581" s="16"/>
    </row>
    <row r="2582" spans="1:18" ht="18">
      <c r="A2582" s="61"/>
      <c r="B2582" s="15"/>
      <c r="C2582" s="31"/>
      <c r="D2582" s="90"/>
      <c r="E2582" s="16"/>
      <c r="F2582" s="33"/>
      <c r="G2582" s="16"/>
      <c r="H2582" s="16"/>
      <c r="I2582" s="16"/>
      <c r="J2582" s="16"/>
      <c r="K2582" s="16"/>
      <c r="L2582" s="16"/>
      <c r="M2582" s="16"/>
      <c r="N2582" s="16"/>
      <c r="O2582" s="16"/>
      <c r="P2582" s="16"/>
      <c r="Q2582" s="16"/>
      <c r="R2582" s="16"/>
    </row>
    <row r="2583" spans="1:18" ht="18">
      <c r="A2583" s="61"/>
      <c r="B2583" s="15"/>
      <c r="C2583" s="31"/>
      <c r="D2583" s="90"/>
      <c r="E2583" s="16"/>
      <c r="F2583" s="33"/>
      <c r="G2583" s="16"/>
      <c r="H2583" s="16"/>
      <c r="I2583" s="16"/>
      <c r="J2583" s="16"/>
      <c r="K2583" s="16"/>
      <c r="L2583" s="16"/>
      <c r="M2583" s="16"/>
      <c r="N2583" s="16"/>
      <c r="O2583" s="16"/>
      <c r="P2583" s="16"/>
      <c r="Q2583" s="16"/>
      <c r="R2583" s="16"/>
    </row>
    <row r="2584" spans="1:18" ht="18">
      <c r="A2584" s="61"/>
      <c r="B2584" s="15"/>
      <c r="C2584" s="31"/>
      <c r="D2584" s="90"/>
      <c r="E2584" s="16"/>
      <c r="F2584" s="33"/>
      <c r="G2584" s="16"/>
      <c r="H2584" s="16"/>
      <c r="I2584" s="16"/>
      <c r="J2584" s="16"/>
      <c r="K2584" s="16"/>
      <c r="L2584" s="16"/>
      <c r="M2584" s="16"/>
      <c r="N2584" s="16"/>
      <c r="O2584" s="16"/>
      <c r="P2584" s="16"/>
      <c r="Q2584" s="16"/>
      <c r="R2584" s="16"/>
    </row>
    <row r="2585" spans="1:18" ht="18">
      <c r="A2585" s="61"/>
      <c r="B2585" s="15"/>
      <c r="C2585" s="31"/>
      <c r="D2585" s="90"/>
      <c r="E2585" s="16"/>
      <c r="F2585" s="33"/>
      <c r="G2585" s="16"/>
      <c r="H2585" s="16"/>
      <c r="I2585" s="16"/>
      <c r="J2585" s="16"/>
      <c r="K2585" s="16"/>
      <c r="L2585" s="16"/>
      <c r="M2585" s="16"/>
      <c r="N2585" s="16"/>
      <c r="O2585" s="16"/>
      <c r="P2585" s="16"/>
      <c r="Q2585" s="16"/>
      <c r="R2585" s="16"/>
    </row>
    <row r="2586" spans="1:18" ht="18">
      <c r="A2586" s="61"/>
      <c r="B2586" s="15"/>
      <c r="C2586" s="31"/>
      <c r="D2586" s="90"/>
      <c r="E2586" s="16"/>
      <c r="F2586" s="33"/>
      <c r="G2586" s="16"/>
      <c r="H2586" s="16"/>
      <c r="I2586" s="16"/>
      <c r="J2586" s="16"/>
      <c r="K2586" s="16"/>
      <c r="L2586" s="16"/>
      <c r="M2586" s="16"/>
      <c r="N2586" s="16"/>
      <c r="O2586" s="16"/>
      <c r="P2586" s="16"/>
      <c r="Q2586" s="16"/>
      <c r="R2586" s="16"/>
    </row>
    <row r="2587" spans="1:18" ht="18">
      <c r="A2587" s="61"/>
      <c r="B2587" s="15"/>
      <c r="C2587" s="31"/>
      <c r="D2587" s="90"/>
      <c r="E2587" s="16"/>
      <c r="F2587" s="33"/>
      <c r="G2587" s="16"/>
      <c r="H2587" s="16"/>
      <c r="I2587" s="16"/>
      <c r="J2587" s="16"/>
      <c r="K2587" s="16"/>
      <c r="L2587" s="16"/>
      <c r="M2587" s="16"/>
      <c r="N2587" s="16"/>
      <c r="O2587" s="16"/>
      <c r="P2587" s="16"/>
      <c r="Q2587" s="16"/>
      <c r="R2587" s="16"/>
    </row>
    <row r="2588" spans="1:18" ht="18">
      <c r="A2588" s="61"/>
      <c r="B2588" s="15"/>
      <c r="C2588" s="31"/>
      <c r="D2588" s="90"/>
      <c r="E2588" s="16"/>
      <c r="F2588" s="33"/>
      <c r="G2588" s="16"/>
      <c r="H2588" s="16"/>
      <c r="I2588" s="16"/>
      <c r="J2588" s="16"/>
      <c r="K2588" s="16"/>
      <c r="L2588" s="16"/>
      <c r="M2588" s="16"/>
      <c r="N2588" s="16"/>
      <c r="O2588" s="16"/>
      <c r="P2588" s="16"/>
      <c r="Q2588" s="16"/>
      <c r="R2588" s="16"/>
    </row>
    <row r="2589" spans="1:18" ht="18">
      <c r="A2589" s="61"/>
      <c r="B2589" s="15"/>
      <c r="C2589" s="31"/>
      <c r="D2589" s="90"/>
      <c r="E2589" s="16"/>
      <c r="F2589" s="33"/>
      <c r="G2589" s="16"/>
      <c r="H2589" s="16"/>
      <c r="I2589" s="16"/>
      <c r="J2589" s="16"/>
      <c r="K2589" s="16"/>
      <c r="L2589" s="16"/>
      <c r="M2589" s="16"/>
      <c r="N2589" s="16"/>
      <c r="O2589" s="16"/>
      <c r="P2589" s="16"/>
      <c r="Q2589" s="16"/>
      <c r="R2589" s="16"/>
    </row>
    <row r="2590" spans="1:18" ht="18">
      <c r="A2590" s="61"/>
      <c r="B2590" s="15"/>
      <c r="C2590" s="31"/>
      <c r="D2590" s="90"/>
      <c r="E2590" s="16"/>
      <c r="F2590" s="33"/>
      <c r="G2590" s="16"/>
      <c r="H2590" s="16"/>
      <c r="I2590" s="16"/>
      <c r="J2590" s="16"/>
      <c r="K2590" s="16"/>
      <c r="L2590" s="16"/>
      <c r="M2590" s="16"/>
      <c r="N2590" s="16"/>
      <c r="O2590" s="16"/>
      <c r="P2590" s="16"/>
      <c r="Q2590" s="16"/>
      <c r="R2590" s="16"/>
    </row>
    <row r="2591" spans="1:18" ht="18">
      <c r="A2591" s="61"/>
      <c r="B2591" s="15"/>
      <c r="C2591" s="31"/>
      <c r="D2591" s="90"/>
      <c r="E2591" s="16"/>
      <c r="F2591" s="33"/>
      <c r="G2591" s="16"/>
      <c r="H2591" s="16"/>
      <c r="I2591" s="16"/>
      <c r="J2591" s="16"/>
      <c r="K2591" s="16"/>
      <c r="L2591" s="16"/>
      <c r="M2591" s="16"/>
      <c r="N2591" s="16"/>
      <c r="O2591" s="16"/>
      <c r="P2591" s="16"/>
      <c r="Q2591" s="16"/>
      <c r="R2591" s="16"/>
    </row>
    <row r="2592" spans="1:18" ht="18">
      <c r="A2592" s="61"/>
      <c r="B2592" s="15"/>
      <c r="C2592" s="31"/>
      <c r="D2592" s="90"/>
      <c r="E2592" s="16"/>
      <c r="F2592" s="33"/>
      <c r="G2592" s="16"/>
      <c r="H2592" s="16"/>
      <c r="I2592" s="16"/>
      <c r="J2592" s="16"/>
      <c r="K2592" s="16"/>
      <c r="L2592" s="16"/>
      <c r="M2592" s="16"/>
      <c r="N2592" s="16"/>
      <c r="O2592" s="16"/>
      <c r="P2592" s="16"/>
      <c r="Q2592" s="16"/>
      <c r="R2592" s="16"/>
    </row>
    <row r="2593" spans="1:18" ht="18">
      <c r="A2593" s="61"/>
      <c r="B2593" s="15"/>
      <c r="C2593" s="31"/>
      <c r="D2593" s="90"/>
      <c r="E2593" s="16"/>
      <c r="F2593" s="33"/>
      <c r="G2593" s="16"/>
      <c r="H2593" s="16"/>
      <c r="I2593" s="16"/>
      <c r="J2593" s="16"/>
      <c r="K2593" s="16"/>
      <c r="L2593" s="16"/>
      <c r="M2593" s="16"/>
      <c r="N2593" s="16"/>
      <c r="O2593" s="16"/>
      <c r="P2593" s="16"/>
      <c r="Q2593" s="16"/>
      <c r="R2593" s="16"/>
    </row>
    <row r="2594" spans="1:18" ht="18">
      <c r="A2594" s="61"/>
      <c r="B2594" s="15"/>
      <c r="C2594" s="31"/>
      <c r="D2594" s="90"/>
      <c r="E2594" s="16"/>
      <c r="F2594" s="33"/>
      <c r="G2594" s="16"/>
      <c r="H2594" s="16"/>
      <c r="I2594" s="16"/>
      <c r="J2594" s="16"/>
      <c r="K2594" s="16"/>
      <c r="L2594" s="16"/>
      <c r="M2594" s="16"/>
      <c r="N2594" s="16"/>
      <c r="O2594" s="16"/>
      <c r="P2594" s="16"/>
      <c r="Q2594" s="16"/>
      <c r="R2594" s="16"/>
    </row>
    <row r="2595" spans="1:18" ht="18">
      <c r="A2595" s="61"/>
      <c r="B2595" s="15"/>
      <c r="C2595" s="31"/>
      <c r="D2595" s="90"/>
      <c r="E2595" s="16"/>
      <c r="F2595" s="33"/>
      <c r="G2595" s="16"/>
      <c r="H2595" s="16"/>
      <c r="I2595" s="16"/>
      <c r="J2595" s="16"/>
      <c r="K2595" s="16"/>
      <c r="L2595" s="16"/>
      <c r="M2595" s="16"/>
      <c r="N2595" s="16"/>
      <c r="O2595" s="16"/>
      <c r="P2595" s="16"/>
      <c r="Q2595" s="16"/>
      <c r="R2595" s="16"/>
    </row>
    <row r="2596" spans="1:18" ht="18">
      <c r="A2596" s="61"/>
      <c r="B2596" s="15"/>
      <c r="C2596" s="31"/>
      <c r="D2596" s="90"/>
      <c r="E2596" s="16"/>
      <c r="F2596" s="33"/>
      <c r="G2596" s="16"/>
      <c r="H2596" s="16"/>
      <c r="I2596" s="16"/>
      <c r="J2596" s="16"/>
      <c r="K2596" s="16"/>
      <c r="L2596" s="16"/>
      <c r="M2596" s="16"/>
      <c r="N2596" s="16"/>
      <c r="O2596" s="16"/>
      <c r="P2596" s="16"/>
      <c r="Q2596" s="16"/>
      <c r="R2596" s="16"/>
    </row>
    <row r="2597" spans="1:18" ht="18">
      <c r="A2597" s="61"/>
      <c r="B2597" s="15"/>
      <c r="C2597" s="31"/>
      <c r="D2597" s="90"/>
      <c r="E2597" s="16"/>
      <c r="F2597" s="33"/>
      <c r="G2597" s="16"/>
      <c r="H2597" s="16"/>
      <c r="I2597" s="16"/>
      <c r="J2597" s="16"/>
      <c r="K2597" s="16"/>
      <c r="L2597" s="16"/>
      <c r="M2597" s="16"/>
      <c r="N2597" s="16"/>
      <c r="O2597" s="16"/>
      <c r="P2597" s="16"/>
      <c r="Q2597" s="16"/>
      <c r="R2597" s="16"/>
    </row>
    <row r="2598" spans="1:18" ht="18">
      <c r="A2598" s="61"/>
      <c r="B2598" s="15"/>
      <c r="C2598" s="31"/>
      <c r="D2598" s="90"/>
      <c r="E2598" s="16"/>
      <c r="F2598" s="33"/>
      <c r="G2598" s="16"/>
      <c r="H2598" s="16"/>
      <c r="I2598" s="16"/>
      <c r="J2598" s="16"/>
      <c r="K2598" s="16"/>
      <c r="L2598" s="16"/>
      <c r="M2598" s="16"/>
      <c r="N2598" s="16"/>
      <c r="O2598" s="16"/>
      <c r="P2598" s="16"/>
      <c r="Q2598" s="16"/>
      <c r="R2598" s="16"/>
    </row>
    <row r="2599" spans="1:18" ht="18">
      <c r="A2599" s="61"/>
      <c r="B2599" s="15"/>
      <c r="C2599" s="31"/>
      <c r="D2599" s="90"/>
      <c r="E2599" s="16"/>
      <c r="F2599" s="33"/>
      <c r="G2599" s="16"/>
      <c r="H2599" s="16"/>
      <c r="I2599" s="16"/>
      <c r="J2599" s="16"/>
      <c r="K2599" s="16"/>
      <c r="L2599" s="16"/>
      <c r="M2599" s="16"/>
      <c r="N2599" s="16"/>
      <c r="O2599" s="16"/>
      <c r="P2599" s="16"/>
      <c r="Q2599" s="16"/>
      <c r="R2599" s="16"/>
    </row>
    <row r="2600" spans="1:18" ht="18">
      <c r="A2600" s="61"/>
      <c r="B2600" s="15"/>
      <c r="C2600" s="31"/>
      <c r="D2600" s="90"/>
      <c r="E2600" s="16"/>
      <c r="F2600" s="33"/>
      <c r="G2600" s="16"/>
      <c r="H2600" s="16"/>
      <c r="I2600" s="16"/>
      <c r="J2600" s="16"/>
      <c r="K2600" s="16"/>
      <c r="L2600" s="16"/>
      <c r="M2600" s="16"/>
      <c r="N2600" s="16"/>
      <c r="O2600" s="16"/>
      <c r="P2600" s="16"/>
      <c r="Q2600" s="16"/>
      <c r="R2600" s="16"/>
    </row>
    <row r="2601" spans="1:18" ht="18">
      <c r="A2601" s="61"/>
      <c r="B2601" s="15"/>
      <c r="C2601" s="31"/>
      <c r="D2601" s="90"/>
      <c r="E2601" s="16"/>
      <c r="F2601" s="33"/>
      <c r="G2601" s="16"/>
      <c r="H2601" s="16"/>
      <c r="I2601" s="16"/>
      <c r="J2601" s="16"/>
      <c r="K2601" s="16"/>
      <c r="L2601" s="16"/>
      <c r="M2601" s="16"/>
      <c r="N2601" s="16"/>
      <c r="O2601" s="16"/>
      <c r="P2601" s="16"/>
      <c r="Q2601" s="16"/>
      <c r="R2601" s="16"/>
    </row>
    <row r="2602" spans="1:18" ht="18">
      <c r="A2602" s="61"/>
      <c r="B2602" s="15"/>
      <c r="C2602" s="31"/>
      <c r="D2602" s="90"/>
      <c r="E2602" s="16"/>
      <c r="F2602" s="33"/>
      <c r="G2602" s="16"/>
      <c r="H2602" s="16"/>
      <c r="I2602" s="16"/>
      <c r="J2602" s="16"/>
      <c r="K2602" s="16"/>
      <c r="L2602" s="16"/>
      <c r="M2602" s="16"/>
      <c r="N2602" s="16"/>
      <c r="O2602" s="16"/>
      <c r="P2602" s="16"/>
      <c r="Q2602" s="16"/>
      <c r="R2602" s="16"/>
    </row>
    <row r="2603" spans="1:18" ht="18">
      <c r="A2603" s="61"/>
      <c r="B2603" s="15"/>
      <c r="C2603" s="31"/>
      <c r="D2603" s="90"/>
      <c r="E2603" s="16"/>
      <c r="F2603" s="33"/>
      <c r="G2603" s="16"/>
      <c r="H2603" s="16"/>
      <c r="I2603" s="16"/>
      <c r="J2603" s="16"/>
      <c r="K2603" s="16"/>
      <c r="L2603" s="16"/>
      <c r="M2603" s="16"/>
      <c r="N2603" s="16"/>
      <c r="O2603" s="16"/>
      <c r="P2603" s="16"/>
      <c r="Q2603" s="16"/>
      <c r="R2603" s="16"/>
    </row>
    <row r="2604" spans="1:18" ht="18">
      <c r="A2604" s="61"/>
      <c r="B2604" s="15"/>
      <c r="C2604" s="31"/>
      <c r="D2604" s="90"/>
      <c r="E2604" s="16"/>
      <c r="F2604" s="33"/>
      <c r="G2604" s="16"/>
      <c r="H2604" s="16"/>
      <c r="I2604" s="16"/>
      <c r="J2604" s="16"/>
      <c r="K2604" s="16"/>
      <c r="L2604" s="16"/>
      <c r="M2604" s="16"/>
      <c r="N2604" s="16"/>
      <c r="O2604" s="16"/>
      <c r="P2604" s="16"/>
      <c r="Q2604" s="16"/>
      <c r="R2604" s="16"/>
    </row>
    <row r="2605" spans="1:18" ht="18">
      <c r="A2605" s="61"/>
      <c r="B2605" s="15"/>
      <c r="C2605" s="31"/>
      <c r="D2605" s="90"/>
      <c r="E2605" s="16"/>
      <c r="F2605" s="33"/>
      <c r="G2605" s="16"/>
      <c r="H2605" s="16"/>
      <c r="I2605" s="16"/>
      <c r="J2605" s="16"/>
      <c r="K2605" s="16"/>
      <c r="L2605" s="16"/>
      <c r="M2605" s="16"/>
      <c r="N2605" s="16"/>
      <c r="O2605" s="16"/>
      <c r="P2605" s="16"/>
      <c r="Q2605" s="16"/>
      <c r="R2605" s="16"/>
    </row>
    <row r="2606" spans="1:18" ht="18">
      <c r="A2606" s="61"/>
      <c r="B2606" s="15"/>
      <c r="C2606" s="31"/>
      <c r="D2606" s="90"/>
      <c r="E2606" s="16"/>
      <c r="F2606" s="33"/>
      <c r="G2606" s="16"/>
      <c r="H2606" s="16"/>
      <c r="I2606" s="16"/>
      <c r="J2606" s="16"/>
      <c r="K2606" s="16"/>
      <c r="L2606" s="16"/>
      <c r="M2606" s="16"/>
      <c r="N2606" s="16"/>
      <c r="O2606" s="16"/>
      <c r="P2606" s="16"/>
      <c r="Q2606" s="16"/>
      <c r="R2606" s="16"/>
    </row>
    <row r="2607" spans="1:18" ht="18">
      <c r="A2607" s="61"/>
      <c r="B2607" s="15"/>
      <c r="C2607" s="31"/>
      <c r="D2607" s="90"/>
      <c r="E2607" s="16"/>
      <c r="F2607" s="33"/>
      <c r="G2607" s="16"/>
      <c r="H2607" s="16"/>
      <c r="I2607" s="16"/>
      <c r="J2607" s="16"/>
      <c r="K2607" s="16"/>
      <c r="L2607" s="16"/>
      <c r="M2607" s="16"/>
      <c r="N2607" s="16"/>
      <c r="O2607" s="16"/>
      <c r="P2607" s="16"/>
      <c r="Q2607" s="16"/>
      <c r="R2607" s="16"/>
    </row>
    <row r="2608" spans="1:18" ht="18">
      <c r="A2608" s="61"/>
      <c r="B2608" s="15"/>
      <c r="C2608" s="31"/>
      <c r="D2608" s="90"/>
      <c r="E2608" s="16"/>
      <c r="F2608" s="33"/>
      <c r="G2608" s="16"/>
      <c r="H2608" s="16"/>
      <c r="I2608" s="16"/>
      <c r="J2608" s="16"/>
      <c r="K2608" s="16"/>
      <c r="L2608" s="16"/>
      <c r="M2608" s="16"/>
      <c r="N2608" s="16"/>
      <c r="O2608" s="16"/>
      <c r="P2608" s="16"/>
      <c r="Q2608" s="16"/>
      <c r="R2608" s="16"/>
    </row>
    <row r="2609" spans="1:18" ht="18">
      <c r="A2609" s="61"/>
      <c r="B2609" s="15"/>
      <c r="C2609" s="31"/>
      <c r="D2609" s="90"/>
      <c r="E2609" s="16"/>
      <c r="F2609" s="33"/>
      <c r="G2609" s="16"/>
      <c r="H2609" s="16"/>
      <c r="I2609" s="16"/>
      <c r="J2609" s="16"/>
      <c r="K2609" s="16"/>
      <c r="L2609" s="16"/>
      <c r="M2609" s="16"/>
      <c r="N2609" s="16"/>
      <c r="O2609" s="16"/>
      <c r="P2609" s="16"/>
      <c r="Q2609" s="16"/>
      <c r="R2609" s="16"/>
    </row>
    <row r="2610" spans="1:18" ht="18">
      <c r="A2610" s="61"/>
      <c r="B2610" s="15"/>
      <c r="C2610" s="31"/>
      <c r="D2610" s="90"/>
      <c r="E2610" s="16"/>
      <c r="F2610" s="33"/>
      <c r="G2610" s="16"/>
      <c r="H2610" s="16"/>
      <c r="I2610" s="16"/>
      <c r="J2610" s="16"/>
      <c r="K2610" s="16"/>
      <c r="L2610" s="16"/>
      <c r="M2610" s="16"/>
      <c r="N2610" s="16"/>
      <c r="O2610" s="16"/>
      <c r="P2610" s="16"/>
      <c r="Q2610" s="16"/>
      <c r="R2610" s="16"/>
    </row>
    <row r="2611" spans="1:18" ht="18">
      <c r="A2611" s="61"/>
      <c r="B2611" s="15"/>
      <c r="C2611" s="31"/>
      <c r="D2611" s="90"/>
      <c r="E2611" s="16"/>
      <c r="F2611" s="33"/>
      <c r="G2611" s="16"/>
      <c r="H2611" s="16"/>
      <c r="I2611" s="16"/>
      <c r="J2611" s="16"/>
      <c r="K2611" s="16"/>
      <c r="L2611" s="16"/>
      <c r="M2611" s="16"/>
      <c r="N2611" s="16"/>
      <c r="O2611" s="16"/>
      <c r="P2611" s="16"/>
      <c r="Q2611" s="16"/>
      <c r="R2611" s="16"/>
    </row>
    <row r="2612" spans="1:18" ht="18">
      <c r="A2612" s="61"/>
      <c r="B2612" s="15"/>
      <c r="C2612" s="31"/>
      <c r="D2612" s="90"/>
      <c r="E2612" s="16"/>
      <c r="F2612" s="33"/>
      <c r="G2612" s="16"/>
      <c r="H2612" s="16"/>
      <c r="I2612" s="16"/>
      <c r="J2612" s="16"/>
      <c r="K2612" s="16"/>
      <c r="L2612" s="16"/>
      <c r="M2612" s="16"/>
      <c r="N2612" s="16"/>
      <c r="O2612" s="16"/>
      <c r="P2612" s="16"/>
      <c r="Q2612" s="16"/>
      <c r="R2612" s="16"/>
    </row>
    <row r="2613" spans="1:18" ht="18">
      <c r="A2613" s="61"/>
      <c r="B2613" s="15"/>
      <c r="C2613" s="31"/>
      <c r="D2613" s="90"/>
      <c r="E2613" s="16"/>
      <c r="F2613" s="33"/>
      <c r="G2613" s="16"/>
      <c r="H2613" s="16"/>
      <c r="I2613" s="16"/>
      <c r="J2613" s="16"/>
      <c r="K2613" s="16"/>
      <c r="L2613" s="16"/>
      <c r="M2613" s="16"/>
      <c r="N2613" s="16"/>
      <c r="O2613" s="16"/>
      <c r="P2613" s="16"/>
      <c r="Q2613" s="16"/>
      <c r="R2613" s="16"/>
    </row>
    <row r="2614" spans="1:18" ht="18">
      <c r="A2614" s="61"/>
      <c r="B2614" s="15"/>
      <c r="C2614" s="31"/>
      <c r="D2614" s="90"/>
      <c r="E2614" s="16"/>
      <c r="F2614" s="33"/>
      <c r="G2614" s="16"/>
      <c r="H2614" s="16"/>
      <c r="I2614" s="16"/>
      <c r="J2614" s="16"/>
      <c r="K2614" s="16"/>
      <c r="L2614" s="16"/>
      <c r="M2614" s="16"/>
      <c r="N2614" s="16"/>
      <c r="O2614" s="16"/>
      <c r="P2614" s="16"/>
      <c r="Q2614" s="16"/>
      <c r="R2614" s="16"/>
    </row>
    <row r="2615" spans="1:18" ht="18">
      <c r="A2615" s="61"/>
      <c r="B2615" s="15"/>
      <c r="C2615" s="31"/>
      <c r="D2615" s="90"/>
      <c r="E2615" s="16"/>
      <c r="F2615" s="33"/>
      <c r="G2615" s="16"/>
      <c r="H2615" s="16"/>
      <c r="I2615" s="16"/>
      <c r="J2615" s="16"/>
      <c r="K2615" s="16"/>
      <c r="L2615" s="16"/>
      <c r="M2615" s="16"/>
      <c r="N2615" s="16"/>
      <c r="O2615" s="16"/>
      <c r="P2615" s="16"/>
      <c r="Q2615" s="16"/>
      <c r="R2615" s="16"/>
    </row>
    <row r="2616" spans="1:18" ht="18">
      <c r="A2616" s="61"/>
      <c r="B2616" s="15"/>
      <c r="C2616" s="31"/>
      <c r="D2616" s="90"/>
      <c r="E2616" s="16"/>
      <c r="F2616" s="33"/>
      <c r="G2616" s="16"/>
      <c r="H2616" s="16"/>
      <c r="I2616" s="16"/>
      <c r="J2616" s="16"/>
      <c r="K2616" s="16"/>
      <c r="L2616" s="16"/>
      <c r="M2616" s="16"/>
      <c r="N2616" s="16"/>
      <c r="O2616" s="16"/>
      <c r="P2616" s="16"/>
      <c r="Q2616" s="16"/>
      <c r="R2616" s="16"/>
    </row>
    <row r="2617" spans="1:18" ht="18">
      <c r="A2617" s="61"/>
      <c r="B2617" s="15"/>
      <c r="C2617" s="31"/>
      <c r="D2617" s="90"/>
      <c r="E2617" s="16"/>
      <c r="F2617" s="33"/>
      <c r="G2617" s="16"/>
      <c r="H2617" s="16"/>
      <c r="I2617" s="16"/>
      <c r="J2617" s="16"/>
      <c r="K2617" s="16"/>
      <c r="L2617" s="16"/>
      <c r="M2617" s="16"/>
      <c r="N2617" s="16"/>
      <c r="O2617" s="16"/>
      <c r="P2617" s="16"/>
      <c r="Q2617" s="16"/>
      <c r="R2617" s="16"/>
    </row>
    <row r="2618" spans="1:18" ht="18">
      <c r="A2618" s="61"/>
      <c r="B2618" s="15"/>
      <c r="C2618" s="31"/>
      <c r="D2618" s="90"/>
      <c r="E2618" s="16"/>
      <c r="F2618" s="33"/>
      <c r="G2618" s="16"/>
      <c r="H2618" s="16"/>
      <c r="I2618" s="16"/>
      <c r="J2618" s="16"/>
      <c r="K2618" s="16"/>
      <c r="L2618" s="16"/>
      <c r="M2618" s="16"/>
      <c r="N2618" s="16"/>
      <c r="O2618" s="16"/>
      <c r="P2618" s="16"/>
      <c r="Q2618" s="16"/>
      <c r="R2618" s="16"/>
    </row>
    <row r="2619" spans="1:18" ht="18">
      <c r="A2619" s="61"/>
      <c r="B2619" s="15"/>
      <c r="C2619" s="31"/>
      <c r="D2619" s="90"/>
      <c r="E2619" s="16"/>
      <c r="F2619" s="33"/>
      <c r="G2619" s="16"/>
      <c r="H2619" s="16"/>
      <c r="I2619" s="16"/>
      <c r="J2619" s="16"/>
      <c r="K2619" s="16"/>
      <c r="L2619" s="16"/>
      <c r="M2619" s="16"/>
      <c r="N2619" s="16"/>
      <c r="O2619" s="16"/>
      <c r="P2619" s="16"/>
      <c r="Q2619" s="16"/>
      <c r="R2619" s="16"/>
    </row>
    <row r="2620" spans="1:18" ht="18">
      <c r="A2620" s="61"/>
      <c r="B2620" s="15"/>
      <c r="C2620" s="31"/>
      <c r="D2620" s="90"/>
      <c r="E2620" s="16"/>
      <c r="F2620" s="33"/>
      <c r="G2620" s="16"/>
      <c r="H2620" s="16"/>
      <c r="I2620" s="16"/>
      <c r="J2620" s="16"/>
      <c r="K2620" s="16"/>
      <c r="L2620" s="16"/>
      <c r="M2620" s="16"/>
      <c r="N2620" s="16"/>
      <c r="O2620" s="16"/>
      <c r="P2620" s="16"/>
      <c r="Q2620" s="16"/>
      <c r="R2620" s="16"/>
    </row>
    <row r="2621" spans="1:18" ht="18">
      <c r="A2621" s="61"/>
      <c r="B2621" s="15"/>
      <c r="C2621" s="31"/>
      <c r="D2621" s="90"/>
      <c r="E2621" s="16"/>
      <c r="F2621" s="33"/>
      <c r="G2621" s="16"/>
      <c r="H2621" s="16"/>
      <c r="I2621" s="16"/>
      <c r="J2621" s="16"/>
      <c r="K2621" s="16"/>
      <c r="L2621" s="16"/>
      <c r="M2621" s="16"/>
      <c r="N2621" s="16"/>
      <c r="O2621" s="16"/>
      <c r="P2621" s="16"/>
      <c r="Q2621" s="16"/>
      <c r="R2621" s="16"/>
    </row>
    <row r="2622" spans="1:18" ht="18">
      <c r="A2622" s="61"/>
      <c r="B2622" s="15"/>
      <c r="C2622" s="31"/>
      <c r="D2622" s="90"/>
      <c r="E2622" s="16"/>
      <c r="F2622" s="33"/>
      <c r="G2622" s="16"/>
      <c r="H2622" s="16"/>
      <c r="I2622" s="16"/>
      <c r="J2622" s="16"/>
      <c r="K2622" s="16"/>
      <c r="L2622" s="16"/>
      <c r="M2622" s="16"/>
      <c r="N2622" s="16"/>
      <c r="O2622" s="16"/>
      <c r="P2622" s="16"/>
      <c r="Q2622" s="16"/>
      <c r="R2622" s="16"/>
    </row>
    <row r="2623" spans="1:18" ht="18">
      <c r="A2623" s="61"/>
      <c r="B2623" s="15"/>
      <c r="C2623" s="31"/>
      <c r="D2623" s="90"/>
      <c r="E2623" s="16"/>
      <c r="F2623" s="33"/>
      <c r="G2623" s="16"/>
      <c r="H2623" s="16"/>
      <c r="I2623" s="16"/>
      <c r="J2623" s="16"/>
      <c r="K2623" s="16"/>
      <c r="L2623" s="16"/>
      <c r="M2623" s="16"/>
      <c r="N2623" s="16"/>
      <c r="O2623" s="16"/>
      <c r="P2623" s="16"/>
      <c r="Q2623" s="16"/>
      <c r="R2623" s="16"/>
    </row>
    <row r="2624" spans="1:18" ht="18">
      <c r="A2624" s="61"/>
      <c r="B2624" s="15"/>
      <c r="C2624" s="31"/>
      <c r="D2624" s="90"/>
      <c r="E2624" s="16"/>
      <c r="F2624" s="33"/>
      <c r="G2624" s="16"/>
      <c r="H2624" s="16"/>
      <c r="I2624" s="16"/>
      <c r="J2624" s="16"/>
      <c r="K2624" s="16"/>
      <c r="L2624" s="16"/>
      <c r="M2624" s="16"/>
      <c r="N2624" s="16"/>
      <c r="O2624" s="16"/>
      <c r="P2624" s="16"/>
      <c r="Q2624" s="16"/>
      <c r="R2624" s="16"/>
    </row>
    <row r="2625" spans="1:18" ht="18">
      <c r="A2625" s="61"/>
      <c r="B2625" s="15"/>
      <c r="C2625" s="31"/>
      <c r="D2625" s="90"/>
      <c r="E2625" s="16"/>
      <c r="F2625" s="33"/>
      <c r="G2625" s="16"/>
      <c r="H2625" s="16"/>
      <c r="I2625" s="16"/>
      <c r="J2625" s="16"/>
      <c r="K2625" s="16"/>
      <c r="L2625" s="16"/>
      <c r="M2625" s="16"/>
      <c r="N2625" s="16"/>
      <c r="O2625" s="16"/>
      <c r="P2625" s="16"/>
      <c r="Q2625" s="16"/>
      <c r="R2625" s="16"/>
    </row>
    <row r="2626" spans="1:18" ht="18">
      <c r="A2626" s="61"/>
      <c r="B2626" s="15"/>
      <c r="C2626" s="31"/>
      <c r="D2626" s="90"/>
      <c r="E2626" s="16"/>
      <c r="F2626" s="33"/>
      <c r="G2626" s="16"/>
      <c r="H2626" s="16"/>
      <c r="I2626" s="16"/>
      <c r="J2626" s="16"/>
      <c r="K2626" s="16"/>
      <c r="L2626" s="16"/>
      <c r="M2626" s="16"/>
      <c r="N2626" s="16"/>
      <c r="O2626" s="16"/>
      <c r="P2626" s="16"/>
      <c r="Q2626" s="16"/>
      <c r="R2626" s="16"/>
    </row>
    <row r="2627" spans="1:18" ht="18">
      <c r="A2627" s="61"/>
      <c r="B2627" s="15"/>
      <c r="C2627" s="31"/>
      <c r="D2627" s="90"/>
      <c r="E2627" s="16"/>
      <c r="F2627" s="33"/>
      <c r="G2627" s="16"/>
      <c r="H2627" s="16"/>
      <c r="I2627" s="16"/>
      <c r="J2627" s="16"/>
      <c r="K2627" s="16"/>
      <c r="L2627" s="16"/>
      <c r="M2627" s="16"/>
      <c r="N2627" s="16"/>
      <c r="O2627" s="16"/>
      <c r="P2627" s="16"/>
      <c r="Q2627" s="16"/>
      <c r="R2627" s="16"/>
    </row>
    <row r="2628" spans="1:18" ht="18">
      <c r="A2628" s="61"/>
      <c r="B2628" s="15"/>
      <c r="C2628" s="31"/>
      <c r="D2628" s="90"/>
      <c r="E2628" s="16"/>
      <c r="F2628" s="33"/>
      <c r="G2628" s="16"/>
      <c r="H2628" s="16"/>
      <c r="I2628" s="16"/>
      <c r="J2628" s="16"/>
      <c r="K2628" s="16"/>
      <c r="L2628" s="16"/>
      <c r="M2628" s="16"/>
      <c r="N2628" s="16"/>
      <c r="O2628" s="16"/>
      <c r="P2628" s="16"/>
      <c r="Q2628" s="16"/>
      <c r="R2628" s="16"/>
    </row>
    <row r="2629" spans="1:18" ht="18">
      <c r="A2629" s="61"/>
      <c r="B2629" s="15"/>
      <c r="C2629" s="31"/>
      <c r="D2629" s="90"/>
      <c r="E2629" s="16"/>
      <c r="F2629" s="33"/>
      <c r="G2629" s="16"/>
      <c r="H2629" s="16"/>
      <c r="I2629" s="16"/>
      <c r="J2629" s="16"/>
      <c r="K2629" s="16"/>
      <c r="L2629" s="16"/>
      <c r="M2629" s="16"/>
      <c r="N2629" s="16"/>
      <c r="O2629" s="16"/>
      <c r="P2629" s="16"/>
      <c r="Q2629" s="16"/>
      <c r="R2629" s="16"/>
    </row>
    <row r="2630" spans="1:18" ht="18">
      <c r="A2630" s="61"/>
      <c r="B2630" s="15"/>
      <c r="C2630" s="31"/>
      <c r="D2630" s="90"/>
      <c r="E2630" s="16"/>
      <c r="F2630" s="33"/>
      <c r="G2630" s="16"/>
      <c r="H2630" s="16"/>
      <c r="I2630" s="16"/>
      <c r="J2630" s="16"/>
      <c r="K2630" s="16"/>
      <c r="L2630" s="16"/>
      <c r="M2630" s="16"/>
      <c r="N2630" s="16"/>
      <c r="O2630" s="16"/>
      <c r="P2630" s="16"/>
      <c r="Q2630" s="16"/>
      <c r="R2630" s="16"/>
    </row>
    <row r="2631" spans="1:18" ht="18">
      <c r="A2631" s="61"/>
      <c r="B2631" s="15"/>
      <c r="C2631" s="31"/>
      <c r="D2631" s="90"/>
      <c r="E2631" s="16"/>
      <c r="F2631" s="33"/>
      <c r="G2631" s="16"/>
      <c r="H2631" s="16"/>
      <c r="I2631" s="16"/>
      <c r="J2631" s="16"/>
      <c r="K2631" s="16"/>
      <c r="L2631" s="16"/>
      <c r="M2631" s="16"/>
      <c r="N2631" s="16"/>
      <c r="O2631" s="16"/>
      <c r="P2631" s="16"/>
      <c r="Q2631" s="16"/>
      <c r="R2631" s="16"/>
    </row>
    <row r="2632" spans="1:18" ht="18">
      <c r="A2632" s="61"/>
      <c r="B2632" s="15"/>
      <c r="C2632" s="31"/>
      <c r="D2632" s="90"/>
      <c r="E2632" s="16"/>
      <c r="F2632" s="33"/>
      <c r="G2632" s="16"/>
      <c r="H2632" s="16"/>
      <c r="I2632" s="16"/>
      <c r="J2632" s="16"/>
      <c r="K2632" s="16"/>
      <c r="L2632" s="16"/>
      <c r="M2632" s="16"/>
      <c r="N2632" s="16"/>
      <c r="O2632" s="16"/>
      <c r="P2632" s="16"/>
      <c r="Q2632" s="16"/>
      <c r="R2632" s="16"/>
    </row>
    <row r="2633" spans="1:18" ht="18">
      <c r="A2633" s="61"/>
      <c r="B2633" s="15"/>
      <c r="C2633" s="31"/>
      <c r="D2633" s="90"/>
      <c r="E2633" s="16"/>
      <c r="F2633" s="33"/>
      <c r="G2633" s="16"/>
      <c r="H2633" s="16"/>
      <c r="I2633" s="16"/>
      <c r="J2633" s="16"/>
      <c r="K2633" s="16"/>
      <c r="L2633" s="16"/>
      <c r="M2633" s="16"/>
      <c r="N2633" s="16"/>
      <c r="O2633" s="16"/>
      <c r="P2633" s="16"/>
      <c r="Q2633" s="16"/>
      <c r="R2633" s="16"/>
    </row>
    <row r="2634" spans="1:18" ht="18">
      <c r="A2634" s="61"/>
      <c r="B2634" s="15"/>
      <c r="C2634" s="31"/>
      <c r="D2634" s="90"/>
      <c r="E2634" s="16"/>
      <c r="F2634" s="33"/>
      <c r="G2634" s="16"/>
      <c r="H2634" s="16"/>
      <c r="I2634" s="16"/>
      <c r="J2634" s="16"/>
      <c r="K2634" s="16"/>
      <c r="L2634" s="16"/>
      <c r="M2634" s="16"/>
      <c r="N2634" s="16"/>
      <c r="O2634" s="16"/>
      <c r="P2634" s="16"/>
      <c r="Q2634" s="16"/>
      <c r="R2634" s="16"/>
    </row>
    <row r="2635" spans="1:18" ht="18">
      <c r="A2635" s="61"/>
      <c r="B2635" s="15"/>
      <c r="C2635" s="31"/>
      <c r="D2635" s="90"/>
      <c r="E2635" s="16"/>
      <c r="F2635" s="33"/>
      <c r="G2635" s="16"/>
      <c r="H2635" s="16"/>
      <c r="I2635" s="16"/>
      <c r="J2635" s="16"/>
      <c r="K2635" s="16"/>
      <c r="L2635" s="16"/>
      <c r="M2635" s="16"/>
      <c r="N2635" s="16"/>
      <c r="O2635" s="16"/>
      <c r="P2635" s="16"/>
      <c r="Q2635" s="16"/>
      <c r="R2635" s="16"/>
    </row>
    <row r="2636" spans="1:18" ht="18">
      <c r="A2636" s="61"/>
      <c r="B2636" s="15"/>
      <c r="C2636" s="31"/>
      <c r="D2636" s="90"/>
      <c r="E2636" s="16"/>
      <c r="F2636" s="33"/>
      <c r="G2636" s="16"/>
      <c r="H2636" s="16"/>
      <c r="I2636" s="16"/>
      <c r="J2636" s="16"/>
      <c r="K2636" s="16"/>
      <c r="L2636" s="16"/>
      <c r="M2636" s="16"/>
      <c r="N2636" s="16"/>
      <c r="O2636" s="16"/>
      <c r="P2636" s="16"/>
      <c r="Q2636" s="16"/>
      <c r="R2636" s="16"/>
    </row>
    <row r="2637" spans="1:18" ht="18">
      <c r="A2637" s="61"/>
      <c r="B2637" s="15"/>
      <c r="C2637" s="31"/>
      <c r="D2637" s="90"/>
      <c r="E2637" s="16"/>
      <c r="F2637" s="33"/>
      <c r="G2637" s="16"/>
      <c r="H2637" s="16"/>
      <c r="I2637" s="16"/>
      <c r="J2637" s="16"/>
      <c r="K2637" s="16"/>
      <c r="L2637" s="16"/>
      <c r="M2637" s="16"/>
      <c r="N2637" s="16"/>
      <c r="O2637" s="16"/>
      <c r="P2637" s="16"/>
      <c r="Q2637" s="16"/>
      <c r="R2637" s="16"/>
    </row>
    <row r="2638" spans="1:18" ht="18">
      <c r="A2638" s="61"/>
      <c r="B2638" s="15"/>
      <c r="C2638" s="31"/>
      <c r="D2638" s="90"/>
      <c r="E2638" s="16"/>
      <c r="F2638" s="33"/>
      <c r="G2638" s="16"/>
      <c r="H2638" s="16"/>
      <c r="I2638" s="16"/>
      <c r="J2638" s="16"/>
      <c r="K2638" s="16"/>
      <c r="L2638" s="16"/>
      <c r="M2638" s="16"/>
      <c r="N2638" s="16"/>
      <c r="O2638" s="16"/>
      <c r="P2638" s="16"/>
      <c r="Q2638" s="16"/>
      <c r="R2638" s="16"/>
    </row>
    <row r="2639" spans="1:18" ht="18">
      <c r="A2639" s="61"/>
      <c r="B2639" s="15"/>
      <c r="C2639" s="31"/>
      <c r="D2639" s="90"/>
      <c r="E2639" s="16"/>
      <c r="F2639" s="33"/>
      <c r="G2639" s="16"/>
      <c r="H2639" s="16"/>
      <c r="I2639" s="16"/>
      <c r="J2639" s="16"/>
      <c r="K2639" s="16"/>
      <c r="L2639" s="16"/>
      <c r="M2639" s="16"/>
      <c r="N2639" s="16"/>
      <c r="O2639" s="16"/>
      <c r="P2639" s="16"/>
      <c r="Q2639" s="16"/>
      <c r="R2639" s="16"/>
    </row>
    <row r="2640" spans="1:18" ht="18">
      <c r="A2640" s="61"/>
      <c r="B2640" s="15"/>
      <c r="C2640" s="31"/>
      <c r="D2640" s="90"/>
      <c r="E2640" s="16"/>
      <c r="F2640" s="33"/>
      <c r="G2640" s="16"/>
      <c r="H2640" s="16"/>
      <c r="I2640" s="16"/>
      <c r="J2640" s="16"/>
      <c r="K2640" s="16"/>
      <c r="L2640" s="16"/>
      <c r="M2640" s="16"/>
      <c r="N2640" s="16"/>
      <c r="O2640" s="16"/>
      <c r="P2640" s="16"/>
      <c r="Q2640" s="16"/>
      <c r="R2640" s="16"/>
    </row>
    <row r="2641" spans="1:18" ht="18">
      <c r="A2641" s="61"/>
      <c r="B2641" s="15"/>
      <c r="C2641" s="31"/>
      <c r="D2641" s="90"/>
      <c r="E2641" s="16"/>
      <c r="F2641" s="33"/>
      <c r="G2641" s="16"/>
      <c r="H2641" s="16"/>
      <c r="I2641" s="16"/>
      <c r="J2641" s="16"/>
      <c r="K2641" s="16"/>
      <c r="L2641" s="16"/>
      <c r="M2641" s="16"/>
      <c r="N2641" s="16"/>
      <c r="O2641" s="16"/>
      <c r="P2641" s="16"/>
      <c r="Q2641" s="16"/>
      <c r="R2641" s="16"/>
    </row>
    <row r="2642" spans="1:18" ht="18">
      <c r="A2642" s="61"/>
      <c r="B2642" s="15"/>
      <c r="C2642" s="31"/>
      <c r="D2642" s="90"/>
      <c r="E2642" s="16"/>
      <c r="F2642" s="33"/>
      <c r="G2642" s="16"/>
      <c r="H2642" s="16"/>
      <c r="I2642" s="16"/>
      <c r="J2642" s="16"/>
      <c r="K2642" s="16"/>
      <c r="L2642" s="16"/>
      <c r="M2642" s="16"/>
      <c r="N2642" s="16"/>
      <c r="O2642" s="16"/>
      <c r="P2642" s="16"/>
      <c r="Q2642" s="16"/>
      <c r="R2642" s="16"/>
    </row>
    <row r="2643" spans="1:18" ht="18">
      <c r="A2643" s="61"/>
      <c r="B2643" s="15"/>
      <c r="C2643" s="31"/>
      <c r="D2643" s="90"/>
      <c r="E2643" s="16"/>
      <c r="F2643" s="33"/>
      <c r="G2643" s="16"/>
      <c r="H2643" s="16"/>
      <c r="I2643" s="16"/>
      <c r="J2643" s="16"/>
      <c r="K2643" s="16"/>
      <c r="L2643" s="16"/>
      <c r="M2643" s="16"/>
      <c r="N2643" s="16"/>
      <c r="O2643" s="16"/>
      <c r="P2643" s="16"/>
      <c r="Q2643" s="16"/>
      <c r="R2643" s="16"/>
    </row>
    <row r="2644" spans="1:18" ht="18">
      <c r="A2644" s="61"/>
      <c r="B2644" s="15"/>
      <c r="C2644" s="31"/>
      <c r="D2644" s="90"/>
      <c r="E2644" s="16"/>
      <c r="F2644" s="33"/>
      <c r="G2644" s="16"/>
      <c r="H2644" s="16"/>
      <c r="I2644" s="16"/>
      <c r="J2644" s="16"/>
      <c r="K2644" s="16"/>
      <c r="L2644" s="16"/>
      <c r="M2644" s="16"/>
      <c r="N2644" s="16"/>
      <c r="O2644" s="16"/>
      <c r="P2644" s="16"/>
      <c r="Q2644" s="16"/>
      <c r="R2644" s="16"/>
    </row>
    <row r="2645" spans="1:18" ht="18">
      <c r="A2645" s="61"/>
      <c r="B2645" s="15"/>
      <c r="C2645" s="31"/>
      <c r="D2645" s="90"/>
      <c r="E2645" s="16"/>
      <c r="F2645" s="33"/>
      <c r="G2645" s="16"/>
      <c r="H2645" s="16"/>
      <c r="I2645" s="16"/>
      <c r="J2645" s="16"/>
      <c r="K2645" s="16"/>
      <c r="L2645" s="16"/>
      <c r="M2645" s="16"/>
      <c r="N2645" s="16"/>
      <c r="O2645" s="16"/>
      <c r="P2645" s="16"/>
      <c r="Q2645" s="16"/>
      <c r="R2645" s="16"/>
    </row>
    <row r="2646" spans="1:18" ht="18">
      <c r="A2646" s="61"/>
      <c r="B2646" s="15"/>
      <c r="C2646" s="31"/>
      <c r="D2646" s="90"/>
      <c r="E2646" s="16"/>
      <c r="F2646" s="33"/>
      <c r="G2646" s="16"/>
      <c r="H2646" s="16"/>
      <c r="I2646" s="16"/>
      <c r="J2646" s="16"/>
      <c r="K2646" s="16"/>
      <c r="L2646" s="16"/>
      <c r="M2646" s="16"/>
      <c r="N2646" s="16"/>
      <c r="O2646" s="16"/>
      <c r="P2646" s="16"/>
      <c r="Q2646" s="16"/>
      <c r="R2646" s="16"/>
    </row>
    <row r="2647" spans="1:18" ht="18">
      <c r="A2647" s="61"/>
      <c r="B2647" s="15"/>
      <c r="C2647" s="31"/>
      <c r="D2647" s="90"/>
      <c r="E2647" s="16"/>
      <c r="F2647" s="33"/>
      <c r="G2647" s="16"/>
      <c r="H2647" s="16"/>
      <c r="I2647" s="16"/>
      <c r="J2647" s="16"/>
      <c r="K2647" s="16"/>
      <c r="L2647" s="16"/>
      <c r="M2647" s="16"/>
      <c r="N2647" s="16"/>
      <c r="O2647" s="16"/>
      <c r="P2647" s="16"/>
      <c r="Q2647" s="16"/>
      <c r="R2647" s="16"/>
    </row>
    <row r="2648" spans="1:18" ht="18">
      <c r="A2648" s="61"/>
      <c r="B2648" s="15"/>
      <c r="C2648" s="31"/>
      <c r="D2648" s="90"/>
      <c r="E2648" s="16"/>
      <c r="F2648" s="33"/>
      <c r="G2648" s="16"/>
      <c r="H2648" s="16"/>
      <c r="I2648" s="16"/>
      <c r="J2648" s="16"/>
      <c r="K2648" s="16"/>
      <c r="L2648" s="16"/>
      <c r="M2648" s="16"/>
      <c r="N2648" s="16"/>
      <c r="O2648" s="16"/>
      <c r="P2648" s="16"/>
      <c r="Q2648" s="16"/>
      <c r="R2648" s="16"/>
    </row>
    <row r="2649" spans="1:18" ht="18">
      <c r="A2649" s="61"/>
      <c r="B2649" s="15"/>
      <c r="C2649" s="31"/>
      <c r="D2649" s="90"/>
      <c r="E2649" s="16"/>
      <c r="F2649" s="33"/>
      <c r="G2649" s="16"/>
      <c r="H2649" s="16"/>
      <c r="I2649" s="16"/>
      <c r="J2649" s="16"/>
      <c r="K2649" s="16"/>
      <c r="L2649" s="16"/>
      <c r="M2649" s="16"/>
      <c r="N2649" s="16"/>
      <c r="O2649" s="16"/>
      <c r="P2649" s="16"/>
      <c r="Q2649" s="16"/>
      <c r="R2649" s="16"/>
    </row>
    <row r="2650" spans="1:18" ht="18">
      <c r="A2650" s="61"/>
      <c r="B2650" s="15"/>
      <c r="C2650" s="31"/>
      <c r="D2650" s="90"/>
      <c r="E2650" s="16"/>
      <c r="F2650" s="33"/>
      <c r="G2650" s="16"/>
      <c r="H2650" s="16"/>
      <c r="I2650" s="16"/>
      <c r="J2650" s="16"/>
      <c r="K2650" s="16"/>
      <c r="L2650" s="16"/>
      <c r="M2650" s="16"/>
      <c r="N2650" s="16"/>
      <c r="O2650" s="16"/>
      <c r="P2650" s="16"/>
      <c r="Q2650" s="16"/>
      <c r="R2650" s="16"/>
    </row>
    <row r="2651" spans="1:18" ht="18">
      <c r="A2651" s="61"/>
      <c r="B2651" s="15"/>
      <c r="C2651" s="31"/>
      <c r="D2651" s="90"/>
      <c r="E2651" s="16"/>
      <c r="F2651" s="33"/>
      <c r="G2651" s="16"/>
      <c r="H2651" s="16"/>
      <c r="I2651" s="16"/>
      <c r="J2651" s="16"/>
      <c r="K2651" s="16"/>
      <c r="L2651" s="16"/>
      <c r="M2651" s="16"/>
      <c r="N2651" s="16"/>
      <c r="O2651" s="16"/>
      <c r="P2651" s="16"/>
      <c r="Q2651" s="16"/>
      <c r="R2651" s="16"/>
    </row>
    <row r="2652" spans="1:18" ht="18">
      <c r="A2652" s="61"/>
      <c r="B2652" s="15"/>
      <c r="C2652" s="31"/>
      <c r="D2652" s="90"/>
      <c r="E2652" s="16"/>
      <c r="F2652" s="33"/>
      <c r="G2652" s="16"/>
      <c r="H2652" s="16"/>
      <c r="I2652" s="16"/>
      <c r="J2652" s="16"/>
      <c r="K2652" s="16"/>
      <c r="L2652" s="16"/>
      <c r="M2652" s="16"/>
      <c r="N2652" s="16"/>
      <c r="O2652" s="16"/>
      <c r="P2652" s="16"/>
      <c r="Q2652" s="16"/>
      <c r="R2652" s="16"/>
    </row>
    <row r="2653" spans="1:18" ht="18">
      <c r="A2653" s="61"/>
      <c r="B2653" s="15"/>
      <c r="C2653" s="31"/>
      <c r="D2653" s="90"/>
      <c r="E2653" s="16"/>
      <c r="F2653" s="33"/>
      <c r="G2653" s="16"/>
      <c r="H2653" s="16"/>
      <c r="I2653" s="16"/>
      <c r="J2653" s="16"/>
      <c r="K2653" s="16"/>
      <c r="L2653" s="16"/>
      <c r="M2653" s="16"/>
      <c r="N2653" s="16"/>
      <c r="O2653" s="16"/>
      <c r="P2653" s="16"/>
      <c r="Q2653" s="16"/>
      <c r="R2653" s="16"/>
    </row>
    <row r="2654" spans="1:18" ht="18">
      <c r="A2654" s="61"/>
      <c r="B2654" s="15"/>
      <c r="C2654" s="31"/>
      <c r="D2654" s="90"/>
      <c r="E2654" s="16"/>
      <c r="F2654" s="33"/>
      <c r="G2654" s="16"/>
      <c r="H2654" s="16"/>
      <c r="I2654" s="16"/>
      <c r="J2654" s="16"/>
      <c r="K2654" s="16"/>
      <c r="L2654" s="16"/>
      <c r="M2654" s="16"/>
      <c r="N2654" s="16"/>
      <c r="O2654" s="16"/>
      <c r="P2654" s="16"/>
      <c r="Q2654" s="16"/>
      <c r="R2654" s="16"/>
    </row>
    <row r="2655" spans="1:18" ht="18">
      <c r="A2655" s="61"/>
      <c r="B2655" s="15"/>
      <c r="C2655" s="31"/>
      <c r="D2655" s="90"/>
      <c r="E2655" s="16"/>
      <c r="F2655" s="33"/>
      <c r="G2655" s="16"/>
      <c r="H2655" s="16"/>
      <c r="I2655" s="16"/>
      <c r="J2655" s="16"/>
      <c r="K2655" s="16"/>
      <c r="L2655" s="16"/>
      <c r="M2655" s="16"/>
      <c r="N2655" s="16"/>
      <c r="O2655" s="16"/>
      <c r="P2655" s="16"/>
      <c r="Q2655" s="16"/>
      <c r="R2655" s="16"/>
    </row>
    <row r="2656" spans="1:18" ht="18">
      <c r="A2656" s="61"/>
      <c r="B2656" s="15"/>
      <c r="C2656" s="31"/>
      <c r="D2656" s="90"/>
      <c r="E2656" s="16"/>
      <c r="F2656" s="33"/>
      <c r="G2656" s="16"/>
      <c r="H2656" s="16"/>
      <c r="I2656" s="16"/>
      <c r="J2656" s="16"/>
      <c r="K2656" s="16"/>
      <c r="L2656" s="16"/>
      <c r="M2656" s="16"/>
      <c r="N2656" s="16"/>
      <c r="O2656" s="16"/>
      <c r="P2656" s="16"/>
      <c r="Q2656" s="16"/>
      <c r="R2656" s="16"/>
    </row>
    <row r="2657" spans="1:18" ht="18">
      <c r="A2657" s="61"/>
      <c r="B2657" s="15"/>
      <c r="C2657" s="31"/>
      <c r="D2657" s="90"/>
      <c r="E2657" s="16"/>
      <c r="F2657" s="33"/>
      <c r="G2657" s="16"/>
      <c r="H2657" s="16"/>
      <c r="I2657" s="16"/>
      <c r="J2657" s="16"/>
      <c r="K2657" s="16"/>
      <c r="L2657" s="16"/>
      <c r="M2657" s="16"/>
      <c r="N2657" s="16"/>
      <c r="O2657" s="16"/>
      <c r="P2657" s="16"/>
      <c r="Q2657" s="16"/>
      <c r="R2657" s="16"/>
    </row>
    <row r="2658" spans="1:18" ht="18">
      <c r="A2658" s="61"/>
      <c r="B2658" s="15"/>
      <c r="C2658" s="31"/>
      <c r="D2658" s="90"/>
      <c r="E2658" s="16"/>
      <c r="F2658" s="33"/>
      <c r="G2658" s="16"/>
      <c r="H2658" s="16"/>
      <c r="I2658" s="16"/>
      <c r="J2658" s="16"/>
      <c r="K2658" s="16"/>
      <c r="L2658" s="16"/>
      <c r="M2658" s="16"/>
      <c r="N2658" s="16"/>
      <c r="O2658" s="16"/>
      <c r="P2658" s="16"/>
      <c r="Q2658" s="16"/>
      <c r="R2658" s="16"/>
    </row>
    <row r="2659" spans="1:18" ht="18">
      <c r="A2659" s="61"/>
      <c r="B2659" s="15"/>
      <c r="C2659" s="31"/>
      <c r="D2659" s="90"/>
      <c r="E2659" s="16"/>
      <c r="F2659" s="33"/>
      <c r="G2659" s="16"/>
      <c r="H2659" s="16"/>
      <c r="I2659" s="16"/>
      <c r="J2659" s="16"/>
      <c r="K2659" s="16"/>
      <c r="L2659" s="16"/>
      <c r="M2659" s="16"/>
      <c r="N2659" s="16"/>
      <c r="O2659" s="16"/>
      <c r="P2659" s="16"/>
      <c r="Q2659" s="16"/>
      <c r="R2659" s="16"/>
    </row>
    <row r="2660" spans="1:18" ht="18">
      <c r="A2660" s="61"/>
      <c r="B2660" s="15"/>
      <c r="C2660" s="31"/>
      <c r="D2660" s="90"/>
      <c r="E2660" s="16"/>
      <c r="F2660" s="33"/>
      <c r="G2660" s="16"/>
      <c r="H2660" s="16"/>
      <c r="I2660" s="16"/>
      <c r="J2660" s="16"/>
      <c r="K2660" s="16"/>
      <c r="L2660" s="16"/>
      <c r="M2660" s="16"/>
      <c r="N2660" s="16"/>
      <c r="O2660" s="16"/>
      <c r="P2660" s="16"/>
      <c r="Q2660" s="16"/>
      <c r="R2660" s="16"/>
    </row>
    <row r="2661" spans="1:18" ht="18">
      <c r="A2661" s="61"/>
      <c r="B2661" s="15"/>
      <c r="C2661" s="31"/>
      <c r="D2661" s="90"/>
      <c r="E2661" s="16"/>
      <c r="F2661" s="33"/>
      <c r="G2661" s="16"/>
      <c r="H2661" s="16"/>
      <c r="I2661" s="16"/>
      <c r="J2661" s="16"/>
      <c r="K2661" s="16"/>
      <c r="L2661" s="16"/>
      <c r="M2661" s="16"/>
      <c r="N2661" s="16"/>
      <c r="O2661" s="16"/>
      <c r="P2661" s="16"/>
      <c r="Q2661" s="16"/>
      <c r="R2661" s="16"/>
    </row>
    <row r="2662" spans="1:18" ht="18">
      <c r="A2662" s="61"/>
      <c r="B2662" s="15"/>
      <c r="C2662" s="31"/>
      <c r="D2662" s="90"/>
      <c r="E2662" s="16"/>
      <c r="F2662" s="33"/>
      <c r="G2662" s="16"/>
      <c r="H2662" s="16"/>
      <c r="I2662" s="16"/>
      <c r="J2662" s="16"/>
      <c r="K2662" s="16"/>
      <c r="L2662" s="16"/>
      <c r="M2662" s="16"/>
      <c r="N2662" s="16"/>
      <c r="O2662" s="16"/>
      <c r="P2662" s="16"/>
      <c r="Q2662" s="16"/>
      <c r="R2662" s="16"/>
    </row>
    <row r="2663" spans="1:18" ht="18">
      <c r="A2663" s="61"/>
      <c r="B2663" s="15"/>
      <c r="C2663" s="31"/>
      <c r="D2663" s="90"/>
      <c r="E2663" s="16"/>
      <c r="F2663" s="33"/>
      <c r="G2663" s="16"/>
      <c r="H2663" s="16"/>
      <c r="I2663" s="16"/>
      <c r="J2663" s="16"/>
      <c r="K2663" s="16"/>
      <c r="L2663" s="16"/>
      <c r="M2663" s="16"/>
      <c r="N2663" s="16"/>
      <c r="O2663" s="16"/>
      <c r="P2663" s="16"/>
      <c r="Q2663" s="16"/>
      <c r="R2663" s="16"/>
    </row>
    <row r="2664" spans="1:18" ht="18">
      <c r="A2664" s="61"/>
      <c r="B2664" s="15"/>
      <c r="C2664" s="31"/>
      <c r="D2664" s="90"/>
      <c r="E2664" s="16"/>
      <c r="F2664" s="33"/>
      <c r="G2664" s="16"/>
      <c r="H2664" s="16"/>
      <c r="I2664" s="16"/>
      <c r="J2664" s="16"/>
      <c r="K2664" s="16"/>
      <c r="L2664" s="16"/>
      <c r="M2664" s="16"/>
      <c r="N2664" s="16"/>
      <c r="O2664" s="16"/>
      <c r="P2664" s="16"/>
      <c r="Q2664" s="16"/>
      <c r="R2664" s="16"/>
    </row>
    <row r="2665" spans="1:18" ht="18">
      <c r="A2665" s="61"/>
      <c r="B2665" s="15"/>
      <c r="C2665" s="31"/>
      <c r="D2665" s="90"/>
      <c r="E2665" s="16"/>
      <c r="F2665" s="33"/>
      <c r="G2665" s="16"/>
      <c r="H2665" s="16"/>
      <c r="I2665" s="16"/>
      <c r="J2665" s="16"/>
      <c r="K2665" s="16"/>
      <c r="L2665" s="16"/>
      <c r="M2665" s="16"/>
      <c r="N2665" s="16"/>
      <c r="O2665" s="16"/>
      <c r="P2665" s="16"/>
      <c r="Q2665" s="16"/>
      <c r="R2665" s="16"/>
    </row>
    <row r="2666" spans="1:18" ht="18">
      <c r="A2666" s="61"/>
      <c r="B2666" s="15"/>
      <c r="C2666" s="31"/>
      <c r="D2666" s="90"/>
      <c r="E2666" s="16"/>
      <c r="F2666" s="33"/>
      <c r="G2666" s="16"/>
      <c r="H2666" s="16"/>
      <c r="I2666" s="16"/>
      <c r="J2666" s="16"/>
      <c r="K2666" s="16"/>
      <c r="L2666" s="16"/>
      <c r="M2666" s="16"/>
      <c r="N2666" s="16"/>
      <c r="O2666" s="16"/>
      <c r="P2666" s="16"/>
      <c r="Q2666" s="16"/>
      <c r="R2666" s="16"/>
    </row>
    <row r="2667" spans="1:18" ht="18">
      <c r="A2667" s="61"/>
      <c r="B2667" s="15"/>
      <c r="C2667" s="31"/>
      <c r="D2667" s="90"/>
      <c r="E2667" s="16"/>
      <c r="F2667" s="33"/>
      <c r="G2667" s="16"/>
      <c r="H2667" s="16"/>
      <c r="I2667" s="16"/>
      <c r="J2667" s="16"/>
      <c r="K2667" s="16"/>
      <c r="L2667" s="16"/>
      <c r="M2667" s="16"/>
      <c r="N2667" s="16"/>
      <c r="O2667" s="16"/>
      <c r="P2667" s="16"/>
      <c r="Q2667" s="16"/>
      <c r="R2667" s="16"/>
    </row>
    <row r="2668" spans="1:18" ht="18">
      <c r="A2668" s="61"/>
      <c r="B2668" s="15"/>
      <c r="C2668" s="31"/>
      <c r="D2668" s="90"/>
      <c r="E2668" s="16"/>
      <c r="F2668" s="33"/>
      <c r="G2668" s="16"/>
      <c r="H2668" s="16"/>
      <c r="I2668" s="16"/>
      <c r="J2668" s="16"/>
      <c r="K2668" s="16"/>
      <c r="L2668" s="16"/>
      <c r="M2668" s="16"/>
      <c r="N2668" s="16"/>
      <c r="O2668" s="16"/>
      <c r="P2668" s="16"/>
      <c r="Q2668" s="16"/>
      <c r="R2668" s="16"/>
    </row>
    <row r="2669" spans="1:18" ht="18">
      <c r="A2669" s="61"/>
      <c r="B2669" s="15"/>
      <c r="C2669" s="31"/>
      <c r="D2669" s="90"/>
      <c r="E2669" s="16"/>
      <c r="F2669" s="33"/>
      <c r="G2669" s="16"/>
      <c r="H2669" s="16"/>
      <c r="I2669" s="16"/>
      <c r="J2669" s="16"/>
      <c r="K2669" s="16"/>
      <c r="L2669" s="16"/>
      <c r="M2669" s="16"/>
      <c r="N2669" s="16"/>
      <c r="O2669" s="16"/>
      <c r="P2669" s="16"/>
      <c r="Q2669" s="16"/>
      <c r="R2669" s="16"/>
    </row>
    <row r="2670" spans="1:18" ht="18">
      <c r="A2670" s="61"/>
      <c r="B2670" s="15"/>
      <c r="C2670" s="31"/>
      <c r="D2670" s="90"/>
      <c r="E2670" s="16"/>
      <c r="F2670" s="33"/>
      <c r="G2670" s="16"/>
      <c r="H2670" s="16"/>
      <c r="I2670" s="16"/>
      <c r="J2670" s="16"/>
      <c r="K2670" s="16"/>
      <c r="L2670" s="16"/>
      <c r="M2670" s="16"/>
      <c r="N2670" s="16"/>
      <c r="O2670" s="16"/>
      <c r="P2670" s="16"/>
      <c r="Q2670" s="16"/>
      <c r="R2670" s="16"/>
    </row>
    <row r="2671" spans="1:18" ht="18">
      <c r="A2671" s="61"/>
      <c r="B2671" s="15"/>
      <c r="C2671" s="31"/>
      <c r="D2671" s="90"/>
      <c r="E2671" s="16"/>
      <c r="F2671" s="33"/>
      <c r="G2671" s="16"/>
      <c r="H2671" s="16"/>
      <c r="I2671" s="16"/>
      <c r="J2671" s="16"/>
      <c r="K2671" s="16"/>
      <c r="L2671" s="16"/>
      <c r="M2671" s="16"/>
      <c r="N2671" s="16"/>
      <c r="O2671" s="16"/>
      <c r="P2671" s="16"/>
      <c r="Q2671" s="16"/>
      <c r="R2671" s="16"/>
    </row>
    <row r="2672" spans="1:18" ht="18">
      <c r="A2672" s="61"/>
      <c r="B2672" s="15"/>
      <c r="C2672" s="31"/>
      <c r="D2672" s="90"/>
      <c r="E2672" s="16"/>
      <c r="F2672" s="33"/>
      <c r="G2672" s="16"/>
      <c r="H2672" s="16"/>
      <c r="I2672" s="16"/>
      <c r="J2672" s="16"/>
      <c r="K2672" s="16"/>
      <c r="L2672" s="16"/>
      <c r="M2672" s="16"/>
      <c r="N2672" s="16"/>
      <c r="O2672" s="16"/>
      <c r="P2672" s="16"/>
      <c r="Q2672" s="16"/>
      <c r="R2672" s="16"/>
    </row>
    <row r="2673" spans="1:18" ht="18">
      <c r="A2673" s="61"/>
      <c r="B2673" s="15"/>
      <c r="C2673" s="31"/>
      <c r="D2673" s="90"/>
      <c r="E2673" s="16"/>
      <c r="F2673" s="33"/>
      <c r="G2673" s="16"/>
      <c r="H2673" s="16"/>
      <c r="I2673" s="16"/>
      <c r="J2673" s="16"/>
      <c r="K2673" s="16"/>
      <c r="L2673" s="16"/>
      <c r="M2673" s="16"/>
      <c r="N2673" s="16"/>
      <c r="O2673" s="16"/>
      <c r="P2673" s="16"/>
      <c r="Q2673" s="16"/>
      <c r="R2673" s="16"/>
    </row>
    <row r="2674" spans="1:18" ht="18">
      <c r="A2674" s="61"/>
      <c r="B2674" s="15"/>
      <c r="C2674" s="31"/>
      <c r="D2674" s="90"/>
      <c r="E2674" s="16"/>
      <c r="F2674" s="33"/>
      <c r="G2674" s="16"/>
      <c r="H2674" s="16"/>
      <c r="I2674" s="16"/>
      <c r="J2674" s="16"/>
      <c r="K2674" s="16"/>
      <c r="L2674" s="16"/>
      <c r="M2674" s="16"/>
      <c r="N2674" s="16"/>
      <c r="O2674" s="16"/>
      <c r="P2674" s="16"/>
      <c r="Q2674" s="16"/>
      <c r="R2674" s="16"/>
    </row>
    <row r="2675" spans="1:18" ht="18">
      <c r="A2675" s="61"/>
      <c r="B2675" s="15"/>
      <c r="C2675" s="31"/>
      <c r="D2675" s="90"/>
      <c r="E2675" s="16"/>
      <c r="F2675" s="33"/>
      <c r="G2675" s="16"/>
      <c r="H2675" s="16"/>
      <c r="I2675" s="16"/>
      <c r="J2675" s="16"/>
      <c r="K2675" s="16"/>
      <c r="L2675" s="16"/>
      <c r="M2675" s="16"/>
      <c r="N2675" s="16"/>
      <c r="O2675" s="16"/>
      <c r="P2675" s="16"/>
      <c r="Q2675" s="16"/>
      <c r="R2675" s="16"/>
    </row>
    <row r="2676" spans="1:18" ht="18">
      <c r="A2676" s="61"/>
      <c r="B2676" s="15"/>
      <c r="C2676" s="31"/>
      <c r="D2676" s="90"/>
      <c r="E2676" s="16"/>
      <c r="F2676" s="33"/>
      <c r="G2676" s="16"/>
      <c r="H2676" s="16"/>
      <c r="I2676" s="16"/>
      <c r="J2676" s="16"/>
      <c r="K2676" s="16"/>
      <c r="L2676" s="16"/>
      <c r="M2676" s="16"/>
      <c r="N2676" s="16"/>
      <c r="O2676" s="16"/>
      <c r="P2676" s="16"/>
      <c r="Q2676" s="16"/>
      <c r="R2676" s="16"/>
    </row>
    <row r="2677" spans="1:18" ht="18">
      <c r="A2677" s="61"/>
      <c r="B2677" s="15"/>
      <c r="C2677" s="31"/>
      <c r="D2677" s="90"/>
      <c r="E2677" s="16"/>
      <c r="F2677" s="33"/>
      <c r="G2677" s="16"/>
      <c r="H2677" s="16"/>
      <c r="I2677" s="16"/>
      <c r="J2677" s="16"/>
      <c r="K2677" s="16"/>
      <c r="L2677" s="16"/>
      <c r="M2677" s="16"/>
      <c r="N2677" s="16"/>
      <c r="O2677" s="16"/>
      <c r="P2677" s="16"/>
      <c r="Q2677" s="16"/>
      <c r="R2677" s="16"/>
    </row>
    <row r="2678" spans="1:18" ht="18">
      <c r="A2678" s="61"/>
      <c r="B2678" s="15"/>
      <c r="C2678" s="31"/>
      <c r="D2678" s="90"/>
      <c r="E2678" s="16"/>
      <c r="F2678" s="33"/>
      <c r="G2678" s="16"/>
      <c r="H2678" s="16"/>
      <c r="I2678" s="16"/>
      <c r="J2678" s="16"/>
      <c r="K2678" s="16"/>
      <c r="L2678" s="16"/>
      <c r="M2678" s="16"/>
      <c r="N2678" s="16"/>
      <c r="O2678" s="16"/>
      <c r="P2678" s="16"/>
      <c r="Q2678" s="16"/>
      <c r="R2678" s="16"/>
    </row>
    <row r="2679" spans="1:18" ht="18">
      <c r="A2679" s="61"/>
      <c r="B2679" s="15"/>
      <c r="C2679" s="31"/>
      <c r="D2679" s="90"/>
      <c r="E2679" s="16"/>
      <c r="F2679" s="33"/>
      <c r="G2679" s="16"/>
      <c r="H2679" s="16"/>
      <c r="I2679" s="16"/>
      <c r="J2679" s="16"/>
      <c r="K2679" s="16"/>
      <c r="L2679" s="16"/>
      <c r="M2679" s="16"/>
      <c r="N2679" s="16"/>
      <c r="O2679" s="16"/>
      <c r="P2679" s="16"/>
      <c r="Q2679" s="16"/>
      <c r="R2679" s="16"/>
    </row>
    <row r="2680" spans="1:18" ht="18">
      <c r="A2680" s="61"/>
      <c r="B2680" s="15"/>
      <c r="C2680" s="31"/>
      <c r="D2680" s="90"/>
      <c r="E2680" s="16"/>
      <c r="F2680" s="33"/>
      <c r="G2680" s="16"/>
      <c r="H2680" s="16"/>
      <c r="I2680" s="16"/>
      <c r="J2680" s="16"/>
      <c r="K2680" s="16"/>
      <c r="L2680" s="16"/>
      <c r="M2680" s="16"/>
      <c r="N2680" s="16"/>
      <c r="O2680" s="16"/>
      <c r="P2680" s="16"/>
      <c r="Q2680" s="16"/>
      <c r="R2680" s="16"/>
    </row>
    <row r="2681" spans="1:18" ht="18">
      <c r="A2681" s="61"/>
      <c r="B2681" s="15"/>
      <c r="C2681" s="31"/>
      <c r="D2681" s="90"/>
      <c r="E2681" s="16"/>
      <c r="F2681" s="33"/>
      <c r="G2681" s="16"/>
      <c r="H2681" s="16"/>
      <c r="I2681" s="16"/>
      <c r="J2681" s="16"/>
      <c r="K2681" s="16"/>
      <c r="L2681" s="16"/>
      <c r="M2681" s="16"/>
      <c r="N2681" s="16"/>
      <c r="O2681" s="16"/>
      <c r="P2681" s="16"/>
      <c r="Q2681" s="16"/>
      <c r="R2681" s="16"/>
    </row>
    <row r="2682" spans="1:18" ht="18">
      <c r="A2682" s="61"/>
      <c r="B2682" s="15"/>
      <c r="C2682" s="31"/>
      <c r="D2682" s="90"/>
      <c r="E2682" s="16"/>
      <c r="F2682" s="33"/>
      <c r="G2682" s="16"/>
      <c r="H2682" s="16"/>
      <c r="I2682" s="16"/>
      <c r="J2682" s="16"/>
      <c r="K2682" s="16"/>
      <c r="L2682" s="16"/>
      <c r="M2682" s="16"/>
      <c r="N2682" s="16"/>
      <c r="O2682" s="16"/>
      <c r="P2682" s="16"/>
      <c r="Q2682" s="16"/>
      <c r="R2682" s="16"/>
    </row>
    <row r="2683" spans="1:18" ht="18">
      <c r="A2683" s="61"/>
      <c r="B2683" s="15"/>
      <c r="C2683" s="31"/>
      <c r="D2683" s="90"/>
      <c r="E2683" s="16"/>
      <c r="F2683" s="33"/>
      <c r="G2683" s="16"/>
      <c r="H2683" s="16"/>
      <c r="I2683" s="16"/>
      <c r="J2683" s="16"/>
      <c r="K2683" s="16"/>
      <c r="L2683" s="16"/>
      <c r="M2683" s="16"/>
      <c r="N2683" s="16"/>
      <c r="O2683" s="16"/>
      <c r="P2683" s="16"/>
      <c r="Q2683" s="16"/>
      <c r="R2683" s="16"/>
    </row>
    <row r="2684" spans="1:18" ht="18">
      <c r="A2684" s="61"/>
      <c r="B2684" s="15"/>
      <c r="C2684" s="31"/>
      <c r="D2684" s="90"/>
      <c r="E2684" s="16"/>
      <c r="F2684" s="33"/>
      <c r="G2684" s="16"/>
      <c r="H2684" s="16"/>
      <c r="I2684" s="16"/>
      <c r="J2684" s="16"/>
      <c r="K2684" s="16"/>
      <c r="L2684" s="16"/>
      <c r="M2684" s="16"/>
      <c r="N2684" s="16"/>
      <c r="O2684" s="16"/>
      <c r="P2684" s="16"/>
      <c r="Q2684" s="16"/>
      <c r="R2684" s="16"/>
    </row>
    <row r="2685" spans="1:18" ht="18">
      <c r="A2685" s="61"/>
      <c r="B2685" s="15"/>
      <c r="C2685" s="31"/>
      <c r="D2685" s="90"/>
      <c r="E2685" s="16"/>
      <c r="F2685" s="33"/>
      <c r="G2685" s="16"/>
      <c r="H2685" s="16"/>
      <c r="I2685" s="16"/>
      <c r="J2685" s="16"/>
      <c r="K2685" s="16"/>
      <c r="L2685" s="16"/>
      <c r="M2685" s="16"/>
      <c r="N2685" s="16"/>
      <c r="O2685" s="16"/>
      <c r="P2685" s="16"/>
      <c r="Q2685" s="16"/>
      <c r="R2685" s="16"/>
    </row>
    <row r="2686" spans="1:18" ht="18">
      <c r="A2686" s="61"/>
      <c r="B2686" s="15"/>
      <c r="C2686" s="31"/>
      <c r="D2686" s="90"/>
      <c r="E2686" s="16"/>
      <c r="F2686" s="33"/>
      <c r="G2686" s="16"/>
      <c r="H2686" s="16"/>
      <c r="I2686" s="16"/>
      <c r="J2686" s="16"/>
      <c r="K2686" s="16"/>
      <c r="L2686" s="16"/>
      <c r="M2686" s="16"/>
      <c r="N2686" s="16"/>
      <c r="O2686" s="16"/>
      <c r="P2686" s="16"/>
      <c r="Q2686" s="16"/>
      <c r="R2686" s="16"/>
    </row>
    <row r="2687" spans="1:18" ht="18">
      <c r="A2687" s="61"/>
      <c r="B2687" s="15"/>
      <c r="C2687" s="31"/>
      <c r="D2687" s="90"/>
      <c r="E2687" s="16"/>
      <c r="F2687" s="33"/>
      <c r="G2687" s="16"/>
      <c r="H2687" s="16"/>
      <c r="I2687" s="16"/>
      <c r="J2687" s="16"/>
      <c r="K2687" s="16"/>
      <c r="L2687" s="16"/>
      <c r="M2687" s="16"/>
      <c r="N2687" s="16"/>
      <c r="O2687" s="16"/>
      <c r="P2687" s="16"/>
      <c r="Q2687" s="16"/>
      <c r="R2687" s="16"/>
    </row>
    <row r="2688" spans="1:18" ht="18">
      <c r="A2688" s="61"/>
      <c r="B2688" s="15"/>
      <c r="C2688" s="31"/>
      <c r="D2688" s="90"/>
      <c r="E2688" s="16"/>
      <c r="F2688" s="33"/>
      <c r="G2688" s="16"/>
      <c r="H2688" s="16"/>
      <c r="I2688" s="16"/>
      <c r="J2688" s="16"/>
      <c r="K2688" s="16"/>
      <c r="L2688" s="16"/>
      <c r="M2688" s="16"/>
      <c r="N2688" s="16"/>
      <c r="O2688" s="16"/>
      <c r="P2688" s="16"/>
      <c r="Q2688" s="16"/>
      <c r="R2688" s="16"/>
    </row>
    <row r="2689" spans="1:18" ht="18">
      <c r="A2689" s="61"/>
      <c r="B2689" s="15"/>
      <c r="C2689" s="31"/>
      <c r="D2689" s="90"/>
      <c r="E2689" s="16"/>
      <c r="F2689" s="33"/>
      <c r="G2689" s="16"/>
      <c r="H2689" s="16"/>
      <c r="I2689" s="16"/>
      <c r="J2689" s="16"/>
      <c r="K2689" s="16"/>
      <c r="L2689" s="16"/>
      <c r="M2689" s="16"/>
      <c r="N2689" s="16"/>
      <c r="O2689" s="16"/>
      <c r="P2689" s="16"/>
      <c r="Q2689" s="16"/>
      <c r="R2689" s="16"/>
    </row>
    <row r="2690" spans="1:18" ht="18">
      <c r="A2690" s="61"/>
      <c r="B2690" s="15"/>
      <c r="C2690" s="31"/>
      <c r="D2690" s="90"/>
      <c r="E2690" s="16"/>
      <c r="F2690" s="33"/>
      <c r="G2690" s="16"/>
      <c r="H2690" s="16"/>
      <c r="I2690" s="16"/>
      <c r="J2690" s="16"/>
      <c r="K2690" s="16"/>
      <c r="L2690" s="16"/>
      <c r="M2690" s="16"/>
      <c r="N2690" s="16"/>
      <c r="O2690" s="16"/>
      <c r="P2690" s="16"/>
      <c r="Q2690" s="16"/>
      <c r="R2690" s="16"/>
    </row>
    <row r="2691" spans="1:18" ht="18">
      <c r="A2691" s="61"/>
      <c r="B2691" s="15"/>
      <c r="C2691" s="31"/>
      <c r="D2691" s="90"/>
      <c r="E2691" s="16"/>
      <c r="F2691" s="33"/>
      <c r="G2691" s="16"/>
      <c r="H2691" s="16"/>
      <c r="I2691" s="16"/>
      <c r="J2691" s="16"/>
      <c r="K2691" s="16"/>
      <c r="L2691" s="16"/>
      <c r="M2691" s="16"/>
      <c r="N2691" s="16"/>
      <c r="O2691" s="16"/>
      <c r="P2691" s="16"/>
      <c r="Q2691" s="16"/>
      <c r="R2691" s="16"/>
    </row>
    <row r="2692" spans="1:18" ht="18">
      <c r="A2692" s="61"/>
      <c r="B2692" s="15"/>
      <c r="C2692" s="31"/>
      <c r="D2692" s="90"/>
      <c r="E2692" s="16"/>
      <c r="F2692" s="33"/>
      <c r="G2692" s="16"/>
      <c r="H2692" s="16"/>
      <c r="I2692" s="16"/>
      <c r="J2692" s="16"/>
      <c r="K2692" s="16"/>
      <c r="L2692" s="16"/>
      <c r="M2692" s="16"/>
      <c r="N2692" s="16"/>
      <c r="O2692" s="16"/>
      <c r="P2692" s="16"/>
      <c r="Q2692" s="16"/>
      <c r="R2692" s="16"/>
    </row>
    <row r="2693" spans="1:18" ht="18">
      <c r="A2693" s="61"/>
      <c r="B2693" s="15"/>
      <c r="C2693" s="31"/>
      <c r="D2693" s="90"/>
      <c r="E2693" s="16"/>
      <c r="F2693" s="33"/>
      <c r="G2693" s="16"/>
      <c r="H2693" s="16"/>
      <c r="I2693" s="16"/>
      <c r="J2693" s="16"/>
      <c r="K2693" s="16"/>
      <c r="L2693" s="16"/>
      <c r="M2693" s="16"/>
      <c r="N2693" s="16"/>
      <c r="O2693" s="16"/>
      <c r="P2693" s="16"/>
      <c r="Q2693" s="16"/>
      <c r="R2693" s="16"/>
    </row>
    <row r="2694" spans="1:18" ht="18">
      <c r="A2694" s="61"/>
      <c r="B2694" s="15"/>
      <c r="C2694" s="31"/>
      <c r="D2694" s="90"/>
      <c r="E2694" s="16"/>
      <c r="F2694" s="33"/>
      <c r="G2694" s="16"/>
      <c r="H2694" s="16"/>
      <c r="I2694" s="16"/>
      <c r="J2694" s="16"/>
      <c r="K2694" s="16"/>
      <c r="L2694" s="16"/>
      <c r="M2694" s="16"/>
      <c r="N2694" s="16"/>
      <c r="O2694" s="16"/>
      <c r="P2694" s="16"/>
      <c r="Q2694" s="16"/>
      <c r="R2694" s="16"/>
    </row>
    <row r="2695" spans="1:18" ht="18">
      <c r="A2695" s="61"/>
      <c r="B2695" s="15"/>
      <c r="C2695" s="31"/>
      <c r="D2695" s="90"/>
      <c r="E2695" s="16"/>
      <c r="F2695" s="33"/>
      <c r="G2695" s="16"/>
      <c r="H2695" s="16"/>
      <c r="I2695" s="16"/>
      <c r="J2695" s="16"/>
      <c r="K2695" s="16"/>
      <c r="L2695" s="16"/>
      <c r="M2695" s="16"/>
      <c r="N2695" s="16"/>
      <c r="O2695" s="16"/>
      <c r="P2695" s="16"/>
      <c r="Q2695" s="16"/>
      <c r="R2695" s="16"/>
    </row>
    <row r="2696" spans="1:18" ht="18">
      <c r="A2696" s="61"/>
      <c r="B2696" s="15"/>
      <c r="C2696" s="31"/>
      <c r="D2696" s="90"/>
      <c r="E2696" s="16"/>
      <c r="F2696" s="33"/>
      <c r="G2696" s="16"/>
      <c r="H2696" s="16"/>
      <c r="I2696" s="16"/>
      <c r="J2696" s="16"/>
      <c r="K2696" s="16"/>
      <c r="L2696" s="16"/>
      <c r="M2696" s="16"/>
      <c r="N2696" s="16"/>
      <c r="O2696" s="16"/>
      <c r="P2696" s="16"/>
      <c r="Q2696" s="16"/>
      <c r="R2696" s="16"/>
    </row>
    <row r="2697" spans="1:18" ht="18">
      <c r="A2697" s="61"/>
      <c r="B2697" s="15"/>
      <c r="C2697" s="31"/>
      <c r="D2697" s="90"/>
      <c r="E2697" s="16"/>
      <c r="F2697" s="33"/>
      <c r="G2697" s="16"/>
      <c r="H2697" s="16"/>
      <c r="I2697" s="16"/>
      <c r="J2697" s="16"/>
      <c r="K2697" s="16"/>
      <c r="L2697" s="16"/>
      <c r="M2697" s="16"/>
      <c r="N2697" s="16"/>
      <c r="O2697" s="16"/>
      <c r="P2697" s="16"/>
      <c r="Q2697" s="16"/>
      <c r="R2697" s="16"/>
    </row>
    <row r="2698" spans="1:18" ht="18">
      <c r="A2698" s="61"/>
      <c r="B2698" s="15"/>
      <c r="C2698" s="31"/>
      <c r="D2698" s="90"/>
      <c r="E2698" s="16"/>
      <c r="F2698" s="33"/>
      <c r="G2698" s="16"/>
      <c r="H2698" s="16"/>
      <c r="I2698" s="16"/>
      <c r="J2698" s="16"/>
      <c r="K2698" s="16"/>
      <c r="L2698" s="16"/>
      <c r="M2698" s="16"/>
      <c r="N2698" s="16"/>
      <c r="O2698" s="16"/>
      <c r="P2698" s="16"/>
      <c r="Q2698" s="16"/>
      <c r="R2698" s="16"/>
    </row>
    <row r="2699" spans="1:18" ht="18">
      <c r="A2699" s="61"/>
      <c r="B2699" s="15"/>
      <c r="C2699" s="31"/>
      <c r="D2699" s="90"/>
      <c r="E2699" s="16"/>
      <c r="F2699" s="33"/>
      <c r="G2699" s="16"/>
      <c r="H2699" s="16"/>
      <c r="I2699" s="16"/>
      <c r="J2699" s="16"/>
      <c r="K2699" s="16"/>
      <c r="L2699" s="16"/>
      <c r="M2699" s="16"/>
      <c r="N2699" s="16"/>
      <c r="O2699" s="16"/>
      <c r="P2699" s="16"/>
      <c r="Q2699" s="16"/>
      <c r="R2699" s="16"/>
    </row>
    <row r="2700" spans="1:18" ht="18">
      <c r="A2700" s="61"/>
      <c r="B2700" s="15"/>
      <c r="C2700" s="31"/>
      <c r="D2700" s="90"/>
      <c r="E2700" s="16"/>
      <c r="F2700" s="33"/>
      <c r="G2700" s="16"/>
      <c r="H2700" s="16"/>
      <c r="I2700" s="16"/>
      <c r="J2700" s="16"/>
      <c r="K2700" s="16"/>
      <c r="L2700" s="16"/>
      <c r="M2700" s="16"/>
      <c r="N2700" s="16"/>
      <c r="O2700" s="16"/>
      <c r="P2700" s="16"/>
      <c r="Q2700" s="16"/>
      <c r="R2700" s="16"/>
    </row>
    <row r="2701" spans="1:18" ht="18">
      <c r="A2701" s="61"/>
      <c r="B2701" s="15"/>
      <c r="C2701" s="31"/>
      <c r="D2701" s="90"/>
      <c r="E2701" s="16"/>
      <c r="F2701" s="33"/>
      <c r="G2701" s="16"/>
      <c r="H2701" s="16"/>
      <c r="I2701" s="16"/>
      <c r="J2701" s="16"/>
      <c r="K2701" s="16"/>
      <c r="L2701" s="16"/>
      <c r="M2701" s="16"/>
      <c r="N2701" s="16"/>
      <c r="O2701" s="16"/>
      <c r="P2701" s="16"/>
      <c r="Q2701" s="16"/>
      <c r="R2701" s="16"/>
    </row>
    <row r="2702" spans="1:18" ht="18">
      <c r="A2702" s="61"/>
      <c r="B2702" s="15"/>
      <c r="C2702" s="31"/>
      <c r="D2702" s="90"/>
      <c r="E2702" s="16"/>
      <c r="F2702" s="33"/>
      <c r="G2702" s="16"/>
      <c r="H2702" s="16"/>
      <c r="I2702" s="16"/>
      <c r="J2702" s="16"/>
      <c r="K2702" s="16"/>
      <c r="L2702" s="16"/>
      <c r="M2702" s="16"/>
      <c r="N2702" s="16"/>
      <c r="O2702" s="16"/>
      <c r="P2702" s="16"/>
      <c r="Q2702" s="16"/>
      <c r="R2702" s="16"/>
    </row>
    <row r="2703" spans="1:18" ht="18">
      <c r="A2703" s="61"/>
      <c r="B2703" s="15"/>
      <c r="C2703" s="31"/>
      <c r="D2703" s="90"/>
      <c r="E2703" s="16"/>
      <c r="F2703" s="33"/>
      <c r="G2703" s="16"/>
      <c r="H2703" s="16"/>
      <c r="I2703" s="16"/>
      <c r="J2703" s="16"/>
      <c r="K2703" s="16"/>
      <c r="L2703" s="16"/>
      <c r="M2703" s="16"/>
      <c r="N2703" s="16"/>
      <c r="O2703" s="16"/>
      <c r="P2703" s="16"/>
      <c r="Q2703" s="16"/>
      <c r="R2703" s="16"/>
    </row>
    <row r="2704" spans="1:18" ht="18">
      <c r="A2704" s="61"/>
      <c r="B2704" s="15"/>
      <c r="C2704" s="31"/>
      <c r="D2704" s="90"/>
      <c r="E2704" s="16"/>
      <c r="F2704" s="33"/>
      <c r="G2704" s="16"/>
      <c r="H2704" s="16"/>
      <c r="I2704" s="16"/>
      <c r="J2704" s="16"/>
      <c r="K2704" s="16"/>
      <c r="L2704" s="16"/>
      <c r="M2704" s="16"/>
      <c r="N2704" s="16"/>
      <c r="O2704" s="16"/>
      <c r="P2704" s="16"/>
      <c r="Q2704" s="16"/>
      <c r="R2704" s="16"/>
    </row>
    <row r="2705" spans="1:18" ht="18">
      <c r="A2705" s="61"/>
      <c r="B2705" s="15"/>
      <c r="C2705" s="31"/>
      <c r="D2705" s="90"/>
      <c r="E2705" s="16"/>
      <c r="F2705" s="33"/>
      <c r="G2705" s="16"/>
      <c r="H2705" s="16"/>
      <c r="I2705" s="16"/>
      <c r="J2705" s="16"/>
      <c r="K2705" s="16"/>
      <c r="L2705" s="16"/>
      <c r="M2705" s="16"/>
      <c r="N2705" s="16"/>
      <c r="O2705" s="16"/>
      <c r="P2705" s="16"/>
      <c r="Q2705" s="16"/>
      <c r="R2705" s="16"/>
    </row>
    <row r="2706" spans="1:18" ht="18">
      <c r="A2706" s="61"/>
      <c r="B2706" s="15"/>
      <c r="C2706" s="31"/>
      <c r="D2706" s="90"/>
      <c r="E2706" s="16"/>
      <c r="F2706" s="33"/>
      <c r="G2706" s="16"/>
      <c r="H2706" s="16"/>
      <c r="I2706" s="16"/>
      <c r="J2706" s="16"/>
      <c r="K2706" s="16"/>
      <c r="L2706" s="16"/>
      <c r="M2706" s="16"/>
      <c r="N2706" s="16"/>
      <c r="O2706" s="16"/>
      <c r="P2706" s="16"/>
      <c r="Q2706" s="16"/>
      <c r="R2706" s="16"/>
    </row>
    <row r="2707" spans="1:18" ht="18">
      <c r="A2707" s="61"/>
      <c r="B2707" s="15"/>
      <c r="C2707" s="31"/>
      <c r="D2707" s="90"/>
      <c r="E2707" s="16"/>
      <c r="F2707" s="33"/>
      <c r="G2707" s="16"/>
      <c r="H2707" s="16"/>
      <c r="I2707" s="16"/>
      <c r="J2707" s="16"/>
      <c r="K2707" s="16"/>
      <c r="L2707" s="16"/>
      <c r="M2707" s="16"/>
      <c r="N2707" s="16"/>
      <c r="O2707" s="16"/>
      <c r="P2707" s="16"/>
      <c r="Q2707" s="16"/>
      <c r="R2707" s="16"/>
    </row>
    <row r="2708" spans="1:18" ht="18">
      <c r="A2708" s="61"/>
      <c r="B2708" s="15"/>
      <c r="C2708" s="31"/>
      <c r="D2708" s="90"/>
      <c r="E2708" s="16"/>
      <c r="F2708" s="33"/>
      <c r="G2708" s="16"/>
      <c r="H2708" s="16"/>
      <c r="I2708" s="16"/>
      <c r="J2708" s="16"/>
      <c r="K2708" s="16"/>
      <c r="L2708" s="16"/>
      <c r="M2708" s="16"/>
      <c r="N2708" s="16"/>
      <c r="O2708" s="16"/>
      <c r="P2708" s="16"/>
      <c r="Q2708" s="16"/>
      <c r="R2708" s="16"/>
    </row>
    <row r="2709" spans="1:18" ht="18">
      <c r="A2709" s="61"/>
      <c r="B2709" s="15"/>
      <c r="C2709" s="31"/>
      <c r="D2709" s="90"/>
      <c r="E2709" s="16"/>
      <c r="F2709" s="33"/>
      <c r="G2709" s="16"/>
      <c r="H2709" s="16"/>
      <c r="I2709" s="16"/>
      <c r="J2709" s="16"/>
      <c r="K2709" s="16"/>
      <c r="L2709" s="16"/>
      <c r="M2709" s="16"/>
      <c r="N2709" s="16"/>
      <c r="O2709" s="16"/>
      <c r="P2709" s="16"/>
      <c r="Q2709" s="16"/>
      <c r="R2709" s="16"/>
    </row>
    <row r="2710" spans="1:18" ht="18">
      <c r="A2710" s="61"/>
      <c r="B2710" s="15"/>
      <c r="C2710" s="31"/>
      <c r="D2710" s="90"/>
      <c r="E2710" s="16"/>
      <c r="F2710" s="33"/>
      <c r="G2710" s="16"/>
      <c r="H2710" s="16"/>
      <c r="I2710" s="16"/>
      <c r="J2710" s="16"/>
      <c r="K2710" s="16"/>
      <c r="L2710" s="16"/>
      <c r="M2710" s="16"/>
      <c r="N2710" s="16"/>
      <c r="O2710" s="16"/>
      <c r="P2710" s="16"/>
      <c r="Q2710" s="16"/>
      <c r="R2710" s="16"/>
    </row>
    <row r="2711" spans="1:18" ht="18">
      <c r="A2711" s="61"/>
      <c r="B2711" s="15"/>
      <c r="C2711" s="31"/>
      <c r="D2711" s="90"/>
      <c r="E2711" s="16"/>
      <c r="F2711" s="33"/>
      <c r="G2711" s="16"/>
      <c r="H2711" s="16"/>
      <c r="I2711" s="16"/>
      <c r="J2711" s="16"/>
      <c r="K2711" s="16"/>
      <c r="L2711" s="16"/>
      <c r="M2711" s="16"/>
      <c r="N2711" s="16"/>
      <c r="O2711" s="16"/>
      <c r="P2711" s="16"/>
      <c r="Q2711" s="16"/>
      <c r="R2711" s="16"/>
    </row>
    <row r="2712" spans="1:18" ht="18">
      <c r="A2712" s="61"/>
      <c r="B2712" s="15"/>
      <c r="C2712" s="31"/>
      <c r="D2712" s="90"/>
      <c r="E2712" s="16"/>
      <c r="F2712" s="33"/>
      <c r="G2712" s="16"/>
      <c r="H2712" s="16"/>
      <c r="I2712" s="16"/>
      <c r="J2712" s="16"/>
      <c r="K2712" s="16"/>
      <c r="L2712" s="16"/>
      <c r="M2712" s="16"/>
      <c r="N2712" s="16"/>
      <c r="O2712" s="16"/>
      <c r="P2712" s="16"/>
      <c r="Q2712" s="16"/>
      <c r="R2712" s="16"/>
    </row>
    <row r="2713" spans="1:18" ht="18">
      <c r="A2713" s="61"/>
      <c r="B2713" s="15"/>
      <c r="C2713" s="31"/>
      <c r="D2713" s="90"/>
      <c r="E2713" s="16"/>
      <c r="F2713" s="33"/>
      <c r="G2713" s="16"/>
      <c r="H2713" s="16"/>
      <c r="I2713" s="16"/>
      <c r="J2713" s="16"/>
      <c r="K2713" s="16"/>
      <c r="L2713" s="16"/>
      <c r="M2713" s="16"/>
      <c r="N2713" s="16"/>
      <c r="O2713" s="16"/>
      <c r="P2713" s="16"/>
      <c r="Q2713" s="16"/>
      <c r="R2713" s="16"/>
    </row>
    <row r="2714" spans="1:18" ht="18">
      <c r="A2714" s="61"/>
      <c r="B2714" s="15"/>
      <c r="C2714" s="31"/>
      <c r="D2714" s="90"/>
      <c r="E2714" s="16"/>
      <c r="F2714" s="33"/>
      <c r="G2714" s="16"/>
      <c r="H2714" s="16"/>
      <c r="I2714" s="16"/>
      <c r="J2714" s="16"/>
      <c r="K2714" s="16"/>
      <c r="L2714" s="16"/>
      <c r="M2714" s="16"/>
      <c r="N2714" s="16"/>
      <c r="O2714" s="16"/>
      <c r="P2714" s="16"/>
      <c r="Q2714" s="16"/>
      <c r="R2714" s="16"/>
    </row>
    <row r="2715" spans="1:18" ht="18">
      <c r="A2715" s="61"/>
      <c r="B2715" s="15"/>
      <c r="C2715" s="31"/>
      <c r="D2715" s="90"/>
      <c r="E2715" s="16"/>
      <c r="F2715" s="33"/>
      <c r="G2715" s="16"/>
      <c r="H2715" s="16"/>
      <c r="I2715" s="16"/>
      <c r="J2715" s="16"/>
      <c r="K2715" s="16"/>
      <c r="L2715" s="16"/>
      <c r="M2715" s="16"/>
      <c r="N2715" s="16"/>
      <c r="O2715" s="16"/>
      <c r="P2715" s="16"/>
      <c r="Q2715" s="16"/>
      <c r="R2715" s="16"/>
    </row>
    <row r="2716" spans="1:18" ht="18">
      <c r="A2716" s="61"/>
      <c r="B2716" s="15"/>
      <c r="C2716" s="31"/>
      <c r="D2716" s="90"/>
      <c r="E2716" s="16"/>
      <c r="F2716" s="33"/>
      <c r="G2716" s="16"/>
      <c r="H2716" s="16"/>
      <c r="I2716" s="16"/>
      <c r="J2716" s="16"/>
      <c r="K2716" s="16"/>
      <c r="L2716" s="16"/>
      <c r="M2716" s="16"/>
      <c r="N2716" s="16"/>
      <c r="O2716" s="16"/>
      <c r="P2716" s="16"/>
      <c r="Q2716" s="16"/>
      <c r="R2716" s="16"/>
    </row>
    <row r="2717" spans="1:18" ht="18">
      <c r="A2717" s="61"/>
      <c r="B2717" s="15"/>
      <c r="C2717" s="31"/>
      <c r="D2717" s="90"/>
      <c r="E2717" s="16"/>
      <c r="F2717" s="33"/>
      <c r="G2717" s="16"/>
      <c r="H2717" s="16"/>
      <c r="I2717" s="16"/>
      <c r="J2717" s="16"/>
      <c r="K2717" s="16"/>
      <c r="L2717" s="16"/>
      <c r="M2717" s="16"/>
      <c r="N2717" s="16"/>
      <c r="O2717" s="16"/>
      <c r="P2717" s="16"/>
      <c r="Q2717" s="16"/>
      <c r="R2717" s="16"/>
    </row>
    <row r="2718" spans="1:18" ht="18">
      <c r="A2718" s="61"/>
      <c r="B2718" s="15"/>
      <c r="C2718" s="31"/>
      <c r="D2718" s="90"/>
      <c r="E2718" s="16"/>
      <c r="F2718" s="33"/>
      <c r="G2718" s="16"/>
      <c r="H2718" s="16"/>
      <c r="I2718" s="16"/>
      <c r="J2718" s="16"/>
      <c r="K2718" s="16"/>
      <c r="L2718" s="16"/>
      <c r="M2718" s="16"/>
      <c r="N2718" s="16"/>
      <c r="O2718" s="16"/>
      <c r="P2718" s="16"/>
      <c r="Q2718" s="16"/>
      <c r="R2718" s="16"/>
    </row>
    <row r="2719" spans="1:18" ht="18">
      <c r="A2719" s="61"/>
      <c r="B2719" s="15"/>
      <c r="C2719" s="31"/>
      <c r="D2719" s="90"/>
      <c r="E2719" s="16"/>
      <c r="F2719" s="33"/>
      <c r="G2719" s="16"/>
      <c r="H2719" s="16"/>
      <c r="I2719" s="16"/>
      <c r="J2719" s="16"/>
      <c r="K2719" s="16"/>
      <c r="L2719" s="16"/>
      <c r="M2719" s="16"/>
      <c r="N2719" s="16"/>
      <c r="O2719" s="16"/>
      <c r="P2719" s="16"/>
      <c r="Q2719" s="16"/>
      <c r="R2719" s="16"/>
    </row>
    <row r="2720" spans="1:18" ht="18">
      <c r="A2720" s="61"/>
      <c r="B2720" s="15"/>
      <c r="C2720" s="31"/>
      <c r="D2720" s="90"/>
      <c r="E2720" s="16"/>
      <c r="F2720" s="33"/>
      <c r="G2720" s="16"/>
      <c r="H2720" s="16"/>
      <c r="I2720" s="16"/>
      <c r="J2720" s="16"/>
      <c r="K2720" s="16"/>
      <c r="L2720" s="16"/>
      <c r="M2720" s="16"/>
      <c r="N2720" s="16"/>
      <c r="O2720" s="16"/>
      <c r="P2720" s="16"/>
      <c r="Q2720" s="16"/>
      <c r="R2720" s="16"/>
    </row>
    <row r="2721" spans="1:18" ht="18">
      <c r="A2721" s="61"/>
      <c r="B2721" s="15"/>
      <c r="C2721" s="31"/>
      <c r="D2721" s="90"/>
      <c r="E2721" s="16"/>
      <c r="F2721" s="33"/>
      <c r="G2721" s="16"/>
      <c r="H2721" s="16"/>
      <c r="I2721" s="16"/>
      <c r="J2721" s="16"/>
      <c r="K2721" s="16"/>
      <c r="L2721" s="16"/>
      <c r="M2721" s="16"/>
      <c r="N2721" s="16"/>
      <c r="O2721" s="16"/>
      <c r="P2721" s="16"/>
      <c r="Q2721" s="16"/>
      <c r="R2721" s="16"/>
    </row>
    <row r="2722" spans="1:18" ht="18">
      <c r="A2722" s="61"/>
      <c r="B2722" s="15"/>
      <c r="C2722" s="31"/>
      <c r="D2722" s="90"/>
      <c r="E2722" s="16"/>
      <c r="F2722" s="33"/>
      <c r="G2722" s="16"/>
      <c r="H2722" s="16"/>
      <c r="I2722" s="16"/>
      <c r="J2722" s="16"/>
      <c r="K2722" s="16"/>
      <c r="L2722" s="16"/>
      <c r="M2722" s="16"/>
      <c r="N2722" s="16"/>
      <c r="O2722" s="16"/>
      <c r="P2722" s="16"/>
      <c r="Q2722" s="16"/>
      <c r="R2722" s="16"/>
    </row>
    <row r="2723" spans="1:18" ht="18">
      <c r="A2723" s="61"/>
      <c r="B2723" s="15"/>
      <c r="C2723" s="31"/>
      <c r="D2723" s="90"/>
      <c r="E2723" s="16"/>
      <c r="F2723" s="33"/>
      <c r="G2723" s="16"/>
      <c r="H2723" s="16"/>
      <c r="I2723" s="16"/>
      <c r="J2723" s="16"/>
      <c r="K2723" s="16"/>
      <c r="L2723" s="16"/>
      <c r="M2723" s="16"/>
      <c r="N2723" s="16"/>
      <c r="O2723" s="16"/>
      <c r="P2723" s="16"/>
      <c r="Q2723" s="16"/>
      <c r="R2723" s="16"/>
    </row>
    <row r="2724" spans="1:18" ht="18">
      <c r="A2724" s="61"/>
      <c r="B2724" s="15"/>
      <c r="C2724" s="31"/>
      <c r="D2724" s="90"/>
      <c r="E2724" s="16"/>
      <c r="F2724" s="33"/>
      <c r="G2724" s="16"/>
      <c r="H2724" s="16"/>
      <c r="I2724" s="16"/>
      <c r="J2724" s="16"/>
      <c r="K2724" s="16"/>
      <c r="L2724" s="16"/>
      <c r="M2724" s="16"/>
      <c r="N2724" s="16"/>
      <c r="O2724" s="16"/>
      <c r="P2724" s="16"/>
      <c r="Q2724" s="16"/>
      <c r="R2724" s="16"/>
    </row>
    <row r="2725" spans="1:18" ht="18">
      <c r="A2725" s="61"/>
      <c r="B2725" s="15"/>
      <c r="C2725" s="31"/>
      <c r="D2725" s="90"/>
      <c r="E2725" s="16"/>
      <c r="F2725" s="33"/>
      <c r="G2725" s="16"/>
      <c r="H2725" s="16"/>
      <c r="I2725" s="16"/>
      <c r="J2725" s="16"/>
      <c r="K2725" s="16"/>
      <c r="L2725" s="16"/>
      <c r="M2725" s="16"/>
      <c r="N2725" s="16"/>
      <c r="O2725" s="16"/>
      <c r="P2725" s="16"/>
      <c r="Q2725" s="16"/>
      <c r="R2725" s="16"/>
    </row>
    <row r="2726" spans="1:18" ht="18">
      <c r="A2726" s="61"/>
      <c r="B2726" s="15"/>
      <c r="C2726" s="31"/>
      <c r="D2726" s="90"/>
      <c r="E2726" s="16"/>
      <c r="F2726" s="33"/>
      <c r="G2726" s="16"/>
      <c r="H2726" s="16"/>
      <c r="I2726" s="16"/>
      <c r="J2726" s="16"/>
      <c r="K2726" s="16"/>
      <c r="L2726" s="16"/>
      <c r="M2726" s="16"/>
      <c r="N2726" s="16"/>
      <c r="O2726" s="16"/>
      <c r="P2726" s="16"/>
      <c r="Q2726" s="16"/>
      <c r="R2726" s="16"/>
    </row>
    <row r="2727" spans="1:18" ht="18">
      <c r="A2727" s="61"/>
      <c r="B2727" s="15"/>
      <c r="C2727" s="31"/>
      <c r="D2727" s="90"/>
      <c r="E2727" s="16"/>
      <c r="F2727" s="33"/>
      <c r="G2727" s="16"/>
      <c r="H2727" s="16"/>
      <c r="I2727" s="16"/>
      <c r="J2727" s="16"/>
      <c r="K2727" s="16"/>
      <c r="L2727" s="16"/>
      <c r="M2727" s="16"/>
      <c r="N2727" s="16"/>
      <c r="O2727" s="16"/>
      <c r="P2727" s="16"/>
      <c r="Q2727" s="16"/>
      <c r="R2727" s="16"/>
    </row>
    <row r="2728" spans="1:18" ht="18">
      <c r="A2728" s="61"/>
      <c r="B2728" s="15"/>
      <c r="C2728" s="31"/>
      <c r="D2728" s="90"/>
      <c r="E2728" s="16"/>
      <c r="F2728" s="33"/>
      <c r="G2728" s="16"/>
      <c r="H2728" s="16"/>
      <c r="I2728" s="16"/>
      <c r="J2728" s="16"/>
      <c r="K2728" s="16"/>
      <c r="L2728" s="16"/>
      <c r="M2728" s="16"/>
      <c r="N2728" s="16"/>
      <c r="O2728" s="16"/>
      <c r="P2728" s="16"/>
      <c r="Q2728" s="16"/>
      <c r="R2728" s="16"/>
    </row>
    <row r="2729" spans="1:18" ht="18">
      <c r="A2729" s="61"/>
      <c r="B2729" s="15"/>
      <c r="C2729" s="31"/>
      <c r="D2729" s="90"/>
      <c r="E2729" s="16"/>
      <c r="F2729" s="33"/>
      <c r="G2729" s="16"/>
      <c r="H2729" s="16"/>
      <c r="I2729" s="16"/>
      <c r="J2729" s="16"/>
      <c r="K2729" s="16"/>
      <c r="L2729" s="16"/>
      <c r="M2729" s="16"/>
      <c r="N2729" s="16"/>
      <c r="O2729" s="16"/>
      <c r="P2729" s="16"/>
      <c r="Q2729" s="16"/>
      <c r="R2729" s="16"/>
    </row>
    <row r="2730" spans="1:18" ht="18">
      <c r="A2730" s="61"/>
      <c r="B2730" s="15"/>
      <c r="C2730" s="31"/>
      <c r="D2730" s="90"/>
      <c r="E2730" s="16"/>
      <c r="F2730" s="33"/>
      <c r="G2730" s="16"/>
      <c r="H2730" s="16"/>
      <c r="I2730" s="16"/>
      <c r="J2730" s="16"/>
      <c r="K2730" s="16"/>
      <c r="L2730" s="16"/>
      <c r="M2730" s="16"/>
      <c r="N2730" s="16"/>
      <c r="O2730" s="16"/>
      <c r="P2730" s="16"/>
      <c r="Q2730" s="16"/>
      <c r="R2730" s="16"/>
    </row>
    <row r="2731" spans="1:18" ht="18">
      <c r="A2731" s="61"/>
      <c r="B2731" s="15"/>
      <c r="C2731" s="31"/>
      <c r="D2731" s="90"/>
      <c r="E2731" s="16"/>
      <c r="F2731" s="33"/>
      <c r="G2731" s="16"/>
      <c r="H2731" s="16"/>
      <c r="I2731" s="16"/>
      <c r="J2731" s="16"/>
      <c r="K2731" s="16"/>
      <c r="L2731" s="16"/>
      <c r="M2731" s="16"/>
      <c r="N2731" s="16"/>
      <c r="O2731" s="16"/>
      <c r="P2731" s="16"/>
      <c r="Q2731" s="16"/>
      <c r="R2731" s="16"/>
    </row>
    <row r="2732" spans="1:18" ht="18">
      <c r="A2732" s="61"/>
      <c r="B2732" s="15"/>
      <c r="C2732" s="31"/>
      <c r="D2732" s="90"/>
      <c r="E2732" s="16"/>
      <c r="F2732" s="33"/>
      <c r="G2732" s="16"/>
      <c r="H2732" s="16"/>
      <c r="I2732" s="16"/>
      <c r="J2732" s="16"/>
      <c r="K2732" s="16"/>
      <c r="L2732" s="16"/>
      <c r="M2732" s="16"/>
      <c r="N2732" s="16"/>
      <c r="O2732" s="16"/>
      <c r="P2732" s="16"/>
      <c r="Q2732" s="16"/>
      <c r="R2732" s="16"/>
    </row>
    <row r="2733" spans="1:18" ht="18">
      <c r="A2733" s="61"/>
      <c r="B2733" s="15"/>
      <c r="C2733" s="31"/>
      <c r="D2733" s="90"/>
      <c r="E2733" s="16"/>
      <c r="F2733" s="33"/>
      <c r="G2733" s="16"/>
      <c r="H2733" s="16"/>
      <c r="I2733" s="16"/>
      <c r="J2733" s="16"/>
      <c r="K2733" s="16"/>
      <c r="L2733" s="16"/>
      <c r="M2733" s="16"/>
      <c r="N2733" s="16"/>
      <c r="O2733" s="16"/>
      <c r="P2733" s="16"/>
      <c r="Q2733" s="16"/>
      <c r="R2733" s="16"/>
    </row>
    <row r="2734" spans="1:18" ht="18">
      <c r="A2734" s="61"/>
      <c r="B2734" s="15"/>
      <c r="C2734" s="31"/>
      <c r="D2734" s="90"/>
      <c r="E2734" s="16"/>
      <c r="F2734" s="33"/>
      <c r="G2734" s="16"/>
      <c r="H2734" s="16"/>
      <c r="I2734" s="16"/>
      <c r="J2734" s="16"/>
      <c r="K2734" s="16"/>
      <c r="L2734" s="16"/>
      <c r="M2734" s="16"/>
      <c r="N2734" s="16"/>
      <c r="O2734" s="16"/>
      <c r="P2734" s="16"/>
      <c r="Q2734" s="16"/>
      <c r="R2734" s="16"/>
    </row>
    <row r="2735" spans="1:18" ht="18">
      <c r="A2735" s="61"/>
      <c r="B2735" s="15"/>
      <c r="C2735" s="31"/>
      <c r="D2735" s="90"/>
      <c r="E2735" s="16"/>
      <c r="F2735" s="33"/>
      <c r="G2735" s="16"/>
      <c r="H2735" s="16"/>
      <c r="I2735" s="16"/>
      <c r="J2735" s="16"/>
      <c r="K2735" s="16"/>
      <c r="L2735" s="16"/>
      <c r="M2735" s="16"/>
      <c r="N2735" s="16"/>
      <c r="O2735" s="16"/>
      <c r="P2735" s="16"/>
      <c r="Q2735" s="16"/>
      <c r="R2735" s="16"/>
    </row>
    <row r="2736" spans="1:18" ht="18">
      <c r="A2736" s="61"/>
      <c r="B2736" s="15"/>
      <c r="C2736" s="31"/>
      <c r="D2736" s="90"/>
      <c r="E2736" s="16"/>
      <c r="F2736" s="33"/>
      <c r="G2736" s="16"/>
      <c r="H2736" s="16"/>
      <c r="I2736" s="16"/>
      <c r="J2736" s="16"/>
      <c r="K2736" s="16"/>
      <c r="L2736" s="16"/>
      <c r="M2736" s="16"/>
      <c r="N2736" s="16"/>
      <c r="O2736" s="16"/>
      <c r="P2736" s="16"/>
      <c r="Q2736" s="16"/>
      <c r="R2736" s="16"/>
    </row>
    <row r="2737" spans="1:18" ht="18">
      <c r="A2737" s="61"/>
      <c r="B2737" s="15"/>
      <c r="C2737" s="31"/>
      <c r="D2737" s="90"/>
      <c r="E2737" s="16"/>
      <c r="F2737" s="33"/>
      <c r="G2737" s="16"/>
      <c r="H2737" s="16"/>
      <c r="I2737" s="16"/>
      <c r="J2737" s="16"/>
      <c r="K2737" s="16"/>
      <c r="L2737" s="16"/>
      <c r="M2737" s="16"/>
      <c r="N2737" s="16"/>
      <c r="O2737" s="16"/>
      <c r="P2737" s="16"/>
      <c r="Q2737" s="16"/>
      <c r="R2737" s="16"/>
    </row>
    <row r="2738" spans="1:18" ht="18">
      <c r="A2738" s="61"/>
      <c r="B2738" s="15"/>
      <c r="C2738" s="31"/>
      <c r="D2738" s="90"/>
      <c r="E2738" s="16"/>
      <c r="F2738" s="33"/>
      <c r="G2738" s="16"/>
      <c r="H2738" s="16"/>
      <c r="I2738" s="16"/>
      <c r="J2738" s="16"/>
      <c r="K2738" s="16"/>
      <c r="L2738" s="16"/>
      <c r="M2738" s="16"/>
      <c r="N2738" s="16"/>
      <c r="O2738" s="16"/>
      <c r="P2738" s="16"/>
      <c r="Q2738" s="16"/>
      <c r="R2738" s="16"/>
    </row>
    <row r="2739" spans="1:18" ht="18">
      <c r="A2739" s="61"/>
      <c r="B2739" s="15"/>
      <c r="C2739" s="31"/>
      <c r="D2739" s="90"/>
      <c r="E2739" s="16"/>
      <c r="F2739" s="33"/>
      <c r="G2739" s="16"/>
      <c r="H2739" s="16"/>
      <c r="I2739" s="16"/>
      <c r="J2739" s="16"/>
      <c r="K2739" s="16"/>
      <c r="L2739" s="16"/>
      <c r="M2739" s="16"/>
      <c r="N2739" s="16"/>
      <c r="O2739" s="16"/>
      <c r="P2739" s="16"/>
      <c r="Q2739" s="16"/>
      <c r="R2739" s="16"/>
    </row>
    <row r="2740" spans="1:18" ht="18">
      <c r="A2740" s="61"/>
      <c r="B2740" s="15"/>
      <c r="C2740" s="31"/>
      <c r="D2740" s="90"/>
      <c r="E2740" s="16"/>
      <c r="F2740" s="33"/>
      <c r="G2740" s="16"/>
      <c r="H2740" s="16"/>
      <c r="I2740" s="16"/>
      <c r="J2740" s="16"/>
      <c r="K2740" s="16"/>
      <c r="L2740" s="16"/>
      <c r="M2740" s="16"/>
      <c r="N2740" s="16"/>
      <c r="O2740" s="16"/>
      <c r="P2740" s="16"/>
      <c r="Q2740" s="16"/>
      <c r="R2740" s="16"/>
    </row>
    <row r="2741" spans="1:18" ht="18">
      <c r="A2741" s="61"/>
      <c r="B2741" s="15"/>
      <c r="C2741" s="31"/>
      <c r="D2741" s="90"/>
      <c r="E2741" s="16"/>
      <c r="F2741" s="33"/>
      <c r="G2741" s="16"/>
      <c r="H2741" s="16"/>
      <c r="I2741" s="16"/>
      <c r="J2741" s="16"/>
      <c r="K2741" s="16"/>
      <c r="L2741" s="16"/>
      <c r="M2741" s="16"/>
      <c r="N2741" s="16"/>
      <c r="O2741" s="16"/>
      <c r="P2741" s="16"/>
      <c r="Q2741" s="16"/>
      <c r="R2741" s="16"/>
    </row>
    <row r="2742" spans="1:18" ht="18">
      <c r="A2742" s="61"/>
      <c r="B2742" s="15"/>
      <c r="C2742" s="31"/>
      <c r="D2742" s="90"/>
      <c r="E2742" s="16"/>
      <c r="F2742" s="33"/>
      <c r="G2742" s="16"/>
      <c r="H2742" s="16"/>
      <c r="I2742" s="16"/>
      <c r="J2742" s="16"/>
      <c r="K2742" s="16"/>
      <c r="L2742" s="16"/>
      <c r="M2742" s="16"/>
      <c r="N2742" s="16"/>
      <c r="O2742" s="16"/>
      <c r="P2742" s="16"/>
      <c r="Q2742" s="16"/>
      <c r="R2742" s="16"/>
    </row>
    <row r="2743" spans="1:18" ht="18">
      <c r="A2743" s="61"/>
      <c r="B2743" s="15"/>
      <c r="C2743" s="31"/>
      <c r="D2743" s="90"/>
      <c r="E2743" s="16"/>
      <c r="F2743" s="33"/>
      <c r="G2743" s="16"/>
      <c r="H2743" s="16"/>
      <c r="I2743" s="16"/>
      <c r="J2743" s="16"/>
      <c r="K2743" s="16"/>
      <c r="L2743" s="16"/>
      <c r="M2743" s="16"/>
      <c r="N2743" s="16"/>
      <c r="O2743" s="16"/>
      <c r="P2743" s="16"/>
      <c r="Q2743" s="16"/>
      <c r="R2743" s="16"/>
    </row>
    <row r="2744" spans="1:18" ht="18">
      <c r="A2744" s="61"/>
      <c r="B2744" s="15"/>
      <c r="C2744" s="31"/>
      <c r="D2744" s="90"/>
      <c r="E2744" s="16"/>
      <c r="F2744" s="33"/>
      <c r="G2744" s="16"/>
      <c r="H2744" s="16"/>
      <c r="I2744" s="16"/>
      <c r="J2744" s="16"/>
      <c r="K2744" s="16"/>
      <c r="L2744" s="16"/>
      <c r="M2744" s="16"/>
      <c r="N2744" s="16"/>
      <c r="O2744" s="16"/>
      <c r="P2744" s="16"/>
      <c r="Q2744" s="16"/>
      <c r="R2744" s="16"/>
    </row>
    <row r="2745" spans="1:18" ht="18">
      <c r="A2745" s="61"/>
      <c r="B2745" s="15"/>
      <c r="C2745" s="31"/>
      <c r="D2745" s="90"/>
      <c r="E2745" s="16"/>
      <c r="F2745" s="33"/>
      <c r="G2745" s="16"/>
      <c r="H2745" s="16"/>
      <c r="I2745" s="16"/>
      <c r="J2745" s="16"/>
      <c r="K2745" s="16"/>
      <c r="L2745" s="16"/>
      <c r="M2745" s="16"/>
      <c r="N2745" s="16"/>
      <c r="O2745" s="16"/>
      <c r="P2745" s="16"/>
      <c r="Q2745" s="16"/>
      <c r="R2745" s="16"/>
    </row>
    <row r="2746" spans="1:18" ht="18">
      <c r="A2746" s="61"/>
      <c r="B2746" s="15"/>
      <c r="C2746" s="31"/>
      <c r="D2746" s="90"/>
      <c r="E2746" s="16"/>
      <c r="F2746" s="33"/>
      <c r="G2746" s="16"/>
      <c r="H2746" s="16"/>
      <c r="I2746" s="16"/>
      <c r="J2746" s="16"/>
      <c r="K2746" s="16"/>
      <c r="L2746" s="16"/>
      <c r="M2746" s="16"/>
      <c r="N2746" s="16"/>
      <c r="O2746" s="16"/>
      <c r="P2746" s="16"/>
      <c r="Q2746" s="16"/>
      <c r="R2746" s="16"/>
    </row>
    <row r="2747" spans="1:18" ht="18">
      <c r="A2747" s="61"/>
      <c r="B2747" s="15"/>
      <c r="C2747" s="31"/>
      <c r="D2747" s="90"/>
      <c r="E2747" s="16"/>
      <c r="F2747" s="33"/>
      <c r="G2747" s="16"/>
      <c r="H2747" s="16"/>
      <c r="I2747" s="16"/>
      <c r="J2747" s="16"/>
      <c r="K2747" s="16"/>
      <c r="L2747" s="16"/>
      <c r="M2747" s="16"/>
      <c r="N2747" s="16"/>
      <c r="O2747" s="16"/>
      <c r="P2747" s="16"/>
      <c r="Q2747" s="16"/>
      <c r="R2747" s="16"/>
    </row>
    <row r="2748" spans="1:18" ht="18">
      <c r="A2748" s="61"/>
      <c r="B2748" s="15"/>
      <c r="C2748" s="31"/>
      <c r="D2748" s="90"/>
      <c r="E2748" s="16"/>
      <c r="F2748" s="33"/>
      <c r="G2748" s="16"/>
      <c r="H2748" s="16"/>
      <c r="I2748" s="16"/>
      <c r="J2748" s="16"/>
      <c r="K2748" s="16"/>
      <c r="L2748" s="16"/>
      <c r="M2748" s="16"/>
      <c r="N2748" s="16"/>
      <c r="O2748" s="16"/>
      <c r="P2748" s="16"/>
      <c r="Q2748" s="16"/>
      <c r="R2748" s="16"/>
    </row>
    <row r="2749" spans="1:18" ht="18">
      <c r="A2749" s="61"/>
      <c r="B2749" s="15"/>
      <c r="C2749" s="31"/>
      <c r="D2749" s="90"/>
      <c r="E2749" s="16"/>
      <c r="F2749" s="33"/>
      <c r="G2749" s="16"/>
      <c r="H2749" s="16"/>
      <c r="I2749" s="16"/>
      <c r="J2749" s="16"/>
      <c r="K2749" s="16"/>
      <c r="L2749" s="16"/>
      <c r="M2749" s="16"/>
      <c r="N2749" s="16"/>
      <c r="O2749" s="16"/>
      <c r="P2749" s="16"/>
      <c r="Q2749" s="16"/>
      <c r="R2749" s="16"/>
    </row>
    <row r="2750" spans="1:18" ht="18">
      <c r="A2750" s="61"/>
      <c r="B2750" s="15"/>
      <c r="C2750" s="31"/>
      <c r="D2750" s="90"/>
      <c r="E2750" s="16"/>
      <c r="F2750" s="33"/>
      <c r="G2750" s="16"/>
      <c r="H2750" s="16"/>
      <c r="I2750" s="16"/>
      <c r="J2750" s="16"/>
      <c r="K2750" s="16"/>
      <c r="L2750" s="16"/>
      <c r="M2750" s="16"/>
      <c r="N2750" s="16"/>
      <c r="O2750" s="16"/>
      <c r="P2750" s="16"/>
      <c r="Q2750" s="16"/>
      <c r="R2750" s="16"/>
    </row>
    <row r="2751" spans="1:18" ht="18">
      <c r="A2751" s="61"/>
      <c r="B2751" s="15"/>
      <c r="C2751" s="31"/>
      <c r="D2751" s="90"/>
      <c r="E2751" s="16"/>
      <c r="F2751" s="33"/>
      <c r="G2751" s="16"/>
      <c r="H2751" s="16"/>
      <c r="I2751" s="16"/>
      <c r="J2751" s="16"/>
      <c r="K2751" s="16"/>
      <c r="L2751" s="16"/>
      <c r="M2751" s="16"/>
      <c r="N2751" s="16"/>
      <c r="O2751" s="16"/>
      <c r="P2751" s="16"/>
      <c r="Q2751" s="16"/>
      <c r="R2751" s="16"/>
    </row>
    <row r="2752" spans="1:18" ht="18">
      <c r="A2752" s="61"/>
      <c r="B2752" s="15"/>
      <c r="C2752" s="31"/>
      <c r="D2752" s="90"/>
      <c r="E2752" s="16"/>
      <c r="F2752" s="33"/>
      <c r="G2752" s="16"/>
      <c r="H2752" s="16"/>
      <c r="I2752" s="16"/>
      <c r="J2752" s="16"/>
      <c r="K2752" s="16"/>
      <c r="L2752" s="16"/>
      <c r="M2752" s="16"/>
      <c r="N2752" s="16"/>
      <c r="O2752" s="16"/>
      <c r="P2752" s="16"/>
      <c r="Q2752" s="16"/>
      <c r="R2752" s="16"/>
    </row>
    <row r="2753" spans="1:18" ht="18">
      <c r="A2753" s="61"/>
      <c r="B2753" s="15"/>
      <c r="C2753" s="31"/>
      <c r="D2753" s="90"/>
      <c r="E2753" s="16"/>
      <c r="F2753" s="33"/>
      <c r="G2753" s="16"/>
      <c r="H2753" s="16"/>
      <c r="I2753" s="16"/>
      <c r="J2753" s="16"/>
      <c r="K2753" s="16"/>
      <c r="L2753" s="16"/>
      <c r="M2753" s="16"/>
      <c r="N2753" s="16"/>
      <c r="O2753" s="16"/>
      <c r="P2753" s="16"/>
      <c r="Q2753" s="16"/>
      <c r="R2753" s="16"/>
    </row>
    <row r="2754" spans="1:18" ht="18">
      <c r="A2754" s="61"/>
      <c r="B2754" s="15"/>
      <c r="C2754" s="31"/>
      <c r="D2754" s="90"/>
      <c r="E2754" s="16"/>
      <c r="F2754" s="33"/>
      <c r="G2754" s="16"/>
      <c r="H2754" s="16"/>
      <c r="I2754" s="16"/>
      <c r="J2754" s="16"/>
      <c r="K2754" s="16"/>
      <c r="L2754" s="16"/>
      <c r="M2754" s="16"/>
      <c r="N2754" s="16"/>
      <c r="O2754" s="16"/>
      <c r="P2754" s="16"/>
      <c r="Q2754" s="16"/>
      <c r="R2754" s="16"/>
    </row>
    <row r="2755" spans="1:18" ht="18">
      <c r="A2755" s="61"/>
      <c r="B2755" s="15"/>
      <c r="C2755" s="31"/>
      <c r="D2755" s="90"/>
      <c r="E2755" s="16"/>
      <c r="F2755" s="33"/>
      <c r="G2755" s="16"/>
      <c r="H2755" s="16"/>
      <c r="I2755" s="16"/>
      <c r="J2755" s="16"/>
      <c r="K2755" s="16"/>
      <c r="L2755" s="16"/>
      <c r="M2755" s="16"/>
      <c r="N2755" s="16"/>
      <c r="O2755" s="16"/>
      <c r="P2755" s="16"/>
      <c r="Q2755" s="16"/>
      <c r="R2755" s="16"/>
    </row>
    <row r="2756" spans="1:18" ht="18">
      <c r="A2756" s="61"/>
      <c r="B2756" s="15"/>
      <c r="C2756" s="31"/>
      <c r="D2756" s="90"/>
      <c r="E2756" s="16"/>
      <c r="F2756" s="33"/>
      <c r="G2756" s="16"/>
      <c r="H2756" s="16"/>
      <c r="I2756" s="16"/>
      <c r="J2756" s="16"/>
      <c r="K2756" s="16"/>
      <c r="L2756" s="16"/>
      <c r="M2756" s="16"/>
      <c r="N2756" s="16"/>
      <c r="O2756" s="16"/>
      <c r="P2756" s="16"/>
      <c r="Q2756" s="16"/>
      <c r="R2756" s="16"/>
    </row>
    <row r="2757" spans="1:18" ht="18">
      <c r="A2757" s="61"/>
      <c r="B2757" s="15"/>
      <c r="C2757" s="31"/>
      <c r="D2757" s="90"/>
      <c r="E2757" s="16"/>
      <c r="F2757" s="33"/>
      <c r="G2757" s="16"/>
      <c r="H2757" s="16"/>
      <c r="I2757" s="16"/>
      <c r="J2757" s="16"/>
      <c r="K2757" s="16"/>
      <c r="L2757" s="16"/>
      <c r="M2757" s="16"/>
      <c r="N2757" s="16"/>
      <c r="O2757" s="16"/>
      <c r="P2757" s="16"/>
      <c r="Q2757" s="16"/>
      <c r="R2757" s="16"/>
    </row>
    <row r="2758" spans="1:18" ht="18">
      <c r="A2758" s="61"/>
      <c r="B2758" s="15"/>
      <c r="C2758" s="31"/>
      <c r="D2758" s="90"/>
      <c r="E2758" s="16"/>
      <c r="F2758" s="33"/>
      <c r="G2758" s="16"/>
      <c r="H2758" s="16"/>
      <c r="I2758" s="16"/>
      <c r="J2758" s="16"/>
      <c r="K2758" s="16"/>
      <c r="L2758" s="16"/>
      <c r="M2758" s="16"/>
      <c r="N2758" s="16"/>
      <c r="O2758" s="16"/>
      <c r="P2758" s="16"/>
      <c r="Q2758" s="16"/>
      <c r="R2758" s="16"/>
    </row>
    <row r="2759" spans="1:18" ht="18">
      <c r="A2759" s="61"/>
      <c r="B2759" s="15"/>
      <c r="C2759" s="31"/>
      <c r="D2759" s="90"/>
      <c r="E2759" s="16"/>
      <c r="F2759" s="33"/>
      <c r="G2759" s="16"/>
      <c r="H2759" s="16"/>
      <c r="I2759" s="16"/>
      <c r="J2759" s="16"/>
      <c r="K2759" s="16"/>
      <c r="L2759" s="16"/>
      <c r="M2759" s="16"/>
      <c r="N2759" s="16"/>
      <c r="O2759" s="16"/>
      <c r="P2759" s="16"/>
      <c r="Q2759" s="16"/>
      <c r="R2759" s="16"/>
    </row>
    <row r="2760" spans="1:18" ht="18">
      <c r="A2760" s="61"/>
      <c r="B2760" s="15"/>
      <c r="C2760" s="31"/>
      <c r="D2760" s="90"/>
      <c r="E2760" s="16"/>
      <c r="F2760" s="33"/>
      <c r="G2760" s="16"/>
      <c r="H2760" s="16"/>
      <c r="I2760" s="16"/>
      <c r="J2760" s="16"/>
      <c r="K2760" s="16"/>
      <c r="L2760" s="16"/>
      <c r="M2760" s="16"/>
      <c r="N2760" s="16"/>
      <c r="O2760" s="16"/>
      <c r="P2760" s="16"/>
      <c r="Q2760" s="16"/>
      <c r="R2760" s="16"/>
    </row>
    <row r="2761" spans="1:18" ht="18">
      <c r="A2761" s="61"/>
      <c r="B2761" s="15"/>
      <c r="C2761" s="31"/>
      <c r="D2761" s="90"/>
      <c r="E2761" s="16"/>
      <c r="F2761" s="33"/>
      <c r="G2761" s="16"/>
      <c r="H2761" s="16"/>
      <c r="I2761" s="16"/>
      <c r="J2761" s="16"/>
      <c r="K2761" s="16"/>
      <c r="L2761" s="16"/>
      <c r="M2761" s="16"/>
      <c r="N2761" s="16"/>
      <c r="O2761" s="16"/>
      <c r="P2761" s="16"/>
      <c r="Q2761" s="16"/>
      <c r="R2761" s="16"/>
    </row>
    <row r="2762" spans="1:18" ht="18">
      <c r="A2762" s="61"/>
      <c r="B2762" s="15"/>
      <c r="C2762" s="31"/>
      <c r="D2762" s="90"/>
      <c r="E2762" s="16"/>
      <c r="F2762" s="33"/>
      <c r="G2762" s="16"/>
      <c r="H2762" s="16"/>
      <c r="I2762" s="16"/>
      <c r="J2762" s="16"/>
      <c r="K2762" s="16"/>
      <c r="L2762" s="16"/>
      <c r="M2762" s="16"/>
      <c r="N2762" s="16"/>
      <c r="O2762" s="16"/>
      <c r="P2762" s="16"/>
      <c r="Q2762" s="16"/>
      <c r="R2762" s="16"/>
    </row>
    <row r="2763" spans="1:18" ht="18">
      <c r="A2763" s="61"/>
      <c r="B2763" s="15"/>
      <c r="C2763" s="31"/>
      <c r="D2763" s="90"/>
      <c r="E2763" s="16"/>
      <c r="F2763" s="33"/>
      <c r="G2763" s="16"/>
      <c r="H2763" s="16"/>
      <c r="I2763" s="16"/>
      <c r="J2763" s="16"/>
      <c r="K2763" s="16"/>
      <c r="L2763" s="16"/>
      <c r="M2763" s="16"/>
      <c r="N2763" s="16"/>
      <c r="O2763" s="16"/>
      <c r="P2763" s="16"/>
      <c r="Q2763" s="16"/>
      <c r="R2763" s="16"/>
    </row>
    <row r="2764" spans="1:18" ht="18">
      <c r="A2764" s="61"/>
      <c r="B2764" s="15"/>
      <c r="C2764" s="31"/>
      <c r="D2764" s="90"/>
      <c r="E2764" s="16"/>
      <c r="F2764" s="33"/>
      <c r="G2764" s="16"/>
      <c r="H2764" s="16"/>
      <c r="I2764" s="16"/>
      <c r="J2764" s="16"/>
      <c r="K2764" s="16"/>
      <c r="L2764" s="16"/>
      <c r="M2764" s="16"/>
      <c r="N2764" s="16"/>
      <c r="O2764" s="16"/>
      <c r="P2764" s="16"/>
      <c r="Q2764" s="16"/>
      <c r="R2764" s="16"/>
    </row>
    <row r="2765" spans="1:18" ht="18">
      <c r="A2765" s="61"/>
      <c r="B2765" s="15"/>
      <c r="C2765" s="31"/>
      <c r="D2765" s="90"/>
      <c r="E2765" s="16"/>
      <c r="F2765" s="33"/>
      <c r="G2765" s="16"/>
      <c r="H2765" s="16"/>
      <c r="I2765" s="16"/>
      <c r="J2765" s="16"/>
      <c r="K2765" s="16"/>
      <c r="L2765" s="16"/>
      <c r="M2765" s="16"/>
      <c r="N2765" s="16"/>
      <c r="O2765" s="16"/>
      <c r="P2765" s="16"/>
      <c r="Q2765" s="16"/>
      <c r="R2765" s="16"/>
    </row>
    <row r="2766" spans="1:18" ht="18">
      <c r="A2766" s="61"/>
      <c r="B2766" s="15"/>
      <c r="C2766" s="31"/>
      <c r="D2766" s="90"/>
      <c r="E2766" s="16"/>
      <c r="F2766" s="33"/>
      <c r="G2766" s="16"/>
      <c r="H2766" s="16"/>
      <c r="I2766" s="16"/>
      <c r="J2766" s="16"/>
      <c r="K2766" s="16"/>
      <c r="L2766" s="16"/>
      <c r="M2766" s="16"/>
      <c r="N2766" s="16"/>
      <c r="O2766" s="16"/>
      <c r="P2766" s="16"/>
      <c r="Q2766" s="16"/>
      <c r="R2766" s="16"/>
    </row>
    <row r="2767" spans="1:18" ht="18">
      <c r="A2767" s="61"/>
      <c r="B2767" s="15"/>
      <c r="C2767" s="31"/>
      <c r="D2767" s="90"/>
      <c r="E2767" s="16"/>
      <c r="F2767" s="33"/>
      <c r="G2767" s="16"/>
      <c r="H2767" s="16"/>
      <c r="I2767" s="16"/>
      <c r="J2767" s="16"/>
      <c r="K2767" s="16"/>
      <c r="L2767" s="16"/>
      <c r="M2767" s="16"/>
      <c r="N2767" s="16"/>
      <c r="O2767" s="16"/>
      <c r="P2767" s="16"/>
      <c r="Q2767" s="16"/>
      <c r="R2767" s="16"/>
    </row>
    <row r="2768" spans="1:18" ht="18">
      <c r="A2768" s="61"/>
      <c r="B2768" s="15"/>
      <c r="C2768" s="31"/>
      <c r="D2768" s="90"/>
      <c r="E2768" s="16"/>
      <c r="F2768" s="33"/>
      <c r="G2768" s="16"/>
      <c r="H2768" s="16"/>
      <c r="I2768" s="16"/>
      <c r="J2768" s="16"/>
      <c r="K2768" s="16"/>
      <c r="L2768" s="16"/>
      <c r="M2768" s="16"/>
      <c r="N2768" s="16"/>
      <c r="O2768" s="16"/>
      <c r="P2768" s="16"/>
      <c r="Q2768" s="16"/>
      <c r="R2768" s="16"/>
    </row>
    <row r="2769" spans="1:18" ht="18">
      <c r="A2769" s="61"/>
      <c r="B2769" s="15"/>
      <c r="C2769" s="31"/>
      <c r="D2769" s="90"/>
      <c r="E2769" s="16"/>
      <c r="F2769" s="33"/>
      <c r="G2769" s="16"/>
      <c r="H2769" s="16"/>
      <c r="I2769" s="16"/>
      <c r="J2769" s="16"/>
      <c r="K2769" s="16"/>
      <c r="L2769" s="16"/>
      <c r="M2769" s="16"/>
      <c r="N2769" s="16"/>
      <c r="O2769" s="16"/>
      <c r="P2769" s="16"/>
      <c r="Q2769" s="16"/>
      <c r="R2769" s="16"/>
    </row>
    <row r="2770" spans="1:18" ht="18">
      <c r="A2770" s="61"/>
      <c r="B2770" s="15"/>
      <c r="C2770" s="31"/>
      <c r="D2770" s="90"/>
      <c r="E2770" s="16"/>
      <c r="F2770" s="33"/>
      <c r="G2770" s="16"/>
      <c r="H2770" s="16"/>
      <c r="I2770" s="16"/>
      <c r="J2770" s="16"/>
      <c r="K2770" s="16"/>
      <c r="L2770" s="16"/>
      <c r="M2770" s="16"/>
      <c r="N2770" s="16"/>
      <c r="O2770" s="16"/>
      <c r="P2770" s="16"/>
      <c r="Q2770" s="16"/>
      <c r="R2770" s="16"/>
    </row>
    <row r="2771" spans="1:18" ht="18">
      <c r="A2771" s="61"/>
      <c r="B2771" s="15"/>
      <c r="C2771" s="31"/>
      <c r="D2771" s="90"/>
      <c r="E2771" s="16"/>
      <c r="F2771" s="33"/>
      <c r="G2771" s="16"/>
      <c r="H2771" s="16"/>
      <c r="I2771" s="16"/>
      <c r="J2771" s="16"/>
      <c r="K2771" s="16"/>
      <c r="L2771" s="16"/>
      <c r="M2771" s="16"/>
      <c r="N2771" s="16"/>
      <c r="O2771" s="16"/>
      <c r="P2771" s="16"/>
      <c r="Q2771" s="16"/>
      <c r="R2771" s="16"/>
    </row>
    <row r="2772" spans="1:18" ht="18">
      <c r="A2772" s="61"/>
      <c r="B2772" s="15"/>
      <c r="C2772" s="31"/>
      <c r="D2772" s="90"/>
      <c r="E2772" s="16"/>
      <c r="F2772" s="33"/>
      <c r="G2772" s="16"/>
      <c r="H2772" s="16"/>
      <c r="I2772" s="16"/>
      <c r="J2772" s="16"/>
      <c r="K2772" s="16"/>
      <c r="L2772" s="16"/>
      <c r="M2772" s="16"/>
      <c r="N2772" s="16"/>
      <c r="O2772" s="16"/>
      <c r="P2772" s="16"/>
      <c r="Q2772" s="16"/>
      <c r="R2772" s="16"/>
    </row>
    <row r="2773" spans="1:18" ht="18">
      <c r="A2773" s="61"/>
      <c r="B2773" s="15"/>
      <c r="C2773" s="31"/>
      <c r="D2773" s="90"/>
      <c r="E2773" s="16"/>
      <c r="F2773" s="33"/>
      <c r="G2773" s="16"/>
      <c r="H2773" s="16"/>
      <c r="I2773" s="16"/>
      <c r="J2773" s="16"/>
      <c r="K2773" s="16"/>
      <c r="L2773" s="16"/>
      <c r="M2773" s="16"/>
      <c r="N2773" s="16"/>
      <c r="O2773" s="16"/>
      <c r="P2773" s="16"/>
      <c r="Q2773" s="16"/>
      <c r="R2773" s="16"/>
    </row>
    <row r="2774" spans="1:18" ht="18">
      <c r="A2774" s="61"/>
      <c r="B2774" s="15"/>
      <c r="C2774" s="31"/>
      <c r="D2774" s="90"/>
      <c r="E2774" s="16"/>
      <c r="F2774" s="33"/>
      <c r="G2774" s="16"/>
      <c r="H2774" s="16"/>
      <c r="I2774" s="16"/>
      <c r="J2774" s="16"/>
      <c r="K2774" s="16"/>
      <c r="L2774" s="16"/>
      <c r="M2774" s="16"/>
      <c r="N2774" s="16"/>
      <c r="O2774" s="16"/>
      <c r="P2774" s="16"/>
      <c r="Q2774" s="16"/>
      <c r="R2774" s="16"/>
    </row>
    <row r="2775" spans="1:18" ht="18">
      <c r="A2775" s="61"/>
      <c r="B2775" s="15"/>
      <c r="C2775" s="31"/>
      <c r="D2775" s="90"/>
      <c r="E2775" s="16"/>
      <c r="F2775" s="33"/>
      <c r="G2775" s="16"/>
      <c r="H2775" s="16"/>
      <c r="I2775" s="16"/>
      <c r="J2775" s="16"/>
      <c r="K2775" s="16"/>
      <c r="L2775" s="16"/>
      <c r="M2775" s="16"/>
      <c r="N2775" s="16"/>
      <c r="O2775" s="16"/>
      <c r="P2775" s="16"/>
      <c r="Q2775" s="16"/>
      <c r="R2775" s="16"/>
    </row>
    <row r="2776" spans="1:18" ht="18">
      <c r="A2776" s="61"/>
      <c r="B2776" s="15"/>
      <c r="C2776" s="31"/>
      <c r="D2776" s="90"/>
      <c r="E2776" s="16"/>
      <c r="F2776" s="33"/>
      <c r="G2776" s="16"/>
      <c r="H2776" s="16"/>
      <c r="I2776" s="16"/>
      <c r="J2776" s="16"/>
      <c r="K2776" s="16"/>
      <c r="L2776" s="16"/>
      <c r="M2776" s="16"/>
      <c r="N2776" s="16"/>
      <c r="O2776" s="16"/>
      <c r="P2776" s="16"/>
      <c r="Q2776" s="16"/>
      <c r="R2776" s="16"/>
    </row>
    <row r="2777" spans="1:18" ht="18">
      <c r="A2777" s="61"/>
      <c r="B2777" s="15"/>
      <c r="C2777" s="31"/>
      <c r="D2777" s="90"/>
      <c r="E2777" s="16"/>
      <c r="F2777" s="33"/>
      <c r="G2777" s="16"/>
      <c r="H2777" s="16"/>
      <c r="I2777" s="16"/>
      <c r="J2777" s="16"/>
      <c r="K2777" s="16"/>
      <c r="L2777" s="16"/>
      <c r="M2777" s="16"/>
      <c r="N2777" s="16"/>
      <c r="O2777" s="16"/>
      <c r="P2777" s="16"/>
      <c r="Q2777" s="16"/>
      <c r="R2777" s="16"/>
    </row>
    <row r="2778" spans="1:18" ht="18">
      <c r="A2778" s="61"/>
      <c r="B2778" s="15"/>
      <c r="C2778" s="31"/>
      <c r="D2778" s="90"/>
      <c r="E2778" s="16"/>
      <c r="F2778" s="33"/>
      <c r="G2778" s="16"/>
      <c r="H2778" s="16"/>
      <c r="I2778" s="16"/>
      <c r="J2778" s="16"/>
      <c r="K2778" s="16"/>
      <c r="L2778" s="16"/>
      <c r="M2778" s="16"/>
      <c r="N2778" s="16"/>
      <c r="O2778" s="16"/>
      <c r="P2778" s="16"/>
      <c r="Q2778" s="16"/>
      <c r="R2778" s="16"/>
    </row>
    <row r="2779" spans="1:18" ht="18">
      <c r="A2779" s="61"/>
      <c r="B2779" s="15"/>
      <c r="C2779" s="31"/>
      <c r="D2779" s="90"/>
      <c r="E2779" s="16"/>
      <c r="F2779" s="33"/>
      <c r="G2779" s="16"/>
      <c r="H2779" s="16"/>
      <c r="I2779" s="16"/>
      <c r="J2779" s="16"/>
      <c r="K2779" s="16"/>
      <c r="L2779" s="16"/>
      <c r="M2779" s="16"/>
      <c r="N2779" s="16"/>
      <c r="O2779" s="16"/>
      <c r="P2779" s="16"/>
      <c r="Q2779" s="16"/>
      <c r="R2779" s="16"/>
    </row>
    <row r="2780" spans="1:18" ht="18">
      <c r="A2780" s="61"/>
      <c r="B2780" s="15"/>
      <c r="C2780" s="31"/>
      <c r="D2780" s="90"/>
      <c r="E2780" s="16"/>
      <c r="F2780" s="33"/>
      <c r="G2780" s="16"/>
      <c r="H2780" s="16"/>
      <c r="I2780" s="16"/>
      <c r="J2780" s="16"/>
      <c r="K2780" s="16"/>
      <c r="L2780" s="16"/>
      <c r="M2780" s="16"/>
      <c r="N2780" s="16"/>
      <c r="O2780" s="16"/>
      <c r="P2780" s="16"/>
      <c r="Q2780" s="16"/>
      <c r="R2780" s="16"/>
    </row>
    <row r="2781" spans="1:18" ht="18">
      <c r="A2781" s="61"/>
      <c r="B2781" s="15"/>
      <c r="C2781" s="31"/>
      <c r="D2781" s="90"/>
      <c r="E2781" s="16"/>
      <c r="F2781" s="33"/>
      <c r="G2781" s="16"/>
      <c r="H2781" s="16"/>
      <c r="I2781" s="16"/>
      <c r="J2781" s="16"/>
      <c r="K2781" s="16"/>
      <c r="L2781" s="16"/>
      <c r="M2781" s="16"/>
      <c r="N2781" s="16"/>
      <c r="O2781" s="16"/>
      <c r="P2781" s="16"/>
      <c r="Q2781" s="16"/>
      <c r="R2781" s="16"/>
    </row>
    <row r="2782" spans="1:18" ht="18">
      <c r="A2782" s="61"/>
      <c r="B2782" s="15"/>
      <c r="C2782" s="31"/>
      <c r="D2782" s="90"/>
      <c r="E2782" s="16"/>
      <c r="F2782" s="33"/>
      <c r="G2782" s="16"/>
      <c r="H2782" s="16"/>
      <c r="I2782" s="16"/>
      <c r="J2782" s="16"/>
      <c r="K2782" s="16"/>
      <c r="L2782" s="16"/>
      <c r="M2782" s="16"/>
      <c r="N2782" s="16"/>
      <c r="O2782" s="16"/>
      <c r="P2782" s="16"/>
      <c r="Q2782" s="16"/>
      <c r="R2782" s="16"/>
    </row>
    <row r="2783" spans="1:18" ht="18">
      <c r="A2783" s="61"/>
      <c r="B2783" s="15"/>
      <c r="C2783" s="31"/>
      <c r="D2783" s="90"/>
      <c r="E2783" s="16"/>
      <c r="F2783" s="33"/>
      <c r="G2783" s="16"/>
      <c r="H2783" s="16"/>
      <c r="I2783" s="16"/>
      <c r="J2783" s="16"/>
      <c r="K2783" s="16"/>
      <c r="L2783" s="16"/>
      <c r="M2783" s="16"/>
      <c r="N2783" s="16"/>
      <c r="O2783" s="16"/>
      <c r="P2783" s="16"/>
      <c r="Q2783" s="16"/>
      <c r="R2783" s="16"/>
    </row>
    <row r="2784" spans="1:18" ht="18">
      <c r="A2784" s="61"/>
      <c r="B2784" s="15"/>
      <c r="C2784" s="31"/>
      <c r="D2784" s="90"/>
      <c r="E2784" s="16"/>
      <c r="F2784" s="33"/>
      <c r="G2784" s="16"/>
      <c r="H2784" s="16"/>
      <c r="I2784" s="16"/>
      <c r="J2784" s="16"/>
      <c r="K2784" s="16"/>
      <c r="L2784" s="16"/>
      <c r="M2784" s="16"/>
      <c r="N2784" s="16"/>
      <c r="O2784" s="16"/>
      <c r="P2784" s="16"/>
      <c r="Q2784" s="16"/>
      <c r="R2784" s="16"/>
    </row>
    <row r="2785" spans="1:18" ht="18">
      <c r="A2785" s="61"/>
      <c r="B2785" s="15"/>
      <c r="C2785" s="31"/>
      <c r="D2785" s="90"/>
      <c r="E2785" s="16"/>
      <c r="F2785" s="33"/>
      <c r="G2785" s="16"/>
      <c r="H2785" s="16"/>
      <c r="I2785" s="16"/>
      <c r="J2785" s="16"/>
      <c r="K2785" s="16"/>
      <c r="L2785" s="16"/>
      <c r="M2785" s="16"/>
      <c r="N2785" s="16"/>
      <c r="O2785" s="16"/>
      <c r="P2785" s="16"/>
      <c r="Q2785" s="16"/>
      <c r="R2785" s="16"/>
    </row>
    <row r="2786" spans="1:18" ht="18">
      <c r="A2786" s="61"/>
      <c r="B2786" s="15"/>
      <c r="C2786" s="31"/>
      <c r="D2786" s="90"/>
      <c r="E2786" s="16"/>
      <c r="F2786" s="33"/>
      <c r="G2786" s="16"/>
      <c r="H2786" s="16"/>
      <c r="I2786" s="16"/>
      <c r="J2786" s="16"/>
      <c r="K2786" s="16"/>
      <c r="L2786" s="16"/>
      <c r="M2786" s="16"/>
      <c r="N2786" s="16"/>
      <c r="O2786" s="16"/>
      <c r="P2786" s="16"/>
      <c r="Q2786" s="16"/>
      <c r="R2786" s="16"/>
    </row>
    <row r="2787" spans="1:18" ht="18">
      <c r="A2787" s="61"/>
      <c r="B2787" s="15"/>
      <c r="C2787" s="31"/>
      <c r="D2787" s="90"/>
      <c r="E2787" s="16"/>
      <c r="F2787" s="33"/>
      <c r="G2787" s="16"/>
      <c r="H2787" s="16"/>
      <c r="I2787" s="16"/>
      <c r="J2787" s="16"/>
      <c r="K2787" s="16"/>
      <c r="L2787" s="16"/>
      <c r="M2787" s="16"/>
      <c r="N2787" s="16"/>
      <c r="O2787" s="16"/>
      <c r="P2787" s="16"/>
      <c r="Q2787" s="16"/>
      <c r="R2787" s="16"/>
    </row>
    <row r="2788" spans="1:18" ht="18">
      <c r="A2788" s="61"/>
      <c r="B2788" s="15"/>
      <c r="C2788" s="31"/>
      <c r="D2788" s="90"/>
      <c r="E2788" s="16"/>
      <c r="F2788" s="33"/>
      <c r="G2788" s="16"/>
      <c r="H2788" s="16"/>
      <c r="I2788" s="16"/>
      <c r="J2788" s="16"/>
      <c r="K2788" s="16"/>
      <c r="L2788" s="16"/>
      <c r="M2788" s="16"/>
      <c r="N2788" s="16"/>
      <c r="O2788" s="16"/>
      <c r="P2788" s="16"/>
      <c r="Q2788" s="16"/>
      <c r="R2788" s="16"/>
    </row>
    <row r="2789" spans="1:18" ht="18">
      <c r="A2789" s="61"/>
      <c r="B2789" s="15"/>
      <c r="C2789" s="31"/>
      <c r="D2789" s="90"/>
      <c r="E2789" s="16"/>
      <c r="F2789" s="33"/>
      <c r="G2789" s="16"/>
      <c r="H2789" s="16"/>
      <c r="I2789" s="16"/>
      <c r="J2789" s="16"/>
      <c r="K2789" s="16"/>
      <c r="L2789" s="16"/>
      <c r="M2789" s="16"/>
      <c r="N2789" s="16"/>
      <c r="O2789" s="16"/>
      <c r="P2789" s="16"/>
      <c r="Q2789" s="16"/>
      <c r="R2789" s="16"/>
    </row>
    <row r="2790" spans="1:18" ht="18">
      <c r="A2790" s="61"/>
      <c r="B2790" s="15"/>
      <c r="C2790" s="31"/>
      <c r="D2790" s="90"/>
      <c r="E2790" s="16"/>
      <c r="F2790" s="33"/>
      <c r="G2790" s="16"/>
      <c r="H2790" s="16"/>
      <c r="I2790" s="16"/>
      <c r="J2790" s="16"/>
      <c r="K2790" s="16"/>
      <c r="L2790" s="16"/>
      <c r="M2790" s="16"/>
      <c r="N2790" s="16"/>
      <c r="O2790" s="16"/>
      <c r="P2790" s="16"/>
      <c r="Q2790" s="16"/>
      <c r="R2790" s="16"/>
    </row>
    <row r="2791" spans="1:18" ht="18">
      <c r="A2791" s="61"/>
      <c r="B2791" s="15"/>
      <c r="C2791" s="31"/>
      <c r="D2791" s="90"/>
      <c r="E2791" s="16"/>
      <c r="F2791" s="33"/>
      <c r="G2791" s="16"/>
      <c r="H2791" s="16"/>
      <c r="I2791" s="16"/>
      <c r="J2791" s="16"/>
      <c r="K2791" s="16"/>
      <c r="L2791" s="16"/>
      <c r="M2791" s="16"/>
      <c r="N2791" s="16"/>
      <c r="O2791" s="16"/>
      <c r="P2791" s="16"/>
      <c r="Q2791" s="16"/>
      <c r="R2791" s="16"/>
    </row>
    <row r="2792" spans="1:18" ht="18">
      <c r="A2792" s="61"/>
      <c r="B2792" s="15"/>
      <c r="C2792" s="31"/>
      <c r="D2792" s="90"/>
      <c r="E2792" s="16"/>
      <c r="F2792" s="33"/>
      <c r="G2792" s="16"/>
      <c r="H2792" s="16"/>
      <c r="I2792" s="16"/>
      <c r="J2792" s="16"/>
      <c r="K2792" s="16"/>
      <c r="L2792" s="16"/>
      <c r="M2792" s="16"/>
      <c r="N2792" s="16"/>
      <c r="O2792" s="16"/>
      <c r="P2792" s="16"/>
      <c r="Q2792" s="16"/>
      <c r="R2792" s="16"/>
    </row>
    <row r="2793" spans="1:18" ht="18">
      <c r="A2793" s="61"/>
      <c r="B2793" s="15"/>
      <c r="C2793" s="31"/>
      <c r="D2793" s="90"/>
      <c r="E2793" s="16"/>
      <c r="F2793" s="33"/>
      <c r="G2793" s="16"/>
      <c r="H2793" s="16"/>
      <c r="I2793" s="16"/>
      <c r="J2793" s="16"/>
      <c r="K2793" s="16"/>
      <c r="L2793" s="16"/>
      <c r="M2793" s="16"/>
      <c r="N2793" s="16"/>
      <c r="O2793" s="16"/>
      <c r="P2793" s="16"/>
      <c r="Q2793" s="16"/>
      <c r="R2793" s="16"/>
    </row>
    <row r="2794" spans="1:18" ht="18">
      <c r="A2794" s="61"/>
      <c r="B2794" s="15"/>
      <c r="C2794" s="31"/>
      <c r="D2794" s="90"/>
      <c r="E2794" s="16"/>
      <c r="F2794" s="33"/>
      <c r="G2794" s="16"/>
      <c r="H2794" s="16"/>
      <c r="I2794" s="16"/>
      <c r="J2794" s="16"/>
      <c r="K2794" s="16"/>
      <c r="L2794" s="16"/>
      <c r="M2794" s="16"/>
      <c r="N2794" s="16"/>
      <c r="O2794" s="16"/>
      <c r="P2794" s="16"/>
      <c r="Q2794" s="16"/>
      <c r="R2794" s="16"/>
    </row>
    <row r="2795" spans="1:18" ht="18">
      <c r="A2795" s="61"/>
      <c r="B2795" s="15"/>
      <c r="C2795" s="31"/>
      <c r="D2795" s="90"/>
      <c r="E2795" s="16"/>
      <c r="F2795" s="33"/>
      <c r="G2795" s="16"/>
      <c r="H2795" s="16"/>
      <c r="I2795" s="16"/>
      <c r="J2795" s="16"/>
      <c r="K2795" s="16"/>
      <c r="L2795" s="16"/>
      <c r="M2795" s="16"/>
      <c r="N2795" s="16"/>
      <c r="O2795" s="16"/>
      <c r="P2795" s="16"/>
      <c r="Q2795" s="16"/>
      <c r="R2795" s="16"/>
    </row>
    <row r="2796" spans="1:18" ht="18">
      <c r="A2796" s="61"/>
      <c r="B2796" s="15"/>
      <c r="C2796" s="31"/>
      <c r="D2796" s="90"/>
      <c r="E2796" s="16"/>
      <c r="F2796" s="33"/>
      <c r="G2796" s="16"/>
      <c r="H2796" s="16"/>
      <c r="I2796" s="16"/>
      <c r="J2796" s="16"/>
      <c r="K2796" s="16"/>
      <c r="L2796" s="16"/>
      <c r="M2796" s="16"/>
      <c r="N2796" s="16"/>
      <c r="O2796" s="16"/>
      <c r="P2796" s="16"/>
      <c r="Q2796" s="16"/>
      <c r="R2796" s="16"/>
    </row>
    <row r="2797" spans="1:18" ht="18">
      <c r="A2797" s="61"/>
      <c r="B2797" s="15"/>
      <c r="C2797" s="31"/>
      <c r="D2797" s="90"/>
      <c r="E2797" s="16"/>
      <c r="F2797" s="33"/>
      <c r="G2797" s="16"/>
      <c r="H2797" s="16"/>
      <c r="I2797" s="16"/>
      <c r="J2797" s="16"/>
      <c r="K2797" s="16"/>
      <c r="L2797" s="16"/>
      <c r="M2797" s="16"/>
      <c r="N2797" s="16"/>
      <c r="O2797" s="16"/>
      <c r="P2797" s="16"/>
      <c r="Q2797" s="16"/>
      <c r="R2797" s="16"/>
    </row>
    <row r="2798" spans="1:18" ht="18">
      <c r="A2798" s="61"/>
      <c r="B2798" s="15"/>
      <c r="C2798" s="31"/>
      <c r="D2798" s="90"/>
      <c r="E2798" s="16"/>
      <c r="F2798" s="33"/>
      <c r="G2798" s="16"/>
      <c r="H2798" s="16"/>
      <c r="I2798" s="16"/>
      <c r="J2798" s="16"/>
      <c r="K2798" s="16"/>
      <c r="L2798" s="16"/>
      <c r="M2798" s="16"/>
      <c r="N2798" s="16"/>
      <c r="O2798" s="16"/>
      <c r="P2798" s="16"/>
      <c r="Q2798" s="16"/>
      <c r="R2798" s="16"/>
    </row>
    <row r="2799" spans="1:18" ht="18">
      <c r="A2799" s="61"/>
      <c r="B2799" s="15"/>
      <c r="C2799" s="31"/>
      <c r="D2799" s="90"/>
      <c r="E2799" s="16"/>
      <c r="F2799" s="33"/>
      <c r="G2799" s="16"/>
      <c r="H2799" s="16"/>
      <c r="I2799" s="16"/>
      <c r="J2799" s="16"/>
      <c r="K2799" s="16"/>
      <c r="L2799" s="16"/>
      <c r="M2799" s="16"/>
      <c r="N2799" s="16"/>
      <c r="O2799" s="16"/>
      <c r="P2799" s="16"/>
      <c r="Q2799" s="16"/>
      <c r="R2799" s="16"/>
    </row>
    <row r="2800" spans="1:18" ht="18">
      <c r="A2800" s="61"/>
      <c r="B2800" s="15"/>
      <c r="C2800" s="31"/>
      <c r="D2800" s="90"/>
      <c r="E2800" s="16"/>
      <c r="F2800" s="33"/>
      <c r="G2800" s="16"/>
      <c r="H2800" s="16"/>
      <c r="I2800" s="16"/>
      <c r="J2800" s="16"/>
      <c r="K2800" s="16"/>
      <c r="L2800" s="16"/>
      <c r="M2800" s="16"/>
      <c r="N2800" s="16"/>
      <c r="O2800" s="16"/>
      <c r="P2800" s="16"/>
      <c r="Q2800" s="16"/>
      <c r="R2800" s="16"/>
    </row>
    <row r="2801" spans="1:18" ht="18">
      <c r="A2801" s="61"/>
      <c r="B2801" s="15"/>
      <c r="C2801" s="31"/>
      <c r="D2801" s="90"/>
      <c r="E2801" s="16"/>
      <c r="F2801" s="33"/>
      <c r="G2801" s="16"/>
      <c r="H2801" s="16"/>
      <c r="I2801" s="16"/>
      <c r="J2801" s="16"/>
      <c r="K2801" s="16"/>
      <c r="L2801" s="16"/>
      <c r="M2801" s="16"/>
      <c r="N2801" s="16"/>
      <c r="O2801" s="16"/>
      <c r="P2801" s="16"/>
      <c r="Q2801" s="16"/>
      <c r="R2801" s="16"/>
    </row>
    <row r="2802" spans="1:18" ht="18">
      <c r="A2802" s="61"/>
      <c r="B2802" s="15"/>
      <c r="C2802" s="31"/>
      <c r="D2802" s="90"/>
      <c r="E2802" s="16"/>
      <c r="F2802" s="33"/>
      <c r="G2802" s="16"/>
      <c r="H2802" s="16"/>
      <c r="I2802" s="16"/>
      <c r="J2802" s="16"/>
      <c r="K2802" s="16"/>
      <c r="L2802" s="16"/>
      <c r="M2802" s="16"/>
      <c r="N2802" s="16"/>
      <c r="O2802" s="16"/>
      <c r="P2802" s="16"/>
      <c r="Q2802" s="16"/>
      <c r="R2802" s="16"/>
    </row>
    <row r="2803" spans="1:18" ht="18">
      <c r="A2803" s="61"/>
      <c r="B2803" s="15"/>
      <c r="C2803" s="31"/>
      <c r="D2803" s="90"/>
      <c r="E2803" s="16"/>
      <c r="F2803" s="33"/>
      <c r="G2803" s="16"/>
      <c r="H2803" s="16"/>
      <c r="I2803" s="16"/>
      <c r="J2803" s="16"/>
      <c r="K2803" s="16"/>
      <c r="L2803" s="16"/>
      <c r="M2803" s="16"/>
      <c r="N2803" s="16"/>
      <c r="O2803" s="16"/>
      <c r="P2803" s="16"/>
      <c r="Q2803" s="16"/>
      <c r="R2803" s="16"/>
    </row>
    <row r="2804" spans="1:18" ht="18">
      <c r="A2804" s="61"/>
      <c r="B2804" s="15"/>
      <c r="C2804" s="31"/>
      <c r="D2804" s="90"/>
      <c r="E2804" s="16"/>
      <c r="F2804" s="33"/>
      <c r="G2804" s="16"/>
      <c r="H2804" s="16"/>
      <c r="I2804" s="16"/>
      <c r="J2804" s="16"/>
      <c r="K2804" s="16"/>
      <c r="L2804" s="16"/>
      <c r="M2804" s="16"/>
      <c r="N2804" s="16"/>
      <c r="O2804" s="16"/>
      <c r="P2804" s="16"/>
      <c r="Q2804" s="16"/>
      <c r="R2804" s="16"/>
    </row>
    <row r="2805" spans="1:18" ht="18">
      <c r="A2805" s="61"/>
      <c r="B2805" s="15"/>
      <c r="C2805" s="31"/>
      <c r="D2805" s="90"/>
      <c r="E2805" s="16"/>
      <c r="F2805" s="33"/>
      <c r="G2805" s="16"/>
      <c r="H2805" s="16"/>
      <c r="I2805" s="16"/>
      <c r="J2805" s="16"/>
      <c r="K2805" s="16"/>
      <c r="L2805" s="16"/>
      <c r="M2805" s="16"/>
      <c r="N2805" s="16"/>
      <c r="O2805" s="16"/>
      <c r="P2805" s="16"/>
      <c r="Q2805" s="16"/>
      <c r="R2805" s="16"/>
    </row>
    <row r="2806" spans="1:18" ht="18">
      <c r="A2806" s="61"/>
      <c r="B2806" s="15"/>
      <c r="C2806" s="31"/>
      <c r="D2806" s="90"/>
      <c r="E2806" s="16"/>
      <c r="F2806" s="33"/>
      <c r="G2806" s="16"/>
      <c r="H2806" s="16"/>
      <c r="I2806" s="16"/>
      <c r="J2806" s="16"/>
      <c r="K2806" s="16"/>
      <c r="L2806" s="16"/>
      <c r="M2806" s="16"/>
      <c r="N2806" s="16"/>
      <c r="O2806" s="16"/>
      <c r="P2806" s="16"/>
      <c r="Q2806" s="16"/>
      <c r="R2806" s="16"/>
    </row>
    <row r="2807" spans="1:18" ht="18">
      <c r="A2807" s="61"/>
      <c r="B2807" s="15"/>
      <c r="C2807" s="31"/>
      <c r="D2807" s="90"/>
      <c r="E2807" s="16"/>
      <c r="F2807" s="33"/>
      <c r="G2807" s="16"/>
      <c r="H2807" s="16"/>
      <c r="I2807" s="16"/>
      <c r="J2807" s="16"/>
      <c r="K2807" s="16"/>
      <c r="L2807" s="16"/>
      <c r="M2807" s="16"/>
      <c r="N2807" s="16"/>
      <c r="O2807" s="16"/>
      <c r="P2807" s="16"/>
      <c r="Q2807" s="16"/>
      <c r="R2807" s="16"/>
    </row>
    <row r="2808" spans="1:18" ht="18">
      <c r="A2808" s="61"/>
      <c r="B2808" s="15"/>
      <c r="C2808" s="31"/>
      <c r="D2808" s="90"/>
      <c r="E2808" s="16"/>
      <c r="F2808" s="33"/>
      <c r="G2808" s="16"/>
      <c r="H2808" s="16"/>
      <c r="I2808" s="16"/>
      <c r="J2808" s="16"/>
      <c r="K2808" s="16"/>
      <c r="L2808" s="16"/>
      <c r="M2808" s="16"/>
      <c r="N2808" s="16"/>
      <c r="O2808" s="16"/>
      <c r="P2808" s="16"/>
      <c r="Q2808" s="16"/>
      <c r="R2808" s="16"/>
    </row>
    <row r="2809" spans="1:18" ht="18">
      <c r="A2809" s="61"/>
      <c r="B2809" s="15"/>
      <c r="C2809" s="31"/>
      <c r="D2809" s="90"/>
      <c r="E2809" s="16"/>
      <c r="F2809" s="33"/>
      <c r="G2809" s="16"/>
      <c r="H2809" s="16"/>
      <c r="I2809" s="16"/>
      <c r="J2809" s="16"/>
      <c r="K2809" s="16"/>
      <c r="L2809" s="16"/>
      <c r="M2809" s="16"/>
      <c r="N2809" s="16"/>
      <c r="O2809" s="16"/>
      <c r="P2809" s="16"/>
      <c r="Q2809" s="16"/>
      <c r="R2809" s="16"/>
    </row>
    <row r="2810" spans="1:18" ht="18">
      <c r="A2810" s="61"/>
      <c r="B2810" s="15"/>
      <c r="C2810" s="31"/>
      <c r="D2810" s="90"/>
      <c r="E2810" s="16"/>
      <c r="F2810" s="33"/>
      <c r="G2810" s="16"/>
      <c r="H2810" s="16"/>
      <c r="I2810" s="16"/>
      <c r="J2810" s="16"/>
      <c r="K2810" s="16"/>
      <c r="L2810" s="16"/>
      <c r="M2810" s="16"/>
      <c r="N2810" s="16"/>
      <c r="O2810" s="16"/>
      <c r="P2810" s="16"/>
      <c r="Q2810" s="16"/>
      <c r="R2810" s="16"/>
    </row>
    <row r="2811" spans="1:18" ht="18">
      <c r="A2811" s="61"/>
      <c r="B2811" s="15"/>
      <c r="C2811" s="31"/>
      <c r="D2811" s="90"/>
      <c r="E2811" s="16"/>
      <c r="F2811" s="33"/>
      <c r="G2811" s="16"/>
      <c r="H2811" s="16"/>
      <c r="I2811" s="16"/>
      <c r="J2811" s="16"/>
      <c r="K2811" s="16"/>
      <c r="L2811" s="16"/>
      <c r="M2811" s="16"/>
      <c r="N2811" s="16"/>
      <c r="O2811" s="16"/>
      <c r="P2811" s="16"/>
      <c r="Q2811" s="16"/>
      <c r="R2811" s="16"/>
    </row>
    <row r="2812" spans="1:18" ht="18">
      <c r="A2812" s="61"/>
      <c r="B2812" s="15"/>
      <c r="C2812" s="31"/>
      <c r="D2812" s="90"/>
      <c r="E2812" s="16"/>
      <c r="F2812" s="33"/>
      <c r="G2812" s="16"/>
      <c r="H2812" s="16"/>
      <c r="I2812" s="16"/>
      <c r="J2812" s="16"/>
      <c r="K2812" s="16"/>
      <c r="L2812" s="16"/>
      <c r="M2812" s="16"/>
      <c r="N2812" s="16"/>
      <c r="O2812" s="16"/>
      <c r="P2812" s="16"/>
      <c r="Q2812" s="16"/>
      <c r="R2812" s="16"/>
    </row>
    <row r="2813" spans="1:18" ht="18">
      <c r="A2813" s="61"/>
      <c r="B2813" s="15"/>
      <c r="C2813" s="31"/>
      <c r="D2813" s="90"/>
      <c r="E2813" s="16"/>
      <c r="F2813" s="33"/>
      <c r="G2813" s="16"/>
      <c r="H2813" s="16"/>
      <c r="I2813" s="16"/>
      <c r="J2813" s="16"/>
      <c r="K2813" s="16"/>
      <c r="L2813" s="16"/>
      <c r="M2813" s="16"/>
      <c r="N2813" s="16"/>
      <c r="O2813" s="16"/>
      <c r="P2813" s="16"/>
      <c r="Q2813" s="16"/>
      <c r="R2813" s="16"/>
    </row>
    <row r="2814" spans="1:18" ht="18">
      <c r="A2814" s="61"/>
      <c r="B2814" s="15"/>
      <c r="C2814" s="31"/>
      <c r="D2814" s="90"/>
      <c r="E2814" s="16"/>
      <c r="F2814" s="33"/>
      <c r="G2814" s="16"/>
      <c r="H2814" s="16"/>
      <c r="I2814" s="16"/>
      <c r="J2814" s="16"/>
      <c r="K2814" s="16"/>
      <c r="L2814" s="16"/>
      <c r="M2814" s="16"/>
      <c r="N2814" s="16"/>
      <c r="O2814" s="16"/>
      <c r="P2814" s="16"/>
      <c r="Q2814" s="16"/>
      <c r="R2814" s="16"/>
    </row>
    <row r="2815" spans="1:18" ht="18">
      <c r="A2815" s="61"/>
      <c r="B2815" s="15"/>
      <c r="C2815" s="31"/>
      <c r="D2815" s="90"/>
      <c r="E2815" s="16"/>
      <c r="F2815" s="33"/>
      <c r="G2815" s="16"/>
      <c r="H2815" s="16"/>
      <c r="I2815" s="16"/>
      <c r="J2815" s="16"/>
      <c r="K2815" s="16"/>
      <c r="L2815" s="16"/>
      <c r="M2815" s="16"/>
      <c r="N2815" s="16"/>
      <c r="O2815" s="16"/>
      <c r="P2815" s="16"/>
      <c r="Q2815" s="16"/>
      <c r="R2815" s="16"/>
    </row>
    <row r="2816" spans="1:18" ht="18">
      <c r="A2816" s="61"/>
      <c r="B2816" s="15"/>
      <c r="C2816" s="31"/>
      <c r="D2816" s="90"/>
      <c r="E2816" s="16"/>
      <c r="F2816" s="33"/>
      <c r="G2816" s="16"/>
      <c r="H2816" s="16"/>
      <c r="I2816" s="16"/>
      <c r="J2816" s="16"/>
      <c r="K2816" s="16"/>
      <c r="L2816" s="16"/>
      <c r="M2816" s="16"/>
      <c r="N2816" s="16"/>
      <c r="O2816" s="16"/>
      <c r="P2816" s="16"/>
      <c r="Q2816" s="16"/>
      <c r="R2816" s="16"/>
    </row>
    <row r="2817" spans="1:18" ht="18">
      <c r="A2817" s="61"/>
      <c r="B2817" s="15"/>
      <c r="C2817" s="31"/>
      <c r="D2817" s="90"/>
      <c r="E2817" s="16"/>
      <c r="F2817" s="33"/>
      <c r="G2817" s="16"/>
      <c r="H2817" s="16"/>
      <c r="I2817" s="16"/>
      <c r="J2817" s="16"/>
      <c r="K2817" s="16"/>
      <c r="L2817" s="16"/>
      <c r="M2817" s="16"/>
      <c r="N2817" s="16"/>
      <c r="O2817" s="16"/>
      <c r="P2817" s="16"/>
      <c r="Q2817" s="16"/>
      <c r="R2817" s="16"/>
    </row>
    <row r="2818" spans="1:18" ht="18">
      <c r="A2818" s="61"/>
      <c r="B2818" s="15"/>
      <c r="C2818" s="31"/>
      <c r="D2818" s="90"/>
      <c r="E2818" s="16"/>
      <c r="F2818" s="33"/>
      <c r="G2818" s="16"/>
      <c r="H2818" s="16"/>
      <c r="I2818" s="16"/>
      <c r="J2818" s="16"/>
      <c r="K2818" s="16"/>
      <c r="L2818" s="16"/>
      <c r="M2818" s="16"/>
      <c r="N2818" s="16"/>
      <c r="O2818" s="16"/>
      <c r="P2818" s="16"/>
      <c r="Q2818" s="16"/>
      <c r="R2818" s="16"/>
    </row>
    <row r="2819" spans="1:18" ht="18">
      <c r="A2819" s="61"/>
      <c r="B2819" s="15"/>
      <c r="C2819" s="31"/>
      <c r="D2819" s="90"/>
      <c r="E2819" s="16"/>
      <c r="F2819" s="33"/>
      <c r="G2819" s="16"/>
      <c r="H2819" s="16"/>
      <c r="I2819" s="16"/>
      <c r="J2819" s="16"/>
      <c r="K2819" s="16"/>
      <c r="L2819" s="16"/>
      <c r="M2819" s="16"/>
      <c r="N2819" s="16"/>
      <c r="O2819" s="16"/>
      <c r="P2819" s="16"/>
      <c r="Q2819" s="16"/>
      <c r="R2819" s="16"/>
    </row>
    <row r="2820" spans="1:18" ht="18">
      <c r="A2820" s="61"/>
      <c r="B2820" s="15"/>
      <c r="C2820" s="31"/>
      <c r="D2820" s="90"/>
      <c r="E2820" s="16"/>
      <c r="F2820" s="33"/>
      <c r="G2820" s="16"/>
      <c r="H2820" s="16"/>
      <c r="I2820" s="16"/>
      <c r="J2820" s="16"/>
      <c r="K2820" s="16"/>
      <c r="L2820" s="16"/>
      <c r="M2820" s="16"/>
      <c r="N2820" s="16"/>
      <c r="O2820" s="16"/>
      <c r="P2820" s="16"/>
      <c r="Q2820" s="16"/>
      <c r="R2820" s="16"/>
    </row>
    <row r="2821" spans="1:18" ht="18">
      <c r="A2821" s="61"/>
      <c r="B2821" s="15"/>
      <c r="C2821" s="31"/>
      <c r="D2821" s="90"/>
      <c r="E2821" s="16"/>
      <c r="F2821" s="33"/>
      <c r="G2821" s="16"/>
      <c r="H2821" s="16"/>
      <c r="I2821" s="16"/>
      <c r="J2821" s="16"/>
      <c r="K2821" s="16"/>
      <c r="L2821" s="16"/>
      <c r="M2821" s="16"/>
      <c r="N2821" s="16"/>
      <c r="O2821" s="16"/>
      <c r="P2821" s="16"/>
      <c r="Q2821" s="16"/>
      <c r="R2821" s="16"/>
    </row>
    <row r="2822" spans="1:18" ht="18">
      <c r="A2822" s="61"/>
      <c r="B2822" s="15"/>
      <c r="C2822" s="31"/>
      <c r="D2822" s="90"/>
      <c r="E2822" s="16"/>
      <c r="F2822" s="33"/>
      <c r="G2822" s="16"/>
      <c r="H2822" s="16"/>
      <c r="I2822" s="16"/>
      <c r="J2822" s="16"/>
      <c r="K2822" s="16"/>
      <c r="L2822" s="16"/>
      <c r="M2822" s="16"/>
      <c r="N2822" s="16"/>
      <c r="O2822" s="16"/>
      <c r="P2822" s="16"/>
      <c r="Q2822" s="16"/>
      <c r="R2822" s="16"/>
    </row>
    <row r="2823" spans="1:18" ht="18">
      <c r="A2823" s="61"/>
      <c r="B2823" s="15"/>
      <c r="C2823" s="31"/>
      <c r="D2823" s="90"/>
      <c r="E2823" s="16"/>
      <c r="F2823" s="33"/>
      <c r="G2823" s="16"/>
      <c r="H2823" s="16"/>
      <c r="I2823" s="16"/>
      <c r="J2823" s="16"/>
      <c r="K2823" s="16"/>
      <c r="L2823" s="16"/>
      <c r="M2823" s="16"/>
      <c r="N2823" s="16"/>
      <c r="O2823" s="16"/>
      <c r="P2823" s="16"/>
      <c r="Q2823" s="16"/>
      <c r="R2823" s="16"/>
    </row>
    <row r="2824" spans="1:18" ht="18">
      <c r="A2824" s="61"/>
      <c r="B2824" s="15"/>
      <c r="C2824" s="31"/>
      <c r="D2824" s="90"/>
      <c r="E2824" s="16"/>
      <c r="F2824" s="33"/>
      <c r="G2824" s="16"/>
      <c r="H2824" s="16"/>
      <c r="I2824" s="16"/>
      <c r="J2824" s="16"/>
      <c r="K2824" s="16"/>
      <c r="L2824" s="16"/>
      <c r="M2824" s="16"/>
      <c r="N2824" s="16"/>
      <c r="O2824" s="16"/>
      <c r="P2824" s="16"/>
      <c r="Q2824" s="16"/>
      <c r="R2824" s="16"/>
    </row>
    <row r="2825" spans="1:18" ht="18">
      <c r="A2825" s="61"/>
      <c r="B2825" s="15"/>
      <c r="C2825" s="31"/>
      <c r="D2825" s="90"/>
      <c r="E2825" s="16"/>
      <c r="F2825" s="33"/>
      <c r="G2825" s="16"/>
      <c r="H2825" s="16"/>
      <c r="I2825" s="16"/>
      <c r="J2825" s="16"/>
      <c r="K2825" s="16"/>
      <c r="L2825" s="16"/>
      <c r="M2825" s="16"/>
      <c r="N2825" s="16"/>
      <c r="O2825" s="16"/>
      <c r="P2825" s="16"/>
      <c r="Q2825" s="16"/>
      <c r="R2825" s="16"/>
    </row>
    <row r="2826" spans="1:18" ht="18">
      <c r="A2826" s="61"/>
      <c r="B2826" s="15"/>
      <c r="C2826" s="31"/>
      <c r="D2826" s="90"/>
      <c r="E2826" s="16"/>
      <c r="F2826" s="33"/>
      <c r="G2826" s="16"/>
      <c r="H2826" s="16"/>
      <c r="I2826" s="16"/>
      <c r="J2826" s="16"/>
      <c r="K2826" s="16"/>
      <c r="L2826" s="16"/>
      <c r="M2826" s="16"/>
      <c r="N2826" s="16"/>
      <c r="O2826" s="16"/>
      <c r="P2826" s="16"/>
      <c r="Q2826" s="16"/>
      <c r="R2826" s="16"/>
    </row>
    <row r="2827" spans="1:18" ht="18">
      <c r="A2827" s="61"/>
      <c r="B2827" s="15"/>
      <c r="C2827" s="31"/>
      <c r="D2827" s="90"/>
      <c r="E2827" s="16"/>
      <c r="F2827" s="33"/>
      <c r="G2827" s="16"/>
      <c r="H2827" s="16"/>
      <c r="I2827" s="16"/>
      <c r="J2827" s="16"/>
      <c r="K2827" s="16"/>
      <c r="L2827" s="16"/>
      <c r="M2827" s="16"/>
      <c r="N2827" s="16"/>
      <c r="O2827" s="16"/>
      <c r="P2827" s="16"/>
      <c r="Q2827" s="16"/>
      <c r="R2827" s="16"/>
    </row>
    <row r="2828" spans="1:18" ht="18">
      <c r="A2828" s="61"/>
      <c r="B2828" s="15"/>
      <c r="C2828" s="31"/>
      <c r="D2828" s="90"/>
      <c r="E2828" s="16"/>
      <c r="F2828" s="33"/>
      <c r="G2828" s="16"/>
      <c r="H2828" s="16"/>
      <c r="I2828" s="16"/>
      <c r="J2828" s="16"/>
      <c r="K2828" s="16"/>
      <c r="L2828" s="16"/>
      <c r="M2828" s="16"/>
      <c r="N2828" s="16"/>
      <c r="O2828" s="16"/>
      <c r="P2828" s="16"/>
      <c r="Q2828" s="16"/>
      <c r="R2828" s="16"/>
    </row>
    <row r="2829" spans="1:18" ht="18">
      <c r="A2829" s="61"/>
      <c r="B2829" s="15"/>
      <c r="C2829" s="31"/>
      <c r="D2829" s="90"/>
      <c r="E2829" s="16"/>
      <c r="F2829" s="33"/>
      <c r="G2829" s="16"/>
      <c r="H2829" s="16"/>
      <c r="I2829" s="16"/>
      <c r="J2829" s="16"/>
      <c r="K2829" s="16"/>
      <c r="L2829" s="16"/>
      <c r="M2829" s="16"/>
      <c r="N2829" s="16"/>
      <c r="O2829" s="16"/>
      <c r="P2829" s="16"/>
      <c r="Q2829" s="16"/>
      <c r="R2829" s="16"/>
    </row>
    <row r="2830" spans="1:18" ht="18">
      <c r="A2830" s="61"/>
      <c r="B2830" s="15"/>
      <c r="C2830" s="31"/>
      <c r="D2830" s="90"/>
      <c r="E2830" s="16"/>
      <c r="F2830" s="33"/>
      <c r="G2830" s="16"/>
      <c r="H2830" s="16"/>
      <c r="I2830" s="16"/>
      <c r="J2830" s="16"/>
      <c r="K2830" s="16"/>
      <c r="L2830" s="16"/>
      <c r="M2830" s="16"/>
      <c r="N2830" s="16"/>
      <c r="O2830" s="16"/>
      <c r="P2830" s="16"/>
      <c r="Q2830" s="16"/>
      <c r="R2830" s="16"/>
    </row>
    <row r="2831" spans="1:18" ht="18">
      <c r="A2831" s="61"/>
      <c r="B2831" s="15"/>
      <c r="C2831" s="31"/>
      <c r="D2831" s="90"/>
      <c r="E2831" s="16"/>
      <c r="F2831" s="33"/>
      <c r="G2831" s="16"/>
      <c r="H2831" s="16"/>
      <c r="I2831" s="16"/>
      <c r="J2831" s="16"/>
      <c r="K2831" s="16"/>
      <c r="L2831" s="16"/>
      <c r="M2831" s="16"/>
      <c r="N2831" s="16"/>
      <c r="O2831" s="16"/>
      <c r="P2831" s="16"/>
      <c r="Q2831" s="16"/>
      <c r="R2831" s="16"/>
    </row>
    <row r="2832" spans="1:18" ht="18">
      <c r="A2832" s="61"/>
      <c r="B2832" s="15"/>
      <c r="C2832" s="31"/>
      <c r="D2832" s="90"/>
      <c r="E2832" s="16"/>
      <c r="F2832" s="33"/>
      <c r="G2832" s="16"/>
      <c r="H2832" s="16"/>
      <c r="I2832" s="16"/>
      <c r="J2832" s="16"/>
      <c r="K2832" s="16"/>
      <c r="L2832" s="16"/>
      <c r="M2832" s="16"/>
      <c r="N2832" s="16"/>
      <c r="O2832" s="16"/>
      <c r="P2832" s="16"/>
      <c r="Q2832" s="16"/>
      <c r="R2832" s="16"/>
    </row>
    <row r="2833" spans="1:18" ht="18">
      <c r="A2833" s="61"/>
      <c r="B2833" s="15"/>
      <c r="C2833" s="31"/>
      <c r="D2833" s="90"/>
      <c r="E2833" s="16"/>
      <c r="F2833" s="33"/>
      <c r="G2833" s="16"/>
      <c r="H2833" s="16"/>
      <c r="I2833" s="16"/>
      <c r="J2833" s="16"/>
      <c r="K2833" s="16"/>
      <c r="L2833" s="16"/>
      <c r="M2833" s="16"/>
      <c r="N2833" s="16"/>
      <c r="O2833" s="16"/>
      <c r="P2833" s="16"/>
      <c r="Q2833" s="16"/>
      <c r="R2833" s="16"/>
    </row>
    <row r="2834" spans="1:18" ht="18">
      <c r="A2834" s="61"/>
      <c r="B2834" s="15"/>
      <c r="C2834" s="31"/>
      <c r="D2834" s="90"/>
      <c r="E2834" s="16"/>
      <c r="F2834" s="33"/>
      <c r="G2834" s="16"/>
      <c r="H2834" s="16"/>
      <c r="I2834" s="16"/>
      <c r="J2834" s="16"/>
      <c r="K2834" s="16"/>
      <c r="L2834" s="16"/>
      <c r="M2834" s="16"/>
      <c r="N2834" s="16"/>
      <c r="O2834" s="16"/>
      <c r="P2834" s="16"/>
      <c r="Q2834" s="16"/>
      <c r="R2834" s="16"/>
    </row>
    <row r="2835" spans="1:18" ht="18">
      <c r="A2835" s="61"/>
      <c r="B2835" s="15"/>
      <c r="C2835" s="31"/>
      <c r="D2835" s="90"/>
      <c r="E2835" s="16"/>
      <c r="F2835" s="33"/>
      <c r="G2835" s="16"/>
      <c r="H2835" s="16"/>
      <c r="I2835" s="16"/>
      <c r="J2835" s="16"/>
      <c r="K2835" s="16"/>
      <c r="L2835" s="16"/>
      <c r="M2835" s="16"/>
      <c r="N2835" s="16"/>
      <c r="O2835" s="16"/>
      <c r="P2835" s="16"/>
      <c r="Q2835" s="16"/>
      <c r="R2835" s="16"/>
    </row>
    <row r="2836" spans="1:18" ht="18">
      <c r="A2836" s="61"/>
      <c r="B2836" s="15"/>
      <c r="C2836" s="31"/>
      <c r="D2836" s="90"/>
      <c r="E2836" s="16"/>
      <c r="F2836" s="33"/>
      <c r="G2836" s="16"/>
      <c r="H2836" s="16"/>
      <c r="I2836" s="16"/>
      <c r="J2836" s="16"/>
      <c r="K2836" s="16"/>
      <c r="L2836" s="16"/>
      <c r="M2836" s="16"/>
      <c r="N2836" s="16"/>
      <c r="O2836" s="16"/>
      <c r="P2836" s="16"/>
      <c r="Q2836" s="16"/>
      <c r="R2836" s="16"/>
    </row>
    <row r="2837" spans="1:18" ht="18">
      <c r="A2837" s="61"/>
      <c r="B2837" s="15"/>
      <c r="C2837" s="31"/>
      <c r="D2837" s="90"/>
      <c r="E2837" s="16"/>
      <c r="F2837" s="33"/>
      <c r="G2837" s="16"/>
      <c r="H2837" s="16"/>
      <c r="I2837" s="16"/>
      <c r="J2837" s="16"/>
      <c r="K2837" s="16"/>
      <c r="L2837" s="16"/>
      <c r="M2837" s="16"/>
      <c r="N2837" s="16"/>
      <c r="O2837" s="16"/>
      <c r="P2837" s="16"/>
      <c r="Q2837" s="16"/>
      <c r="R2837" s="16"/>
    </row>
    <row r="2838" spans="1:18" ht="18">
      <c r="A2838" s="61"/>
      <c r="B2838" s="15"/>
      <c r="C2838" s="31"/>
      <c r="D2838" s="90"/>
      <c r="E2838" s="16"/>
      <c r="F2838" s="33"/>
      <c r="G2838" s="16"/>
      <c r="H2838" s="16"/>
      <c r="I2838" s="16"/>
      <c r="J2838" s="16"/>
      <c r="K2838" s="16"/>
      <c r="L2838" s="16"/>
      <c r="M2838" s="16"/>
      <c r="N2838" s="16"/>
      <c r="O2838" s="16"/>
      <c r="P2838" s="16"/>
      <c r="Q2838" s="16"/>
      <c r="R2838" s="16"/>
    </row>
    <row r="2839" spans="1:18" ht="18">
      <c r="A2839" s="61"/>
      <c r="B2839" s="15"/>
      <c r="C2839" s="31"/>
      <c r="D2839" s="90"/>
      <c r="E2839" s="16"/>
      <c r="F2839" s="33"/>
      <c r="G2839" s="16"/>
      <c r="H2839" s="16"/>
      <c r="I2839" s="16"/>
      <c r="J2839" s="16"/>
      <c r="K2839" s="16"/>
      <c r="L2839" s="16"/>
      <c r="M2839" s="16"/>
      <c r="N2839" s="16"/>
      <c r="O2839" s="16"/>
      <c r="P2839" s="16"/>
      <c r="Q2839" s="16"/>
      <c r="R2839" s="16"/>
    </row>
    <row r="2840" spans="1:18" ht="18">
      <c r="A2840" s="61"/>
      <c r="B2840" s="15"/>
      <c r="C2840" s="31"/>
      <c r="D2840" s="90"/>
      <c r="E2840" s="16"/>
      <c r="F2840" s="33"/>
      <c r="G2840" s="16"/>
      <c r="H2840" s="16"/>
      <c r="I2840" s="16"/>
      <c r="J2840" s="16"/>
      <c r="K2840" s="16"/>
      <c r="L2840" s="16"/>
      <c r="M2840" s="16"/>
      <c r="N2840" s="16"/>
      <c r="O2840" s="16"/>
      <c r="P2840" s="16"/>
      <c r="Q2840" s="16"/>
      <c r="R2840" s="16"/>
    </row>
    <row r="2841" spans="1:18" ht="18">
      <c r="A2841" s="61"/>
      <c r="B2841" s="15"/>
      <c r="C2841" s="31"/>
      <c r="D2841" s="90"/>
      <c r="E2841" s="16"/>
      <c r="F2841" s="33"/>
      <c r="G2841" s="16"/>
      <c r="H2841" s="16"/>
      <c r="I2841" s="16"/>
      <c r="J2841" s="16"/>
      <c r="K2841" s="16"/>
      <c r="L2841" s="16"/>
      <c r="M2841" s="16"/>
      <c r="N2841" s="16"/>
      <c r="O2841" s="16"/>
      <c r="P2841" s="16"/>
      <c r="Q2841" s="16"/>
      <c r="R2841" s="16"/>
    </row>
    <row r="2842" spans="1:18" ht="18">
      <c r="A2842" s="61"/>
      <c r="B2842" s="15"/>
      <c r="C2842" s="31"/>
      <c r="D2842" s="90"/>
      <c r="E2842" s="16"/>
      <c r="F2842" s="33"/>
      <c r="G2842" s="16"/>
      <c r="H2842" s="16"/>
      <c r="I2842" s="16"/>
      <c r="J2842" s="16"/>
      <c r="K2842" s="16"/>
      <c r="L2842" s="16"/>
      <c r="M2842" s="16"/>
      <c r="N2842" s="16"/>
      <c r="O2842" s="16"/>
      <c r="P2842" s="16"/>
      <c r="Q2842" s="16"/>
      <c r="R2842" s="16"/>
    </row>
    <row r="2843" spans="1:18" ht="18">
      <c r="A2843" s="61"/>
      <c r="B2843" s="15"/>
      <c r="C2843" s="31"/>
      <c r="D2843" s="90"/>
      <c r="E2843" s="16"/>
      <c r="F2843" s="33"/>
      <c r="G2843" s="16"/>
      <c r="H2843" s="16"/>
      <c r="I2843" s="16"/>
      <c r="J2843" s="16"/>
      <c r="K2843" s="16"/>
      <c r="L2843" s="16"/>
      <c r="M2843" s="16"/>
      <c r="N2843" s="16"/>
      <c r="O2843" s="16"/>
      <c r="P2843" s="16"/>
      <c r="Q2843" s="16"/>
      <c r="R2843" s="16"/>
    </row>
    <row r="2844" spans="1:18" ht="18">
      <c r="A2844" s="61"/>
      <c r="B2844" s="15"/>
      <c r="C2844" s="31"/>
      <c r="D2844" s="90"/>
      <c r="E2844" s="16"/>
      <c r="F2844" s="33"/>
      <c r="G2844" s="16"/>
      <c r="H2844" s="16"/>
      <c r="I2844" s="16"/>
      <c r="J2844" s="16"/>
      <c r="K2844" s="16"/>
      <c r="L2844" s="16"/>
      <c r="M2844" s="16"/>
      <c r="N2844" s="16"/>
      <c r="O2844" s="16"/>
      <c r="P2844" s="16"/>
      <c r="Q2844" s="16"/>
      <c r="R2844" s="16"/>
    </row>
    <row r="2845" spans="1:18" ht="18">
      <c r="A2845" s="61"/>
      <c r="B2845" s="15"/>
      <c r="C2845" s="31"/>
      <c r="D2845" s="90"/>
      <c r="E2845" s="16"/>
      <c r="F2845" s="33"/>
      <c r="G2845" s="16"/>
      <c r="H2845" s="16"/>
      <c r="I2845" s="16"/>
      <c r="J2845" s="16"/>
      <c r="K2845" s="16"/>
      <c r="L2845" s="16"/>
      <c r="M2845" s="16"/>
      <c r="N2845" s="16"/>
      <c r="O2845" s="16"/>
      <c r="P2845" s="16"/>
      <c r="Q2845" s="16"/>
      <c r="R2845" s="16"/>
    </row>
    <row r="2846" spans="1:18" ht="18">
      <c r="A2846" s="61"/>
      <c r="B2846" s="15"/>
      <c r="C2846" s="31"/>
      <c r="D2846" s="90"/>
      <c r="E2846" s="16"/>
      <c r="F2846" s="33"/>
      <c r="G2846" s="16"/>
      <c r="H2846" s="16"/>
      <c r="I2846" s="16"/>
      <c r="J2846" s="16"/>
      <c r="K2846" s="16"/>
      <c r="L2846" s="16"/>
      <c r="M2846" s="16"/>
      <c r="N2846" s="16"/>
      <c r="O2846" s="16"/>
      <c r="P2846" s="16"/>
      <c r="Q2846" s="16"/>
      <c r="R2846" s="16"/>
    </row>
    <row r="2847" spans="1:18" ht="18">
      <c r="A2847" s="61"/>
      <c r="B2847" s="15"/>
      <c r="C2847" s="31"/>
      <c r="D2847" s="90"/>
      <c r="E2847" s="16"/>
      <c r="F2847" s="33"/>
      <c r="G2847" s="16"/>
      <c r="H2847" s="16"/>
      <c r="I2847" s="16"/>
      <c r="J2847" s="16"/>
      <c r="K2847" s="16"/>
      <c r="L2847" s="16"/>
      <c r="M2847" s="16"/>
      <c r="N2847" s="16"/>
      <c r="O2847" s="16"/>
      <c r="P2847" s="16"/>
      <c r="Q2847" s="16"/>
      <c r="R2847" s="16"/>
    </row>
    <row r="2848" spans="1:18" ht="18">
      <c r="A2848" s="61"/>
      <c r="B2848" s="15"/>
      <c r="C2848" s="31"/>
      <c r="D2848" s="90"/>
      <c r="E2848" s="16"/>
      <c r="F2848" s="33"/>
      <c r="G2848" s="16"/>
      <c r="H2848" s="16"/>
      <c r="I2848" s="16"/>
      <c r="J2848" s="16"/>
      <c r="K2848" s="16"/>
      <c r="L2848" s="16"/>
      <c r="M2848" s="16"/>
      <c r="N2848" s="16"/>
      <c r="O2848" s="16"/>
      <c r="P2848" s="16"/>
      <c r="Q2848" s="16"/>
      <c r="R2848" s="16"/>
    </row>
    <row r="2849" spans="1:18" ht="18">
      <c r="A2849" s="61"/>
      <c r="B2849" s="15"/>
      <c r="C2849" s="31"/>
      <c r="D2849" s="90"/>
      <c r="E2849" s="16"/>
      <c r="F2849" s="33"/>
      <c r="G2849" s="16"/>
      <c r="H2849" s="16"/>
      <c r="I2849" s="16"/>
      <c r="J2849" s="16"/>
      <c r="K2849" s="16"/>
      <c r="L2849" s="16"/>
      <c r="M2849" s="16"/>
      <c r="N2849" s="16"/>
      <c r="O2849" s="16"/>
      <c r="P2849" s="16"/>
      <c r="Q2849" s="16"/>
      <c r="R2849" s="16"/>
    </row>
    <row r="2850" spans="1:18" ht="18">
      <c r="A2850" s="61"/>
      <c r="B2850" s="15"/>
      <c r="C2850" s="31"/>
      <c r="D2850" s="90"/>
      <c r="E2850" s="16"/>
      <c r="F2850" s="33"/>
      <c r="G2850" s="16"/>
      <c r="H2850" s="16"/>
      <c r="I2850" s="16"/>
      <c r="J2850" s="16"/>
      <c r="K2850" s="16"/>
      <c r="L2850" s="16"/>
      <c r="M2850" s="16"/>
      <c r="N2850" s="16"/>
      <c r="O2850" s="16"/>
      <c r="P2850" s="16"/>
      <c r="Q2850" s="16"/>
      <c r="R2850" s="16"/>
    </row>
    <row r="2851" spans="1:18" ht="18">
      <c r="A2851" s="61"/>
      <c r="B2851" s="15"/>
      <c r="C2851" s="31"/>
      <c r="D2851" s="90"/>
      <c r="E2851" s="16"/>
      <c r="F2851" s="33"/>
      <c r="G2851" s="16"/>
      <c r="H2851" s="16"/>
      <c r="I2851" s="16"/>
      <c r="J2851" s="16"/>
      <c r="K2851" s="16"/>
      <c r="L2851" s="16"/>
      <c r="M2851" s="16"/>
      <c r="N2851" s="16"/>
      <c r="O2851" s="16"/>
      <c r="P2851" s="16"/>
      <c r="Q2851" s="16"/>
      <c r="R2851" s="16"/>
    </row>
    <row r="2852" spans="1:18" ht="18">
      <c r="A2852" s="61"/>
      <c r="B2852" s="15"/>
      <c r="C2852" s="31"/>
      <c r="D2852" s="90"/>
      <c r="E2852" s="16"/>
      <c r="F2852" s="33"/>
      <c r="G2852" s="16"/>
      <c r="H2852" s="16"/>
      <c r="I2852" s="16"/>
      <c r="J2852" s="16"/>
      <c r="K2852" s="16"/>
      <c r="L2852" s="16"/>
      <c r="M2852" s="16"/>
      <c r="N2852" s="16"/>
      <c r="O2852" s="16"/>
      <c r="P2852" s="16"/>
      <c r="Q2852" s="16"/>
      <c r="R2852" s="16"/>
    </row>
    <row r="2853" spans="1:18" ht="18">
      <c r="A2853" s="61"/>
      <c r="B2853" s="15"/>
      <c r="C2853" s="31"/>
      <c r="D2853" s="90"/>
      <c r="E2853" s="16"/>
      <c r="F2853" s="33"/>
      <c r="G2853" s="16"/>
      <c r="H2853" s="16"/>
      <c r="I2853" s="16"/>
      <c r="J2853" s="16"/>
      <c r="K2853" s="16"/>
      <c r="L2853" s="16"/>
      <c r="M2853" s="16"/>
      <c r="N2853" s="16"/>
      <c r="O2853" s="16"/>
      <c r="P2853" s="16"/>
      <c r="Q2853" s="16"/>
      <c r="R2853" s="16"/>
    </row>
    <row r="2854" spans="1:18" ht="18">
      <c r="A2854" s="61"/>
      <c r="B2854" s="15"/>
      <c r="C2854" s="31"/>
      <c r="D2854" s="90"/>
      <c r="E2854" s="16"/>
      <c r="F2854" s="33"/>
      <c r="G2854" s="16"/>
      <c r="H2854" s="16"/>
      <c r="I2854" s="16"/>
      <c r="J2854" s="16"/>
      <c r="K2854" s="16"/>
      <c r="L2854" s="16"/>
      <c r="M2854" s="16"/>
      <c r="N2854" s="16"/>
      <c r="O2854" s="16"/>
      <c r="P2854" s="16"/>
      <c r="Q2854" s="16"/>
      <c r="R2854" s="16"/>
    </row>
    <row r="2855" spans="1:18" ht="18">
      <c r="A2855" s="61"/>
      <c r="B2855" s="15"/>
      <c r="C2855" s="31"/>
      <c r="D2855" s="90"/>
      <c r="E2855" s="16"/>
      <c r="F2855" s="33"/>
      <c r="G2855" s="16"/>
      <c r="H2855" s="16"/>
      <c r="I2855" s="16"/>
      <c r="J2855" s="16"/>
      <c r="K2855" s="16"/>
      <c r="L2855" s="16"/>
      <c r="M2855" s="16"/>
      <c r="N2855" s="16"/>
      <c r="O2855" s="16"/>
      <c r="P2855" s="16"/>
      <c r="Q2855" s="16"/>
      <c r="R2855" s="16"/>
    </row>
    <row r="2856" spans="1:18" ht="18">
      <c r="A2856" s="61"/>
      <c r="B2856" s="15"/>
      <c r="C2856" s="31"/>
      <c r="D2856" s="90"/>
      <c r="E2856" s="16"/>
      <c r="F2856" s="33"/>
      <c r="G2856" s="16"/>
      <c r="H2856" s="16"/>
      <c r="I2856" s="16"/>
      <c r="J2856" s="16"/>
      <c r="K2856" s="16"/>
      <c r="L2856" s="16"/>
      <c r="M2856" s="16"/>
      <c r="N2856" s="16"/>
      <c r="O2856" s="16"/>
      <c r="P2856" s="16"/>
      <c r="Q2856" s="16"/>
      <c r="R2856" s="16"/>
    </row>
    <row r="2857" spans="1:18" ht="18">
      <c r="A2857" s="61"/>
      <c r="B2857" s="15"/>
      <c r="C2857" s="31"/>
      <c r="D2857" s="90"/>
      <c r="E2857" s="16"/>
      <c r="F2857" s="33"/>
      <c r="G2857" s="16"/>
      <c r="H2857" s="16"/>
      <c r="I2857" s="16"/>
      <c r="J2857" s="16"/>
      <c r="K2857" s="16"/>
      <c r="L2857" s="16"/>
      <c r="M2857" s="16"/>
      <c r="N2857" s="16"/>
      <c r="O2857" s="16"/>
      <c r="P2857" s="16"/>
      <c r="Q2857" s="16"/>
      <c r="R2857" s="16"/>
    </row>
    <row r="2858" spans="1:18" ht="18">
      <c r="A2858" s="61"/>
      <c r="B2858" s="15"/>
      <c r="C2858" s="31"/>
      <c r="D2858" s="90"/>
      <c r="E2858" s="16"/>
      <c r="F2858" s="33"/>
      <c r="G2858" s="16"/>
      <c r="H2858" s="16"/>
      <c r="I2858" s="16"/>
      <c r="J2858" s="16"/>
      <c r="K2858" s="16"/>
      <c r="L2858" s="16"/>
      <c r="M2858" s="16"/>
      <c r="N2858" s="16"/>
      <c r="O2858" s="16"/>
      <c r="P2858" s="16"/>
      <c r="Q2858" s="16"/>
      <c r="R2858" s="16"/>
    </row>
    <row r="2859" spans="1:18" ht="18">
      <c r="A2859" s="61"/>
      <c r="B2859" s="15"/>
      <c r="C2859" s="31"/>
      <c r="D2859" s="90"/>
      <c r="E2859" s="16"/>
      <c r="F2859" s="33"/>
      <c r="G2859" s="16"/>
      <c r="H2859" s="16"/>
      <c r="I2859" s="16"/>
      <c r="J2859" s="16"/>
      <c r="K2859" s="16"/>
      <c r="L2859" s="16"/>
      <c r="M2859" s="16"/>
      <c r="N2859" s="16"/>
      <c r="O2859" s="16"/>
      <c r="P2859" s="16"/>
      <c r="Q2859" s="16"/>
      <c r="R2859" s="16"/>
    </row>
    <row r="2860" spans="1:18" ht="18">
      <c r="A2860" s="61"/>
      <c r="B2860" s="15"/>
      <c r="C2860" s="31"/>
      <c r="D2860" s="90"/>
      <c r="E2860" s="16"/>
      <c r="F2860" s="33"/>
      <c r="G2860" s="16"/>
      <c r="H2860" s="16"/>
      <c r="I2860" s="16"/>
      <c r="J2860" s="16"/>
      <c r="K2860" s="16"/>
      <c r="L2860" s="16"/>
      <c r="M2860" s="16"/>
      <c r="N2860" s="16"/>
      <c r="O2860" s="16"/>
      <c r="P2860" s="16"/>
      <c r="Q2860" s="16"/>
      <c r="R2860" s="16"/>
    </row>
    <row r="2861" spans="1:18" ht="18">
      <c r="A2861" s="61"/>
      <c r="B2861" s="15"/>
      <c r="C2861" s="31"/>
      <c r="D2861" s="90"/>
      <c r="E2861" s="16"/>
      <c r="F2861" s="33"/>
      <c r="G2861" s="16"/>
      <c r="H2861" s="16"/>
      <c r="I2861" s="16"/>
      <c r="J2861" s="16"/>
      <c r="K2861" s="16"/>
      <c r="L2861" s="16"/>
      <c r="M2861" s="16"/>
      <c r="N2861" s="16"/>
      <c r="O2861" s="16"/>
      <c r="P2861" s="16"/>
      <c r="Q2861" s="16"/>
      <c r="R2861" s="16"/>
    </row>
    <row r="2862" spans="1:18" ht="18">
      <c r="A2862" s="61"/>
      <c r="B2862" s="15"/>
      <c r="C2862" s="31"/>
      <c r="D2862" s="90"/>
      <c r="E2862" s="16"/>
      <c r="F2862" s="33"/>
      <c r="G2862" s="16"/>
      <c r="H2862" s="16"/>
      <c r="I2862" s="16"/>
      <c r="J2862" s="16"/>
      <c r="K2862" s="16"/>
      <c r="L2862" s="16"/>
      <c r="M2862" s="16"/>
      <c r="N2862" s="16"/>
      <c r="O2862" s="16"/>
      <c r="P2862" s="16"/>
      <c r="Q2862" s="16"/>
      <c r="R2862" s="16"/>
    </row>
    <row r="2863" spans="1:18" ht="18">
      <c r="A2863" s="61"/>
      <c r="B2863" s="15"/>
      <c r="C2863" s="31"/>
      <c r="D2863" s="90"/>
      <c r="E2863" s="16"/>
      <c r="F2863" s="33"/>
      <c r="G2863" s="16"/>
      <c r="H2863" s="16"/>
      <c r="I2863" s="16"/>
      <c r="J2863" s="16"/>
      <c r="K2863" s="16"/>
      <c r="L2863" s="16"/>
      <c r="M2863" s="16"/>
      <c r="N2863" s="16"/>
      <c r="O2863" s="16"/>
      <c r="P2863" s="16"/>
      <c r="Q2863" s="16"/>
      <c r="R2863" s="16"/>
    </row>
    <row r="2864" spans="1:18" ht="18">
      <c r="A2864" s="61"/>
      <c r="B2864" s="15"/>
      <c r="C2864" s="31"/>
      <c r="D2864" s="90"/>
      <c r="E2864" s="16"/>
      <c r="F2864" s="33"/>
      <c r="G2864" s="16"/>
      <c r="H2864" s="16"/>
      <c r="I2864" s="16"/>
      <c r="J2864" s="16"/>
      <c r="K2864" s="16"/>
      <c r="L2864" s="16"/>
      <c r="M2864" s="16"/>
      <c r="N2864" s="16"/>
      <c r="O2864" s="16"/>
      <c r="P2864" s="16"/>
      <c r="Q2864" s="16"/>
      <c r="R2864" s="16"/>
    </row>
    <row r="2865" spans="1:18" ht="18">
      <c r="A2865" s="61"/>
      <c r="B2865" s="15"/>
      <c r="C2865" s="31"/>
      <c r="D2865" s="90"/>
      <c r="E2865" s="16"/>
      <c r="F2865" s="33"/>
      <c r="G2865" s="16"/>
      <c r="H2865" s="16"/>
      <c r="I2865" s="16"/>
      <c r="J2865" s="16"/>
      <c r="K2865" s="16"/>
      <c r="L2865" s="16"/>
      <c r="M2865" s="16"/>
      <c r="N2865" s="16"/>
      <c r="O2865" s="16"/>
      <c r="P2865" s="16"/>
      <c r="Q2865" s="16"/>
      <c r="R2865" s="16"/>
    </row>
    <row r="2866" spans="1:18" ht="18">
      <c r="A2866" s="61"/>
      <c r="B2866" s="15"/>
      <c r="C2866" s="31"/>
      <c r="D2866" s="90"/>
      <c r="E2866" s="16"/>
      <c r="F2866" s="33"/>
      <c r="G2866" s="16"/>
      <c r="H2866" s="16"/>
      <c r="I2866" s="16"/>
      <c r="J2866" s="16"/>
      <c r="K2866" s="16"/>
      <c r="L2866" s="16"/>
      <c r="M2866" s="16"/>
      <c r="N2866" s="16"/>
      <c r="O2866" s="16"/>
      <c r="P2866" s="16"/>
      <c r="Q2866" s="16"/>
      <c r="R2866" s="16"/>
    </row>
    <row r="2867" spans="1:18" ht="18">
      <c r="A2867" s="61"/>
      <c r="B2867" s="15"/>
      <c r="C2867" s="31"/>
      <c r="D2867" s="90"/>
      <c r="E2867" s="16"/>
      <c r="F2867" s="33"/>
      <c r="G2867" s="16"/>
      <c r="H2867" s="16"/>
      <c r="I2867" s="16"/>
      <c r="J2867" s="16"/>
      <c r="K2867" s="16"/>
      <c r="L2867" s="16"/>
      <c r="M2867" s="16"/>
      <c r="N2867" s="16"/>
      <c r="O2867" s="16"/>
      <c r="P2867" s="16"/>
      <c r="Q2867" s="16"/>
      <c r="R2867" s="16"/>
    </row>
    <row r="2868" spans="1:18" ht="18">
      <c r="A2868" s="61"/>
      <c r="B2868" s="15"/>
      <c r="C2868" s="31"/>
      <c r="D2868" s="90"/>
      <c r="E2868" s="16"/>
      <c r="F2868" s="33"/>
      <c r="G2868" s="16"/>
      <c r="H2868" s="16"/>
      <c r="I2868" s="16"/>
      <c r="J2868" s="16"/>
      <c r="K2868" s="16"/>
      <c r="L2868" s="16"/>
      <c r="M2868" s="16"/>
      <c r="N2868" s="16"/>
      <c r="O2868" s="16"/>
      <c r="P2868" s="16"/>
      <c r="Q2868" s="16"/>
      <c r="R2868" s="16"/>
    </row>
    <row r="2869" spans="1:18" ht="18">
      <c r="A2869" s="61"/>
      <c r="B2869" s="15"/>
      <c r="C2869" s="31"/>
      <c r="D2869" s="90"/>
      <c r="E2869" s="16"/>
      <c r="F2869" s="33"/>
      <c r="G2869" s="16"/>
      <c r="H2869" s="16"/>
      <c r="I2869" s="16"/>
      <c r="J2869" s="16"/>
      <c r="K2869" s="16"/>
      <c r="L2869" s="16"/>
      <c r="M2869" s="16"/>
      <c r="N2869" s="16"/>
      <c r="O2869" s="16"/>
      <c r="P2869" s="16"/>
      <c r="Q2869" s="16"/>
      <c r="R2869" s="16"/>
    </row>
    <row r="2870" spans="1:18" ht="18">
      <c r="A2870" s="61"/>
      <c r="B2870" s="15"/>
      <c r="C2870" s="31"/>
      <c r="D2870" s="90"/>
      <c r="E2870" s="16"/>
      <c r="F2870" s="33"/>
      <c r="G2870" s="16"/>
      <c r="H2870" s="16"/>
      <c r="I2870" s="16"/>
      <c r="J2870" s="16"/>
      <c r="K2870" s="16"/>
      <c r="L2870" s="16"/>
      <c r="M2870" s="16"/>
      <c r="N2870" s="16"/>
      <c r="O2870" s="16"/>
      <c r="P2870" s="16"/>
      <c r="Q2870" s="16"/>
      <c r="R2870" s="16"/>
    </row>
    <row r="2871" spans="1:18" ht="18">
      <c r="A2871" s="61"/>
      <c r="B2871" s="15"/>
      <c r="C2871" s="31"/>
      <c r="D2871" s="90"/>
      <c r="E2871" s="16"/>
      <c r="F2871" s="33"/>
      <c r="G2871" s="16"/>
      <c r="H2871" s="16"/>
      <c r="I2871" s="16"/>
      <c r="J2871" s="16"/>
      <c r="K2871" s="16"/>
      <c r="L2871" s="16"/>
      <c r="M2871" s="16"/>
      <c r="N2871" s="16"/>
      <c r="O2871" s="16"/>
      <c r="P2871" s="16"/>
      <c r="Q2871" s="16"/>
      <c r="R2871" s="16"/>
    </row>
    <row r="2872" spans="1:18" ht="18">
      <c r="A2872" s="61"/>
      <c r="B2872" s="15"/>
      <c r="C2872" s="31"/>
      <c r="D2872" s="90"/>
      <c r="E2872" s="16"/>
      <c r="F2872" s="33"/>
      <c r="G2872" s="16"/>
      <c r="H2872" s="16"/>
      <c r="I2872" s="16"/>
      <c r="J2872" s="16"/>
      <c r="K2872" s="16"/>
      <c r="L2872" s="16"/>
      <c r="M2872" s="16"/>
      <c r="N2872" s="16"/>
      <c r="O2872" s="16"/>
      <c r="P2872" s="16"/>
      <c r="Q2872" s="16"/>
      <c r="R2872" s="16"/>
    </row>
    <row r="2873" spans="1:18" ht="18">
      <c r="A2873" s="61"/>
      <c r="B2873" s="15"/>
      <c r="C2873" s="31"/>
      <c r="D2873" s="90"/>
      <c r="E2873" s="16"/>
      <c r="F2873" s="33"/>
      <c r="G2873" s="16"/>
      <c r="H2873" s="16"/>
      <c r="I2873" s="16"/>
      <c r="J2873" s="16"/>
      <c r="K2873" s="16"/>
      <c r="L2873" s="16"/>
      <c r="M2873" s="16"/>
      <c r="N2873" s="16"/>
      <c r="O2873" s="16"/>
      <c r="P2873" s="16"/>
      <c r="Q2873" s="16"/>
      <c r="R2873" s="16"/>
    </row>
    <row r="2874" spans="1:18" ht="18">
      <c r="A2874" s="61"/>
      <c r="B2874" s="15"/>
      <c r="C2874" s="31"/>
      <c r="D2874" s="90"/>
      <c r="E2874" s="16"/>
      <c r="F2874" s="33"/>
      <c r="G2874" s="16"/>
      <c r="H2874" s="16"/>
      <c r="I2874" s="16"/>
      <c r="J2874" s="16"/>
      <c r="K2874" s="16"/>
      <c r="L2874" s="16"/>
      <c r="M2874" s="16"/>
      <c r="N2874" s="16"/>
      <c r="O2874" s="16"/>
      <c r="P2874" s="16"/>
      <c r="Q2874" s="16"/>
      <c r="R2874" s="16"/>
    </row>
    <row r="2875" spans="1:18" ht="18">
      <c r="A2875" s="61"/>
      <c r="B2875" s="15"/>
      <c r="C2875" s="31"/>
      <c r="D2875" s="90"/>
      <c r="E2875" s="16"/>
      <c r="F2875" s="33"/>
      <c r="G2875" s="16"/>
      <c r="H2875" s="16"/>
      <c r="I2875" s="16"/>
      <c r="J2875" s="16"/>
      <c r="K2875" s="16"/>
      <c r="L2875" s="16"/>
      <c r="M2875" s="16"/>
      <c r="N2875" s="16"/>
      <c r="O2875" s="16"/>
      <c r="P2875" s="16"/>
      <c r="Q2875" s="16"/>
      <c r="R2875" s="16"/>
    </row>
    <row r="2876" spans="1:18" ht="18">
      <c r="A2876" s="61"/>
      <c r="B2876" s="15"/>
      <c r="C2876" s="31"/>
      <c r="D2876" s="90"/>
      <c r="E2876" s="16"/>
      <c r="F2876" s="33"/>
      <c r="G2876" s="16"/>
      <c r="H2876" s="16"/>
      <c r="I2876" s="16"/>
      <c r="J2876" s="16"/>
      <c r="K2876" s="16"/>
      <c r="L2876" s="16"/>
      <c r="M2876" s="16"/>
      <c r="N2876" s="16"/>
      <c r="O2876" s="16"/>
      <c r="P2876" s="16"/>
      <c r="Q2876" s="16"/>
      <c r="R2876" s="16"/>
    </row>
    <row r="2877" spans="1:18" ht="18">
      <c r="A2877" s="61"/>
      <c r="B2877" s="15"/>
      <c r="C2877" s="31"/>
      <c r="D2877" s="90"/>
      <c r="E2877" s="16"/>
      <c r="F2877" s="33"/>
      <c r="G2877" s="16"/>
      <c r="H2877" s="16"/>
      <c r="I2877" s="16"/>
      <c r="J2877" s="16"/>
      <c r="K2877" s="16"/>
      <c r="L2877" s="16"/>
      <c r="M2877" s="16"/>
      <c r="N2877" s="16"/>
      <c r="O2877" s="16"/>
      <c r="P2877" s="16"/>
      <c r="Q2877" s="16"/>
      <c r="R2877" s="16"/>
    </row>
    <row r="2878" spans="1:18" ht="18">
      <c r="A2878" s="61"/>
      <c r="B2878" s="15"/>
      <c r="C2878" s="31"/>
      <c r="D2878" s="90"/>
      <c r="E2878" s="16"/>
      <c r="F2878" s="33"/>
      <c r="G2878" s="16"/>
      <c r="H2878" s="16"/>
      <c r="I2878" s="16"/>
      <c r="J2878" s="16"/>
      <c r="K2878" s="16"/>
      <c r="L2878" s="16"/>
      <c r="M2878" s="16"/>
      <c r="N2878" s="16"/>
      <c r="O2878" s="16"/>
      <c r="P2878" s="16"/>
      <c r="Q2878" s="16"/>
      <c r="R2878" s="16"/>
    </row>
    <row r="2879" spans="1:18" ht="18">
      <c r="A2879" s="61"/>
      <c r="B2879" s="15"/>
      <c r="C2879" s="31"/>
      <c r="D2879" s="90"/>
      <c r="E2879" s="16"/>
      <c r="F2879" s="33"/>
      <c r="G2879" s="16"/>
      <c r="H2879" s="16"/>
      <c r="I2879" s="16"/>
      <c r="J2879" s="16"/>
      <c r="K2879" s="16"/>
      <c r="L2879" s="16"/>
      <c r="M2879" s="16"/>
      <c r="N2879" s="16"/>
      <c r="O2879" s="16"/>
      <c r="P2879" s="16"/>
      <c r="Q2879" s="16"/>
      <c r="R2879" s="16"/>
    </row>
    <row r="2880" spans="1:18" ht="18">
      <c r="A2880" s="61"/>
      <c r="B2880" s="15"/>
      <c r="C2880" s="31"/>
      <c r="D2880" s="90"/>
      <c r="E2880" s="16"/>
      <c r="F2880" s="33"/>
      <c r="G2880" s="16"/>
      <c r="H2880" s="16"/>
      <c r="I2880" s="16"/>
      <c r="J2880" s="16"/>
      <c r="K2880" s="16"/>
      <c r="L2880" s="16"/>
      <c r="M2880" s="16"/>
      <c r="N2880" s="16"/>
      <c r="O2880" s="16"/>
      <c r="P2880" s="16"/>
      <c r="Q2880" s="16"/>
      <c r="R2880" s="16"/>
    </row>
    <row r="2881" spans="1:18" ht="18">
      <c r="A2881" s="61"/>
      <c r="B2881" s="15"/>
      <c r="C2881" s="31"/>
      <c r="D2881" s="90"/>
      <c r="E2881" s="16"/>
      <c r="F2881" s="33"/>
      <c r="G2881" s="16"/>
      <c r="H2881" s="16"/>
      <c r="I2881" s="16"/>
      <c r="J2881" s="16"/>
      <c r="K2881" s="16"/>
      <c r="L2881" s="16"/>
      <c r="M2881" s="16"/>
      <c r="N2881" s="16"/>
      <c r="O2881" s="16"/>
      <c r="P2881" s="16"/>
      <c r="Q2881" s="16"/>
      <c r="R2881" s="16"/>
    </row>
    <row r="2882" spans="1:18" ht="18">
      <c r="A2882" s="61"/>
      <c r="B2882" s="15"/>
      <c r="C2882" s="31"/>
      <c r="D2882" s="90"/>
      <c r="E2882" s="16"/>
      <c r="F2882" s="33"/>
      <c r="G2882" s="16"/>
      <c r="H2882" s="16"/>
      <c r="I2882" s="16"/>
      <c r="J2882" s="16"/>
      <c r="K2882" s="16"/>
      <c r="L2882" s="16"/>
      <c r="M2882" s="16"/>
      <c r="N2882" s="16"/>
      <c r="O2882" s="16"/>
      <c r="P2882" s="16"/>
      <c r="Q2882" s="16"/>
      <c r="R2882" s="16"/>
    </row>
    <row r="2883" spans="1:18" ht="18">
      <c r="A2883" s="61"/>
      <c r="B2883" s="15"/>
      <c r="C2883" s="31"/>
      <c r="D2883" s="90"/>
      <c r="E2883" s="16"/>
      <c r="F2883" s="33"/>
      <c r="G2883" s="16"/>
      <c r="H2883" s="16"/>
      <c r="I2883" s="16"/>
      <c r="J2883" s="16"/>
      <c r="K2883" s="16"/>
      <c r="L2883" s="16"/>
      <c r="M2883" s="16"/>
      <c r="N2883" s="16"/>
      <c r="O2883" s="16"/>
      <c r="P2883" s="16"/>
      <c r="Q2883" s="16"/>
      <c r="R2883" s="16"/>
    </row>
    <row r="2884" spans="1:18" ht="18">
      <c r="A2884" s="61"/>
      <c r="B2884" s="15"/>
      <c r="C2884" s="31"/>
      <c r="D2884" s="90"/>
      <c r="E2884" s="16"/>
      <c r="F2884" s="33"/>
      <c r="G2884" s="16"/>
      <c r="H2884" s="16"/>
      <c r="I2884" s="16"/>
      <c r="J2884" s="16"/>
      <c r="K2884" s="16"/>
      <c r="L2884" s="16"/>
      <c r="M2884" s="16"/>
      <c r="N2884" s="16"/>
      <c r="O2884" s="16"/>
      <c r="P2884" s="16"/>
      <c r="Q2884" s="16"/>
      <c r="R2884" s="16"/>
    </row>
    <row r="2885" spans="1:18" ht="18">
      <c r="A2885" s="61"/>
      <c r="B2885" s="15"/>
      <c r="C2885" s="31"/>
      <c r="D2885" s="90"/>
      <c r="E2885" s="16"/>
      <c r="F2885" s="33"/>
      <c r="G2885" s="16"/>
      <c r="H2885" s="16"/>
      <c r="I2885" s="16"/>
      <c r="J2885" s="16"/>
      <c r="K2885" s="16"/>
      <c r="L2885" s="16"/>
      <c r="M2885" s="16"/>
      <c r="N2885" s="16"/>
      <c r="O2885" s="16"/>
      <c r="P2885" s="16"/>
      <c r="Q2885" s="16"/>
      <c r="R2885" s="16"/>
    </row>
    <row r="2886" spans="1:18" ht="18">
      <c r="A2886" s="61"/>
      <c r="B2886" s="15"/>
      <c r="C2886" s="31"/>
      <c r="D2886" s="90"/>
      <c r="E2886" s="16"/>
      <c r="F2886" s="33"/>
      <c r="G2886" s="16"/>
      <c r="H2886" s="16"/>
      <c r="I2886" s="16"/>
      <c r="J2886" s="16"/>
      <c r="K2886" s="16"/>
      <c r="L2886" s="16"/>
      <c r="M2886" s="16"/>
      <c r="N2886" s="16"/>
      <c r="O2886" s="16"/>
      <c r="P2886" s="16"/>
      <c r="Q2886" s="16"/>
      <c r="R2886" s="16"/>
    </row>
    <row r="2887" spans="1:18" ht="18">
      <c r="A2887" s="61"/>
      <c r="B2887" s="15"/>
      <c r="C2887" s="31"/>
      <c r="D2887" s="90"/>
      <c r="E2887" s="16"/>
      <c r="F2887" s="33"/>
      <c r="G2887" s="16"/>
      <c r="H2887" s="16"/>
      <c r="I2887" s="16"/>
      <c r="J2887" s="16"/>
      <c r="K2887" s="16"/>
      <c r="L2887" s="16"/>
      <c r="M2887" s="16"/>
      <c r="N2887" s="16"/>
      <c r="O2887" s="16"/>
      <c r="P2887" s="16"/>
      <c r="Q2887" s="16"/>
      <c r="R2887" s="16"/>
    </row>
    <row r="2888" spans="1:18" ht="18">
      <c r="A2888" s="61"/>
      <c r="B2888" s="15"/>
      <c r="C2888" s="31"/>
      <c r="D2888" s="90"/>
      <c r="E2888" s="16"/>
      <c r="F2888" s="33"/>
      <c r="G2888" s="16"/>
      <c r="H2888" s="16"/>
      <c r="I2888" s="16"/>
      <c r="J2888" s="16"/>
      <c r="K2888" s="16"/>
      <c r="L2888" s="16"/>
      <c r="M2888" s="16"/>
      <c r="N2888" s="16"/>
      <c r="O2888" s="16"/>
      <c r="P2888" s="16"/>
      <c r="Q2888" s="16"/>
      <c r="R2888" s="16"/>
    </row>
    <row r="2889" spans="1:18" ht="18">
      <c r="A2889" s="61"/>
      <c r="B2889" s="15"/>
      <c r="C2889" s="31"/>
      <c r="D2889" s="90"/>
      <c r="E2889" s="16"/>
      <c r="F2889" s="33"/>
      <c r="G2889" s="16"/>
      <c r="H2889" s="16"/>
      <c r="I2889" s="16"/>
      <c r="J2889" s="16"/>
      <c r="K2889" s="16"/>
      <c r="L2889" s="16"/>
      <c r="M2889" s="16"/>
      <c r="N2889" s="16"/>
      <c r="O2889" s="16"/>
      <c r="P2889" s="16"/>
      <c r="Q2889" s="16"/>
      <c r="R2889" s="16"/>
    </row>
    <row r="2890" spans="1:18" ht="18">
      <c r="A2890" s="61"/>
      <c r="B2890" s="15"/>
      <c r="C2890" s="31"/>
      <c r="D2890" s="90"/>
      <c r="E2890" s="16"/>
      <c r="F2890" s="33"/>
      <c r="G2890" s="16"/>
      <c r="H2890" s="16"/>
      <c r="I2890" s="16"/>
      <c r="J2890" s="16"/>
      <c r="K2890" s="16"/>
      <c r="L2890" s="16"/>
      <c r="M2890" s="16"/>
      <c r="N2890" s="16"/>
      <c r="O2890" s="16"/>
      <c r="P2890" s="16"/>
      <c r="Q2890" s="16"/>
      <c r="R2890" s="16"/>
    </row>
    <row r="2891" spans="1:18" ht="18">
      <c r="A2891" s="61"/>
      <c r="B2891" s="15"/>
      <c r="C2891" s="31"/>
      <c r="D2891" s="90"/>
      <c r="E2891" s="16"/>
      <c r="F2891" s="33"/>
      <c r="G2891" s="16"/>
      <c r="H2891" s="16"/>
      <c r="I2891" s="16"/>
      <c r="J2891" s="16"/>
      <c r="K2891" s="16"/>
      <c r="L2891" s="16"/>
      <c r="M2891" s="16"/>
      <c r="N2891" s="16"/>
      <c r="O2891" s="16"/>
      <c r="P2891" s="16"/>
      <c r="Q2891" s="16"/>
      <c r="R2891" s="16"/>
    </row>
    <row r="2892" spans="1:18" ht="18">
      <c r="A2892" s="61"/>
      <c r="B2892" s="15"/>
      <c r="C2892" s="31"/>
      <c r="D2892" s="90"/>
      <c r="E2892" s="16"/>
      <c r="F2892" s="33"/>
      <c r="G2892" s="16"/>
      <c r="H2892" s="16"/>
      <c r="I2892" s="16"/>
      <c r="J2892" s="16"/>
      <c r="K2892" s="16"/>
      <c r="L2892" s="16"/>
      <c r="M2892" s="16"/>
      <c r="N2892" s="16"/>
      <c r="O2892" s="16"/>
      <c r="P2892" s="16"/>
      <c r="Q2892" s="16"/>
      <c r="R2892" s="16"/>
    </row>
    <row r="2893" spans="1:18" ht="18">
      <c r="A2893" s="61"/>
      <c r="B2893" s="15"/>
      <c r="C2893" s="31"/>
      <c r="D2893" s="90"/>
      <c r="E2893" s="16"/>
      <c r="F2893" s="33"/>
      <c r="G2893" s="16"/>
      <c r="H2893" s="16"/>
      <c r="I2893" s="16"/>
      <c r="J2893" s="16"/>
      <c r="K2893" s="16"/>
      <c r="L2893" s="16"/>
      <c r="M2893" s="16"/>
      <c r="N2893" s="16"/>
      <c r="O2893" s="16"/>
      <c r="P2893" s="16"/>
      <c r="Q2893" s="16"/>
      <c r="R2893" s="16"/>
    </row>
    <row r="2894" spans="1:18" ht="18">
      <c r="A2894" s="61"/>
      <c r="B2894" s="15"/>
      <c r="C2894" s="31"/>
      <c r="D2894" s="90"/>
      <c r="E2894" s="16"/>
      <c r="F2894" s="33"/>
      <c r="G2894" s="16"/>
      <c r="H2894" s="16"/>
      <c r="I2894" s="16"/>
      <c r="J2894" s="16"/>
      <c r="K2894" s="16"/>
      <c r="L2894" s="16"/>
      <c r="M2894" s="16"/>
      <c r="N2894" s="16"/>
      <c r="O2894" s="16"/>
      <c r="P2894" s="16"/>
      <c r="Q2894" s="16"/>
      <c r="R2894" s="16"/>
    </row>
    <row r="2895" spans="1:18" ht="18">
      <c r="A2895" s="61"/>
      <c r="B2895" s="15"/>
      <c r="C2895" s="31"/>
      <c r="D2895" s="90"/>
      <c r="E2895" s="16"/>
      <c r="F2895" s="33"/>
      <c r="G2895" s="16"/>
      <c r="H2895" s="16"/>
      <c r="I2895" s="16"/>
      <c r="J2895" s="16"/>
      <c r="K2895" s="16"/>
      <c r="L2895" s="16"/>
      <c r="M2895" s="16"/>
      <c r="N2895" s="16"/>
      <c r="O2895" s="16"/>
      <c r="P2895" s="16"/>
      <c r="Q2895" s="16"/>
      <c r="R2895" s="16"/>
    </row>
    <row r="2896" spans="1:18" ht="18">
      <c r="A2896" s="61"/>
      <c r="B2896" s="15"/>
      <c r="C2896" s="31"/>
      <c r="D2896" s="90"/>
      <c r="E2896" s="16"/>
      <c r="F2896" s="33"/>
      <c r="G2896" s="16"/>
      <c r="H2896" s="16"/>
      <c r="I2896" s="16"/>
      <c r="J2896" s="16"/>
      <c r="K2896" s="16"/>
      <c r="L2896" s="16"/>
      <c r="M2896" s="16"/>
      <c r="N2896" s="16"/>
      <c r="O2896" s="16"/>
      <c r="P2896" s="16"/>
      <c r="Q2896" s="16"/>
      <c r="R2896" s="16"/>
    </row>
    <row r="2897" spans="1:18" ht="18">
      <c r="A2897" s="61"/>
      <c r="B2897" s="15"/>
      <c r="C2897" s="31"/>
      <c r="D2897" s="90"/>
      <c r="E2897" s="16"/>
      <c r="F2897" s="33"/>
      <c r="G2897" s="16"/>
      <c r="H2897" s="16"/>
      <c r="I2897" s="16"/>
      <c r="J2897" s="16"/>
      <c r="K2897" s="16"/>
      <c r="L2897" s="16"/>
      <c r="M2897" s="16"/>
      <c r="N2897" s="16"/>
      <c r="O2897" s="16"/>
      <c r="P2897" s="16"/>
      <c r="Q2897" s="16"/>
      <c r="R2897" s="16"/>
    </row>
    <row r="2898" spans="1:18" ht="18">
      <c r="A2898" s="61"/>
      <c r="B2898" s="15"/>
      <c r="C2898" s="31"/>
      <c r="D2898" s="90"/>
      <c r="E2898" s="16"/>
      <c r="F2898" s="33"/>
      <c r="G2898" s="16"/>
      <c r="H2898" s="16"/>
      <c r="I2898" s="16"/>
      <c r="J2898" s="16"/>
      <c r="K2898" s="16"/>
      <c r="L2898" s="16"/>
      <c r="M2898" s="16"/>
      <c r="N2898" s="16"/>
      <c r="O2898" s="16"/>
      <c r="P2898" s="16"/>
      <c r="Q2898" s="16"/>
      <c r="R2898" s="16"/>
    </row>
    <row r="2899" spans="1:18" ht="18">
      <c r="A2899" s="61"/>
      <c r="B2899" s="15"/>
      <c r="C2899" s="31"/>
      <c r="D2899" s="90"/>
      <c r="E2899" s="16"/>
      <c r="F2899" s="33"/>
      <c r="G2899" s="16"/>
      <c r="H2899" s="16"/>
      <c r="I2899" s="16"/>
      <c r="J2899" s="16"/>
      <c r="K2899" s="16"/>
      <c r="L2899" s="16"/>
      <c r="M2899" s="16"/>
      <c r="N2899" s="16"/>
      <c r="O2899" s="16"/>
      <c r="P2899" s="16"/>
      <c r="Q2899" s="16"/>
      <c r="R2899" s="16"/>
    </row>
    <row r="2900" spans="1:18" ht="18">
      <c r="A2900" s="61"/>
      <c r="B2900" s="15"/>
      <c r="C2900" s="31"/>
      <c r="D2900" s="90"/>
      <c r="E2900" s="16"/>
      <c r="F2900" s="33"/>
      <c r="G2900" s="16"/>
      <c r="H2900" s="16"/>
      <c r="I2900" s="16"/>
      <c r="J2900" s="16"/>
      <c r="K2900" s="16"/>
      <c r="L2900" s="16"/>
      <c r="M2900" s="16"/>
      <c r="N2900" s="16"/>
      <c r="O2900" s="16"/>
      <c r="P2900" s="16"/>
      <c r="Q2900" s="16"/>
      <c r="R2900" s="16"/>
    </row>
    <row r="2901" spans="1:18" ht="18">
      <c r="A2901" s="61"/>
      <c r="B2901" s="15"/>
      <c r="C2901" s="31"/>
      <c r="D2901" s="90"/>
      <c r="E2901" s="16"/>
      <c r="F2901" s="33"/>
      <c r="G2901" s="16"/>
      <c r="H2901" s="16"/>
      <c r="I2901" s="16"/>
      <c r="J2901" s="16"/>
      <c r="K2901" s="16"/>
      <c r="L2901" s="16"/>
      <c r="M2901" s="16"/>
      <c r="N2901" s="16"/>
      <c r="O2901" s="16"/>
      <c r="P2901" s="16"/>
      <c r="Q2901" s="16"/>
      <c r="R2901" s="16"/>
    </row>
    <row r="2902" spans="1:18" ht="18">
      <c r="A2902" s="61"/>
      <c r="B2902" s="15"/>
      <c r="C2902" s="31"/>
      <c r="D2902" s="90"/>
      <c r="E2902" s="16"/>
      <c r="F2902" s="33"/>
      <c r="G2902" s="16"/>
      <c r="H2902" s="16"/>
      <c r="I2902" s="16"/>
      <c r="J2902" s="16"/>
      <c r="K2902" s="16"/>
      <c r="L2902" s="16"/>
      <c r="M2902" s="16"/>
      <c r="N2902" s="16"/>
      <c r="O2902" s="16"/>
      <c r="P2902" s="16"/>
      <c r="Q2902" s="16"/>
      <c r="R2902" s="16"/>
    </row>
    <row r="2903" spans="1:18" ht="18">
      <c r="A2903" s="61"/>
      <c r="B2903" s="15"/>
      <c r="C2903" s="31"/>
      <c r="D2903" s="90"/>
      <c r="E2903" s="16"/>
      <c r="F2903" s="33"/>
      <c r="G2903" s="16"/>
      <c r="H2903" s="16"/>
      <c r="I2903" s="16"/>
      <c r="J2903" s="16"/>
      <c r="K2903" s="16"/>
      <c r="L2903" s="16"/>
      <c r="M2903" s="16"/>
      <c r="N2903" s="16"/>
      <c r="O2903" s="16"/>
      <c r="P2903" s="16"/>
      <c r="Q2903" s="16"/>
      <c r="R2903" s="16"/>
    </row>
    <row r="2904" spans="1:18" ht="18">
      <c r="A2904" s="61"/>
      <c r="B2904" s="15"/>
      <c r="C2904" s="31"/>
      <c r="D2904" s="90"/>
      <c r="E2904" s="16"/>
      <c r="F2904" s="33"/>
      <c r="G2904" s="16"/>
      <c r="H2904" s="16"/>
      <c r="I2904" s="16"/>
      <c r="J2904" s="16"/>
      <c r="K2904" s="16"/>
      <c r="L2904" s="16"/>
      <c r="M2904" s="16"/>
      <c r="N2904" s="16"/>
      <c r="O2904" s="16"/>
      <c r="P2904" s="16"/>
      <c r="Q2904" s="16"/>
      <c r="R2904" s="16"/>
    </row>
    <row r="2905" spans="1:18" ht="18">
      <c r="A2905" s="61"/>
      <c r="B2905" s="15"/>
      <c r="C2905" s="31"/>
      <c r="D2905" s="90"/>
      <c r="E2905" s="16"/>
      <c r="F2905" s="33"/>
      <c r="G2905" s="16"/>
      <c r="H2905" s="16"/>
      <c r="I2905" s="16"/>
      <c r="J2905" s="16"/>
      <c r="K2905" s="16"/>
      <c r="L2905" s="16"/>
      <c r="M2905" s="16"/>
      <c r="N2905" s="16"/>
      <c r="O2905" s="16"/>
      <c r="P2905" s="16"/>
      <c r="Q2905" s="16"/>
      <c r="R2905" s="16"/>
    </row>
    <row r="2906" spans="1:18" ht="18">
      <c r="A2906" s="61"/>
      <c r="B2906" s="15"/>
      <c r="C2906" s="44"/>
      <c r="D2906" s="45"/>
      <c r="E2906" s="18"/>
      <c r="F2906" s="19"/>
      <c r="G2906" s="18"/>
      <c r="H2906" s="18"/>
      <c r="I2906" s="18"/>
      <c r="J2906" s="18"/>
      <c r="K2906" s="18"/>
      <c r="L2906" s="18"/>
      <c r="M2906" s="18"/>
      <c r="N2906" s="18"/>
      <c r="O2906" s="18"/>
      <c r="P2906" s="18"/>
      <c r="Q2906" s="18"/>
      <c r="R2906" s="18"/>
    </row>
    <row r="2907" spans="1:18" ht="18">
      <c r="A2907" s="61"/>
      <c r="B2907" s="15"/>
      <c r="C2907" s="44"/>
      <c r="D2907" s="45"/>
      <c r="E2907" s="18"/>
      <c r="F2907" s="19"/>
      <c r="G2907" s="18"/>
      <c r="H2907" s="18"/>
      <c r="I2907" s="18"/>
      <c r="J2907" s="18"/>
      <c r="K2907" s="18"/>
      <c r="L2907" s="18"/>
      <c r="M2907" s="18"/>
      <c r="N2907" s="18"/>
      <c r="O2907" s="18"/>
      <c r="P2907" s="18"/>
      <c r="Q2907" s="18"/>
      <c r="R2907" s="18"/>
    </row>
    <row r="2908" spans="1:18" ht="18">
      <c r="A2908" s="61"/>
      <c r="B2908" s="15"/>
      <c r="C2908" s="44"/>
      <c r="D2908" s="45"/>
      <c r="E2908" s="18"/>
      <c r="F2908" s="19"/>
      <c r="G2908" s="18"/>
      <c r="H2908" s="18"/>
      <c r="I2908" s="18"/>
      <c r="J2908" s="18"/>
      <c r="K2908" s="18"/>
      <c r="L2908" s="18"/>
      <c r="M2908" s="18"/>
      <c r="N2908" s="18"/>
      <c r="O2908" s="18"/>
      <c r="P2908" s="18"/>
      <c r="Q2908" s="18"/>
      <c r="R2908" s="18"/>
    </row>
    <row r="2909" spans="1:18" ht="18">
      <c r="A2909" s="61"/>
      <c r="B2909" s="15"/>
      <c r="C2909" s="44"/>
      <c r="D2909" s="45"/>
      <c r="E2909" s="18"/>
      <c r="F2909" s="19"/>
      <c r="G2909" s="18"/>
      <c r="H2909" s="18"/>
      <c r="I2909" s="18"/>
      <c r="J2909" s="18"/>
      <c r="K2909" s="18"/>
      <c r="L2909" s="18"/>
      <c r="M2909" s="18"/>
      <c r="N2909" s="18"/>
      <c r="O2909" s="18"/>
      <c r="P2909" s="18"/>
      <c r="Q2909" s="18"/>
      <c r="R2909" s="18"/>
    </row>
    <row r="2910" spans="1:18" ht="18">
      <c r="A2910" s="61"/>
      <c r="B2910" s="15"/>
      <c r="C2910" s="44"/>
      <c r="D2910" s="45"/>
      <c r="E2910" s="18"/>
      <c r="F2910" s="19"/>
      <c r="G2910" s="18"/>
      <c r="H2910" s="18"/>
      <c r="I2910" s="18"/>
      <c r="J2910" s="18"/>
      <c r="K2910" s="18"/>
      <c r="L2910" s="18"/>
      <c r="M2910" s="18"/>
      <c r="N2910" s="18"/>
      <c r="O2910" s="18"/>
      <c r="P2910" s="18"/>
      <c r="Q2910" s="18"/>
      <c r="R2910" s="18"/>
    </row>
    <row r="2911" spans="1:18" ht="18">
      <c r="A2911" s="61"/>
      <c r="B2911" s="15"/>
      <c r="C2911" s="44"/>
      <c r="D2911" s="45"/>
      <c r="E2911" s="18"/>
      <c r="F2911" s="19"/>
      <c r="G2911" s="18"/>
      <c r="H2911" s="18"/>
      <c r="I2911" s="18"/>
      <c r="J2911" s="18"/>
      <c r="K2911" s="18"/>
      <c r="L2911" s="18"/>
      <c r="M2911" s="18"/>
      <c r="N2911" s="18"/>
      <c r="O2911" s="18"/>
      <c r="P2911" s="18"/>
      <c r="Q2911" s="18"/>
      <c r="R2911" s="18"/>
    </row>
    <row r="2912" spans="1:18" ht="18">
      <c r="A2912" s="61"/>
      <c r="B2912" s="15"/>
      <c r="C2912" s="44"/>
      <c r="D2912" s="45"/>
      <c r="E2912" s="18"/>
      <c r="F2912" s="19"/>
      <c r="G2912" s="18"/>
      <c r="H2912" s="18"/>
      <c r="I2912" s="18"/>
      <c r="J2912" s="18"/>
      <c r="K2912" s="18"/>
      <c r="L2912" s="18"/>
      <c r="M2912" s="18"/>
      <c r="N2912" s="18"/>
      <c r="O2912" s="18"/>
      <c r="P2912" s="18"/>
      <c r="Q2912" s="18"/>
      <c r="R2912" s="18"/>
    </row>
    <row r="2913" spans="1:18" ht="18">
      <c r="A2913" s="61"/>
      <c r="B2913" s="15"/>
      <c r="C2913" s="44"/>
      <c r="D2913" s="45"/>
      <c r="E2913" s="18"/>
      <c r="F2913" s="19"/>
      <c r="G2913" s="18"/>
      <c r="H2913" s="18"/>
      <c r="I2913" s="18"/>
      <c r="J2913" s="18"/>
      <c r="K2913" s="18"/>
      <c r="L2913" s="18"/>
      <c r="M2913" s="18"/>
      <c r="N2913" s="18"/>
      <c r="O2913" s="18"/>
      <c r="P2913" s="18"/>
      <c r="Q2913" s="18"/>
      <c r="R2913" s="18"/>
    </row>
    <row r="2914" spans="1:18" ht="18">
      <c r="A2914" s="61"/>
      <c r="B2914" s="15"/>
      <c r="C2914" s="44"/>
      <c r="D2914" s="45"/>
      <c r="E2914" s="18"/>
      <c r="F2914" s="19"/>
      <c r="G2914" s="18"/>
      <c r="H2914" s="18"/>
      <c r="I2914" s="18"/>
      <c r="J2914" s="18"/>
      <c r="K2914" s="18"/>
      <c r="L2914" s="18"/>
      <c r="M2914" s="18"/>
      <c r="N2914" s="18"/>
      <c r="O2914" s="18"/>
      <c r="P2914" s="18"/>
      <c r="Q2914" s="18"/>
      <c r="R2914" s="18"/>
    </row>
    <row r="2915" spans="1:18" ht="18">
      <c r="A2915" s="61"/>
      <c r="B2915" s="15"/>
      <c r="C2915" s="44"/>
      <c r="D2915" s="45"/>
      <c r="E2915" s="18"/>
      <c r="F2915" s="19"/>
      <c r="G2915" s="18"/>
      <c r="H2915" s="18"/>
      <c r="I2915" s="18"/>
      <c r="J2915" s="18"/>
      <c r="K2915" s="18"/>
      <c r="L2915" s="18"/>
      <c r="M2915" s="18"/>
      <c r="N2915" s="18"/>
      <c r="O2915" s="18"/>
      <c r="P2915" s="18"/>
      <c r="Q2915" s="18"/>
      <c r="R2915" s="18"/>
    </row>
    <row r="2916" spans="1:18" ht="18">
      <c r="A2916" s="61"/>
      <c r="B2916" s="15"/>
      <c r="C2916" s="44"/>
      <c r="D2916" s="45"/>
      <c r="E2916" s="18"/>
      <c r="F2916" s="19"/>
      <c r="G2916" s="18"/>
      <c r="H2916" s="18"/>
      <c r="I2916" s="18"/>
      <c r="J2916" s="18"/>
      <c r="K2916" s="18"/>
      <c r="L2916" s="18"/>
      <c r="M2916" s="18"/>
      <c r="N2916" s="18"/>
      <c r="O2916" s="18"/>
      <c r="P2916" s="18"/>
      <c r="Q2916" s="18"/>
      <c r="R2916" s="18"/>
    </row>
    <row r="2917" spans="1:18" ht="18">
      <c r="A2917" s="61"/>
      <c r="B2917" s="15"/>
      <c r="C2917" s="44"/>
      <c r="D2917" s="45"/>
      <c r="E2917" s="18"/>
      <c r="F2917" s="19"/>
      <c r="G2917" s="18"/>
      <c r="H2917" s="18"/>
      <c r="I2917" s="18"/>
      <c r="J2917" s="18"/>
      <c r="K2917" s="18"/>
      <c r="L2917" s="18"/>
      <c r="M2917" s="18"/>
      <c r="N2917" s="18"/>
      <c r="O2917" s="18"/>
      <c r="P2917" s="18"/>
      <c r="Q2917" s="18"/>
      <c r="R2917" s="18"/>
    </row>
    <row r="2918" spans="1:18" ht="18">
      <c r="A2918" s="61"/>
      <c r="B2918" s="15"/>
      <c r="C2918" s="44"/>
      <c r="D2918" s="45"/>
      <c r="E2918" s="18"/>
      <c r="F2918" s="19"/>
      <c r="G2918" s="18"/>
      <c r="H2918" s="18"/>
      <c r="I2918" s="18"/>
      <c r="J2918" s="18"/>
      <c r="K2918" s="18"/>
      <c r="L2918" s="18"/>
      <c r="M2918" s="18"/>
      <c r="N2918" s="18"/>
      <c r="O2918" s="18"/>
      <c r="P2918" s="18"/>
      <c r="Q2918" s="18"/>
      <c r="R2918" s="18"/>
    </row>
    <row r="2919" spans="1:18" ht="18">
      <c r="A2919" s="61"/>
      <c r="B2919" s="15"/>
      <c r="C2919" s="44"/>
      <c r="D2919" s="45"/>
      <c r="E2919" s="18"/>
      <c r="F2919" s="19"/>
      <c r="G2919" s="18"/>
      <c r="H2919" s="18"/>
      <c r="I2919" s="18"/>
      <c r="J2919" s="18"/>
      <c r="K2919" s="18"/>
      <c r="L2919" s="18"/>
      <c r="M2919" s="18"/>
      <c r="N2919" s="18"/>
      <c r="O2919" s="18"/>
      <c r="P2919" s="18"/>
      <c r="Q2919" s="18"/>
      <c r="R2919" s="18"/>
    </row>
    <row r="2920" spans="1:18" ht="18">
      <c r="A2920" s="61"/>
      <c r="B2920" s="15"/>
      <c r="C2920" s="44"/>
      <c r="D2920" s="45"/>
      <c r="E2920" s="18"/>
      <c r="F2920" s="19"/>
      <c r="G2920" s="18"/>
      <c r="H2920" s="18"/>
      <c r="I2920" s="18"/>
      <c r="J2920" s="18"/>
      <c r="K2920" s="18"/>
      <c r="L2920" s="18"/>
      <c r="M2920" s="18"/>
      <c r="N2920" s="18"/>
      <c r="O2920" s="18"/>
      <c r="P2920" s="18"/>
      <c r="Q2920" s="18"/>
      <c r="R2920" s="18"/>
    </row>
    <row r="2921" spans="1:18" ht="18">
      <c r="A2921" s="61"/>
      <c r="B2921" s="15"/>
      <c r="C2921" s="44"/>
      <c r="D2921" s="45"/>
      <c r="E2921" s="18"/>
      <c r="F2921" s="19"/>
      <c r="G2921" s="18"/>
      <c r="H2921" s="18"/>
      <c r="I2921" s="18"/>
      <c r="J2921" s="18"/>
      <c r="K2921" s="18"/>
      <c r="L2921" s="18"/>
      <c r="M2921" s="18"/>
      <c r="N2921" s="18"/>
      <c r="O2921" s="18"/>
      <c r="P2921" s="18"/>
      <c r="Q2921" s="18"/>
      <c r="R2921" s="18"/>
    </row>
    <row r="2922" spans="1:18" ht="18">
      <c r="A2922" s="61"/>
      <c r="B2922" s="15"/>
      <c r="C2922" s="44"/>
      <c r="D2922" s="45"/>
      <c r="E2922" s="18"/>
      <c r="F2922" s="19"/>
      <c r="G2922" s="18"/>
      <c r="H2922" s="18"/>
      <c r="I2922" s="18"/>
      <c r="J2922" s="18"/>
      <c r="K2922" s="18"/>
      <c r="L2922" s="18"/>
      <c r="M2922" s="18"/>
      <c r="N2922" s="18"/>
      <c r="O2922" s="18"/>
      <c r="P2922" s="18"/>
      <c r="Q2922" s="18"/>
      <c r="R2922" s="18"/>
    </row>
    <row r="2923" spans="1:18" ht="18">
      <c r="A2923" s="61"/>
      <c r="B2923" s="15"/>
      <c r="C2923" s="44"/>
      <c r="D2923" s="45"/>
      <c r="E2923" s="18"/>
      <c r="F2923" s="19"/>
      <c r="G2923" s="18"/>
      <c r="H2923" s="18"/>
      <c r="I2923" s="18"/>
      <c r="J2923" s="18"/>
      <c r="K2923" s="18"/>
      <c r="L2923" s="18"/>
      <c r="M2923" s="18"/>
      <c r="N2923" s="18"/>
      <c r="O2923" s="18"/>
      <c r="P2923" s="18"/>
      <c r="Q2923" s="18"/>
      <c r="R2923" s="18"/>
    </row>
    <row r="2924" spans="1:18" ht="18">
      <c r="A2924" s="61"/>
      <c r="B2924" s="15"/>
      <c r="C2924" s="44"/>
      <c r="D2924" s="45"/>
      <c r="E2924" s="18"/>
      <c r="F2924" s="19"/>
      <c r="G2924" s="18"/>
      <c r="H2924" s="18"/>
      <c r="I2924" s="18"/>
      <c r="J2924" s="18"/>
      <c r="K2924" s="18"/>
      <c r="L2924" s="18"/>
      <c r="M2924" s="18"/>
      <c r="N2924" s="18"/>
      <c r="O2924" s="18"/>
      <c r="P2924" s="18"/>
      <c r="Q2924" s="18"/>
      <c r="R2924" s="18"/>
    </row>
    <row r="2925" spans="1:18" ht="18">
      <c r="A2925" s="61"/>
      <c r="B2925" s="15"/>
      <c r="C2925" s="44"/>
      <c r="D2925" s="45"/>
      <c r="E2925" s="18"/>
      <c r="F2925" s="19"/>
      <c r="G2925" s="18"/>
      <c r="H2925" s="18"/>
      <c r="I2925" s="18"/>
      <c r="J2925" s="18"/>
      <c r="K2925" s="18"/>
      <c r="L2925" s="18"/>
      <c r="M2925" s="18"/>
      <c r="N2925" s="18"/>
      <c r="O2925" s="18"/>
      <c r="P2925" s="18"/>
      <c r="Q2925" s="18"/>
      <c r="R2925" s="18"/>
    </row>
    <row r="2926" spans="1:18" ht="18">
      <c r="A2926" s="61"/>
      <c r="B2926" s="15"/>
      <c r="C2926" s="44"/>
      <c r="D2926" s="45"/>
      <c r="E2926" s="18"/>
      <c r="F2926" s="19"/>
      <c r="G2926" s="18"/>
      <c r="H2926" s="18"/>
      <c r="I2926" s="18"/>
      <c r="J2926" s="18"/>
      <c r="K2926" s="18"/>
      <c r="L2926" s="18"/>
      <c r="M2926" s="18"/>
      <c r="N2926" s="18"/>
      <c r="O2926" s="18"/>
      <c r="P2926" s="18"/>
      <c r="Q2926" s="18"/>
      <c r="R2926" s="18"/>
    </row>
    <row r="2927" spans="1:18" ht="18">
      <c r="A2927" s="61"/>
      <c r="B2927" s="15"/>
      <c r="C2927" s="44"/>
      <c r="D2927" s="45"/>
      <c r="E2927" s="18"/>
      <c r="F2927" s="19"/>
      <c r="G2927" s="18"/>
      <c r="H2927" s="18"/>
      <c r="I2927" s="18"/>
      <c r="J2927" s="18"/>
      <c r="K2927" s="18"/>
      <c r="L2927" s="18"/>
      <c r="M2927" s="18"/>
      <c r="N2927" s="18"/>
      <c r="O2927" s="18"/>
      <c r="P2927" s="18"/>
      <c r="Q2927" s="18"/>
      <c r="R2927" s="18"/>
    </row>
    <row r="2928" spans="1:18" ht="18">
      <c r="A2928" s="61"/>
      <c r="B2928" s="15"/>
      <c r="C2928" s="44"/>
      <c r="D2928" s="45"/>
      <c r="E2928" s="18"/>
      <c r="F2928" s="19"/>
      <c r="G2928" s="18"/>
      <c r="H2928" s="18"/>
      <c r="I2928" s="18"/>
      <c r="J2928" s="18"/>
      <c r="K2928" s="18"/>
      <c r="L2928" s="18"/>
      <c r="M2928" s="18"/>
      <c r="N2928" s="18"/>
      <c r="O2928" s="18"/>
      <c r="P2928" s="18"/>
      <c r="Q2928" s="18"/>
      <c r="R2928" s="18"/>
    </row>
    <row r="2929" spans="1:18" ht="18">
      <c r="A2929" s="61"/>
      <c r="B2929" s="15"/>
      <c r="C2929" s="44"/>
      <c r="D2929" s="45"/>
      <c r="E2929" s="18"/>
      <c r="F2929" s="19"/>
      <c r="G2929" s="18"/>
      <c r="H2929" s="18"/>
      <c r="I2929" s="18"/>
      <c r="J2929" s="18"/>
      <c r="K2929" s="18"/>
      <c r="L2929" s="18"/>
      <c r="M2929" s="18"/>
      <c r="N2929" s="18"/>
      <c r="O2929" s="18"/>
      <c r="P2929" s="18"/>
      <c r="Q2929" s="18"/>
      <c r="R2929" s="18"/>
    </row>
    <row r="2930" spans="1:18" ht="18">
      <c r="A2930" s="61"/>
      <c r="B2930" s="15"/>
      <c r="C2930" s="44"/>
      <c r="D2930" s="45"/>
      <c r="E2930" s="18"/>
      <c r="F2930" s="19"/>
      <c r="G2930" s="18"/>
      <c r="H2930" s="18"/>
      <c r="I2930" s="18"/>
      <c r="J2930" s="18"/>
      <c r="K2930" s="18"/>
      <c r="L2930" s="18"/>
      <c r="M2930" s="18"/>
      <c r="N2930" s="18"/>
      <c r="O2930" s="18"/>
      <c r="P2930" s="18"/>
      <c r="Q2930" s="18"/>
      <c r="R2930" s="18"/>
    </row>
    <row r="2931" spans="1:18" ht="18">
      <c r="A2931" s="61"/>
      <c r="B2931" s="15"/>
      <c r="C2931" s="44"/>
      <c r="D2931" s="45"/>
      <c r="E2931" s="18"/>
      <c r="F2931" s="19"/>
      <c r="G2931" s="18"/>
      <c r="H2931" s="18"/>
      <c r="I2931" s="18"/>
      <c r="J2931" s="18"/>
      <c r="K2931" s="18"/>
      <c r="L2931" s="18"/>
      <c r="M2931" s="18"/>
      <c r="N2931" s="18"/>
      <c r="O2931" s="18"/>
      <c r="P2931" s="18"/>
      <c r="Q2931" s="18"/>
      <c r="R2931" s="18"/>
    </row>
    <row r="2932" spans="1:18" ht="18">
      <c r="A2932" s="61"/>
      <c r="B2932" s="15"/>
      <c r="C2932" s="44"/>
      <c r="D2932" s="45"/>
      <c r="E2932" s="18"/>
      <c r="F2932" s="19"/>
      <c r="G2932" s="18"/>
      <c r="H2932" s="18"/>
      <c r="I2932" s="18"/>
      <c r="J2932" s="18"/>
      <c r="K2932" s="18"/>
      <c r="L2932" s="18"/>
      <c r="M2932" s="18"/>
      <c r="N2932" s="18"/>
      <c r="O2932" s="18"/>
      <c r="P2932" s="18"/>
      <c r="Q2932" s="18"/>
      <c r="R2932" s="18"/>
    </row>
    <row r="2933" spans="1:18" ht="18">
      <c r="A2933" s="61"/>
      <c r="B2933" s="15"/>
      <c r="C2933" s="44"/>
      <c r="D2933" s="45"/>
      <c r="E2933" s="18"/>
      <c r="F2933" s="19"/>
      <c r="G2933" s="18"/>
      <c r="H2933" s="18"/>
      <c r="I2933" s="18"/>
      <c r="J2933" s="18"/>
      <c r="K2933" s="18"/>
      <c r="L2933" s="18"/>
      <c r="M2933" s="18"/>
      <c r="N2933" s="18"/>
      <c r="O2933" s="18"/>
      <c r="P2933" s="18"/>
      <c r="Q2933" s="18"/>
      <c r="R2933" s="18"/>
    </row>
    <row r="2934" spans="1:18" ht="18">
      <c r="A2934" s="61"/>
      <c r="B2934" s="15"/>
      <c r="C2934" s="44"/>
      <c r="D2934" s="45"/>
      <c r="E2934" s="18"/>
      <c r="F2934" s="19"/>
      <c r="G2934" s="18"/>
      <c r="H2934" s="18"/>
      <c r="I2934" s="18"/>
      <c r="J2934" s="18"/>
      <c r="K2934" s="18"/>
      <c r="L2934" s="18"/>
      <c r="M2934" s="18"/>
      <c r="N2934" s="18"/>
      <c r="O2934" s="18"/>
      <c r="P2934" s="18"/>
      <c r="Q2934" s="18"/>
      <c r="R2934" s="18"/>
    </row>
    <row r="2935" spans="1:18" ht="18">
      <c r="A2935" s="61"/>
      <c r="B2935" s="15"/>
      <c r="C2935" s="44"/>
      <c r="D2935" s="45"/>
      <c r="E2935" s="18"/>
      <c r="F2935" s="19"/>
      <c r="G2935" s="18"/>
      <c r="H2935" s="18"/>
      <c r="I2935" s="18"/>
      <c r="J2935" s="18"/>
      <c r="K2935" s="18"/>
      <c r="L2935" s="18"/>
      <c r="M2935" s="18"/>
      <c r="N2935" s="18"/>
      <c r="O2935" s="18"/>
      <c r="P2935" s="18"/>
      <c r="Q2935" s="18"/>
      <c r="R2935" s="18"/>
    </row>
    <row r="2936" spans="1:18" ht="18">
      <c r="A2936" s="61"/>
      <c r="B2936" s="15"/>
      <c r="C2936" s="44"/>
      <c r="D2936" s="45"/>
      <c r="E2936" s="18"/>
      <c r="F2936" s="19"/>
      <c r="G2936" s="18"/>
      <c r="H2936" s="18"/>
      <c r="I2936" s="18"/>
      <c r="J2936" s="18"/>
      <c r="K2936" s="18"/>
      <c r="L2936" s="18"/>
      <c r="M2936" s="18"/>
      <c r="N2936" s="18"/>
      <c r="O2936" s="18"/>
      <c r="P2936" s="18"/>
      <c r="Q2936" s="18"/>
      <c r="R2936" s="18"/>
    </row>
    <row r="2937" spans="1:18" ht="18">
      <c r="A2937" s="61"/>
      <c r="B2937" s="15"/>
      <c r="C2937" s="44"/>
      <c r="D2937" s="45"/>
      <c r="E2937" s="18"/>
      <c r="F2937" s="19"/>
      <c r="G2937" s="18"/>
      <c r="H2937" s="18"/>
      <c r="I2937" s="18"/>
      <c r="J2937" s="18"/>
      <c r="K2937" s="18"/>
      <c r="L2937" s="18"/>
      <c r="M2937" s="18"/>
      <c r="N2937" s="18"/>
      <c r="O2937" s="18"/>
      <c r="P2937" s="18"/>
      <c r="Q2937" s="18"/>
      <c r="R2937" s="18"/>
    </row>
    <row r="2938" spans="1:18" ht="18">
      <c r="A2938" s="61"/>
      <c r="B2938" s="15"/>
      <c r="C2938" s="44"/>
      <c r="D2938" s="45"/>
      <c r="E2938" s="18"/>
      <c r="F2938" s="19"/>
      <c r="G2938" s="18"/>
      <c r="H2938" s="18"/>
      <c r="I2938" s="18"/>
      <c r="J2938" s="18"/>
      <c r="K2938" s="18"/>
      <c r="L2938" s="18"/>
      <c r="M2938" s="18"/>
      <c r="N2938" s="18"/>
      <c r="O2938" s="18"/>
      <c r="P2938" s="18"/>
      <c r="Q2938" s="18"/>
      <c r="R2938" s="18"/>
    </row>
    <row r="2939" spans="1:18" ht="18">
      <c r="A2939" s="61"/>
      <c r="B2939" s="15"/>
      <c r="C2939" s="44"/>
      <c r="D2939" s="45"/>
      <c r="E2939" s="18"/>
      <c r="F2939" s="19"/>
      <c r="G2939" s="18"/>
      <c r="H2939" s="18"/>
      <c r="I2939" s="18"/>
      <c r="J2939" s="18"/>
      <c r="K2939" s="18"/>
      <c r="L2939" s="18"/>
      <c r="M2939" s="18"/>
      <c r="N2939" s="18"/>
      <c r="O2939" s="18"/>
      <c r="P2939" s="18"/>
      <c r="Q2939" s="18"/>
      <c r="R2939" s="18"/>
    </row>
    <row r="2940" spans="1:18" ht="18">
      <c r="A2940" s="61"/>
      <c r="B2940" s="15"/>
      <c r="C2940" s="44"/>
      <c r="D2940" s="45"/>
      <c r="E2940" s="18"/>
      <c r="F2940" s="19"/>
      <c r="G2940" s="18"/>
      <c r="H2940" s="18"/>
      <c r="I2940" s="18"/>
      <c r="J2940" s="18"/>
      <c r="K2940" s="18"/>
      <c r="L2940" s="18"/>
      <c r="M2940" s="18"/>
      <c r="N2940" s="18"/>
      <c r="O2940" s="18"/>
      <c r="P2940" s="18"/>
      <c r="Q2940" s="18"/>
      <c r="R2940" s="18"/>
    </row>
    <row r="2941" spans="1:18" ht="18">
      <c r="A2941" s="61"/>
      <c r="B2941" s="15"/>
      <c r="C2941" s="44"/>
      <c r="D2941" s="45"/>
      <c r="E2941" s="18"/>
      <c r="F2941" s="19"/>
      <c r="G2941" s="18"/>
      <c r="H2941" s="18"/>
      <c r="I2941" s="18"/>
      <c r="J2941" s="18"/>
      <c r="K2941" s="18"/>
      <c r="L2941" s="18"/>
      <c r="M2941" s="18"/>
      <c r="N2941" s="18"/>
      <c r="O2941" s="18"/>
      <c r="P2941" s="18"/>
      <c r="Q2941" s="18"/>
      <c r="R2941" s="18"/>
    </row>
    <row r="2942" spans="1:18" ht="18">
      <c r="A2942" s="61"/>
      <c r="B2942" s="15"/>
      <c r="C2942" s="44"/>
      <c r="D2942" s="45"/>
      <c r="E2942" s="18"/>
      <c r="F2942" s="19"/>
      <c r="G2942" s="18"/>
      <c r="H2942" s="18"/>
      <c r="I2942" s="18"/>
      <c r="J2942" s="18"/>
      <c r="K2942" s="18"/>
      <c r="L2942" s="18"/>
      <c r="M2942" s="18"/>
      <c r="N2942" s="18"/>
      <c r="O2942" s="18"/>
      <c r="P2942" s="18"/>
      <c r="Q2942" s="18"/>
      <c r="R2942" s="18"/>
    </row>
    <row r="2943" spans="1:18" ht="18">
      <c r="A2943" s="61"/>
      <c r="B2943" s="15"/>
      <c r="C2943" s="44"/>
      <c r="D2943" s="45"/>
      <c r="E2943" s="18"/>
      <c r="F2943" s="19"/>
      <c r="G2943" s="18"/>
      <c r="H2943" s="18"/>
      <c r="I2943" s="18"/>
      <c r="J2943" s="18"/>
      <c r="K2943" s="18"/>
      <c r="L2943" s="18"/>
      <c r="M2943" s="18"/>
      <c r="N2943" s="18"/>
      <c r="O2943" s="18"/>
      <c r="P2943" s="18"/>
      <c r="Q2943" s="18"/>
      <c r="R2943" s="18"/>
    </row>
    <row r="2944" spans="1:18" ht="18">
      <c r="A2944" s="61"/>
      <c r="B2944" s="15"/>
      <c r="C2944" s="44"/>
      <c r="D2944" s="45"/>
      <c r="E2944" s="18"/>
      <c r="F2944" s="19"/>
      <c r="G2944" s="18"/>
      <c r="H2944" s="18"/>
      <c r="I2944" s="18"/>
      <c r="J2944" s="18"/>
      <c r="K2944" s="18"/>
      <c r="L2944" s="18"/>
      <c r="M2944" s="18"/>
      <c r="N2944" s="18"/>
      <c r="O2944" s="18"/>
      <c r="P2944" s="18"/>
      <c r="Q2944" s="18"/>
      <c r="R2944" s="18"/>
    </row>
    <row r="2945" spans="1:18" ht="18">
      <c r="A2945" s="61"/>
      <c r="B2945" s="15"/>
      <c r="C2945" s="44"/>
      <c r="D2945" s="45"/>
      <c r="E2945" s="18"/>
      <c r="F2945" s="19"/>
      <c r="G2945" s="18"/>
      <c r="H2945" s="18"/>
      <c r="I2945" s="18"/>
      <c r="J2945" s="18"/>
      <c r="K2945" s="18"/>
      <c r="L2945" s="18"/>
      <c r="M2945" s="18"/>
      <c r="N2945" s="18"/>
      <c r="O2945" s="18"/>
      <c r="P2945" s="18"/>
      <c r="Q2945" s="18"/>
      <c r="R2945" s="18"/>
    </row>
    <row r="2946" spans="1:18" ht="18">
      <c r="A2946" s="61"/>
      <c r="B2946" s="15"/>
      <c r="C2946" s="44"/>
      <c r="D2946" s="45"/>
      <c r="E2946" s="18"/>
      <c r="F2946" s="19"/>
      <c r="G2946" s="18"/>
      <c r="H2946" s="18"/>
      <c r="I2946" s="18"/>
      <c r="J2946" s="18"/>
      <c r="K2946" s="18"/>
      <c r="L2946" s="18"/>
      <c r="M2946" s="18"/>
      <c r="N2946" s="18"/>
      <c r="O2946" s="18"/>
      <c r="P2946" s="18"/>
      <c r="Q2946" s="18"/>
      <c r="R2946" s="18"/>
    </row>
    <row r="2947" spans="1:18" ht="18">
      <c r="A2947" s="61"/>
      <c r="B2947" s="15"/>
      <c r="C2947" s="44"/>
      <c r="D2947" s="45"/>
      <c r="E2947" s="18"/>
      <c r="F2947" s="19"/>
      <c r="G2947" s="18"/>
      <c r="H2947" s="18"/>
      <c r="I2947" s="18"/>
      <c r="J2947" s="18"/>
      <c r="K2947" s="18"/>
      <c r="L2947" s="18"/>
      <c r="M2947" s="18"/>
      <c r="N2947" s="18"/>
      <c r="O2947" s="18"/>
      <c r="P2947" s="18"/>
      <c r="Q2947" s="18"/>
      <c r="R2947" s="18"/>
    </row>
    <row r="2948" spans="1:18" ht="18">
      <c r="A2948" s="61"/>
      <c r="B2948" s="15"/>
      <c r="C2948" s="44"/>
      <c r="D2948" s="45"/>
      <c r="E2948" s="18"/>
      <c r="F2948" s="19"/>
      <c r="G2948" s="18"/>
      <c r="H2948" s="18"/>
      <c r="I2948" s="18"/>
      <c r="J2948" s="18"/>
      <c r="K2948" s="18"/>
      <c r="L2948" s="18"/>
      <c r="M2948" s="18"/>
      <c r="N2948" s="18"/>
      <c r="O2948" s="18"/>
      <c r="P2948" s="18"/>
      <c r="Q2948" s="18"/>
      <c r="R2948" s="18"/>
    </row>
    <row r="2949" spans="1:18" ht="18">
      <c r="A2949" s="61"/>
      <c r="B2949" s="15"/>
      <c r="C2949" s="44"/>
      <c r="D2949" s="45"/>
      <c r="E2949" s="18"/>
      <c r="F2949" s="19"/>
      <c r="G2949" s="18"/>
      <c r="H2949" s="18"/>
      <c r="I2949" s="18"/>
      <c r="J2949" s="18"/>
      <c r="K2949" s="18"/>
      <c r="L2949" s="18"/>
      <c r="M2949" s="18"/>
      <c r="N2949" s="18"/>
      <c r="O2949" s="18"/>
      <c r="P2949" s="18"/>
      <c r="Q2949" s="18"/>
      <c r="R2949" s="18"/>
    </row>
    <row r="2950" spans="1:18" ht="18">
      <c r="A2950" s="61"/>
      <c r="B2950" s="15"/>
      <c r="C2950" s="44"/>
      <c r="D2950" s="45"/>
      <c r="E2950" s="18"/>
      <c r="F2950" s="19"/>
      <c r="G2950" s="18"/>
      <c r="H2950" s="18"/>
      <c r="I2950" s="18"/>
      <c r="J2950" s="18"/>
      <c r="K2950" s="18"/>
      <c r="L2950" s="18"/>
      <c r="M2950" s="18"/>
      <c r="N2950" s="18"/>
      <c r="O2950" s="18"/>
      <c r="P2950" s="18"/>
      <c r="Q2950" s="18"/>
      <c r="R2950" s="18"/>
    </row>
    <row r="2951" spans="1:18" ht="18">
      <c r="A2951" s="61"/>
      <c r="B2951" s="15"/>
      <c r="C2951" s="44"/>
      <c r="D2951" s="45"/>
      <c r="E2951" s="18"/>
      <c r="F2951" s="19"/>
      <c r="G2951" s="18"/>
      <c r="H2951" s="18"/>
      <c r="I2951" s="18"/>
      <c r="J2951" s="18"/>
      <c r="K2951" s="18"/>
      <c r="L2951" s="18"/>
      <c r="M2951" s="18"/>
      <c r="N2951" s="18"/>
      <c r="O2951" s="18"/>
      <c r="P2951" s="18"/>
      <c r="Q2951" s="18"/>
      <c r="R2951" s="18"/>
    </row>
    <row r="2952" spans="1:18" ht="18">
      <c r="A2952" s="61"/>
      <c r="B2952" s="15"/>
      <c r="C2952" s="44"/>
      <c r="D2952" s="45"/>
      <c r="E2952" s="18"/>
      <c r="F2952" s="19"/>
      <c r="G2952" s="18"/>
      <c r="H2952" s="18"/>
      <c r="I2952" s="18"/>
      <c r="J2952" s="18"/>
      <c r="K2952" s="18"/>
      <c r="L2952" s="18"/>
      <c r="M2952" s="18"/>
      <c r="N2952" s="18"/>
      <c r="O2952" s="18"/>
      <c r="P2952" s="18"/>
      <c r="Q2952" s="18"/>
      <c r="R2952" s="18"/>
    </row>
    <row r="2953" spans="1:18" ht="18">
      <c r="A2953" s="61"/>
      <c r="B2953" s="15"/>
      <c r="C2953" s="44"/>
      <c r="D2953" s="45"/>
      <c r="E2953" s="18"/>
      <c r="F2953" s="19"/>
      <c r="G2953" s="18"/>
      <c r="H2953" s="18"/>
      <c r="I2953" s="18"/>
      <c r="J2953" s="18"/>
      <c r="K2953" s="18"/>
      <c r="L2953" s="18"/>
      <c r="M2953" s="18"/>
      <c r="N2953" s="18"/>
      <c r="O2953" s="18"/>
      <c r="P2953" s="18"/>
      <c r="Q2953" s="18"/>
      <c r="R2953" s="18"/>
    </row>
    <row r="2954" spans="1:18" ht="18">
      <c r="A2954" s="61"/>
      <c r="B2954" s="15"/>
      <c r="C2954" s="44"/>
      <c r="D2954" s="45"/>
      <c r="E2954" s="18"/>
      <c r="F2954" s="19"/>
      <c r="G2954" s="18"/>
      <c r="H2954" s="18"/>
      <c r="I2954" s="18"/>
      <c r="J2954" s="18"/>
      <c r="K2954" s="18"/>
      <c r="L2954" s="18"/>
      <c r="M2954" s="18"/>
      <c r="N2954" s="18"/>
      <c r="O2954" s="18"/>
      <c r="P2954" s="18"/>
      <c r="Q2954" s="18"/>
      <c r="R2954" s="18"/>
    </row>
    <row r="2955" spans="1:18" ht="18">
      <c r="A2955" s="61"/>
      <c r="B2955" s="15"/>
      <c r="C2955" s="44"/>
      <c r="D2955" s="45"/>
      <c r="E2955" s="18"/>
      <c r="F2955" s="19"/>
      <c r="G2955" s="18"/>
      <c r="H2955" s="18"/>
      <c r="I2955" s="18"/>
      <c r="J2955" s="18"/>
      <c r="K2955" s="18"/>
      <c r="L2955" s="18"/>
      <c r="M2955" s="18"/>
      <c r="N2955" s="18"/>
      <c r="O2955" s="18"/>
      <c r="P2955" s="18"/>
      <c r="Q2955" s="18"/>
      <c r="R2955" s="18"/>
    </row>
    <row r="2956" spans="1:18" ht="18">
      <c r="A2956" s="61"/>
      <c r="B2956" s="15"/>
      <c r="C2956" s="44"/>
      <c r="D2956" s="45"/>
      <c r="E2956" s="18"/>
      <c r="F2956" s="19"/>
      <c r="G2956" s="18"/>
      <c r="H2956" s="18"/>
      <c r="I2956" s="18"/>
      <c r="J2956" s="18"/>
      <c r="K2956" s="18"/>
      <c r="L2956" s="18"/>
      <c r="M2956" s="18"/>
      <c r="N2956" s="18"/>
      <c r="O2956" s="18"/>
      <c r="P2956" s="18"/>
      <c r="Q2956" s="18"/>
      <c r="R2956" s="18"/>
    </row>
    <row r="2957" spans="1:18" ht="18">
      <c r="A2957" s="61"/>
      <c r="B2957" s="15"/>
      <c r="C2957" s="44"/>
      <c r="D2957" s="45"/>
      <c r="E2957" s="18"/>
      <c r="F2957" s="19"/>
      <c r="G2957" s="18"/>
      <c r="H2957" s="18"/>
      <c r="I2957" s="18"/>
      <c r="J2957" s="18"/>
      <c r="K2957" s="18"/>
      <c r="L2957" s="18"/>
      <c r="M2957" s="18"/>
      <c r="N2957" s="18"/>
      <c r="O2957" s="18"/>
      <c r="P2957" s="18"/>
      <c r="Q2957" s="18"/>
      <c r="R2957" s="18"/>
    </row>
    <row r="2958" spans="1:18" ht="18">
      <c r="A2958" s="61"/>
      <c r="B2958" s="15"/>
      <c r="C2958" s="44"/>
      <c r="D2958" s="45"/>
      <c r="E2958" s="18"/>
      <c r="F2958" s="19"/>
      <c r="G2958" s="18"/>
      <c r="H2958" s="18"/>
      <c r="I2958" s="18"/>
      <c r="J2958" s="18"/>
      <c r="K2958" s="18"/>
      <c r="L2958" s="18"/>
      <c r="M2958" s="18"/>
      <c r="N2958" s="18"/>
      <c r="O2958" s="18"/>
      <c r="P2958" s="18"/>
      <c r="Q2958" s="18"/>
      <c r="R2958" s="18"/>
    </row>
    <row r="2959" spans="1:18" ht="18">
      <c r="A2959" s="61"/>
      <c r="B2959" s="15"/>
      <c r="C2959" s="44"/>
      <c r="D2959" s="45"/>
      <c r="E2959" s="18"/>
      <c r="F2959" s="19"/>
      <c r="G2959" s="18"/>
      <c r="H2959" s="18"/>
      <c r="I2959" s="18"/>
      <c r="J2959" s="18"/>
      <c r="K2959" s="18"/>
      <c r="L2959" s="18"/>
      <c r="M2959" s="18"/>
      <c r="N2959" s="18"/>
      <c r="O2959" s="18"/>
      <c r="P2959" s="18"/>
      <c r="Q2959" s="18"/>
      <c r="R2959" s="18"/>
    </row>
    <row r="2960" spans="1:18" ht="18">
      <c r="A2960" s="61"/>
      <c r="B2960" s="15"/>
      <c r="C2960" s="44"/>
      <c r="D2960" s="45"/>
      <c r="E2960" s="18"/>
      <c r="F2960" s="19"/>
      <c r="G2960" s="18"/>
      <c r="H2960" s="18"/>
      <c r="I2960" s="18"/>
      <c r="J2960" s="18"/>
      <c r="K2960" s="18"/>
      <c r="L2960" s="18"/>
      <c r="M2960" s="18"/>
      <c r="N2960" s="18"/>
      <c r="O2960" s="18"/>
      <c r="P2960" s="18"/>
      <c r="Q2960" s="18"/>
      <c r="R2960" s="18"/>
    </row>
    <row r="2961" spans="1:18" ht="18">
      <c r="A2961" s="61"/>
      <c r="B2961" s="15"/>
      <c r="C2961" s="44"/>
      <c r="D2961" s="45"/>
      <c r="E2961" s="18"/>
      <c r="F2961" s="19"/>
      <c r="G2961" s="18"/>
      <c r="H2961" s="18"/>
      <c r="I2961" s="18"/>
      <c r="J2961" s="18"/>
      <c r="K2961" s="18"/>
      <c r="L2961" s="18"/>
      <c r="M2961" s="18"/>
      <c r="N2961" s="18"/>
      <c r="O2961" s="18"/>
      <c r="P2961" s="18"/>
      <c r="Q2961" s="18"/>
      <c r="R2961" s="18"/>
    </row>
    <row r="2962" spans="1:18" ht="18">
      <c r="A2962" s="61"/>
      <c r="B2962" s="15"/>
      <c r="C2962" s="44"/>
      <c r="D2962" s="45"/>
      <c r="E2962" s="18"/>
      <c r="F2962" s="19"/>
      <c r="G2962" s="18"/>
      <c r="H2962" s="18"/>
      <c r="I2962" s="18"/>
      <c r="J2962" s="18"/>
      <c r="K2962" s="18"/>
      <c r="L2962" s="18"/>
      <c r="M2962" s="18"/>
      <c r="N2962" s="18"/>
      <c r="O2962" s="18"/>
      <c r="P2962" s="18"/>
      <c r="Q2962" s="18"/>
      <c r="R2962" s="18"/>
    </row>
    <row r="2963" spans="1:18" ht="18">
      <c r="A2963" s="61"/>
      <c r="B2963" s="15"/>
      <c r="C2963" s="44"/>
      <c r="D2963" s="45"/>
      <c r="E2963" s="18"/>
      <c r="F2963" s="19"/>
      <c r="G2963" s="18"/>
      <c r="H2963" s="18"/>
      <c r="I2963" s="18"/>
      <c r="J2963" s="18"/>
      <c r="K2963" s="18"/>
      <c r="L2963" s="18"/>
      <c r="M2963" s="18"/>
      <c r="N2963" s="18"/>
      <c r="O2963" s="18"/>
      <c r="P2963" s="18"/>
      <c r="Q2963" s="18"/>
      <c r="R2963" s="18"/>
    </row>
    <row r="2964" spans="1:18" ht="18">
      <c r="A2964" s="61"/>
      <c r="B2964" s="15"/>
      <c r="C2964" s="44"/>
      <c r="D2964" s="45"/>
      <c r="E2964" s="18"/>
      <c r="F2964" s="19"/>
      <c r="G2964" s="18"/>
      <c r="H2964" s="18"/>
      <c r="I2964" s="18"/>
      <c r="J2964" s="18"/>
      <c r="K2964" s="18"/>
      <c r="L2964" s="18"/>
      <c r="M2964" s="18"/>
      <c r="N2964" s="18"/>
      <c r="O2964" s="18"/>
      <c r="P2964" s="18"/>
      <c r="Q2964" s="18"/>
      <c r="R2964" s="18"/>
    </row>
    <row r="2965" spans="1:18" ht="18">
      <c r="A2965" s="61"/>
      <c r="B2965" s="15"/>
      <c r="C2965" s="44"/>
      <c r="D2965" s="45"/>
      <c r="E2965" s="18"/>
      <c r="F2965" s="19"/>
      <c r="G2965" s="18"/>
      <c r="H2965" s="18"/>
      <c r="I2965" s="18"/>
      <c r="J2965" s="18"/>
      <c r="K2965" s="18"/>
      <c r="L2965" s="18"/>
      <c r="M2965" s="18"/>
      <c r="N2965" s="18"/>
      <c r="O2965" s="18"/>
      <c r="P2965" s="18"/>
      <c r="Q2965" s="18"/>
      <c r="R2965" s="18"/>
    </row>
    <row r="2966" spans="1:18" ht="18">
      <c r="A2966" s="61"/>
      <c r="B2966" s="15"/>
      <c r="C2966" s="44"/>
      <c r="D2966" s="45"/>
      <c r="E2966" s="18"/>
      <c r="F2966" s="19"/>
      <c r="G2966" s="18"/>
      <c r="H2966" s="18"/>
      <c r="I2966" s="18"/>
      <c r="J2966" s="18"/>
      <c r="K2966" s="18"/>
      <c r="L2966" s="18"/>
      <c r="M2966" s="18"/>
      <c r="N2966" s="18"/>
      <c r="O2966" s="18"/>
      <c r="P2966" s="18"/>
      <c r="Q2966" s="18"/>
      <c r="R2966" s="18"/>
    </row>
    <row r="2967" spans="1:18" ht="18">
      <c r="A2967" s="61"/>
      <c r="B2967" s="15"/>
      <c r="C2967" s="44"/>
      <c r="D2967" s="45"/>
      <c r="E2967" s="18"/>
      <c r="F2967" s="19"/>
      <c r="G2967" s="18"/>
      <c r="H2967" s="18"/>
      <c r="I2967" s="18"/>
      <c r="J2967" s="18"/>
      <c r="K2967" s="18"/>
      <c r="L2967" s="18"/>
      <c r="M2967" s="18"/>
      <c r="N2967" s="18"/>
      <c r="O2967" s="18"/>
      <c r="P2967" s="18"/>
      <c r="Q2967" s="18"/>
      <c r="R2967" s="18"/>
    </row>
    <row r="2968" spans="1:18" ht="18">
      <c r="A2968" s="61"/>
      <c r="B2968" s="15"/>
      <c r="C2968" s="44"/>
      <c r="D2968" s="45"/>
      <c r="E2968" s="18"/>
      <c r="F2968" s="19"/>
      <c r="G2968" s="18"/>
      <c r="H2968" s="18"/>
      <c r="I2968" s="18"/>
      <c r="J2968" s="18"/>
      <c r="K2968" s="18"/>
      <c r="L2968" s="18"/>
      <c r="M2968" s="18"/>
      <c r="N2968" s="18"/>
      <c r="O2968" s="18"/>
      <c r="P2968" s="18"/>
      <c r="Q2968" s="18"/>
      <c r="R2968" s="18"/>
    </row>
    <row r="2969" spans="1:18" ht="18">
      <c r="A2969" s="61"/>
      <c r="B2969" s="15"/>
      <c r="C2969" s="44"/>
      <c r="D2969" s="45"/>
      <c r="E2969" s="18"/>
      <c r="F2969" s="19"/>
      <c r="G2969" s="18"/>
      <c r="H2969" s="18"/>
      <c r="I2969" s="18"/>
      <c r="J2969" s="18"/>
      <c r="K2969" s="18"/>
      <c r="L2969" s="18"/>
      <c r="M2969" s="18"/>
      <c r="N2969" s="18"/>
      <c r="O2969" s="18"/>
      <c r="P2969" s="18"/>
      <c r="Q2969" s="18"/>
      <c r="R2969" s="18"/>
    </row>
    <row r="2970" spans="1:18" ht="18">
      <c r="A2970" s="61"/>
      <c r="B2970" s="15"/>
      <c r="C2970" s="44"/>
      <c r="D2970" s="45"/>
      <c r="E2970" s="18"/>
      <c r="F2970" s="19"/>
      <c r="G2970" s="18"/>
      <c r="H2970" s="18"/>
      <c r="I2970" s="18"/>
      <c r="J2970" s="18"/>
      <c r="K2970" s="18"/>
      <c r="L2970" s="18"/>
      <c r="M2970" s="18"/>
      <c r="N2970" s="18"/>
      <c r="O2970" s="18"/>
      <c r="P2970" s="18"/>
      <c r="Q2970" s="18"/>
      <c r="R2970" s="18"/>
    </row>
    <row r="2971" spans="1:18" ht="18">
      <c r="A2971" s="61"/>
      <c r="B2971" s="15"/>
      <c r="C2971" s="44"/>
      <c r="D2971" s="45"/>
      <c r="E2971" s="18"/>
      <c r="F2971" s="19"/>
      <c r="G2971" s="18"/>
      <c r="H2971" s="18"/>
      <c r="I2971" s="18"/>
      <c r="J2971" s="18"/>
      <c r="K2971" s="18"/>
      <c r="L2971" s="18"/>
      <c r="M2971" s="18"/>
      <c r="N2971" s="18"/>
      <c r="O2971" s="18"/>
      <c r="P2971" s="18"/>
      <c r="Q2971" s="18"/>
      <c r="R2971" s="18"/>
    </row>
    <row r="2972" spans="1:18" ht="18">
      <c r="A2972" s="61"/>
      <c r="B2972" s="15"/>
      <c r="C2972" s="44"/>
      <c r="D2972" s="45"/>
      <c r="E2972" s="18"/>
      <c r="F2972" s="19"/>
      <c r="G2972" s="18"/>
      <c r="H2972" s="18"/>
      <c r="I2972" s="18"/>
      <c r="J2972" s="18"/>
      <c r="K2972" s="18"/>
      <c r="L2972" s="18"/>
      <c r="M2972" s="18"/>
      <c r="N2972" s="18"/>
      <c r="O2972" s="18"/>
      <c r="P2972" s="18"/>
      <c r="Q2972" s="18"/>
      <c r="R2972" s="18"/>
    </row>
    <row r="2973" spans="1:18" ht="18">
      <c r="A2973" s="61"/>
      <c r="B2973" s="15"/>
      <c r="C2973" s="44"/>
      <c r="D2973" s="45"/>
      <c r="E2973" s="18"/>
      <c r="F2973" s="19"/>
      <c r="G2973" s="18"/>
      <c r="H2973" s="18"/>
      <c r="I2973" s="18"/>
      <c r="J2973" s="18"/>
      <c r="K2973" s="18"/>
      <c r="L2973" s="18"/>
      <c r="M2973" s="18"/>
      <c r="N2973" s="18"/>
      <c r="O2973" s="18"/>
      <c r="P2973" s="18"/>
      <c r="Q2973" s="18"/>
      <c r="R2973" s="18"/>
    </row>
    <row r="2974" spans="1:18" ht="18">
      <c r="A2974" s="61"/>
      <c r="B2974" s="15"/>
      <c r="C2974" s="44"/>
      <c r="D2974" s="45"/>
      <c r="E2974" s="18"/>
      <c r="F2974" s="19"/>
      <c r="G2974" s="18"/>
      <c r="H2974" s="18"/>
      <c r="I2974" s="18"/>
      <c r="J2974" s="18"/>
      <c r="K2974" s="18"/>
      <c r="L2974" s="18"/>
      <c r="M2974" s="18"/>
      <c r="N2974" s="18"/>
      <c r="O2974" s="18"/>
      <c r="P2974" s="18"/>
      <c r="Q2974" s="18"/>
      <c r="R2974" s="18"/>
    </row>
    <row r="2975" spans="1:18" ht="18">
      <c r="A2975" s="61"/>
      <c r="B2975" s="15"/>
      <c r="C2975" s="44"/>
      <c r="D2975" s="45"/>
      <c r="E2975" s="18"/>
      <c r="F2975" s="19"/>
      <c r="G2975" s="18"/>
      <c r="H2975" s="18"/>
      <c r="I2975" s="18"/>
      <c r="J2975" s="18"/>
      <c r="K2975" s="18"/>
      <c r="L2975" s="18"/>
      <c r="M2975" s="18"/>
      <c r="N2975" s="18"/>
      <c r="O2975" s="18"/>
      <c r="P2975" s="18"/>
      <c r="Q2975" s="18"/>
      <c r="R2975" s="18"/>
    </row>
    <row r="2976" spans="1:18" ht="18">
      <c r="A2976" s="61"/>
      <c r="B2976" s="15"/>
      <c r="C2976" s="44"/>
      <c r="D2976" s="45"/>
      <c r="E2976" s="18"/>
      <c r="F2976" s="19"/>
      <c r="G2976" s="18"/>
      <c r="H2976" s="18"/>
      <c r="I2976" s="18"/>
      <c r="J2976" s="18"/>
      <c r="K2976" s="18"/>
      <c r="L2976" s="18"/>
      <c r="M2976" s="18"/>
      <c r="N2976" s="18"/>
      <c r="O2976" s="18"/>
      <c r="P2976" s="18"/>
      <c r="Q2976" s="18"/>
      <c r="R2976" s="18"/>
    </row>
    <row r="2977" spans="1:18" ht="18">
      <c r="A2977" s="61"/>
      <c r="B2977" s="15"/>
      <c r="C2977" s="44"/>
      <c r="D2977" s="45"/>
      <c r="E2977" s="18"/>
      <c r="F2977" s="19"/>
      <c r="G2977" s="18"/>
      <c r="H2977" s="18"/>
      <c r="I2977" s="18"/>
      <c r="J2977" s="18"/>
      <c r="K2977" s="18"/>
      <c r="L2977" s="18"/>
      <c r="M2977" s="18"/>
      <c r="N2977" s="18"/>
      <c r="O2977" s="18"/>
      <c r="P2977" s="18"/>
      <c r="Q2977" s="18"/>
      <c r="R2977" s="18"/>
    </row>
    <row r="2978" spans="1:18" ht="18">
      <c r="A2978" s="61"/>
      <c r="B2978" s="15"/>
      <c r="C2978" s="44"/>
      <c r="D2978" s="45"/>
      <c r="E2978" s="18"/>
      <c r="F2978" s="19"/>
      <c r="G2978" s="18"/>
      <c r="H2978" s="18"/>
      <c r="I2978" s="18"/>
      <c r="J2978" s="18"/>
      <c r="K2978" s="18"/>
      <c r="L2978" s="18"/>
      <c r="M2978" s="18"/>
      <c r="N2978" s="18"/>
      <c r="O2978" s="18"/>
      <c r="P2978" s="18"/>
      <c r="Q2978" s="18"/>
      <c r="R2978" s="18"/>
    </row>
    <row r="2979" spans="1:18" ht="18">
      <c r="A2979" s="61"/>
      <c r="B2979" s="15"/>
      <c r="C2979" s="44"/>
      <c r="D2979" s="45"/>
      <c r="E2979" s="18"/>
      <c r="F2979" s="19"/>
      <c r="G2979" s="18"/>
      <c r="H2979" s="18"/>
      <c r="I2979" s="18"/>
      <c r="J2979" s="18"/>
      <c r="K2979" s="18"/>
      <c r="L2979" s="18"/>
      <c r="M2979" s="18"/>
      <c r="N2979" s="18"/>
      <c r="O2979" s="18"/>
      <c r="P2979" s="18"/>
      <c r="Q2979" s="18"/>
      <c r="R2979" s="18"/>
    </row>
    <row r="2980" spans="1:18" ht="18">
      <c r="A2980" s="61"/>
      <c r="B2980" s="15"/>
      <c r="C2980" s="44"/>
      <c r="D2980" s="45"/>
      <c r="E2980" s="18"/>
      <c r="F2980" s="19"/>
      <c r="G2980" s="18"/>
      <c r="H2980" s="18"/>
      <c r="I2980" s="18"/>
      <c r="J2980" s="18"/>
      <c r="K2980" s="18"/>
      <c r="L2980" s="18"/>
      <c r="M2980" s="18"/>
      <c r="N2980" s="18"/>
      <c r="O2980" s="18"/>
      <c r="P2980" s="18"/>
      <c r="Q2980" s="18"/>
      <c r="R2980" s="18"/>
    </row>
    <row r="2981" spans="1:18" ht="18">
      <c r="A2981" s="61"/>
      <c r="B2981" s="15"/>
      <c r="C2981" s="44"/>
      <c r="D2981" s="45"/>
      <c r="E2981" s="18"/>
      <c r="F2981" s="19"/>
      <c r="G2981" s="18"/>
      <c r="H2981" s="18"/>
      <c r="I2981" s="18"/>
      <c r="J2981" s="18"/>
      <c r="K2981" s="18"/>
      <c r="L2981" s="18"/>
      <c r="M2981" s="18"/>
      <c r="N2981" s="18"/>
      <c r="O2981" s="18"/>
      <c r="P2981" s="18"/>
      <c r="Q2981" s="18"/>
      <c r="R2981" s="18"/>
    </row>
    <row r="2982" spans="1:18" ht="18">
      <c r="A2982" s="61"/>
      <c r="B2982" s="15"/>
      <c r="C2982" s="44"/>
      <c r="D2982" s="45"/>
      <c r="E2982" s="18"/>
      <c r="F2982" s="19"/>
      <c r="G2982" s="18"/>
      <c r="H2982" s="18"/>
      <c r="I2982" s="18"/>
      <c r="J2982" s="18"/>
      <c r="K2982" s="18"/>
      <c r="L2982" s="18"/>
      <c r="M2982" s="18"/>
      <c r="N2982" s="18"/>
      <c r="O2982" s="18"/>
      <c r="P2982" s="18"/>
      <c r="Q2982" s="18"/>
      <c r="R2982" s="18"/>
    </row>
    <row r="2983" spans="1:18" ht="18">
      <c r="A2983" s="61"/>
      <c r="B2983" s="15"/>
      <c r="C2983" s="44"/>
      <c r="D2983" s="45"/>
      <c r="E2983" s="18"/>
      <c r="F2983" s="19"/>
      <c r="G2983" s="18"/>
      <c r="H2983" s="18"/>
      <c r="I2983" s="18"/>
      <c r="J2983" s="18"/>
      <c r="K2983" s="18"/>
      <c r="L2983" s="18"/>
      <c r="M2983" s="18"/>
      <c r="N2983" s="18"/>
      <c r="O2983" s="18"/>
      <c r="P2983" s="18"/>
      <c r="Q2983" s="18"/>
      <c r="R2983" s="18"/>
    </row>
    <row r="2984" spans="1:18" ht="18">
      <c r="A2984" s="61"/>
      <c r="B2984" s="15"/>
      <c r="C2984" s="44"/>
      <c r="D2984" s="45"/>
      <c r="E2984" s="18"/>
      <c r="F2984" s="19"/>
      <c r="G2984" s="18"/>
      <c r="H2984" s="18"/>
      <c r="I2984" s="18"/>
      <c r="J2984" s="18"/>
      <c r="K2984" s="18"/>
      <c r="L2984" s="18"/>
      <c r="M2984" s="18"/>
      <c r="N2984" s="18"/>
      <c r="O2984" s="18"/>
      <c r="P2984" s="18"/>
      <c r="Q2984" s="18"/>
      <c r="R2984" s="18"/>
    </row>
    <row r="2985" spans="1:18" ht="18">
      <c r="A2985" s="61"/>
      <c r="B2985" s="15"/>
      <c r="C2985" s="44"/>
      <c r="D2985" s="45"/>
      <c r="E2985" s="18"/>
      <c r="F2985" s="19"/>
      <c r="G2985" s="18"/>
      <c r="H2985" s="18"/>
      <c r="I2985" s="18"/>
      <c r="J2985" s="18"/>
      <c r="K2985" s="18"/>
      <c r="L2985" s="18"/>
      <c r="M2985" s="18"/>
      <c r="N2985" s="18"/>
      <c r="O2985" s="18"/>
      <c r="P2985" s="18"/>
      <c r="Q2985" s="18"/>
      <c r="R2985" s="18"/>
    </row>
    <row r="2986" spans="1:18" ht="18">
      <c r="A2986" s="61"/>
      <c r="B2986" s="15"/>
      <c r="C2986" s="44"/>
      <c r="D2986" s="45"/>
      <c r="E2986" s="18"/>
      <c r="F2986" s="19"/>
      <c r="G2986" s="18"/>
      <c r="H2986" s="18"/>
      <c r="I2986" s="18"/>
      <c r="J2986" s="18"/>
      <c r="K2986" s="18"/>
      <c r="L2986" s="18"/>
      <c r="M2986" s="18"/>
      <c r="N2986" s="18"/>
      <c r="O2986" s="18"/>
      <c r="P2986" s="18"/>
      <c r="Q2986" s="18"/>
      <c r="R2986" s="18"/>
    </row>
    <row r="2987" spans="1:18" ht="18">
      <c r="A2987" s="61"/>
      <c r="B2987" s="15"/>
      <c r="C2987" s="44"/>
      <c r="D2987" s="45"/>
      <c r="E2987" s="18"/>
      <c r="F2987" s="19"/>
      <c r="G2987" s="18"/>
      <c r="H2987" s="18"/>
      <c r="I2987" s="18"/>
      <c r="J2987" s="18"/>
      <c r="K2987" s="18"/>
      <c r="L2987" s="18"/>
      <c r="M2987" s="18"/>
      <c r="N2987" s="18"/>
      <c r="O2987" s="18"/>
      <c r="P2987" s="18"/>
      <c r="Q2987" s="18"/>
      <c r="R2987" s="18"/>
    </row>
    <row r="2988" spans="1:18" ht="18">
      <c r="A2988" s="61"/>
      <c r="B2988" s="15"/>
      <c r="C2988" s="44"/>
      <c r="D2988" s="45"/>
      <c r="E2988" s="18"/>
      <c r="F2988" s="19"/>
      <c r="G2988" s="18"/>
      <c r="H2988" s="18"/>
      <c r="I2988" s="18"/>
      <c r="J2988" s="18"/>
      <c r="K2988" s="18"/>
      <c r="L2988" s="18"/>
      <c r="M2988" s="18"/>
      <c r="N2988" s="18"/>
      <c r="O2988" s="18"/>
      <c r="P2988" s="18"/>
      <c r="Q2988" s="18"/>
      <c r="R2988" s="18"/>
    </row>
    <row r="2989" spans="1:18" ht="18">
      <c r="A2989" s="61"/>
      <c r="B2989" s="15"/>
      <c r="C2989" s="44"/>
      <c r="D2989" s="45"/>
      <c r="E2989" s="18"/>
      <c r="F2989" s="19"/>
      <c r="G2989" s="18"/>
      <c r="H2989" s="18"/>
      <c r="I2989" s="18"/>
      <c r="J2989" s="18"/>
      <c r="K2989" s="18"/>
      <c r="L2989" s="18"/>
      <c r="M2989" s="18"/>
      <c r="N2989" s="18"/>
      <c r="O2989" s="18"/>
      <c r="P2989" s="18"/>
      <c r="Q2989" s="18"/>
      <c r="R2989" s="18"/>
    </row>
    <row r="2990" spans="1:18" ht="18">
      <c r="A2990" s="61"/>
      <c r="B2990" s="15"/>
      <c r="C2990" s="44"/>
      <c r="D2990" s="45"/>
      <c r="E2990" s="18"/>
      <c r="F2990" s="19"/>
      <c r="G2990" s="18"/>
      <c r="H2990" s="18"/>
      <c r="I2990" s="18"/>
      <c r="J2990" s="18"/>
      <c r="K2990" s="18"/>
      <c r="L2990" s="18"/>
      <c r="M2990" s="18"/>
      <c r="N2990" s="18"/>
      <c r="O2990" s="18"/>
      <c r="P2990" s="18"/>
      <c r="Q2990" s="18"/>
      <c r="R2990" s="18"/>
    </row>
    <row r="2991" spans="1:18" ht="18">
      <c r="A2991" s="61"/>
      <c r="B2991" s="15"/>
      <c r="C2991" s="44"/>
      <c r="D2991" s="45"/>
      <c r="E2991" s="18"/>
      <c r="F2991" s="19"/>
      <c r="G2991" s="18"/>
      <c r="H2991" s="18"/>
      <c r="I2991" s="18"/>
      <c r="J2991" s="18"/>
      <c r="K2991" s="18"/>
      <c r="L2991" s="18"/>
      <c r="M2991" s="18"/>
      <c r="N2991" s="18"/>
      <c r="O2991" s="18"/>
      <c r="P2991" s="18"/>
      <c r="Q2991" s="18"/>
      <c r="R2991" s="18"/>
    </row>
    <row r="2992" spans="1:18" ht="18">
      <c r="A2992" s="61"/>
      <c r="B2992" s="15"/>
      <c r="C2992" s="44"/>
      <c r="D2992" s="45"/>
      <c r="E2992" s="18"/>
      <c r="F2992" s="19"/>
      <c r="G2992" s="18"/>
      <c r="H2992" s="18"/>
      <c r="I2992" s="18"/>
      <c r="J2992" s="18"/>
      <c r="K2992" s="18"/>
      <c r="L2992" s="18"/>
      <c r="M2992" s="18"/>
      <c r="N2992" s="18"/>
      <c r="O2992" s="18"/>
      <c r="P2992" s="18"/>
      <c r="Q2992" s="18"/>
      <c r="R2992" s="18"/>
    </row>
    <row r="2993" spans="1:18" ht="18">
      <c r="A2993" s="61"/>
      <c r="B2993" s="15"/>
      <c r="C2993" s="44"/>
      <c r="D2993" s="45"/>
      <c r="E2993" s="18"/>
      <c r="F2993" s="19"/>
      <c r="G2993" s="18"/>
      <c r="H2993" s="18"/>
      <c r="I2993" s="18"/>
      <c r="J2993" s="18"/>
      <c r="K2993" s="18"/>
      <c r="L2993" s="18"/>
      <c r="M2993" s="18"/>
      <c r="N2993" s="18"/>
      <c r="O2993" s="18"/>
      <c r="P2993" s="18"/>
      <c r="Q2993" s="18"/>
      <c r="R2993" s="18"/>
    </row>
    <row r="2994" spans="1:18" ht="18">
      <c r="A2994" s="61"/>
      <c r="B2994" s="15"/>
      <c r="C2994" s="44"/>
      <c r="D2994" s="45"/>
      <c r="E2994" s="18"/>
      <c r="F2994" s="19"/>
      <c r="G2994" s="18"/>
      <c r="H2994" s="18"/>
      <c r="I2994" s="18"/>
      <c r="J2994" s="18"/>
      <c r="K2994" s="18"/>
      <c r="L2994" s="18"/>
      <c r="M2994" s="18"/>
      <c r="N2994" s="18"/>
      <c r="O2994" s="18"/>
      <c r="P2994" s="18"/>
      <c r="Q2994" s="18"/>
      <c r="R2994" s="18"/>
    </row>
    <row r="2995" spans="1:18" ht="18">
      <c r="A2995" s="61"/>
      <c r="B2995" s="15"/>
      <c r="C2995" s="44"/>
      <c r="D2995" s="45"/>
      <c r="E2995" s="18"/>
      <c r="F2995" s="19"/>
      <c r="G2995" s="18"/>
      <c r="H2995" s="18"/>
      <c r="I2995" s="18"/>
      <c r="J2995" s="18"/>
      <c r="K2995" s="18"/>
      <c r="L2995" s="18"/>
      <c r="M2995" s="18"/>
      <c r="N2995" s="18"/>
      <c r="O2995" s="18"/>
      <c r="P2995" s="18"/>
      <c r="Q2995" s="18"/>
      <c r="R2995" s="18"/>
    </row>
    <row r="2996" spans="1:18" ht="18">
      <c r="A2996" s="61"/>
      <c r="B2996" s="15"/>
      <c r="C2996" s="44"/>
      <c r="D2996" s="45"/>
      <c r="E2996" s="18"/>
      <c r="F2996" s="19"/>
      <c r="G2996" s="18"/>
      <c r="H2996" s="18"/>
      <c r="I2996" s="18"/>
      <c r="J2996" s="18"/>
      <c r="K2996" s="18"/>
      <c r="L2996" s="18"/>
      <c r="M2996" s="18"/>
      <c r="N2996" s="18"/>
      <c r="O2996" s="18"/>
      <c r="P2996" s="18"/>
      <c r="Q2996" s="18"/>
      <c r="R2996" s="18"/>
    </row>
    <row r="2997" spans="1:18" ht="18">
      <c r="A2997" s="61"/>
      <c r="B2997" s="15"/>
      <c r="C2997" s="44"/>
      <c r="D2997" s="45"/>
      <c r="E2997" s="18"/>
      <c r="F2997" s="19"/>
      <c r="G2997" s="18"/>
      <c r="H2997" s="18"/>
      <c r="I2997" s="18"/>
      <c r="J2997" s="18"/>
      <c r="K2997" s="18"/>
      <c r="L2997" s="18"/>
      <c r="M2997" s="18"/>
      <c r="N2997" s="18"/>
      <c r="O2997" s="18"/>
      <c r="P2997" s="18"/>
      <c r="Q2997" s="18"/>
      <c r="R2997" s="18"/>
    </row>
    <row r="2998" spans="1:18" ht="18">
      <c r="A2998" s="61"/>
      <c r="B2998" s="15"/>
      <c r="C2998" s="44"/>
      <c r="D2998" s="45"/>
      <c r="E2998" s="18"/>
      <c r="F2998" s="19"/>
      <c r="G2998" s="18"/>
      <c r="H2998" s="18"/>
      <c r="I2998" s="18"/>
      <c r="J2998" s="18"/>
      <c r="K2998" s="18"/>
      <c r="L2998" s="18"/>
      <c r="M2998" s="18"/>
      <c r="N2998" s="18"/>
      <c r="O2998" s="18"/>
      <c r="P2998" s="18"/>
      <c r="Q2998" s="18"/>
      <c r="R2998" s="18"/>
    </row>
    <row r="2999" spans="1:18" ht="18">
      <c r="A2999" s="61"/>
      <c r="B2999" s="15"/>
      <c r="C2999" s="44"/>
      <c r="D2999" s="45"/>
      <c r="E2999" s="18"/>
      <c r="F2999" s="19"/>
      <c r="G2999" s="18"/>
      <c r="H2999" s="18"/>
      <c r="I2999" s="18"/>
      <c r="J2999" s="18"/>
      <c r="K2999" s="18"/>
      <c r="L2999" s="18"/>
      <c r="M2999" s="18"/>
      <c r="N2999" s="18"/>
      <c r="O2999" s="18"/>
      <c r="P2999" s="18"/>
      <c r="Q2999" s="18"/>
      <c r="R2999" s="18"/>
    </row>
    <row r="3000" spans="1:18" ht="18">
      <c r="A3000" s="61"/>
      <c r="B3000" s="15"/>
      <c r="C3000" s="44"/>
      <c r="D3000" s="45"/>
      <c r="E3000" s="18"/>
      <c r="F3000" s="19"/>
      <c r="G3000" s="18"/>
      <c r="H3000" s="18"/>
      <c r="I3000" s="18"/>
      <c r="J3000" s="18"/>
      <c r="K3000" s="18"/>
      <c r="L3000" s="18"/>
      <c r="M3000" s="18"/>
      <c r="N3000" s="18"/>
      <c r="O3000" s="18"/>
      <c r="P3000" s="18"/>
      <c r="Q3000" s="18"/>
      <c r="R3000" s="18"/>
    </row>
    <row r="3001" spans="1:18" ht="18">
      <c r="A3001" s="61"/>
      <c r="B3001" s="15"/>
      <c r="C3001" s="44"/>
      <c r="D3001" s="45"/>
      <c r="E3001" s="18"/>
      <c r="F3001" s="18"/>
      <c r="G3001" s="18"/>
      <c r="H3001" s="18"/>
      <c r="I3001" s="18"/>
      <c r="J3001" s="18"/>
      <c r="K3001" s="18"/>
      <c r="L3001" s="18"/>
      <c r="M3001" s="18"/>
      <c r="N3001" s="18"/>
      <c r="O3001" s="18"/>
      <c r="P3001" s="18"/>
      <c r="Q3001" s="18"/>
      <c r="R3001" s="18"/>
    </row>
    <row r="3002" spans="1:18" ht="18">
      <c r="A3002" s="61"/>
      <c r="B3002" s="15"/>
      <c r="C3002" s="44"/>
      <c r="D3002" s="45"/>
      <c r="E3002" s="18"/>
      <c r="F3002" s="18"/>
      <c r="G3002" s="18"/>
      <c r="H3002" s="18"/>
      <c r="I3002" s="18"/>
      <c r="J3002" s="18"/>
      <c r="K3002" s="18"/>
      <c r="L3002" s="18"/>
      <c r="M3002" s="18"/>
      <c r="N3002" s="18"/>
      <c r="O3002" s="18"/>
      <c r="P3002" s="18"/>
      <c r="Q3002" s="18"/>
      <c r="R3002" s="18"/>
    </row>
    <row r="3003" spans="1:18" ht="18">
      <c r="A3003" s="61"/>
      <c r="B3003" s="15"/>
      <c r="C3003" s="44"/>
      <c r="D3003" s="45"/>
      <c r="E3003" s="18"/>
      <c r="F3003" s="18"/>
      <c r="G3003" s="18"/>
      <c r="H3003" s="18"/>
      <c r="I3003" s="18"/>
      <c r="J3003" s="18"/>
      <c r="K3003" s="18"/>
      <c r="L3003" s="18"/>
      <c r="M3003" s="18"/>
      <c r="N3003" s="18"/>
      <c r="O3003" s="18"/>
      <c r="P3003" s="18"/>
      <c r="Q3003" s="18"/>
      <c r="R3003" s="18"/>
    </row>
    <row r="3004" spans="1:18" ht="18">
      <c r="A3004" s="61"/>
      <c r="B3004" s="15"/>
      <c r="C3004" s="44"/>
      <c r="D3004" s="45"/>
      <c r="E3004" s="18"/>
      <c r="F3004" s="18"/>
      <c r="G3004" s="18"/>
      <c r="H3004" s="18"/>
      <c r="I3004" s="18"/>
      <c r="J3004" s="18"/>
      <c r="K3004" s="18"/>
      <c r="L3004" s="18"/>
      <c r="M3004" s="18"/>
      <c r="N3004" s="18"/>
      <c r="O3004" s="18"/>
      <c r="P3004" s="18"/>
      <c r="Q3004" s="18"/>
      <c r="R3004" s="18"/>
    </row>
    <row r="3005" spans="1:18" ht="18">
      <c r="A3005" s="61"/>
      <c r="B3005" s="15"/>
      <c r="C3005" s="44"/>
      <c r="D3005" s="45"/>
      <c r="E3005" s="18"/>
      <c r="F3005" s="18"/>
      <c r="G3005" s="18"/>
      <c r="H3005" s="18"/>
      <c r="I3005" s="18"/>
      <c r="J3005" s="18"/>
      <c r="K3005" s="18"/>
      <c r="L3005" s="18"/>
      <c r="M3005" s="18"/>
      <c r="N3005" s="18"/>
      <c r="O3005" s="18"/>
      <c r="P3005" s="18"/>
      <c r="Q3005" s="18"/>
      <c r="R3005" s="18"/>
    </row>
    <row r="3006" spans="1:18" ht="18">
      <c r="A3006" s="61"/>
      <c r="B3006" s="15"/>
      <c r="C3006" s="44"/>
      <c r="D3006" s="45"/>
      <c r="E3006" s="18"/>
      <c r="F3006" s="18"/>
      <c r="G3006" s="18"/>
      <c r="H3006" s="18"/>
      <c r="I3006" s="18"/>
      <c r="J3006" s="18"/>
      <c r="K3006" s="18"/>
      <c r="L3006" s="18"/>
      <c r="M3006" s="18"/>
      <c r="N3006" s="18"/>
      <c r="O3006" s="18"/>
      <c r="P3006" s="18"/>
      <c r="Q3006" s="18"/>
      <c r="R3006" s="18"/>
    </row>
    <row r="3007" spans="1:18" ht="18">
      <c r="A3007" s="61"/>
      <c r="B3007" s="15"/>
      <c r="C3007" s="44"/>
      <c r="D3007" s="45"/>
      <c r="E3007" s="18"/>
      <c r="F3007" s="18"/>
      <c r="G3007" s="18"/>
      <c r="H3007" s="18"/>
      <c r="I3007" s="18"/>
      <c r="J3007" s="18"/>
      <c r="K3007" s="18"/>
      <c r="L3007" s="18"/>
      <c r="M3007" s="18"/>
      <c r="N3007" s="18"/>
      <c r="O3007" s="18"/>
      <c r="P3007" s="18"/>
      <c r="Q3007" s="18"/>
      <c r="R3007" s="18"/>
    </row>
    <row r="3008" spans="1:18" ht="18">
      <c r="A3008" s="61"/>
      <c r="B3008" s="15"/>
      <c r="C3008" s="44"/>
      <c r="D3008" s="45"/>
      <c r="E3008" s="18"/>
      <c r="F3008" s="18"/>
      <c r="G3008" s="18"/>
      <c r="H3008" s="18"/>
      <c r="I3008" s="18"/>
      <c r="J3008" s="18"/>
      <c r="K3008" s="18"/>
      <c r="L3008" s="18"/>
      <c r="M3008" s="18"/>
      <c r="N3008" s="18"/>
      <c r="O3008" s="18"/>
      <c r="P3008" s="18"/>
      <c r="Q3008" s="18"/>
      <c r="R3008" s="18"/>
    </row>
    <row r="3009" spans="1:18" ht="18">
      <c r="A3009" s="61"/>
      <c r="B3009" s="15"/>
      <c r="C3009" s="44"/>
      <c r="D3009" s="45"/>
      <c r="E3009" s="18"/>
      <c r="F3009" s="18"/>
      <c r="G3009" s="18"/>
      <c r="H3009" s="18"/>
      <c r="I3009" s="18"/>
      <c r="J3009" s="18"/>
      <c r="K3009" s="18"/>
      <c r="L3009" s="18"/>
      <c r="M3009" s="18"/>
      <c r="N3009" s="18"/>
      <c r="O3009" s="18"/>
      <c r="P3009" s="18"/>
      <c r="Q3009" s="18"/>
      <c r="R3009" s="18"/>
    </row>
    <row r="3010" spans="1:18" ht="18">
      <c r="A3010" s="61"/>
      <c r="B3010" s="15"/>
      <c r="C3010" s="44"/>
      <c r="D3010" s="45"/>
      <c r="E3010" s="18"/>
      <c r="F3010" s="18"/>
      <c r="G3010" s="18"/>
      <c r="H3010" s="18"/>
      <c r="I3010" s="18"/>
      <c r="J3010" s="18"/>
      <c r="K3010" s="18"/>
      <c r="L3010" s="18"/>
      <c r="M3010" s="18"/>
      <c r="N3010" s="18"/>
      <c r="O3010" s="18"/>
      <c r="P3010" s="18"/>
      <c r="Q3010" s="18"/>
      <c r="R3010" s="18"/>
    </row>
    <row r="3011" spans="1:18" ht="18">
      <c r="A3011" s="61"/>
      <c r="B3011" s="15"/>
      <c r="C3011" s="44"/>
      <c r="D3011" s="45"/>
      <c r="E3011" s="18"/>
      <c r="F3011" s="18"/>
      <c r="G3011" s="18"/>
      <c r="H3011" s="18"/>
      <c r="I3011" s="18"/>
      <c r="J3011" s="18"/>
      <c r="K3011" s="18"/>
      <c r="L3011" s="18"/>
      <c r="M3011" s="18"/>
      <c r="N3011" s="18"/>
      <c r="O3011" s="18"/>
      <c r="P3011" s="18"/>
      <c r="Q3011" s="18"/>
      <c r="R3011" s="18"/>
    </row>
    <row r="3012" spans="1:18" ht="18">
      <c r="A3012" s="61"/>
      <c r="B3012" s="15"/>
      <c r="C3012" s="44"/>
      <c r="D3012" s="45"/>
      <c r="E3012" s="18"/>
      <c r="F3012" s="18"/>
      <c r="G3012" s="18"/>
      <c r="H3012" s="18"/>
      <c r="I3012" s="18"/>
      <c r="J3012" s="18"/>
      <c r="K3012" s="18"/>
      <c r="L3012" s="18"/>
      <c r="M3012" s="18"/>
      <c r="N3012" s="18"/>
      <c r="O3012" s="18"/>
      <c r="P3012" s="18"/>
      <c r="Q3012" s="18"/>
      <c r="R3012" s="18"/>
    </row>
    <row r="3013" spans="1:18" ht="18">
      <c r="A3013" s="61"/>
      <c r="B3013" s="15"/>
      <c r="C3013" s="44"/>
      <c r="D3013" s="45"/>
      <c r="E3013" s="18"/>
      <c r="F3013" s="18"/>
      <c r="G3013" s="18"/>
      <c r="H3013" s="18"/>
      <c r="I3013" s="18"/>
      <c r="J3013" s="18"/>
      <c r="K3013" s="18"/>
      <c r="L3013" s="18"/>
      <c r="M3013" s="18"/>
      <c r="N3013" s="18"/>
      <c r="O3013" s="18"/>
      <c r="P3013" s="18"/>
      <c r="Q3013" s="18"/>
      <c r="R3013" s="18"/>
    </row>
    <row r="3014" spans="1:18" ht="18">
      <c r="A3014" s="61"/>
      <c r="B3014" s="15"/>
      <c r="C3014" s="44"/>
      <c r="D3014" s="45"/>
      <c r="E3014" s="18"/>
      <c r="F3014" s="18"/>
      <c r="G3014" s="18"/>
      <c r="H3014" s="18"/>
      <c r="I3014" s="18"/>
      <c r="J3014" s="18"/>
      <c r="K3014" s="18"/>
      <c r="L3014" s="18"/>
      <c r="M3014" s="18"/>
      <c r="N3014" s="18"/>
      <c r="O3014" s="18"/>
      <c r="P3014" s="18"/>
      <c r="Q3014" s="18"/>
      <c r="R3014" s="18"/>
    </row>
    <row r="3015" spans="1:18" ht="18">
      <c r="A3015" s="61"/>
      <c r="B3015" s="15"/>
      <c r="C3015" s="44"/>
      <c r="D3015" s="45"/>
      <c r="E3015" s="18"/>
      <c r="F3015" s="18"/>
      <c r="G3015" s="18"/>
      <c r="H3015" s="18"/>
      <c r="I3015" s="18"/>
      <c r="J3015" s="18"/>
      <c r="K3015" s="18"/>
      <c r="L3015" s="18"/>
      <c r="M3015" s="18"/>
      <c r="N3015" s="18"/>
      <c r="O3015" s="18"/>
      <c r="P3015" s="18"/>
      <c r="Q3015" s="18"/>
      <c r="R3015" s="18"/>
    </row>
    <row r="3016" spans="1:18" ht="18">
      <c r="A3016" s="61"/>
      <c r="B3016" s="15"/>
      <c r="C3016" s="44"/>
      <c r="D3016" s="45"/>
      <c r="E3016" s="18"/>
      <c r="F3016" s="18"/>
      <c r="G3016" s="18"/>
      <c r="H3016" s="18"/>
      <c r="I3016" s="18"/>
      <c r="J3016" s="18"/>
      <c r="K3016" s="18"/>
      <c r="L3016" s="18"/>
      <c r="M3016" s="18"/>
      <c r="N3016" s="18"/>
      <c r="O3016" s="18"/>
      <c r="P3016" s="18"/>
      <c r="Q3016" s="18"/>
      <c r="R3016" s="18"/>
    </row>
    <row r="3017" spans="1:18" ht="18">
      <c r="A3017" s="61"/>
      <c r="B3017" s="15"/>
      <c r="C3017" s="44"/>
      <c r="D3017" s="45"/>
      <c r="E3017" s="18"/>
      <c r="F3017" s="18"/>
      <c r="G3017" s="18"/>
      <c r="H3017" s="18"/>
      <c r="I3017" s="18"/>
      <c r="J3017" s="18"/>
      <c r="K3017" s="18"/>
      <c r="L3017" s="18"/>
      <c r="M3017" s="18"/>
      <c r="N3017" s="18"/>
      <c r="O3017" s="18"/>
      <c r="P3017" s="18"/>
      <c r="Q3017" s="18"/>
      <c r="R3017" s="18"/>
    </row>
    <row r="3018" spans="1:18" ht="18">
      <c r="A3018" s="61"/>
      <c r="B3018" s="15"/>
      <c r="C3018" s="44"/>
      <c r="D3018" s="45"/>
      <c r="E3018" s="18"/>
      <c r="F3018" s="18"/>
      <c r="G3018" s="18"/>
      <c r="H3018" s="18"/>
      <c r="I3018" s="18"/>
      <c r="J3018" s="18"/>
      <c r="K3018" s="18"/>
      <c r="L3018" s="18"/>
      <c r="M3018" s="18"/>
      <c r="N3018" s="18"/>
      <c r="O3018" s="18"/>
      <c r="P3018" s="18"/>
      <c r="Q3018" s="18"/>
      <c r="R3018" s="18"/>
    </row>
    <row r="3019" spans="1:18" ht="18">
      <c r="A3019" s="61"/>
      <c r="B3019" s="15"/>
      <c r="C3019" s="44"/>
      <c r="D3019" s="45"/>
      <c r="E3019" s="18"/>
      <c r="F3019" s="18"/>
      <c r="G3019" s="18"/>
      <c r="H3019" s="18"/>
      <c r="I3019" s="18"/>
      <c r="J3019" s="18"/>
      <c r="K3019" s="18"/>
      <c r="L3019" s="18"/>
      <c r="M3019" s="18"/>
      <c r="N3019" s="18"/>
      <c r="O3019" s="18"/>
      <c r="P3019" s="18"/>
      <c r="Q3019" s="18"/>
      <c r="R3019" s="18"/>
    </row>
    <row r="3020" spans="1:18" ht="18">
      <c r="A3020" s="61"/>
      <c r="B3020" s="15"/>
      <c r="C3020" s="44"/>
      <c r="D3020" s="45"/>
      <c r="E3020" s="18"/>
      <c r="F3020" s="18"/>
      <c r="G3020" s="18"/>
      <c r="H3020" s="18"/>
      <c r="I3020" s="18"/>
      <c r="J3020" s="18"/>
      <c r="K3020" s="18"/>
      <c r="L3020" s="18"/>
      <c r="M3020" s="18"/>
      <c r="N3020" s="18"/>
      <c r="O3020" s="18"/>
      <c r="P3020" s="18"/>
      <c r="Q3020" s="18"/>
      <c r="R3020" s="18"/>
    </row>
    <row r="3021" spans="1:18" ht="18">
      <c r="A3021" s="61"/>
      <c r="B3021" s="15"/>
      <c r="C3021" s="44"/>
      <c r="D3021" s="45"/>
      <c r="E3021" s="18"/>
      <c r="F3021" s="18"/>
      <c r="G3021" s="18"/>
      <c r="H3021" s="18"/>
      <c r="I3021" s="18"/>
      <c r="J3021" s="18"/>
      <c r="K3021" s="18"/>
      <c r="L3021" s="18"/>
      <c r="M3021" s="18"/>
      <c r="N3021" s="18"/>
      <c r="O3021" s="18"/>
      <c r="P3021" s="18"/>
      <c r="Q3021" s="18"/>
      <c r="R3021" s="18"/>
    </row>
    <row r="3022" spans="1:18" ht="18">
      <c r="A3022" s="61"/>
      <c r="B3022" s="15"/>
      <c r="C3022" s="44"/>
      <c r="D3022" s="45"/>
      <c r="E3022" s="18"/>
      <c r="F3022" s="18"/>
      <c r="G3022" s="18"/>
      <c r="H3022" s="18"/>
      <c r="I3022" s="18"/>
      <c r="J3022" s="18"/>
      <c r="K3022" s="18"/>
      <c r="L3022" s="18"/>
      <c r="M3022" s="18"/>
      <c r="N3022" s="18"/>
      <c r="O3022" s="18"/>
      <c r="P3022" s="18"/>
      <c r="Q3022" s="18"/>
      <c r="R3022" s="18"/>
    </row>
    <row r="3023" spans="1:18" ht="18">
      <c r="A3023" s="61"/>
      <c r="B3023" s="15"/>
      <c r="C3023" s="44"/>
      <c r="D3023" s="45"/>
      <c r="E3023" s="18"/>
      <c r="F3023" s="18"/>
      <c r="G3023" s="18"/>
      <c r="H3023" s="18"/>
      <c r="I3023" s="18"/>
      <c r="J3023" s="18"/>
      <c r="K3023" s="18"/>
      <c r="L3023" s="18"/>
      <c r="M3023" s="18"/>
      <c r="N3023" s="18"/>
      <c r="O3023" s="18"/>
      <c r="P3023" s="18"/>
      <c r="Q3023" s="18"/>
      <c r="R3023" s="18"/>
    </row>
    <row r="3024" spans="1:18" ht="18">
      <c r="A3024" s="61"/>
      <c r="B3024" s="15"/>
      <c r="C3024" s="44"/>
      <c r="D3024" s="45"/>
      <c r="E3024" s="18"/>
      <c r="F3024" s="18"/>
      <c r="G3024" s="18"/>
      <c r="H3024" s="18"/>
      <c r="I3024" s="18"/>
      <c r="J3024" s="18"/>
      <c r="K3024" s="18"/>
      <c r="L3024" s="18"/>
      <c r="M3024" s="18"/>
      <c r="N3024" s="18"/>
      <c r="O3024" s="18"/>
      <c r="P3024" s="18"/>
      <c r="Q3024" s="18"/>
      <c r="R3024" s="18"/>
    </row>
    <row r="3025" spans="1:18" ht="18">
      <c r="A3025" s="61"/>
      <c r="B3025" s="15"/>
      <c r="C3025" s="44"/>
      <c r="D3025" s="45"/>
      <c r="E3025" s="18"/>
      <c r="F3025" s="18"/>
      <c r="G3025" s="18"/>
      <c r="H3025" s="18"/>
      <c r="I3025" s="18"/>
      <c r="J3025" s="18"/>
      <c r="K3025" s="18"/>
      <c r="L3025" s="18"/>
      <c r="M3025" s="18"/>
      <c r="N3025" s="18"/>
      <c r="O3025" s="18"/>
      <c r="P3025" s="18"/>
      <c r="Q3025" s="18"/>
      <c r="R3025" s="18"/>
    </row>
    <row r="3026" spans="1:18" ht="18">
      <c r="A3026" s="61"/>
      <c r="B3026" s="15"/>
      <c r="C3026" s="44"/>
      <c r="D3026" s="45"/>
      <c r="E3026" s="18"/>
      <c r="F3026" s="18"/>
      <c r="G3026" s="18"/>
      <c r="H3026" s="18"/>
      <c r="I3026" s="18"/>
      <c r="J3026" s="18"/>
      <c r="K3026" s="18"/>
      <c r="L3026" s="18"/>
      <c r="M3026" s="18"/>
      <c r="N3026" s="18"/>
      <c r="O3026" s="18"/>
      <c r="P3026" s="18"/>
      <c r="Q3026" s="18"/>
      <c r="R3026" s="18"/>
    </row>
    <row r="3027" spans="1:18" ht="18">
      <c r="A3027" s="61"/>
      <c r="B3027" s="15"/>
      <c r="C3027" s="44"/>
      <c r="D3027" s="45"/>
      <c r="E3027" s="18"/>
      <c r="F3027" s="18"/>
      <c r="G3027" s="18"/>
      <c r="H3027" s="18"/>
      <c r="I3027" s="18"/>
      <c r="J3027" s="18"/>
      <c r="K3027" s="18"/>
      <c r="L3027" s="18"/>
      <c r="M3027" s="18"/>
      <c r="N3027" s="18"/>
      <c r="O3027" s="18"/>
      <c r="P3027" s="18"/>
      <c r="Q3027" s="18"/>
      <c r="R3027" s="18"/>
    </row>
    <row r="3028" spans="1:18" ht="18">
      <c r="A3028" s="61"/>
      <c r="B3028" s="15"/>
      <c r="C3028" s="44"/>
      <c r="D3028" s="45"/>
      <c r="E3028" s="18"/>
      <c r="F3028" s="18"/>
      <c r="G3028" s="18"/>
      <c r="H3028" s="18"/>
      <c r="I3028" s="18"/>
      <c r="J3028" s="18"/>
      <c r="K3028" s="18"/>
      <c r="L3028" s="18"/>
      <c r="M3028" s="18"/>
      <c r="N3028" s="18"/>
      <c r="O3028" s="18"/>
      <c r="P3028" s="18"/>
      <c r="Q3028" s="18"/>
      <c r="R3028" s="18"/>
    </row>
    <row r="3029" spans="1:18" ht="18">
      <c r="A3029" s="61"/>
      <c r="B3029" s="15"/>
      <c r="C3029" s="44"/>
      <c r="D3029" s="45"/>
      <c r="E3029" s="18"/>
      <c r="F3029" s="18"/>
      <c r="G3029" s="18"/>
      <c r="H3029" s="18"/>
      <c r="I3029" s="18"/>
      <c r="J3029" s="18"/>
      <c r="K3029" s="18"/>
      <c r="L3029" s="18"/>
      <c r="M3029" s="18"/>
      <c r="N3029" s="18"/>
      <c r="O3029" s="18"/>
      <c r="P3029" s="18"/>
      <c r="Q3029" s="18"/>
      <c r="R3029" s="18"/>
    </row>
    <row r="3030" spans="1:18" ht="18">
      <c r="A3030" s="61"/>
      <c r="B3030" s="15"/>
      <c r="C3030" s="44"/>
      <c r="D3030" s="45"/>
      <c r="E3030" s="18"/>
      <c r="F3030" s="18"/>
      <c r="G3030" s="18"/>
      <c r="H3030" s="18"/>
      <c r="I3030" s="18"/>
      <c r="J3030" s="18"/>
      <c r="K3030" s="18"/>
      <c r="L3030" s="18"/>
      <c r="M3030" s="18"/>
      <c r="N3030" s="18"/>
      <c r="O3030" s="18"/>
      <c r="P3030" s="18"/>
      <c r="Q3030" s="18"/>
      <c r="R3030" s="18"/>
    </row>
    <row r="3031" spans="1:18" ht="18">
      <c r="A3031" s="61"/>
      <c r="B3031" s="15"/>
      <c r="C3031" s="44"/>
      <c r="D3031" s="45"/>
      <c r="E3031" s="18"/>
      <c r="F3031" s="18"/>
      <c r="G3031" s="18"/>
      <c r="H3031" s="18"/>
      <c r="I3031" s="18"/>
      <c r="J3031" s="18"/>
      <c r="K3031" s="18"/>
      <c r="L3031" s="18"/>
      <c r="M3031" s="18"/>
      <c r="N3031" s="18"/>
      <c r="O3031" s="18"/>
      <c r="P3031" s="18"/>
      <c r="Q3031" s="18"/>
      <c r="R3031" s="18"/>
    </row>
    <row r="3032" spans="1:18" ht="18">
      <c r="A3032" s="61"/>
      <c r="B3032" s="15"/>
      <c r="C3032" s="44"/>
      <c r="D3032" s="45"/>
      <c r="E3032" s="18"/>
      <c r="F3032" s="18"/>
      <c r="G3032" s="18"/>
      <c r="H3032" s="18"/>
      <c r="I3032" s="18"/>
      <c r="J3032" s="18"/>
      <c r="K3032" s="18"/>
      <c r="L3032" s="18"/>
      <c r="M3032" s="18"/>
      <c r="N3032" s="18"/>
      <c r="O3032" s="18"/>
      <c r="P3032" s="18"/>
      <c r="Q3032" s="18"/>
      <c r="R3032" s="18"/>
    </row>
    <row r="3033" spans="1:18" ht="18">
      <c r="A3033" s="61"/>
      <c r="B3033" s="15"/>
      <c r="C3033" s="44"/>
      <c r="D3033" s="45"/>
      <c r="E3033" s="18"/>
      <c r="F3033" s="18"/>
      <c r="G3033" s="18"/>
      <c r="H3033" s="18"/>
      <c r="I3033" s="18"/>
      <c r="J3033" s="18"/>
      <c r="K3033" s="18"/>
      <c r="L3033" s="18"/>
      <c r="M3033" s="18"/>
      <c r="N3033" s="18"/>
      <c r="O3033" s="18"/>
      <c r="P3033" s="18"/>
      <c r="Q3033" s="18"/>
      <c r="R3033" s="18"/>
    </row>
    <row r="3034" spans="1:18" ht="18">
      <c r="A3034" s="61"/>
      <c r="B3034" s="15"/>
      <c r="C3034" s="44"/>
      <c r="D3034" s="45"/>
      <c r="E3034" s="18"/>
      <c r="F3034" s="18"/>
      <c r="G3034" s="18"/>
      <c r="H3034" s="18"/>
      <c r="I3034" s="18"/>
      <c r="J3034" s="18"/>
      <c r="K3034" s="18"/>
      <c r="L3034" s="18"/>
      <c r="M3034" s="18"/>
      <c r="N3034" s="18"/>
      <c r="O3034" s="18"/>
      <c r="P3034" s="18"/>
      <c r="Q3034" s="18"/>
      <c r="R3034" s="18"/>
    </row>
    <row r="3035" spans="1:18" ht="18">
      <c r="A3035" s="61"/>
      <c r="B3035" s="15"/>
      <c r="C3035" s="44"/>
      <c r="D3035" s="45"/>
      <c r="E3035" s="18"/>
      <c r="F3035" s="18"/>
      <c r="G3035" s="18"/>
      <c r="H3035" s="18"/>
      <c r="I3035" s="18"/>
      <c r="J3035" s="18"/>
      <c r="K3035" s="18"/>
      <c r="L3035" s="18"/>
      <c r="M3035" s="18"/>
      <c r="N3035" s="18"/>
      <c r="O3035" s="18"/>
      <c r="P3035" s="18"/>
      <c r="Q3035" s="18"/>
      <c r="R3035" s="18"/>
    </row>
    <row r="3036" spans="1:18" ht="18">
      <c r="A3036" s="61"/>
      <c r="B3036" s="15"/>
      <c r="C3036" s="44"/>
      <c r="D3036" s="45"/>
      <c r="E3036" s="18"/>
      <c r="F3036" s="18"/>
      <c r="G3036" s="18"/>
      <c r="H3036" s="18"/>
      <c r="I3036" s="18"/>
      <c r="J3036" s="18"/>
      <c r="K3036" s="18"/>
      <c r="L3036" s="18"/>
      <c r="M3036" s="18"/>
      <c r="N3036" s="18"/>
      <c r="O3036" s="18"/>
      <c r="P3036" s="18"/>
      <c r="Q3036" s="18"/>
      <c r="R3036" s="18"/>
    </row>
    <row r="3037" spans="1:18" ht="18">
      <c r="A3037" s="61"/>
      <c r="B3037" s="15"/>
      <c r="C3037" s="44"/>
      <c r="D3037" s="45"/>
      <c r="E3037" s="18"/>
      <c r="F3037" s="18"/>
      <c r="G3037" s="18"/>
      <c r="H3037" s="18"/>
      <c r="I3037" s="18"/>
      <c r="J3037" s="18"/>
      <c r="K3037" s="18"/>
      <c r="L3037" s="18"/>
      <c r="M3037" s="18"/>
      <c r="N3037" s="18"/>
      <c r="O3037" s="18"/>
      <c r="P3037" s="18"/>
      <c r="Q3037" s="18"/>
      <c r="R3037" s="18"/>
    </row>
    <row r="3038" spans="1:18" ht="18">
      <c r="A3038" s="61"/>
      <c r="B3038" s="15"/>
      <c r="C3038" s="44"/>
      <c r="D3038" s="45"/>
      <c r="E3038" s="18"/>
      <c r="F3038" s="18"/>
      <c r="G3038" s="18"/>
      <c r="H3038" s="18"/>
      <c r="I3038" s="18"/>
      <c r="J3038" s="18"/>
      <c r="K3038" s="18"/>
      <c r="L3038" s="18"/>
      <c r="M3038" s="18"/>
      <c r="N3038" s="18"/>
      <c r="O3038" s="18"/>
      <c r="P3038" s="18"/>
      <c r="Q3038" s="18"/>
      <c r="R3038" s="18"/>
    </row>
    <row r="3039" spans="1:18" ht="18">
      <c r="A3039" s="61"/>
      <c r="B3039" s="15"/>
      <c r="C3039" s="44"/>
      <c r="D3039" s="45"/>
      <c r="E3039" s="18"/>
      <c r="F3039" s="18"/>
      <c r="G3039" s="18"/>
      <c r="H3039" s="18"/>
      <c r="I3039" s="18"/>
      <c r="J3039" s="18"/>
      <c r="K3039" s="18"/>
      <c r="L3039" s="18"/>
      <c r="M3039" s="18"/>
      <c r="N3039" s="18"/>
      <c r="O3039" s="18"/>
      <c r="P3039" s="18"/>
      <c r="Q3039" s="18"/>
      <c r="R3039" s="18"/>
    </row>
    <row r="3040" spans="1:18" ht="18">
      <c r="A3040" s="61"/>
      <c r="B3040" s="15"/>
      <c r="C3040" s="44"/>
      <c r="D3040" s="45"/>
      <c r="E3040" s="18"/>
      <c r="F3040" s="18"/>
      <c r="G3040" s="18"/>
      <c r="H3040" s="18"/>
      <c r="I3040" s="18"/>
      <c r="J3040" s="18"/>
      <c r="K3040" s="18"/>
      <c r="L3040" s="18"/>
      <c r="M3040" s="18"/>
      <c r="N3040" s="18"/>
      <c r="O3040" s="18"/>
      <c r="P3040" s="18"/>
      <c r="Q3040" s="18"/>
      <c r="R3040" s="18"/>
    </row>
    <row r="3041" spans="1:18" ht="18">
      <c r="A3041" s="61"/>
      <c r="B3041" s="15"/>
      <c r="C3041" s="44"/>
      <c r="D3041" s="45"/>
      <c r="E3041" s="18"/>
      <c r="F3041" s="18"/>
      <c r="G3041" s="18"/>
      <c r="H3041" s="18"/>
      <c r="I3041" s="18"/>
      <c r="J3041" s="18"/>
      <c r="K3041" s="18"/>
      <c r="L3041" s="18"/>
      <c r="M3041" s="18"/>
      <c r="N3041" s="18"/>
      <c r="O3041" s="18"/>
      <c r="P3041" s="18"/>
      <c r="Q3041" s="18"/>
      <c r="R3041" s="18"/>
    </row>
    <row r="3042" spans="1:18" ht="18">
      <c r="A3042" s="61"/>
      <c r="B3042" s="15"/>
      <c r="C3042" s="44"/>
      <c r="D3042" s="45"/>
      <c r="E3042" s="18"/>
      <c r="F3042" s="18"/>
      <c r="G3042" s="18"/>
      <c r="H3042" s="18"/>
      <c r="I3042" s="18"/>
      <c r="J3042" s="18"/>
      <c r="K3042" s="18"/>
      <c r="L3042" s="18"/>
      <c r="M3042" s="18"/>
      <c r="N3042" s="18"/>
      <c r="O3042" s="18"/>
      <c r="P3042" s="18"/>
      <c r="Q3042" s="18"/>
      <c r="R3042" s="18"/>
    </row>
    <row r="3043" spans="1:18" ht="18">
      <c r="A3043" s="61"/>
      <c r="B3043" s="15"/>
      <c r="C3043" s="44"/>
      <c r="D3043" s="45"/>
      <c r="E3043" s="18"/>
      <c r="F3043" s="18"/>
      <c r="G3043" s="18"/>
      <c r="H3043" s="18"/>
      <c r="I3043" s="18"/>
      <c r="J3043" s="18"/>
      <c r="K3043" s="18"/>
      <c r="L3043" s="18"/>
      <c r="M3043" s="18"/>
      <c r="N3043" s="18"/>
      <c r="O3043" s="18"/>
      <c r="P3043" s="18"/>
      <c r="Q3043" s="18"/>
      <c r="R3043" s="18"/>
    </row>
    <row r="3044" spans="1:18" ht="18">
      <c r="A3044" s="61"/>
      <c r="B3044" s="15"/>
      <c r="C3044" s="44"/>
      <c r="D3044" s="45"/>
      <c r="E3044" s="18"/>
      <c r="F3044" s="18"/>
      <c r="G3044" s="18"/>
      <c r="H3044" s="18"/>
      <c r="I3044" s="18"/>
      <c r="J3044" s="18"/>
      <c r="K3044" s="18"/>
      <c r="L3044" s="18"/>
      <c r="M3044" s="18"/>
      <c r="N3044" s="18"/>
      <c r="O3044" s="18"/>
      <c r="P3044" s="18"/>
      <c r="Q3044" s="18"/>
      <c r="R3044" s="18"/>
    </row>
    <row r="3045" spans="1:18" ht="18">
      <c r="A3045" s="61"/>
      <c r="B3045" s="15"/>
      <c r="C3045" s="44"/>
      <c r="D3045" s="45"/>
      <c r="E3045" s="18"/>
      <c r="F3045" s="18"/>
      <c r="G3045" s="18"/>
      <c r="H3045" s="18"/>
      <c r="I3045" s="18"/>
      <c r="J3045" s="18"/>
      <c r="K3045" s="18"/>
      <c r="L3045" s="18"/>
      <c r="M3045" s="18"/>
      <c r="N3045" s="18"/>
      <c r="O3045" s="18"/>
      <c r="P3045" s="18"/>
      <c r="Q3045" s="18"/>
      <c r="R3045" s="18"/>
    </row>
    <row r="3046" spans="1:18" ht="18">
      <c r="A3046" s="61"/>
      <c r="B3046" s="15"/>
      <c r="C3046" s="44"/>
      <c r="D3046" s="45"/>
      <c r="E3046" s="18"/>
      <c r="F3046" s="18"/>
      <c r="G3046" s="18"/>
      <c r="H3046" s="18"/>
      <c r="I3046" s="18"/>
      <c r="J3046" s="18"/>
      <c r="K3046" s="18"/>
      <c r="L3046" s="18"/>
      <c r="M3046" s="18"/>
      <c r="N3046" s="18"/>
      <c r="O3046" s="18"/>
      <c r="P3046" s="18"/>
      <c r="Q3046" s="18"/>
      <c r="R3046" s="18"/>
    </row>
    <row r="3047" spans="1:18" ht="18">
      <c r="A3047" s="61"/>
      <c r="B3047" s="15"/>
      <c r="C3047" s="44"/>
      <c r="D3047" s="45"/>
      <c r="E3047" s="18"/>
      <c r="F3047" s="18"/>
      <c r="G3047" s="18"/>
      <c r="H3047" s="18"/>
      <c r="I3047" s="18"/>
      <c r="J3047" s="18"/>
      <c r="K3047" s="18"/>
      <c r="L3047" s="18"/>
      <c r="M3047" s="18"/>
      <c r="N3047" s="18"/>
      <c r="O3047" s="18"/>
      <c r="P3047" s="18"/>
      <c r="Q3047" s="18"/>
      <c r="R3047" s="18"/>
    </row>
    <row r="3048" spans="1:18" ht="18">
      <c r="A3048" s="61"/>
      <c r="B3048" s="15"/>
      <c r="C3048" s="44"/>
      <c r="D3048" s="45"/>
      <c r="E3048" s="18"/>
      <c r="F3048" s="18"/>
      <c r="G3048" s="18"/>
      <c r="H3048" s="18"/>
      <c r="I3048" s="18"/>
      <c r="J3048" s="18"/>
      <c r="K3048" s="18"/>
      <c r="L3048" s="18"/>
      <c r="M3048" s="18"/>
      <c r="N3048" s="18"/>
      <c r="O3048" s="18"/>
      <c r="P3048" s="18"/>
      <c r="Q3048" s="18"/>
      <c r="R3048" s="18"/>
    </row>
    <row r="3049" spans="1:18" ht="18">
      <c r="A3049" s="61"/>
      <c r="B3049" s="15"/>
      <c r="C3049" s="44"/>
      <c r="D3049" s="45"/>
      <c r="E3049" s="18"/>
      <c r="F3049" s="18"/>
      <c r="G3049" s="18"/>
      <c r="H3049" s="18"/>
      <c r="I3049" s="18"/>
      <c r="J3049" s="18"/>
      <c r="K3049" s="18"/>
      <c r="L3049" s="18"/>
      <c r="M3049" s="18"/>
      <c r="N3049" s="18"/>
      <c r="O3049" s="18"/>
      <c r="P3049" s="18"/>
      <c r="Q3049" s="18"/>
      <c r="R3049" s="18"/>
    </row>
    <row r="3050" spans="1:18" ht="18">
      <c r="A3050" s="61"/>
      <c r="B3050" s="15"/>
      <c r="C3050" s="44"/>
      <c r="D3050" s="45"/>
      <c r="E3050" s="18"/>
      <c r="F3050" s="18"/>
      <c r="G3050" s="18"/>
      <c r="H3050" s="18"/>
      <c r="I3050" s="18"/>
      <c r="J3050" s="18"/>
      <c r="K3050" s="18"/>
      <c r="L3050" s="18"/>
      <c r="M3050" s="18"/>
      <c r="N3050" s="18"/>
      <c r="O3050" s="18"/>
      <c r="P3050" s="18"/>
      <c r="Q3050" s="18"/>
      <c r="R3050" s="18"/>
    </row>
    <row r="3051" spans="1:18" ht="18">
      <c r="A3051" s="61"/>
      <c r="B3051" s="15"/>
      <c r="C3051" s="44"/>
      <c r="D3051" s="45"/>
      <c r="E3051" s="18"/>
      <c r="F3051" s="18"/>
      <c r="G3051" s="18"/>
      <c r="H3051" s="18"/>
      <c r="I3051" s="18"/>
      <c r="J3051" s="18"/>
      <c r="K3051" s="18"/>
      <c r="L3051" s="18"/>
      <c r="M3051" s="18"/>
      <c r="N3051" s="18"/>
      <c r="O3051" s="18"/>
      <c r="P3051" s="18"/>
      <c r="Q3051" s="18"/>
      <c r="R3051" s="18"/>
    </row>
    <row r="3052" spans="1:18" ht="18">
      <c r="A3052" s="61"/>
      <c r="B3052" s="15"/>
      <c r="C3052" s="44"/>
      <c r="D3052" s="45"/>
      <c r="E3052" s="18"/>
      <c r="F3052" s="18"/>
      <c r="G3052" s="18"/>
      <c r="H3052" s="18"/>
      <c r="I3052" s="18"/>
      <c r="J3052" s="18"/>
      <c r="K3052" s="18"/>
      <c r="L3052" s="18"/>
      <c r="M3052" s="18"/>
      <c r="N3052" s="18"/>
      <c r="O3052" s="18"/>
      <c r="P3052" s="18"/>
      <c r="Q3052" s="18"/>
      <c r="R3052" s="18"/>
    </row>
    <row r="3053" spans="1:18" ht="18">
      <c r="A3053" s="61"/>
      <c r="B3053" s="15"/>
      <c r="C3053" s="44"/>
      <c r="D3053" s="45"/>
      <c r="E3053" s="18"/>
      <c r="F3053" s="18"/>
      <c r="G3053" s="18"/>
      <c r="H3053" s="18"/>
      <c r="I3053" s="18"/>
      <c r="J3053" s="18"/>
      <c r="K3053" s="18"/>
      <c r="L3053" s="18"/>
      <c r="M3053" s="18"/>
      <c r="N3053" s="18"/>
      <c r="O3053" s="18"/>
      <c r="P3053" s="18"/>
      <c r="Q3053" s="18"/>
      <c r="R3053" s="18"/>
    </row>
    <row r="3054" spans="1:18" ht="18">
      <c r="A3054" s="61"/>
      <c r="B3054" s="15"/>
      <c r="C3054" s="44"/>
      <c r="D3054" s="45"/>
      <c r="E3054" s="18"/>
      <c r="F3054" s="18"/>
      <c r="G3054" s="18"/>
      <c r="H3054" s="18"/>
      <c r="I3054" s="18"/>
      <c r="J3054" s="18"/>
      <c r="K3054" s="18"/>
      <c r="L3054" s="18"/>
      <c r="M3054" s="18"/>
      <c r="N3054" s="18"/>
      <c r="O3054" s="18"/>
      <c r="P3054" s="18"/>
      <c r="Q3054" s="18"/>
      <c r="R3054" s="18"/>
    </row>
    <row r="3055" spans="1:18" ht="18">
      <c r="A3055" s="61"/>
      <c r="B3055" s="15"/>
      <c r="C3055" s="44"/>
      <c r="D3055" s="45"/>
      <c r="E3055" s="18"/>
      <c r="F3055" s="18"/>
      <c r="G3055" s="18"/>
      <c r="H3055" s="18"/>
      <c r="I3055" s="18"/>
      <c r="J3055" s="18"/>
      <c r="K3055" s="18"/>
      <c r="L3055" s="18"/>
      <c r="M3055" s="18"/>
      <c r="N3055" s="18"/>
      <c r="O3055" s="18"/>
      <c r="P3055" s="18"/>
      <c r="Q3055" s="18"/>
      <c r="R3055" s="18"/>
    </row>
    <row r="3056" spans="1:18" ht="18">
      <c r="A3056" s="61"/>
      <c r="B3056" s="15"/>
      <c r="C3056" s="44"/>
      <c r="D3056" s="45"/>
      <c r="E3056" s="18"/>
      <c r="F3056" s="18"/>
      <c r="G3056" s="18"/>
      <c r="H3056" s="18"/>
      <c r="I3056" s="18"/>
      <c r="J3056" s="18"/>
      <c r="K3056" s="18"/>
      <c r="L3056" s="18"/>
      <c r="M3056" s="18"/>
      <c r="N3056" s="18"/>
      <c r="O3056" s="18"/>
      <c r="P3056" s="18"/>
      <c r="Q3056" s="18"/>
      <c r="R3056" s="18"/>
    </row>
    <row r="3057" spans="1:18" ht="18">
      <c r="A3057" s="61"/>
      <c r="B3057" s="15"/>
      <c r="C3057" s="44"/>
      <c r="D3057" s="45"/>
      <c r="E3057" s="18"/>
      <c r="F3057" s="18"/>
      <c r="G3057" s="18"/>
      <c r="H3057" s="18"/>
      <c r="I3057" s="18"/>
      <c r="J3057" s="18"/>
      <c r="K3057" s="18"/>
      <c r="L3057" s="18"/>
      <c r="M3057" s="18"/>
      <c r="N3057" s="18"/>
      <c r="O3057" s="18"/>
      <c r="P3057" s="18"/>
      <c r="Q3057" s="18"/>
      <c r="R3057" s="18"/>
    </row>
    <row r="3058" spans="1:18" ht="18">
      <c r="A3058" s="61"/>
      <c r="B3058" s="15"/>
      <c r="C3058" s="44"/>
      <c r="D3058" s="45"/>
      <c r="E3058" s="18"/>
      <c r="F3058" s="18"/>
      <c r="G3058" s="18"/>
      <c r="H3058" s="18"/>
      <c r="I3058" s="18"/>
      <c r="J3058" s="18"/>
      <c r="K3058" s="18"/>
      <c r="L3058" s="18"/>
      <c r="M3058" s="18"/>
      <c r="N3058" s="18"/>
      <c r="O3058" s="18"/>
      <c r="P3058" s="18"/>
      <c r="Q3058" s="18"/>
      <c r="R3058" s="18"/>
    </row>
    <row r="3059" spans="1:18" ht="18">
      <c r="A3059" s="61"/>
      <c r="B3059" s="15"/>
      <c r="C3059" s="44"/>
      <c r="D3059" s="45"/>
      <c r="E3059" s="18"/>
      <c r="F3059" s="18"/>
      <c r="G3059" s="18"/>
      <c r="H3059" s="18"/>
      <c r="I3059" s="18"/>
      <c r="J3059" s="18"/>
      <c r="K3059" s="18"/>
      <c r="L3059" s="18"/>
      <c r="M3059" s="18"/>
      <c r="N3059" s="18"/>
      <c r="O3059" s="18"/>
      <c r="P3059" s="18"/>
      <c r="Q3059" s="18"/>
      <c r="R3059" s="18"/>
    </row>
    <row r="3060" spans="1:18" ht="18">
      <c r="A3060" s="61"/>
      <c r="B3060" s="15"/>
      <c r="C3060" s="44"/>
      <c r="D3060" s="45"/>
      <c r="E3060" s="18"/>
      <c r="F3060" s="18"/>
      <c r="G3060" s="18"/>
      <c r="H3060" s="18"/>
      <c r="I3060" s="18"/>
      <c r="J3060" s="18"/>
      <c r="K3060" s="18"/>
      <c r="L3060" s="18"/>
      <c r="M3060" s="18"/>
      <c r="N3060" s="18"/>
      <c r="O3060" s="18"/>
      <c r="P3060" s="18"/>
      <c r="Q3060" s="18"/>
      <c r="R3060" s="18"/>
    </row>
    <row r="3061" spans="1:18" ht="18">
      <c r="A3061" s="61"/>
      <c r="B3061" s="15"/>
      <c r="C3061" s="44"/>
      <c r="D3061" s="45"/>
      <c r="E3061" s="18"/>
      <c r="F3061" s="18"/>
      <c r="G3061" s="18"/>
      <c r="H3061" s="18"/>
      <c r="I3061" s="18"/>
      <c r="J3061" s="18"/>
      <c r="K3061" s="18"/>
      <c r="L3061" s="18"/>
      <c r="M3061" s="18"/>
      <c r="N3061" s="18"/>
      <c r="O3061" s="18"/>
      <c r="P3061" s="18"/>
      <c r="Q3061" s="18"/>
      <c r="R3061" s="18"/>
    </row>
    <row r="3062" spans="1:18" ht="18">
      <c r="A3062" s="61"/>
      <c r="B3062" s="15"/>
      <c r="C3062" s="44"/>
      <c r="D3062" s="45"/>
      <c r="E3062" s="18"/>
      <c r="F3062" s="18"/>
      <c r="G3062" s="18"/>
      <c r="H3062" s="18"/>
      <c r="I3062" s="18"/>
      <c r="J3062" s="18"/>
      <c r="K3062" s="18"/>
      <c r="L3062" s="18"/>
      <c r="M3062" s="18"/>
      <c r="N3062" s="18"/>
      <c r="O3062" s="18"/>
      <c r="P3062" s="18"/>
      <c r="Q3062" s="18"/>
      <c r="R3062" s="18"/>
    </row>
    <row r="3063" spans="1:18" ht="18">
      <c r="A3063" s="61"/>
      <c r="B3063" s="15"/>
      <c r="C3063" s="44"/>
      <c r="D3063" s="45"/>
      <c r="E3063" s="18"/>
      <c r="F3063" s="18"/>
      <c r="G3063" s="18"/>
      <c r="H3063" s="18"/>
      <c r="I3063" s="18"/>
      <c r="J3063" s="18"/>
      <c r="K3063" s="18"/>
      <c r="L3063" s="18"/>
      <c r="M3063" s="18"/>
      <c r="N3063" s="18"/>
      <c r="O3063" s="18"/>
      <c r="P3063" s="18"/>
      <c r="Q3063" s="18"/>
      <c r="R3063" s="18"/>
    </row>
    <row r="3064" spans="1:18" ht="18">
      <c r="A3064" s="61"/>
      <c r="B3064" s="15"/>
      <c r="C3064" s="44"/>
      <c r="D3064" s="45"/>
      <c r="E3064" s="18"/>
      <c r="F3064" s="18"/>
      <c r="G3064" s="18"/>
      <c r="H3064" s="18"/>
      <c r="I3064" s="18"/>
      <c r="J3064" s="18"/>
      <c r="K3064" s="18"/>
      <c r="L3064" s="18"/>
      <c r="M3064" s="18"/>
      <c r="N3064" s="18"/>
      <c r="O3064" s="18"/>
      <c r="P3064" s="18"/>
      <c r="Q3064" s="18"/>
      <c r="R3064" s="18"/>
    </row>
    <row r="3065" spans="1:18" ht="18">
      <c r="A3065" s="61"/>
      <c r="B3065" s="15"/>
      <c r="C3065" s="44"/>
      <c r="D3065" s="45"/>
      <c r="E3065" s="18"/>
      <c r="F3065" s="18"/>
      <c r="G3065" s="18"/>
      <c r="H3065" s="18"/>
      <c r="I3065" s="18"/>
      <c r="J3065" s="18"/>
      <c r="K3065" s="18"/>
      <c r="L3065" s="18"/>
      <c r="M3065" s="18"/>
      <c r="N3065" s="18"/>
      <c r="O3065" s="18"/>
      <c r="P3065" s="18"/>
      <c r="Q3065" s="18"/>
      <c r="R3065" s="18"/>
    </row>
    <row r="3066" spans="1:18" ht="18">
      <c r="A3066" s="61"/>
      <c r="B3066" s="15"/>
      <c r="C3066" s="44"/>
      <c r="D3066" s="45"/>
      <c r="E3066" s="18"/>
      <c r="F3066" s="18"/>
      <c r="G3066" s="18"/>
      <c r="H3066" s="18"/>
      <c r="I3066" s="18"/>
      <c r="J3066" s="18"/>
      <c r="K3066" s="18"/>
      <c r="L3066" s="18"/>
      <c r="M3066" s="18"/>
      <c r="N3066" s="18"/>
      <c r="O3066" s="18"/>
      <c r="P3066" s="18"/>
      <c r="Q3066" s="18"/>
      <c r="R3066" s="18"/>
    </row>
    <row r="3067" spans="1:18" ht="18">
      <c r="A3067" s="61"/>
      <c r="B3067" s="15"/>
      <c r="C3067" s="44"/>
      <c r="D3067" s="45"/>
      <c r="E3067" s="18"/>
      <c r="F3067" s="18"/>
      <c r="G3067" s="18"/>
      <c r="H3067" s="18"/>
      <c r="I3067" s="18"/>
      <c r="J3067" s="18"/>
      <c r="K3067" s="18"/>
      <c r="L3067" s="18"/>
      <c r="M3067" s="18"/>
      <c r="N3067" s="18"/>
      <c r="O3067" s="18"/>
      <c r="P3067" s="18"/>
      <c r="Q3067" s="18"/>
      <c r="R3067" s="18"/>
    </row>
    <row r="3068" spans="1:18" ht="18">
      <c r="A3068" s="61"/>
      <c r="B3068" s="15"/>
      <c r="C3068" s="44"/>
      <c r="D3068" s="45"/>
      <c r="E3068" s="18"/>
      <c r="F3068" s="18"/>
      <c r="G3068" s="18"/>
      <c r="H3068" s="18"/>
      <c r="I3068" s="18"/>
      <c r="J3068" s="18"/>
      <c r="K3068" s="18"/>
      <c r="L3068" s="18"/>
      <c r="M3068" s="18"/>
      <c r="N3068" s="18"/>
      <c r="O3068" s="18"/>
      <c r="P3068" s="18"/>
      <c r="Q3068" s="18"/>
      <c r="R3068" s="18"/>
    </row>
    <row r="3069" spans="1:18" ht="18">
      <c r="A3069" s="61"/>
      <c r="B3069" s="15"/>
      <c r="C3069" s="44"/>
      <c r="D3069" s="45"/>
      <c r="E3069" s="18"/>
      <c r="F3069" s="18"/>
      <c r="G3069" s="18"/>
      <c r="H3069" s="18"/>
      <c r="I3069" s="18"/>
      <c r="J3069" s="18"/>
      <c r="K3069" s="18"/>
      <c r="L3069" s="18"/>
      <c r="M3069" s="18"/>
      <c r="N3069" s="18"/>
      <c r="O3069" s="18"/>
      <c r="P3069" s="18"/>
      <c r="Q3069" s="18"/>
      <c r="R3069" s="18"/>
    </row>
    <row r="3070" spans="1:18" ht="18">
      <c r="A3070" s="61"/>
      <c r="B3070" s="15"/>
      <c r="C3070" s="44"/>
      <c r="D3070" s="45"/>
      <c r="E3070" s="18"/>
      <c r="F3070" s="18"/>
      <c r="G3070" s="18"/>
      <c r="H3070" s="18"/>
      <c r="I3070" s="18"/>
      <c r="J3070" s="18"/>
      <c r="K3070" s="18"/>
      <c r="L3070" s="18"/>
      <c r="M3070" s="18"/>
      <c r="N3070" s="18"/>
      <c r="O3070" s="18"/>
      <c r="P3070" s="18"/>
      <c r="Q3070" s="18"/>
      <c r="R3070" s="18"/>
    </row>
    <row r="3071" spans="1:18" ht="18">
      <c r="A3071" s="61"/>
      <c r="B3071" s="15"/>
      <c r="C3071" s="44"/>
      <c r="D3071" s="45"/>
      <c r="E3071" s="18"/>
      <c r="F3071" s="18"/>
      <c r="G3071" s="18"/>
      <c r="H3071" s="18"/>
      <c r="I3071" s="18"/>
      <c r="J3071" s="18"/>
      <c r="K3071" s="18"/>
      <c r="L3071" s="18"/>
      <c r="M3071" s="18"/>
      <c r="N3071" s="18"/>
      <c r="O3071" s="18"/>
      <c r="P3071" s="18"/>
      <c r="Q3071" s="18"/>
      <c r="R3071" s="18"/>
    </row>
    <row r="3072" spans="1:18" ht="18">
      <c r="A3072" s="61"/>
      <c r="B3072" s="15"/>
      <c r="C3072" s="44"/>
      <c r="D3072" s="45"/>
      <c r="E3072" s="18"/>
      <c r="F3072" s="18"/>
      <c r="G3072" s="18"/>
      <c r="H3072" s="18"/>
      <c r="I3072" s="18"/>
      <c r="J3072" s="18"/>
      <c r="K3072" s="18"/>
      <c r="L3072" s="18"/>
      <c r="M3072" s="18"/>
      <c r="N3072" s="18"/>
      <c r="O3072" s="18"/>
      <c r="P3072" s="18"/>
      <c r="Q3072" s="18"/>
      <c r="R3072" s="18"/>
    </row>
    <row r="3073" spans="1:18" ht="18">
      <c r="A3073" s="61"/>
      <c r="B3073" s="15"/>
      <c r="C3073" s="44"/>
      <c r="D3073" s="45"/>
      <c r="E3073" s="18"/>
      <c r="F3073" s="18"/>
      <c r="G3073" s="18"/>
      <c r="H3073" s="18"/>
      <c r="I3073" s="18"/>
      <c r="J3073" s="18"/>
      <c r="K3073" s="18"/>
      <c r="L3073" s="18"/>
      <c r="M3073" s="18"/>
      <c r="N3073" s="18"/>
      <c r="O3073" s="18"/>
      <c r="P3073" s="18"/>
      <c r="Q3073" s="18"/>
      <c r="R3073" s="18"/>
    </row>
    <row r="3074" spans="1:18" ht="18">
      <c r="A3074" s="61"/>
      <c r="B3074" s="15"/>
      <c r="C3074" s="44"/>
      <c r="D3074" s="45"/>
      <c r="E3074" s="18"/>
      <c r="F3074" s="18"/>
      <c r="G3074" s="18"/>
      <c r="H3074" s="18"/>
      <c r="I3074" s="18"/>
      <c r="J3074" s="18"/>
      <c r="K3074" s="18"/>
      <c r="L3074" s="18"/>
      <c r="M3074" s="18"/>
      <c r="N3074" s="18"/>
      <c r="O3074" s="18"/>
      <c r="P3074" s="18"/>
      <c r="Q3074" s="18"/>
      <c r="R3074" s="18"/>
    </row>
    <row r="3075" spans="1:18" ht="18">
      <c r="A3075" s="61"/>
      <c r="B3075" s="15"/>
      <c r="C3075" s="44"/>
      <c r="D3075" s="45"/>
      <c r="E3075" s="18"/>
      <c r="F3075" s="18"/>
      <c r="G3075" s="18"/>
      <c r="H3075" s="18"/>
      <c r="I3075" s="18"/>
      <c r="J3075" s="18"/>
      <c r="K3075" s="18"/>
      <c r="L3075" s="18"/>
      <c r="M3075" s="18"/>
      <c r="N3075" s="18"/>
      <c r="O3075" s="18"/>
      <c r="P3075" s="18"/>
      <c r="Q3075" s="18"/>
      <c r="R3075" s="18"/>
    </row>
    <row r="3076" spans="1:18" ht="18">
      <c r="A3076" s="61"/>
      <c r="B3076" s="15"/>
      <c r="C3076" s="44"/>
      <c r="D3076" s="45"/>
      <c r="E3076" s="18"/>
      <c r="F3076" s="18"/>
      <c r="G3076" s="18"/>
      <c r="H3076" s="18"/>
      <c r="I3076" s="18"/>
      <c r="J3076" s="18"/>
      <c r="K3076" s="18"/>
      <c r="L3076" s="18"/>
      <c r="M3076" s="18"/>
      <c r="N3076" s="18"/>
      <c r="O3076" s="18"/>
      <c r="P3076" s="18"/>
      <c r="Q3076" s="18"/>
      <c r="R3076" s="18"/>
    </row>
    <row r="3077" spans="1:18" ht="18">
      <c r="A3077" s="61"/>
      <c r="B3077" s="15"/>
      <c r="C3077" s="44"/>
      <c r="D3077" s="45"/>
      <c r="E3077" s="18"/>
      <c r="F3077" s="18"/>
      <c r="G3077" s="18"/>
      <c r="H3077" s="18"/>
      <c r="I3077" s="18"/>
      <c r="J3077" s="18"/>
      <c r="K3077" s="18"/>
      <c r="L3077" s="18"/>
      <c r="M3077" s="18"/>
      <c r="N3077" s="18"/>
      <c r="O3077" s="18"/>
      <c r="P3077" s="18"/>
      <c r="Q3077" s="18"/>
      <c r="R3077" s="18"/>
    </row>
    <row r="3078" spans="1:18" ht="18">
      <c r="A3078" s="61"/>
      <c r="B3078" s="15"/>
      <c r="C3078" s="44"/>
      <c r="D3078" s="45"/>
      <c r="E3078" s="18"/>
      <c r="F3078" s="18"/>
      <c r="G3078" s="18"/>
      <c r="H3078" s="18"/>
      <c r="I3078" s="18"/>
      <c r="J3078" s="18"/>
      <c r="K3078" s="18"/>
      <c r="L3078" s="18"/>
      <c r="M3078" s="18"/>
      <c r="N3078" s="18"/>
      <c r="O3078" s="18"/>
      <c r="P3078" s="18"/>
      <c r="Q3078" s="18"/>
      <c r="R3078" s="18"/>
    </row>
    <row r="3079" spans="1:18" ht="18">
      <c r="A3079" s="61"/>
      <c r="B3079" s="15"/>
      <c r="C3079" s="44"/>
      <c r="D3079" s="45"/>
      <c r="E3079" s="18"/>
      <c r="F3079" s="18"/>
      <c r="G3079" s="18"/>
      <c r="H3079" s="18"/>
      <c r="I3079" s="18"/>
      <c r="J3079" s="18"/>
      <c r="K3079" s="18"/>
      <c r="L3079" s="18"/>
      <c r="M3079" s="18"/>
      <c r="N3079" s="18"/>
      <c r="O3079" s="18"/>
      <c r="P3079" s="18"/>
      <c r="Q3079" s="18"/>
      <c r="R3079" s="18"/>
    </row>
    <row r="3080" spans="1:18" ht="18">
      <c r="A3080" s="61"/>
      <c r="B3080" s="15"/>
      <c r="C3080" s="44"/>
      <c r="D3080" s="45"/>
      <c r="E3080" s="18"/>
      <c r="F3080" s="18"/>
      <c r="G3080" s="18"/>
      <c r="H3080" s="18"/>
      <c r="I3080" s="18"/>
      <c r="J3080" s="18"/>
      <c r="K3080" s="18"/>
      <c r="L3080" s="18"/>
      <c r="M3080" s="18"/>
      <c r="N3080" s="18"/>
      <c r="O3080" s="18"/>
      <c r="P3080" s="18"/>
      <c r="Q3080" s="18"/>
      <c r="R3080" s="18"/>
    </row>
    <row r="3081" spans="1:18" ht="18">
      <c r="A3081" s="61"/>
      <c r="B3081" s="15"/>
      <c r="C3081" s="44"/>
      <c r="D3081" s="45"/>
      <c r="E3081" s="18"/>
      <c r="F3081" s="18"/>
      <c r="G3081" s="18"/>
      <c r="H3081" s="18"/>
      <c r="I3081" s="18"/>
      <c r="J3081" s="18"/>
      <c r="K3081" s="18"/>
      <c r="L3081" s="18"/>
      <c r="M3081" s="18"/>
      <c r="N3081" s="18"/>
      <c r="O3081" s="18"/>
      <c r="P3081" s="18"/>
      <c r="Q3081" s="18"/>
      <c r="R3081" s="18"/>
    </row>
    <row r="3082" spans="1:18" ht="18">
      <c r="A3082" s="61"/>
      <c r="B3082" s="15"/>
      <c r="C3082" s="44"/>
      <c r="D3082" s="45"/>
      <c r="E3082" s="18"/>
      <c r="F3082" s="18"/>
      <c r="G3082" s="18"/>
      <c r="H3082" s="18"/>
      <c r="I3082" s="18"/>
      <c r="J3082" s="18"/>
      <c r="K3082" s="18"/>
      <c r="L3082" s="18"/>
      <c r="M3082" s="18"/>
      <c r="N3082" s="18"/>
      <c r="O3082" s="18"/>
      <c r="P3082" s="18"/>
      <c r="Q3082" s="18"/>
      <c r="R3082" s="18"/>
    </row>
    <row r="3083" spans="1:18" ht="18">
      <c r="A3083" s="61"/>
      <c r="B3083" s="15"/>
      <c r="C3083" s="44"/>
      <c r="D3083" s="45"/>
      <c r="E3083" s="18"/>
      <c r="F3083" s="18"/>
      <c r="G3083" s="18"/>
      <c r="H3083" s="18"/>
      <c r="I3083" s="18"/>
      <c r="J3083" s="18"/>
      <c r="K3083" s="18"/>
      <c r="L3083" s="18"/>
      <c r="M3083" s="18"/>
      <c r="N3083" s="18"/>
      <c r="O3083" s="18"/>
      <c r="P3083" s="18"/>
      <c r="Q3083" s="18"/>
      <c r="R3083" s="18"/>
    </row>
    <row r="3084" spans="1:18" ht="18">
      <c r="A3084" s="61"/>
      <c r="B3084" s="15"/>
      <c r="C3084" s="44"/>
      <c r="D3084" s="45"/>
      <c r="E3084" s="18"/>
      <c r="F3084" s="18"/>
      <c r="G3084" s="18"/>
      <c r="H3084" s="18"/>
      <c r="I3084" s="18"/>
      <c r="J3084" s="18"/>
      <c r="K3084" s="18"/>
      <c r="L3084" s="18"/>
      <c r="M3084" s="18"/>
      <c r="N3084" s="18"/>
      <c r="O3084" s="18"/>
      <c r="P3084" s="18"/>
      <c r="Q3084" s="18"/>
      <c r="R3084" s="18"/>
    </row>
    <row r="3085" spans="1:18" ht="18">
      <c r="A3085" s="61"/>
      <c r="B3085" s="15"/>
      <c r="C3085" s="44"/>
      <c r="D3085" s="45"/>
      <c r="E3085" s="18"/>
      <c r="F3085" s="18"/>
      <c r="G3085" s="18"/>
      <c r="H3085" s="18"/>
      <c r="I3085" s="18"/>
      <c r="J3085" s="18"/>
      <c r="K3085" s="18"/>
      <c r="L3085" s="18"/>
      <c r="M3085" s="18"/>
      <c r="N3085" s="18"/>
      <c r="O3085" s="18"/>
      <c r="P3085" s="18"/>
      <c r="Q3085" s="18"/>
      <c r="R3085" s="18"/>
    </row>
    <row r="3086" spans="1:18" ht="18">
      <c r="A3086" s="61"/>
      <c r="B3086" s="15"/>
      <c r="C3086" s="44"/>
      <c r="D3086" s="45"/>
      <c r="E3086" s="18"/>
      <c r="F3086" s="18"/>
      <c r="G3086" s="18"/>
      <c r="H3086" s="18"/>
      <c r="I3086" s="18"/>
      <c r="J3086" s="18"/>
      <c r="K3086" s="18"/>
      <c r="L3086" s="18"/>
      <c r="M3086" s="18"/>
      <c r="N3086" s="18"/>
      <c r="O3086" s="18"/>
      <c r="P3086" s="18"/>
      <c r="Q3086" s="18"/>
      <c r="R3086" s="18"/>
    </row>
    <row r="3087" spans="1:18" ht="18">
      <c r="A3087" s="61"/>
      <c r="B3087" s="15"/>
      <c r="C3087" s="44"/>
      <c r="D3087" s="45"/>
      <c r="E3087" s="18"/>
      <c r="F3087" s="18"/>
      <c r="G3087" s="18"/>
      <c r="H3087" s="18"/>
      <c r="I3087" s="18"/>
      <c r="J3087" s="18"/>
      <c r="K3087" s="18"/>
      <c r="L3087" s="18"/>
      <c r="M3087" s="18"/>
      <c r="N3087" s="18"/>
      <c r="O3087" s="18"/>
      <c r="P3087" s="18"/>
      <c r="Q3087" s="18"/>
      <c r="R3087" s="18"/>
    </row>
    <row r="3088" spans="1:18" ht="18">
      <c r="A3088" s="61"/>
      <c r="B3088" s="15"/>
      <c r="C3088" s="44"/>
      <c r="D3088" s="45"/>
      <c r="E3088" s="18"/>
      <c r="F3088" s="18"/>
      <c r="G3088" s="18"/>
      <c r="H3088" s="18"/>
      <c r="I3088" s="18"/>
      <c r="J3088" s="18"/>
      <c r="K3088" s="18"/>
      <c r="L3088" s="18"/>
      <c r="M3088" s="18"/>
      <c r="N3088" s="18"/>
      <c r="O3088" s="18"/>
      <c r="P3088" s="18"/>
      <c r="Q3088" s="18"/>
      <c r="R3088" s="18"/>
    </row>
    <row r="3089" spans="1:18" ht="18">
      <c r="A3089" s="61"/>
      <c r="B3089" s="15"/>
      <c r="C3089" s="44"/>
      <c r="D3089" s="45"/>
      <c r="E3089" s="18"/>
      <c r="F3089" s="18"/>
      <c r="G3089" s="18"/>
      <c r="H3089" s="18"/>
      <c r="I3089" s="18"/>
      <c r="J3089" s="18"/>
      <c r="K3089" s="18"/>
      <c r="L3089" s="18"/>
      <c r="M3089" s="18"/>
      <c r="N3089" s="18"/>
      <c r="O3089" s="18"/>
      <c r="P3089" s="18"/>
      <c r="Q3089" s="18"/>
      <c r="R3089" s="18"/>
    </row>
    <row r="3090" spans="1:18" ht="18">
      <c r="A3090" s="61"/>
      <c r="B3090" s="15"/>
      <c r="C3090" s="44"/>
      <c r="D3090" s="45"/>
      <c r="E3090" s="18"/>
      <c r="F3090" s="18"/>
      <c r="G3090" s="18"/>
      <c r="H3090" s="18"/>
      <c r="I3090" s="18"/>
      <c r="J3090" s="18"/>
      <c r="K3090" s="18"/>
      <c r="L3090" s="18"/>
      <c r="M3090" s="18"/>
      <c r="N3090" s="18"/>
      <c r="O3090" s="18"/>
      <c r="P3090" s="18"/>
      <c r="Q3090" s="18"/>
      <c r="R3090" s="18"/>
    </row>
    <row r="3091" spans="1:18" ht="18">
      <c r="A3091" s="61"/>
      <c r="B3091" s="15"/>
      <c r="C3091" s="44"/>
      <c r="D3091" s="45"/>
      <c r="E3091" s="18"/>
      <c r="F3091" s="18"/>
      <c r="G3091" s="18"/>
      <c r="H3091" s="18"/>
      <c r="I3091" s="18"/>
      <c r="J3091" s="18"/>
      <c r="K3091" s="18"/>
      <c r="L3091" s="18"/>
      <c r="M3091" s="18"/>
      <c r="N3091" s="18"/>
      <c r="O3091" s="18"/>
      <c r="P3091" s="18"/>
      <c r="Q3091" s="18"/>
      <c r="R3091" s="18"/>
    </row>
    <row r="3092" spans="1:18" ht="18">
      <c r="A3092" s="61"/>
      <c r="B3092" s="15"/>
      <c r="C3092" s="44"/>
      <c r="D3092" s="45"/>
      <c r="E3092" s="18"/>
      <c r="F3092" s="18"/>
      <c r="G3092" s="18"/>
      <c r="H3092" s="18"/>
      <c r="I3092" s="18"/>
      <c r="J3092" s="18"/>
      <c r="K3092" s="18"/>
      <c r="L3092" s="18"/>
      <c r="M3092" s="18"/>
      <c r="N3092" s="18"/>
      <c r="O3092" s="18"/>
      <c r="P3092" s="18"/>
      <c r="Q3092" s="18"/>
      <c r="R3092" s="18"/>
    </row>
    <row r="3093" spans="1:18" ht="18">
      <c r="A3093" s="61"/>
      <c r="B3093" s="15"/>
      <c r="C3093" s="44"/>
      <c r="D3093" s="45"/>
      <c r="E3093" s="18"/>
      <c r="F3093" s="18"/>
      <c r="G3093" s="18"/>
      <c r="H3093" s="18"/>
      <c r="I3093" s="18"/>
      <c r="J3093" s="18"/>
      <c r="K3093" s="18"/>
      <c r="L3093" s="18"/>
      <c r="M3093" s="18"/>
      <c r="N3093" s="18"/>
      <c r="O3093" s="18"/>
      <c r="P3093" s="18"/>
      <c r="Q3093" s="18"/>
      <c r="R3093" s="18"/>
    </row>
    <row r="3094" spans="1:18" ht="18">
      <c r="A3094" s="61"/>
      <c r="B3094" s="15"/>
      <c r="C3094" s="44"/>
      <c r="D3094" s="45"/>
      <c r="E3094" s="18"/>
      <c r="F3094" s="18"/>
      <c r="G3094" s="18"/>
      <c r="H3094" s="18"/>
      <c r="I3094" s="18"/>
      <c r="J3094" s="18"/>
      <c r="K3094" s="18"/>
      <c r="L3094" s="18"/>
      <c r="M3094" s="18"/>
      <c r="N3094" s="18"/>
      <c r="O3094" s="18"/>
      <c r="P3094" s="18"/>
      <c r="Q3094" s="18"/>
      <c r="R3094" s="18"/>
    </row>
    <row r="3095" spans="1:18" ht="18">
      <c r="A3095" s="61"/>
      <c r="B3095" s="15"/>
      <c r="C3095" s="44"/>
      <c r="D3095" s="45"/>
      <c r="E3095" s="18"/>
      <c r="F3095" s="18"/>
      <c r="G3095" s="18"/>
      <c r="H3095" s="18"/>
      <c r="I3095" s="18"/>
      <c r="J3095" s="18"/>
      <c r="K3095" s="18"/>
      <c r="L3095" s="18"/>
      <c r="M3095" s="18"/>
      <c r="N3095" s="18"/>
      <c r="O3095" s="18"/>
      <c r="P3095" s="18"/>
      <c r="Q3095" s="18"/>
      <c r="R3095" s="18"/>
    </row>
    <row r="3096" spans="1:18" ht="18">
      <c r="A3096" s="61"/>
      <c r="B3096" s="15"/>
      <c r="C3096" s="44"/>
      <c r="D3096" s="45"/>
      <c r="E3096" s="18"/>
      <c r="F3096" s="18"/>
      <c r="G3096" s="18"/>
      <c r="H3096" s="18"/>
      <c r="I3096" s="18"/>
      <c r="J3096" s="18"/>
      <c r="K3096" s="18"/>
      <c r="L3096" s="18"/>
      <c r="M3096" s="18"/>
      <c r="N3096" s="18"/>
      <c r="O3096" s="18"/>
      <c r="P3096" s="18"/>
      <c r="Q3096" s="18"/>
      <c r="R3096" s="18"/>
    </row>
    <row r="3097" spans="1:18" ht="18">
      <c r="A3097" s="61"/>
      <c r="B3097" s="15"/>
      <c r="C3097" s="44"/>
      <c r="D3097" s="45"/>
      <c r="E3097" s="18"/>
      <c r="F3097" s="18"/>
      <c r="G3097" s="18"/>
      <c r="H3097" s="18"/>
      <c r="I3097" s="18"/>
      <c r="J3097" s="18"/>
      <c r="K3097" s="18"/>
      <c r="L3097" s="18"/>
      <c r="M3097" s="18"/>
      <c r="N3097" s="18"/>
      <c r="O3097" s="18"/>
      <c r="P3097" s="18"/>
      <c r="Q3097" s="18"/>
      <c r="R3097" s="18"/>
    </row>
    <row r="3098" spans="1:18" ht="18">
      <c r="A3098" s="61"/>
      <c r="B3098" s="15"/>
      <c r="C3098" s="44"/>
      <c r="D3098" s="45"/>
      <c r="E3098" s="18"/>
      <c r="F3098" s="18"/>
      <c r="G3098" s="18"/>
      <c r="H3098" s="18"/>
      <c r="I3098" s="18"/>
      <c r="J3098" s="18"/>
      <c r="K3098" s="18"/>
      <c r="L3098" s="18"/>
      <c r="M3098" s="18"/>
      <c r="N3098" s="18"/>
      <c r="O3098" s="18"/>
      <c r="P3098" s="18"/>
      <c r="Q3098" s="18"/>
      <c r="R3098" s="18"/>
    </row>
    <row r="3099" spans="1:18" ht="18">
      <c r="A3099" s="61"/>
      <c r="B3099" s="15"/>
      <c r="C3099" s="44"/>
      <c r="D3099" s="45"/>
      <c r="E3099" s="18"/>
      <c r="F3099" s="18"/>
      <c r="G3099" s="18"/>
      <c r="H3099" s="18"/>
      <c r="I3099" s="18"/>
      <c r="J3099" s="18"/>
      <c r="K3099" s="18"/>
      <c r="L3099" s="18"/>
      <c r="M3099" s="18"/>
      <c r="N3099" s="18"/>
      <c r="O3099" s="18"/>
      <c r="P3099" s="18"/>
      <c r="Q3099" s="18"/>
      <c r="R3099" s="18"/>
    </row>
    <row r="3100" spans="1:18" ht="18">
      <c r="A3100" s="61"/>
      <c r="B3100" s="15"/>
      <c r="C3100" s="44"/>
      <c r="D3100" s="45"/>
      <c r="E3100" s="18"/>
      <c r="F3100" s="18"/>
      <c r="G3100" s="18"/>
      <c r="H3100" s="18"/>
      <c r="I3100" s="18"/>
      <c r="J3100" s="18"/>
      <c r="K3100" s="18"/>
      <c r="L3100" s="18"/>
      <c r="M3100" s="18"/>
      <c r="N3100" s="18"/>
      <c r="O3100" s="18"/>
      <c r="P3100" s="18"/>
      <c r="Q3100" s="18"/>
      <c r="R3100" s="18"/>
    </row>
    <row r="3101" spans="1:18" ht="18">
      <c r="A3101" s="61"/>
      <c r="B3101" s="15"/>
      <c r="C3101" s="44"/>
      <c r="D3101" s="45"/>
      <c r="E3101" s="18"/>
      <c r="F3101" s="18"/>
      <c r="G3101" s="18"/>
      <c r="H3101" s="18"/>
      <c r="I3101" s="18"/>
      <c r="J3101" s="18"/>
      <c r="K3101" s="18"/>
      <c r="L3101" s="18"/>
      <c r="M3101" s="18"/>
      <c r="N3101" s="18"/>
      <c r="O3101" s="18"/>
      <c r="P3101" s="18"/>
      <c r="Q3101" s="18"/>
      <c r="R3101" s="18"/>
    </row>
    <row r="3102" spans="1:18" ht="18">
      <c r="A3102" s="61"/>
      <c r="B3102" s="15"/>
      <c r="C3102" s="44"/>
      <c r="D3102" s="45"/>
      <c r="E3102" s="18"/>
      <c r="F3102" s="18"/>
      <c r="G3102" s="18"/>
      <c r="H3102" s="18"/>
      <c r="I3102" s="18"/>
      <c r="J3102" s="18"/>
      <c r="K3102" s="18"/>
      <c r="L3102" s="18"/>
      <c r="M3102" s="18"/>
      <c r="N3102" s="18"/>
      <c r="O3102" s="18"/>
      <c r="P3102" s="18"/>
      <c r="Q3102" s="18"/>
      <c r="R3102" s="18"/>
    </row>
  </sheetData>
  <autoFilter ref="A1:R3102" xr:uid="{00000000-0009-0000-0000-000000000000}">
    <filterColumn colId="5">
      <filters blank="1">
        <filter val="звільнено"/>
        <filter val="Працює"/>
        <filter val="Статус"/>
      </filters>
    </filterColumn>
  </autoFilter>
  <customSheetViews>
    <customSheetView guid="{FE5C2421-DC2F-4347-95C0-DCD6AD2A41EC}" filter="1" showAutoFilter="1">
      <pageMargins left="0.7" right="0.7" top="0.75" bottom="0.75" header="0.3" footer="0.3"/>
      <autoFilter ref="E1:E3000" xr:uid="{239FABA9-CA36-45D7-B364-A61338BC0A7F}">
        <filterColumn colId="0">
          <filters>
            <filter val="Гриневич Олена"/>
            <filter val="Лонжанська (Мазурик) Діана"/>
            <filter val="Максимів Яна"/>
            <filter val="Озімінська (Терентьєва) Влада"/>
            <filter val="Тарасович Тетяна"/>
            <filter val="ТЛ"/>
            <filter val="Третьяк Олександра"/>
          </filters>
        </filterColumn>
      </autoFilter>
    </customSheetView>
    <customSheetView guid="{F97C7113-60E3-4091-A0BD-F9C166091674}" filter="1" showAutoFilter="1">
      <pageMargins left="0.7" right="0.7" top="0.75" bottom="0.75" header="0.3" footer="0.3"/>
      <autoFilter ref="E1:F3102" xr:uid="{A6C3ACAA-5896-468A-AB55-9439527AC03A}">
        <filterColumn colId="0">
          <filters>
            <filter val="Пустова Юлія"/>
          </filters>
        </filterColumn>
        <filterColumn colId="1">
          <filters blank="1">
            <filter val="звільнено"/>
            <filter val="Працює"/>
            <filter val="Статус"/>
          </filters>
        </filterColumn>
      </autoFilter>
    </customSheetView>
    <customSheetView guid="{4AC53654-4AA1-406D-BA97-E5E85DB8F933}" filter="1" showAutoFilter="1">
      <pageMargins left="0.7" right="0.7" top="0.75" bottom="0.75" header="0.3" footer="0.3"/>
      <autoFilter ref="E1:F3102" xr:uid="{3EE5C65D-2084-4A5D-8E3A-6DE183EDA034}">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9706F50E-D71A-4ADE-A4BC-F51DCDF88C6B}" filter="1" showAutoFilter="1">
      <pageMargins left="0.7" right="0.7" top="0.75" bottom="0.75" header="0.3" footer="0.3"/>
      <autoFilter ref="A1" xr:uid="{9ADCB04F-04E3-47B8-921F-206F6080CFED}"/>
    </customSheetView>
    <customSheetView guid="{26A9AD63-264B-4D33-B066-DEAB601B0AAC}" filter="1" showAutoFilter="1">
      <pageMargins left="0.7" right="0.7" top="0.75" bottom="0.75" header="0.3" footer="0.3"/>
      <autoFilter ref="A1:A1906" xr:uid="{394B91BC-3185-4860-8594-05015B499AF9}"/>
    </customSheetView>
    <customSheetView guid="{BC274AAA-7626-418B-8822-BD023C2F94F7}" filter="1" showAutoFilter="1">
      <pageMargins left="0.7" right="0.7" top="0.75" bottom="0.75" header="0.3" footer="0.3"/>
      <autoFilter ref="E1:E1906" xr:uid="{9F1B7B80-7CD1-453A-95EF-0452E251C115}">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FF4528F6-57BC-4F46-984C-999787ED252E}" filter="1" showAutoFilter="1">
      <pageMargins left="0.7" right="0.7" top="0.75" bottom="0.75" header="0.3" footer="0.3"/>
      <autoFilter ref="E1:E1906" xr:uid="{DC1C1A8C-4F72-4071-AED7-0DDC990C2A02}">
        <filterColumn colId="0">
          <filters>
            <filter val="Гриневич Олена"/>
            <filter val="Лонжанська (Мазурик) Діана"/>
            <filter val="Маковська Анна"/>
            <filter val="Максименко Аліна"/>
            <filter val="Максимів Яна"/>
            <filter val="Озімінська (Терентьєва) Влада"/>
            <filter val="Сербін Олександр"/>
            <filter val="Тарасович Тетяна"/>
            <filter val="Терентьєва Влада"/>
            <filter val="ТЛ"/>
            <filter val="Третьяк Олександра"/>
          </filters>
        </filterColumn>
      </autoFilter>
    </customSheetView>
    <customSheetView guid="{298356FD-ECE6-430A-8D3E-E41D187275C7}" filter="1" showAutoFilter="1">
      <pageMargins left="0.7" right="0.7" top="0.75" bottom="0.75" header="0.3" footer="0.3"/>
      <autoFilter ref="E1:F3102" xr:uid="{B854DBE3-87A6-4BD9-A040-D92706FC1E88}">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F27F33B9-B821-496A-BCE4-D35CA5F7470F}" filter="1" showAutoFilter="1">
      <pageMargins left="0.7" right="0.7" top="0.75" bottom="0.75" header="0.3" footer="0.3"/>
      <autoFilter ref="E1:F3102" xr:uid="{A06988B7-43EC-4744-A770-40B6214EEBB6}">
        <filterColumn colId="0">
          <filters>
            <filter val="Пустова Юлія"/>
          </filters>
        </filterColumn>
        <filterColumn colId="1">
          <filters blank="1">
            <filter val="звільнено"/>
            <filter val="Працює"/>
            <filter val="Статус"/>
          </filters>
        </filterColumn>
      </autoFilter>
    </customSheetView>
    <customSheetView guid="{83E17C5B-DD3D-426B-A255-1AC9A51D425B}" filter="1" showAutoFilter="1">
      <pageMargins left="0.7" right="0.7" top="0.75" bottom="0.75" header="0.3" footer="0.3"/>
      <autoFilter ref="E1:E1906" xr:uid="{0E99D02C-1C31-4F32-AD12-084A23D98F90}">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DEA2911D-5ED3-46C7-A519-C3A4F002EBCA}" filter="1" showAutoFilter="1">
      <pageMargins left="0.7" right="0.7" top="0.75" bottom="0.75" header="0.3" footer="0.3"/>
      <autoFilter ref="E1:E1906" xr:uid="{E1B4A6DF-237E-431D-933D-410F2B44C7E2}">
        <filterColumn colId="0">
          <filters>
            <filter val="Гриневич Олена"/>
            <filter val="Іванішена Юлія"/>
            <filter val="Лонжанська (Мазурик) Діана"/>
            <filter val="Максименко Аліна"/>
            <filter val="Максимів Яна"/>
            <filter val="Озімінська (Терентьєва) Влада"/>
            <filter val="Сербін Олександр"/>
            <filter val="Тарасович Тетяна"/>
            <filter val="Третьяк Олександра"/>
          </filters>
        </filterColumn>
      </autoFilter>
    </customSheetView>
    <customSheetView guid="{DB74F03F-C664-4798-9904-8EC432A5DD03}" filter="1" showAutoFilter="1">
      <pageMargins left="0.7" right="0.7" top="0.75" bottom="0.75" header="0.3" footer="0.3"/>
      <autoFilter ref="E1:F3102" xr:uid="{ACBC2CFF-B326-4E66-88D4-4A271B4D7E1E}">
        <filterColumn colId="0">
          <filters>
            <filter val="Пустова Юлія"/>
          </filters>
        </filterColumn>
        <filterColumn colId="1">
          <filters blank="1">
            <filter val="звільнено"/>
            <filter val="Працює"/>
            <filter val="Статус"/>
          </filters>
        </filterColumn>
      </autoFilter>
    </customSheetView>
    <customSheetView guid="{F760B77E-9F48-4755-8E01-A647D3C173A3}" filter="1" showAutoFilter="1">
      <pageMargins left="0.7" right="0.7" top="0.75" bottom="0.75" header="0.3" footer="0.3"/>
      <autoFilter ref="E1:E3095" xr:uid="{DC6E316B-2B27-4265-91C0-CF223DFC22B2}">
        <filterColumn colId="0">
          <filters>
            <filter val="Гриневич Олена"/>
            <filter val="Лонжанська (Мазурик) Діана"/>
            <filter val="Максимів Яна"/>
            <filter val="Озімінська (Терентьєва) Влада"/>
            <filter val="Тарасович Тетяна"/>
            <filter val="Третьяк Олександра"/>
          </filters>
        </filterColumn>
      </autoFilter>
    </customSheetView>
    <customSheetView guid="{FB644E76-7064-41E0-8E4A-0F92AFB11549}" filter="1" showAutoFilter="1">
      <pageMargins left="0.7" right="0.7" top="0.75" bottom="0.75" header="0.3" footer="0.3"/>
      <autoFilter ref="E1:F3000" xr:uid="{BF2EE420-10A3-4702-905D-903D8E818DD8}">
        <filterColumn colId="0">
          <filters>
            <filter val="Гриневич Олена"/>
            <filter val="Лонжанська (Мазурик) Діана"/>
            <filter val="Максимів Яна"/>
            <filter val="Озімінська (Терентьєва) Влада"/>
            <filter val="Тарасович Тетяна"/>
            <filter val="ТЛ"/>
            <filter val="Третьяк Олександра"/>
          </filters>
        </filterColumn>
        <filterColumn colId="1">
          <filters blank="1">
            <filter val="звільнено"/>
            <filter val="Працює"/>
            <filter val="Статус"/>
          </filters>
        </filterColumn>
      </autoFilter>
    </customSheetView>
    <customSheetView guid="{E6F2C1F1-86DE-4349-8C2C-9F8E45353F38}" filter="1" showAutoFilter="1">
      <pageMargins left="0.7" right="0.7" top="0.75" bottom="0.75" header="0.3" footer="0.3"/>
      <autoFilter ref="A1" xr:uid="{BC7B99D5-819C-4C81-849D-427B32D97D82}"/>
    </customSheetView>
    <customSheetView guid="{7F79A290-6D61-4108-B16E-DB955E17B0FD}" filter="1" showAutoFilter="1">
      <pageMargins left="0.7" right="0.7" top="0.75" bottom="0.75" header="0.3" footer="0.3"/>
      <autoFilter ref="E1:E3102" xr:uid="{FEDC8BFC-220C-4B29-90FF-35673D84E8F8}">
        <filterColumn colId="0">
          <filters>
            <filter val="Гриневич Олена"/>
            <filter val="Іванішена Юлія"/>
            <filter val="Третьяк Олександра"/>
          </filters>
        </filterColumn>
      </autoFilter>
    </customSheetView>
    <customSheetView guid="{6224FA6E-B558-4B75-97D9-3951F434DF4E}" filter="1" showAutoFilter="1">
      <pageMargins left="0.7" right="0.7" top="0.75" bottom="0.75" header="0.3" footer="0.3"/>
      <autoFilter ref="E1:F2905" xr:uid="{5EE8BB71-B501-4B8F-B437-8E3D83977A1A}">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F34C38E6-A62A-4EFE-936D-4E8A8D57B14B}" filter="1" showAutoFilter="1">
      <pageMargins left="0.7" right="0.7" top="0.75" bottom="0.75" header="0.3" footer="0.3"/>
      <autoFilter ref="E1:E1906" xr:uid="{AE4D74DF-98FD-4841-BB9A-23BCB5856543}">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4CBB0E48-4483-4418-B2F8-8EAC8778EA3C}" filter="1" showAutoFilter="1">
      <pageMargins left="0.7" right="0.7" top="0.75" bottom="0.75" header="0.3" footer="0.3"/>
      <autoFilter ref="E1:E1906" xr:uid="{C38058D3-306F-4DEA-9CB7-EFDD7850D0A5}">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F4CF9CCD-EB68-437E-9528-A9D9B1C5582C}" filter="1" showAutoFilter="1">
      <pageMargins left="0.7" right="0.7" top="0.75" bottom="0.75" header="0.3" footer="0.3"/>
      <autoFilter ref="E1:E1906" xr:uid="{1BE78F7D-A424-4A55-99F1-F9BA4CD7BF37}">
        <filterColumn colId="0">
          <filters>
            <filter val="Гриневич Олена"/>
            <filter val="Іванішена Юлія"/>
            <filter val="Лонжанська (Мазурик) Діана"/>
            <filter val="Максименко Аліна"/>
            <filter val="Максимів Яна"/>
            <filter val="Озімінська (Терентьєва) Влада"/>
            <filter val="Сербін Олександр"/>
            <filter val="Тарасович Тетяна"/>
          </filters>
        </filterColumn>
      </autoFilter>
    </customSheetView>
    <customSheetView guid="{A6989CBB-60EC-4E5A-A6E1-380EDEF0A93A}" filter="1" showAutoFilter="1">
      <pageMargins left="0.7" right="0.7" top="0.75" bottom="0.75" header="0.3" footer="0.3"/>
      <autoFilter ref="E1:E1906" xr:uid="{AE06EC2B-EDF9-4A0F-8146-2A9E6C27C9A3}">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8F66FD5F-8B2F-4C6F-BD8C-898CD9BA1E93}" filter="1" showAutoFilter="1">
      <pageMargins left="0.7" right="0.7" top="0.75" bottom="0.75" header="0.3" footer="0.3"/>
      <autoFilter ref="E1:E3102" xr:uid="{FA996355-A022-44F1-B305-89ECD1A40D36}">
        <filterColumn colId="0">
          <filters>
            <filter val="Гриневич Олена"/>
            <filter val="Лонжанська (Мазурик) Діана"/>
            <filter val="Максимів Яна"/>
          </filters>
        </filterColumn>
      </autoFilter>
    </customSheetView>
    <customSheetView guid="{B6072F42-064B-44C9-A270-BCBF68A4D33F}" filter="1" showAutoFilter="1">
      <pageMargins left="0.7" right="0.7" top="0.75" bottom="0.75" header="0.3" footer="0.3"/>
      <autoFilter ref="A1" xr:uid="{E52D3276-E7BD-4517-BAFD-38CB2660F44B}"/>
    </customSheetView>
    <customSheetView guid="{969A48A5-39A5-4751-BB02-F04C2BF88A6D}" filter="1" showAutoFilter="1">
      <pageMargins left="0.7" right="0.7" top="0.75" bottom="0.75" header="0.3" footer="0.3"/>
      <autoFilter ref="E1:F3102" xr:uid="{ADC57D3D-9533-470B-9933-E9703F61546E}">
        <filterColumn colId="0">
          <filters>
            <filter val="Пустова Юлія"/>
            <filter val="Лонжанська (Мазурик) Діана"/>
          </filters>
        </filterColumn>
        <filterColumn colId="1">
          <filters blank="1">
            <filter val="звільнено"/>
            <filter val="Працює"/>
            <filter val="Статус"/>
          </filters>
        </filterColumn>
      </autoFilter>
    </customSheetView>
    <customSheetView guid="{E270B21D-7F6D-4C9F-A17F-E3E74F10293A}" filter="1" showAutoFilter="1">
      <pageMargins left="0.7" right="0.7" top="0.75" bottom="0.75" header="0.3" footer="0.3"/>
      <autoFilter ref="A2:CE603" xr:uid="{92748696-5FEC-4B37-8E3E-2793B447CAF4}">
        <filterColumn colId="5">
          <filters>
            <filter val="звільнено"/>
            <filter val="Працює"/>
          </filters>
        </filterColumn>
        <sortState xmlns:xlrd2="http://schemas.microsoft.com/office/spreadsheetml/2017/richdata2" ref="A2:CE603">
          <sortCondition ref="AH2:AH603"/>
        </sortState>
      </autoFilter>
    </customSheetView>
    <customSheetView guid="{1BD368D7-85EB-4101-8828-DF716225F5B9}" filter="1" showAutoFilter="1">
      <pageMargins left="0.7" right="0.7" top="0.75" bottom="0.75" header="0.3" footer="0.3"/>
      <autoFilter ref="E1:F3102" xr:uid="{EE988E8F-BA8E-43B9-A18C-8152000EC75C}">
        <filterColumn colId="0">
          <filters>
            <filter val="Тарасович Тетяна"/>
          </filters>
        </filterColumn>
        <filterColumn colId="1">
          <filters blank="1">
            <filter val="звільнено"/>
            <filter val="Працює"/>
            <filter val="Статус"/>
          </filters>
        </filterColumn>
      </autoFilter>
    </customSheetView>
    <customSheetView guid="{2930199C-2921-4118-9EC8-5D5216C29911}" filter="1" showAutoFilter="1">
      <pageMargins left="0.7" right="0.7" top="0.75" bottom="0.75" header="0.3" footer="0.3"/>
      <autoFilter ref="AC1:AC3102" xr:uid="{DDE59EFD-6D0F-48C4-BB37-6EA4C15B6AFD}"/>
    </customSheetView>
    <customSheetView guid="{AD8AA66E-A4D0-4193-A5DE-B4B6280982BB}" filter="1" showAutoFilter="1">
      <pageMargins left="0.7" right="0.7" top="0.75" bottom="0.75" header="0.3" footer="0.3"/>
      <autoFilter ref="F1:F2905" xr:uid="{664CB8BE-BD14-4838-9840-A43D6044AAF0}">
        <filterColumn colId="0">
          <filters>
            <filter val="звільнено"/>
            <filter val="Працює"/>
            <filter val="Статус"/>
          </filters>
        </filterColumn>
      </autoFilter>
    </customSheetView>
    <customSheetView guid="{782CBFD8-7C46-4BEF-8B0F-CD21E7069ADD}" filter="1" showAutoFilter="1">
      <pageMargins left="0.7" right="0.7" top="0.75" bottom="0.75" header="0.3" footer="0.3"/>
      <autoFilter ref="E1:F3102" xr:uid="{A9F51EC5-658B-4C0B-AA18-B167425DEFC6}">
        <filterColumn colId="0">
          <filters>
            <filter val="Пустова Юлія"/>
          </filters>
        </filterColumn>
        <filterColumn colId="1">
          <filters blank="1">
            <filter val="звільнено"/>
            <filter val="Працює"/>
            <filter val="Статус"/>
          </filters>
        </filterColumn>
      </autoFilter>
    </customSheetView>
    <customSheetView guid="{1E374624-E406-4D9F-9C2D-223C7C37A713}" filter="1" showAutoFilter="1">
      <pageMargins left="0.7" right="0.7" top="0.75" bottom="0.75" header="0.3" footer="0.3"/>
      <autoFilter ref="E1:F2905" xr:uid="{A4F47C4E-56E9-4B61-928C-4BEB12EA7BEC}">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C1A097F8-2942-4163-8981-D82936BF39C2}" filter="1" showAutoFilter="1">
      <pageMargins left="0.7" right="0.7" top="0.75" bottom="0.75" header="0.3" footer="0.3"/>
      <autoFilter ref="E1:F3102" xr:uid="{6EC95A55-BB1E-4303-84D8-41E0FDAF7539}">
        <filterColumn colId="0">
          <filters>
            <filter val="Пустова Юлія"/>
          </filters>
        </filterColumn>
        <filterColumn colId="1">
          <filters blank="1">
            <filter val="звільнено"/>
            <filter val="Працює"/>
            <filter val="Статус"/>
          </filters>
        </filterColumn>
      </autoFilter>
    </customSheetView>
    <customSheetView guid="{3469561A-E9A0-44F1-AF43-3AA050D3712C}" filter="1" showAutoFilter="1">
      <pageMargins left="0.7" right="0.7" top="0.75" bottom="0.75" header="0.3" footer="0.3"/>
      <autoFilter ref="E1:E1906" xr:uid="{1ECA4A79-B63A-4573-9199-F20AAAD971FB}">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46F27C80-DE80-4DB3-B29F-8CA44947DFBA}" filter="1" showAutoFilter="1">
      <pageMargins left="0.7" right="0.7" top="0.75" bottom="0.75" header="0.3" footer="0.3"/>
      <autoFilter ref="E1:F3102" xr:uid="{EC3E682E-0EB8-4B67-A4E2-844525855983}">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985F45B6-273F-4058-AA6F-01496FB9FB5C}" filter="1" showAutoFilter="1">
      <pageMargins left="0.7" right="0.7" top="0.75" bottom="0.75" header="0.3" footer="0.3"/>
      <autoFilter ref="E1:F3102" xr:uid="{57BD2B25-75D0-49D4-9222-3592A964CA0E}">
        <filterColumn colId="0">
          <filters>
            <filter val="Пустова Юлія"/>
          </filters>
        </filterColumn>
        <filterColumn colId="1">
          <filters blank="1">
            <filter val="звільнено"/>
            <filter val="Працює"/>
            <filter val="Статус"/>
          </filters>
        </filterColumn>
      </autoFilter>
    </customSheetView>
    <customSheetView guid="{9015E6C3-EF38-490E-A4C4-D5A2A54578E4}" filter="1" showAutoFilter="1">
      <pageMargins left="0.7" right="0.7" top="0.75" bottom="0.75" header="0.3" footer="0.3"/>
      <autoFilter ref="E1:F2905" xr:uid="{35E982C3-7DFE-4C4A-AF4B-463DB1B7950B}">
        <filterColumn colId="0">
          <filters>
            <filter val="Лисенко Олександра"/>
          </filters>
        </filterColumn>
        <filterColumn colId="1">
          <filters blank="1">
            <filter val="звільнено"/>
            <filter val="Працює"/>
            <filter val="Статус"/>
          </filters>
        </filterColumn>
      </autoFilter>
    </customSheetView>
    <customSheetView guid="{4ABCFD65-DFF8-4A39-92C5-D524FC12990C}" filter="1" showAutoFilter="1">
      <pageMargins left="0.7" right="0.7" top="0.75" bottom="0.75" header="0.3" footer="0.3"/>
      <autoFilter ref="F1:F2905" xr:uid="{8C62573F-45D1-4D2D-9A4B-E3AA828476F6}"/>
    </customSheetView>
    <customSheetView guid="{11F7257F-E616-48A8-8896-F7A8A286182E}" filter="1" showAutoFilter="1">
      <pageMargins left="0.7" right="0.7" top="0.75" bottom="0.75" header="0.3" footer="0.3"/>
      <autoFilter ref="E1:E1906" xr:uid="{E5A1EDA4-60B6-48A1-9FBE-AB64D13B9185}">
        <filterColumn colId="0">
          <filters>
            <filter val="Гриневич Олена"/>
            <filter val="Іванішена Юлія"/>
            <filter val="Лонжанська (Мазурик) Діана"/>
            <filter val="Максименко Аліна"/>
            <filter val="Максимів Яна"/>
            <filter val="Озімінська (Терентьєва) Влада"/>
            <filter val="Сербін Олександр"/>
            <filter val="Тарасович Тетяна"/>
          </filters>
        </filterColumn>
      </autoFilter>
    </customSheetView>
    <customSheetView guid="{FE63E6A8-7EBE-40DA-B8E9-E27479BAB69B}" filter="1" showAutoFilter="1">
      <pageMargins left="0.7" right="0.7" top="0.75" bottom="0.75" header="0.3" footer="0.3"/>
      <autoFilter ref="A1:A3102" xr:uid="{553C87C3-8E0C-4A73-88E2-D6B07D4916A0}"/>
    </customSheetView>
    <customSheetView guid="{D2524020-C265-4692-B799-ECDE7AC860AF}" filter="1" showAutoFilter="1">
      <pageMargins left="0.7" right="0.7" top="0.75" bottom="0.75" header="0.3" footer="0.3"/>
      <autoFilter ref="E1:F2905" xr:uid="{74FF1959-398E-4D38-BF39-483187BC466D}">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34EABAC9-9349-46DB-9BCF-03FA63DFFC53}" filter="1" showAutoFilter="1">
      <pageMargins left="0.7" right="0.7" top="0.75" bottom="0.75" header="0.3" footer="0.3"/>
      <autoFilter ref="E1:F3102" xr:uid="{1E5D025E-02A8-4389-9CEC-024BD40FA811}">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A6FE7E84-296D-46C3-952E-227D7C501A37}" filter="1" showAutoFilter="1">
      <pageMargins left="0.7" right="0.7" top="0.75" bottom="0.75" header="0.3" footer="0.3"/>
      <autoFilter ref="E1:F3102" xr:uid="{F659F4C6-EBC7-4177-BEC7-0A576A59FB47}">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F250166B-F22E-4C8A-AA9E-4800C508E294}" filter="1" showAutoFilter="1">
      <pageMargins left="0.7" right="0.7" top="0.75" bottom="0.75" header="0.3" footer="0.3"/>
      <autoFilter ref="F1:F2905" xr:uid="{21B1FBB7-CFA1-40EF-BFF6-44FB63878D91}"/>
    </customSheetView>
    <customSheetView guid="{F9FD9CC4-C74E-4FE5-B784-77D25D2927AE}" filter="1" showAutoFilter="1">
      <pageMargins left="0.7" right="0.7" top="0.75" bottom="0.75" header="0.3" footer="0.3"/>
      <autoFilter ref="E1:E1906" xr:uid="{509CB638-F116-483C-91A3-82F6B3413F0C}">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0C7346EC-A8A9-4EA0-9356-D87C7BD0E6D5}" filter="1" showAutoFilter="1">
      <pageMargins left="0.7" right="0.7" top="0.75" bottom="0.75" header="0.3" footer="0.3"/>
      <autoFilter ref="E1:F3102" xr:uid="{D482F018-5D9E-463F-B1BD-FDEAC782AAC8}">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E096A409-73E9-478B-B998-BE20696C7C15}" filter="1" showAutoFilter="1">
      <pageMargins left="0.7" right="0.7" top="0.75" bottom="0.75" header="0.3" footer="0.3"/>
      <autoFilter ref="A1:A1906" xr:uid="{C6EEC7F2-59D0-498E-994A-7F82D483C5D0}"/>
    </customSheetView>
    <customSheetView guid="{DA7EB64D-4213-4AA8-A3DB-DB71766DD590}" filter="1" showAutoFilter="1">
      <pageMargins left="0.7" right="0.7" top="0.75" bottom="0.75" header="0.3" footer="0.3"/>
      <autoFilter ref="BT1:BT3102" xr:uid="{8C44B561-3277-4BDA-9D43-C8B9B0FBF2A1}">
        <filterColumn colId="0">
          <filters>
            <filter val="Crystal"/>
          </filters>
        </filterColumn>
      </autoFilter>
    </customSheetView>
    <customSheetView guid="{33BD0004-7E09-40F1-B194-5A517E081C0A}" filter="1" showAutoFilter="1">
      <pageMargins left="0.7" right="0.7" top="0.75" bottom="0.75" header="0.3" footer="0.3"/>
      <autoFilter ref="E1:F3095" xr:uid="{F1533251-4C92-4B4F-A01C-50B2E972DA55}">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3FBDAF62-5B47-43FD-9161-03484B555381}" filter="1" showAutoFilter="1">
      <pageMargins left="0.7" right="0.7" top="0.75" bottom="0.75" header="0.3" footer="0.3"/>
      <autoFilter ref="E1:E3102" xr:uid="{6E334EDA-65A3-420C-9FB2-FE0C0FD7317E}">
        <filterColumn colId="0">
          <filters>
            <filter val="Гриневич Олена"/>
            <filter val="Іванішена Юлія"/>
            <filter val="Третьяк Олександра"/>
          </filters>
        </filterColumn>
      </autoFilter>
    </customSheetView>
    <customSheetView guid="{409B32A8-6987-4340-942E-46BB51793127}" filter="1" showAutoFilter="1">
      <pageMargins left="0.7" right="0.7" top="0.75" bottom="0.75" header="0.3" footer="0.3"/>
      <autoFilter ref="A2:CE3095" xr:uid="{5D8F4DA9-B14A-4E4D-A4BC-100FD63566AE}">
        <filterColumn colId="31">
          <filters>
            <filter val="100"/>
            <filter val="97"/>
            <filter val="98"/>
            <filter val="99"/>
            <filter val="серге"/>
          </filters>
        </filterColumn>
      </autoFilter>
    </customSheetView>
    <customSheetView guid="{F6D0FF0F-E90B-4F68-8581-5BD461F23229}" filter="1" showAutoFilter="1">
      <pageMargins left="0.7" right="0.7" top="0.75" bottom="0.75" header="0.3" footer="0.3"/>
      <autoFilter ref="E1:F3102" xr:uid="{E649C85E-EC23-428F-9185-EA4EE0CC1AA5}">
        <filterColumn colId="0">
          <filters>
            <filter val="Пустова Юлія"/>
          </filters>
        </filterColumn>
        <filterColumn colId="1">
          <filters blank="1">
            <filter val="звільнено"/>
            <filter val="Працює"/>
            <filter val="Статус"/>
          </filters>
        </filterColumn>
      </autoFilter>
    </customSheetView>
    <customSheetView guid="{888A506D-AAE8-4528-B66E-50878E8A3210}" filter="1" showAutoFilter="1">
      <pageMargins left="0.7" right="0.7" top="0.75" bottom="0.75" header="0.3" footer="0.3"/>
      <autoFilter ref="E1:F3102" xr:uid="{61955FB9-AA1B-432E-A30A-F90AB60AA46A}">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01A57BB1-E18B-4457-9669-5B6B2BB7C71C}" filter="1" showAutoFilter="1">
      <pageMargins left="0.7" right="0.7" top="0.75" bottom="0.75" header="0.3" footer="0.3"/>
      <autoFilter ref="E1:F3095" xr:uid="{06B25BF9-738A-4EB0-BF46-782F2E9337E3}">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764B0E11-FA1E-4891-BE67-2DE06718C5DC}" filter="1" showAutoFilter="1">
      <pageMargins left="0.7" right="0.7" top="0.75" bottom="0.75" header="0.3" footer="0.3"/>
      <autoFilter ref="E1:F3000" xr:uid="{8473EBAD-7892-4BEF-9190-67C4B79194E8}">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6886918C-5892-4B63-B4C0-DB0E62862F84}" filter="1" showAutoFilter="1">
      <pageMargins left="0.7" right="0.7" top="0.75" bottom="0.75" header="0.3" footer="0.3"/>
      <autoFilter ref="A1:A1906" xr:uid="{9E18D1DC-11C2-4016-9FD4-819A0E3E2C7B}"/>
    </customSheetView>
    <customSheetView guid="{A49D67D9-E56A-412E-9BEF-93436261A100}" filter="1" showAutoFilter="1">
      <pageMargins left="0.7" right="0.7" top="0.75" bottom="0.75" header="0.3" footer="0.3"/>
      <autoFilter ref="E1:E1906" xr:uid="{4AF8BB8B-94BF-4B90-9369-255E7209C4BB}">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autoFilter>
    </customSheetView>
    <customSheetView guid="{404E6C03-ACD3-4FC1-B357-FE14AFEF350D}" filter="1" showAutoFilter="1">
      <pageMargins left="0.7" right="0.7" top="0.75" bottom="0.75" header="0.3" footer="0.3"/>
      <autoFilter ref="E1:F3102" xr:uid="{2140550F-FA0A-4B75-9074-8981DC3E9BBC}">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BB623620-9882-47E3-BC1D-B50253DCEB7B}" filter="1" showAutoFilter="1">
      <pageMargins left="0.7" right="0.7" top="0.75" bottom="0.75" header="0.3" footer="0.3"/>
      <autoFilter ref="E1:E1906" xr:uid="{287F1BE9-9313-4F59-BAA0-5C38B381CA49}">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667EA3D5-2686-45D7-B2E7-BA62953A002F}" filter="1" showAutoFilter="1">
      <pageMargins left="0.7" right="0.7" top="0.75" bottom="0.75" header="0.3" footer="0.3"/>
      <autoFilter ref="A1" xr:uid="{C7CA2593-17D7-4B1B-BA3D-B0F6472D3D43}"/>
    </customSheetView>
    <customSheetView guid="{E111926B-F6F2-4F37-858B-7FDE682576C0}" filter="1" showAutoFilter="1">
      <pageMargins left="0.7" right="0.7" top="0.75" bottom="0.75" header="0.3" footer="0.3"/>
      <autoFilter ref="E1:E1906" xr:uid="{7182651E-808B-423D-9034-1CE4BE402F06}">
        <filterColumn colId="0">
          <filters>
            <filter val="Гриневич Олена"/>
            <filter val="Іванішена Юлія"/>
            <filter val="Лонжанська (Мазурик) Діана"/>
            <filter val="Максименко Аліна"/>
            <filter val="Максимів Яна"/>
            <filter val="Озімінська (Терентьєва) Влада"/>
            <filter val="Сербін Олександр"/>
            <filter val="Тарасович Тетяна"/>
            <filter val="Терентьєва Влада"/>
            <filter val="Третьяк Олександра"/>
          </filters>
        </filterColumn>
      </autoFilter>
    </customSheetView>
    <customSheetView guid="{4B91C0E6-FF19-421F-875B-DCFEE4A44FC9}" filter="1" showAutoFilter="1">
      <pageMargins left="0.7" right="0.7" top="0.75" bottom="0.75" header="0.3" footer="0.3"/>
      <autoFilter ref="E1:E1906" xr:uid="{14EA02F4-2A90-409B-BCE9-CD7E36909B01}">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AD36E740-3678-4EFD-9647-4B4E886BD581}" filter="1" showAutoFilter="1">
      <pageMargins left="0.7" right="0.7" top="0.75" bottom="0.75" header="0.3" footer="0.3"/>
      <autoFilter ref="E1:F3102" xr:uid="{9D9F14AC-8C4E-404D-B501-F8624FD9B0E2}">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015A461E-D58F-448E-950B-93953962224B}" filter="1" showAutoFilter="1">
      <pageMargins left="0.7" right="0.7" top="0.75" bottom="0.75" header="0.3" footer="0.3"/>
      <autoFilter ref="E1:F3102" xr:uid="{10D3FAD6-A02C-4562-A1AC-E16EAA4FD1BA}">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7CCA4EE4-0743-4C89-8BBB-8DC66C936363}" filter="1" showAutoFilter="1">
      <pageMargins left="0.7" right="0.7" top="0.75" bottom="0.75" header="0.3" footer="0.3"/>
      <autoFilter ref="E1:E1906" xr:uid="{02B3D5BB-588F-4BC1-8EB0-152C1927294F}">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E157D179-F639-47C1-943D-6D8A2CADE184}" filter="1" showAutoFilter="1">
      <pageMargins left="0.7" right="0.7" top="0.75" bottom="0.75" header="0.3" footer="0.3"/>
      <autoFilter ref="E1:F3102" xr:uid="{2639A1BF-5964-49F2-90C3-106335CB6659}">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4B825139-C608-4EC6-9CFF-14875D850C0E}" filter="1" showAutoFilter="1">
      <pageMargins left="0.7" right="0.7" top="0.75" bottom="0.75" header="0.3" footer="0.3"/>
      <autoFilter ref="E1:E2905" xr:uid="{A783DC2A-A8A3-4772-98A8-BF6B51858883}">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autoFilter>
    </customSheetView>
    <customSheetView guid="{34764FC6-8C40-4814-97A7-F8E639F503A5}" filter="1" showAutoFilter="1">
      <pageMargins left="0.7" right="0.7" top="0.75" bottom="0.75" header="0.3" footer="0.3"/>
      <autoFilter ref="E1:F3102" xr:uid="{3665BCEE-F8C5-4323-BC98-742EFA0E6286}">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49ACEBAC-518C-4E1D-B788-0D64149BAC55}" filter="1" showAutoFilter="1">
      <pageMargins left="0.7" right="0.7" top="0.75" bottom="0.75" header="0.3" footer="0.3"/>
      <autoFilter ref="E1:E1906" xr:uid="{8DA90ACF-9DC4-4E08-8861-6085B0E1098D}">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B631FB1C-0AA7-449A-8039-0F1A5F4E475E}" filter="1" showAutoFilter="1">
      <pageMargins left="0.7" right="0.7" top="0.75" bottom="0.75" header="0.3" footer="0.3"/>
      <autoFilter ref="E1:E1906" xr:uid="{446BDA87-CF02-4CFA-9CB9-8EB0F3F46F0D}">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1CFEFA47-BFC4-48C9-8FE4-94F23E8EA644}" filter="1" showAutoFilter="1">
      <pageMargins left="0.7" right="0.7" top="0.75" bottom="0.75" header="0.3" footer="0.3"/>
      <autoFilter ref="A2:CE1906" xr:uid="{835CC5E2-87BC-471A-8D9D-9DBC5345EEA2}"/>
    </customSheetView>
    <customSheetView guid="{029C0AF8-D12A-4EF5-921B-4AA58947806F}" filter="1" showAutoFilter="1">
      <pageMargins left="0.7" right="0.7" top="0.75" bottom="0.75" header="0.3" footer="0.3"/>
      <autoFilter ref="E1:E1906" xr:uid="{747F36B1-FEBA-4361-90C0-B4B5A4B2D09E}">
        <filterColumn colId="0">
          <filters>
            <filter val="Гриневич Олена"/>
            <filter val="Лонжанська (Мазурик) Діана"/>
            <filter val="Маковська Анна"/>
            <filter val="Максименко Аліна"/>
            <filter val="Максимів Яна"/>
            <filter val="Озімінська (Терентьєва) Влада"/>
            <filter val="Сербін Олександр"/>
            <filter val="Тарасович Тетяна"/>
            <filter val="Терентьєва Влада"/>
            <filter val="ТЛ"/>
            <filter val="Третьяк Олександра"/>
          </filters>
        </filterColumn>
      </autoFilter>
    </customSheetView>
    <customSheetView guid="{82B756C0-560D-4F1E-B854-A1ABE77E8AB6}" filter="1" showAutoFilter="1">
      <pageMargins left="0.7" right="0.7" top="0.75" bottom="0.75" header="0.3" footer="0.3"/>
      <autoFilter ref="A2:CE2905" xr:uid="{D4EB8BD9-7062-46EA-9E05-7FE0274C727D}">
        <filterColumn colId="5">
          <filters>
            <filter val="звільнено"/>
            <filter val="Працює"/>
          </filters>
        </filterColumn>
      </autoFilter>
    </customSheetView>
    <customSheetView guid="{C0005D81-35E2-4943-913A-EA13740EE0BD}" filter="1" showAutoFilter="1">
      <pageMargins left="0.7" right="0.7" top="0.75" bottom="0.75" header="0.3" footer="0.3"/>
      <autoFilter ref="A1:A3102" xr:uid="{29AFA3DB-47F5-4ABD-9516-7D6C725F8DEA}"/>
    </customSheetView>
    <customSheetView guid="{27528936-4580-4701-8569-1FFCB41C936A}" filter="1" showAutoFilter="1">
      <pageMargins left="0.7" right="0.7" top="0.75" bottom="0.75" header="0.3" footer="0.3"/>
      <autoFilter ref="AH3:AH603" xr:uid="{244F611B-BF90-4DB5-982E-67C67181E495}"/>
    </customSheetView>
    <customSheetView guid="{55C20F30-9193-4112-9CC9-4DC6C5AEF513}" filter="1" showAutoFilter="1">
      <pageMargins left="0.7" right="0.7" top="0.75" bottom="0.75" header="0.3" footer="0.3"/>
      <autoFilter ref="E1:E1906" xr:uid="{82E86C9D-5746-4F01-8A8E-EF71CD1F1AB1}">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571A47CA-D8C2-486F-9054-46F80A8F4BAE}" filter="1" showAutoFilter="1">
      <pageMargins left="0.7" right="0.7" top="0.75" bottom="0.75" header="0.3" footer="0.3"/>
      <autoFilter ref="E1:F3102" xr:uid="{F898C8EE-DD43-4ACC-95D3-4A8A7886A985}">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5F90BC4E-3196-4038-BE0D-2913C0D1CA34}" filter="1" showAutoFilter="1">
      <pageMargins left="0.7" right="0.7" top="0.75" bottom="0.75" header="0.3" footer="0.3"/>
      <autoFilter ref="E1:F3095" xr:uid="{865ECD70-D704-4068-BA2B-9BAE61A6C48A}">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D6D31CF3-0341-43BC-A303-9DD4BF170521}" filter="1" showAutoFilter="1">
      <pageMargins left="0.7" right="0.7" top="0.75" bottom="0.75" header="0.3" footer="0.3"/>
      <autoFilter ref="E1:E1906" xr:uid="{20CDCCA0-0F8E-42A2-8DFC-3FE75E322816}">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4802F2F9-9B20-420B-9BF1-133E2D07D1A1}" filter="1" showAutoFilter="1">
      <pageMargins left="0.7" right="0.7" top="0.75" bottom="0.75" header="0.3" footer="0.3"/>
      <autoFilter ref="A2:BR603" xr:uid="{9AE59DE6-C26B-418A-9EC8-076DF811EFB6}">
        <filterColumn colId="5">
          <filters>
            <filter val="звільнено"/>
            <filter val="Працює"/>
          </filters>
        </filterColumn>
      </autoFilter>
    </customSheetView>
    <customSheetView guid="{4D53E284-19C5-48F0-9571-DF13BA7CD181}" filter="1" showAutoFilter="1">
      <pageMargins left="0.7" right="0.7" top="0.75" bottom="0.75" header="0.3" footer="0.3"/>
      <autoFilter ref="E1:F3000" xr:uid="{E31712E0-DA31-43AB-898C-C2CD749F4B1C}">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38DCA28B-67B7-4D10-A11F-56D9E6A78894}" filter="1" showAutoFilter="1">
      <pageMargins left="0.7" right="0.7" top="0.75" bottom="0.75" header="0.3" footer="0.3"/>
      <autoFilter ref="E1:E1906" xr:uid="{174E1CA9-EFD9-40EC-98D4-4B9F643BD32B}">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38AB0804-B74A-4CDB-A15D-3898B3442648}" filter="1" showAutoFilter="1">
      <pageMargins left="0.7" right="0.7" top="0.75" bottom="0.75" header="0.3" footer="0.3"/>
      <autoFilter ref="A2:CE3102" xr:uid="{6D54356B-CDDF-4EB2-A167-A5A612CFEF6F}">
        <filterColumn colId="4">
          <filters>
            <filter val="Максимів Яна"/>
            <filter val="Мих Анастасія"/>
            <filter val="Терентьєва Влада"/>
          </filters>
        </filterColumn>
        <filterColumn colId="5">
          <filters blank="1">
            <filter val="звільнено"/>
            <filter val="Працює"/>
          </filters>
        </filterColumn>
      </autoFilter>
    </customSheetView>
    <customSheetView guid="{1DFF1292-DA71-43E8-B4C4-52F40E2FB9E0}" filter="1" showAutoFilter="1">
      <pageMargins left="0.7" right="0.7" top="0.75" bottom="0.75" header="0.3" footer="0.3"/>
      <autoFilter ref="A2:CE3102" xr:uid="{96E1672F-A65B-4381-BE74-82EEBE98EEA4}">
        <filterColumn colId="4">
          <filters>
            <filter val="Маковська Анна"/>
          </filters>
        </filterColumn>
        <filterColumn colId="5">
          <filters blank="1">
            <filter val="звільнено"/>
            <filter val="Працює"/>
          </filters>
        </filterColumn>
      </autoFilter>
    </customSheetView>
    <customSheetView guid="{ECE7E310-C111-4D0A-9403-F6550047FF79}" filter="1" showAutoFilter="1">
      <pageMargins left="0.7" right="0.7" top="0.75" bottom="0.75" header="0.3" footer="0.3"/>
      <autoFilter ref="E1:F3000" xr:uid="{B73727CF-96E4-4BBC-84F5-2CAAD9CD8C09}">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5B493576-8CFC-4428-8FAB-6EDAE823780B}" filter="1" showAutoFilter="1">
      <pageMargins left="0.7" right="0.7" top="0.75" bottom="0.75" header="0.3" footer="0.3"/>
      <autoFilter ref="E1:E1906" xr:uid="{61CC0BC7-22D7-4C52-B56C-CF230674A681}">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2642A2C2-505E-46CE-969D-31F4101D7414}" filter="1" showAutoFilter="1">
      <pageMargins left="0.7" right="0.7" top="0.75" bottom="0.75" header="0.3" footer="0.3"/>
      <autoFilter ref="E1:F3102" xr:uid="{8C7DC4A0-789C-4ECB-A406-AF3B3C1762A8}">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CE41F793-179E-4E95-8743-4F50F86F0095}" filter="1" showAutoFilter="1">
      <pageMargins left="0.7" right="0.7" top="0.75" bottom="0.75" header="0.3" footer="0.3"/>
      <autoFilter ref="E1:E1906" xr:uid="{A1262218-8E7B-4D8A-B83A-D63EF5A44ACE}"/>
    </customSheetView>
    <customSheetView guid="{C086CFFB-0764-4829-891E-35F037E691EE}" filter="1" showAutoFilter="1">
      <pageMargins left="0.7" right="0.7" top="0.75" bottom="0.75" header="0.3" footer="0.3"/>
      <autoFilter ref="E1:E1906" xr:uid="{08C8252D-B43A-451B-8E57-40012E2E30AB}">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32B425F8-4ABF-4FB6-ABDD-60D39A93CF6B}" filter="1" showAutoFilter="1">
      <pageMargins left="0.7" right="0.7" top="0.75" bottom="0.75" header="0.3" footer="0.3"/>
      <autoFilter ref="E1:F3102" xr:uid="{EDDFF9F5-0531-48E3-9CA4-F3FF1AE6F087}">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677160C2-90F5-4ECC-8A25-96BEAF74C17B}" filter="1" showAutoFilter="1">
      <pageMargins left="0.7" right="0.7" top="0.75" bottom="0.75" header="0.3" footer="0.3"/>
      <autoFilter ref="E1:F2905" xr:uid="{87D77BA6-CCB0-4A7B-9BF2-39F68B5B2B64}">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59369E6A-F596-4538-8111-89015F5B8B13}" filter="1" showAutoFilter="1">
      <pageMargins left="0.7" right="0.7" top="0.75" bottom="0.75" header="0.3" footer="0.3"/>
      <autoFilter ref="A1:A3102" xr:uid="{53414B23-6585-4121-A6E1-DCAAE6D8612F}">
        <filterColumn colId="0">
          <filters>
            <filter val="Абдельжаліл Іліас"/>
            <filter val="Авдашкова Альона"/>
            <filter val="Артеменко Дмитро"/>
            <filter val="Атаманюк Мар’яна"/>
            <filter val="Ахинько Анна"/>
            <filter val="Ахметова Вікторія"/>
            <filter val="Балясова Анна"/>
            <filter val="Баннікова Єлизавета"/>
            <filter val="Баскін Ростислав"/>
            <filter val="Безматірних Надія"/>
            <filter val="Безноскович Дмитро"/>
            <filter val="Бєловенцева Марина"/>
            <filter val="Білик Інеса"/>
            <filter val="Біляшевич Ірина"/>
            <filter val="Богачевська Валентина"/>
            <filter val="Боднарчук Олексій"/>
            <filter val="Бойко Наталія"/>
            <filter val="Бондарчук Вероніка"/>
            <filter val="Борисов Артур"/>
            <filter val="Боровик Святослав"/>
            <filter val="Боровікова Марина"/>
            <filter val="Валенчук Світлана"/>
            <filter val="Ванда Вікторія"/>
            <filter val="Василега Поліна"/>
            <filter val="Вергун Андрій"/>
            <filter val="Вереницький Микола"/>
            <filter val="Верзун Уляна"/>
            <filter val="Віннічук Олександра"/>
            <filter val="Власенко Єлизавета"/>
            <filter val="Власенко Захар"/>
            <filter val="Волковська Лілія"/>
            <filter val="Горбунов Юрій"/>
            <filter val="Григоришен Олександр"/>
            <filter val="Данилюк Євгенія"/>
            <filter val="Дацко Анастасія"/>
            <filter val="Демидов Петро"/>
            <filter val="Джалладова Ірада"/>
            <filter val="Джевжик Андрій"/>
            <filter val="Діденко Юлія"/>
            <filter val="Дідківська Ірина"/>
            <filter val="Дмитрів Андрій"/>
            <filter val="Домажирська Неля"/>
            <filter val="Жалоба Богдан"/>
            <filter val="Живкова Марія"/>
            <filter val="Жук Анна"/>
            <filter val="Жук Дмитро"/>
            <filter val="Залозний Вадим"/>
            <filter val="Зарицька Євгенія"/>
            <filter val="Зиборова Вікторія"/>
            <filter val="Зябченко Ірина"/>
            <filter val="Івасик Лілія"/>
            <filter val="Ігнатов Дмитро"/>
            <filter val="Ільченко Карина"/>
            <filter val="Карманов Владислав"/>
            <filter val="Карплюк Юлія"/>
            <filter val="Катрич Кристина"/>
            <filter val="Кахновець Богдан"/>
            <filter val="Келлер Єгор"/>
            <filter val="Кирилишена Лілія"/>
            <filter val="Кірнос Анастасія"/>
            <filter val="Клименко Анна"/>
            <filter val="Копина Христина"/>
            <filter val="Кордіяка Юрій"/>
            <filter val="Корнєва Тетяна"/>
            <filter val="Косовський Павло"/>
            <filter val="Криворученко Наталія"/>
            <filter val="Кулешов Іван"/>
            <filter val="Лісова Вікторія"/>
            <filter val="Лонжанська (Мазурик) Діана"/>
            <filter val="Лубенець Гюльнара"/>
            <filter val="Луцик Наталія"/>
            <filter val="Любич-Роман Оксана"/>
            <filter val="Мазурчак Лідія"/>
            <filter val="Макарцов Ігор"/>
            <filter val="Малага Анжеліка"/>
            <filter val="Мартинюк Вікторія"/>
            <filter val="Матвійчук Леся"/>
            <filter val="Матяш Вікторія"/>
            <filter val="Махниборода Анастасія"/>
            <filter val="Медведовський Іван"/>
            <filter val="Мельнічук Анастасія"/>
            <filter val="Михайлевська Наталія"/>
            <filter val="Мишакова Ліана"/>
            <filter val="Мірошниченко Максим"/>
            <filter val="Мороз Єва"/>
            <filter val="Мороз Ольга"/>
            <filter val="Мушин Тетяна"/>
            <filter val="Непрядкіна Ірина"/>
            <filter val="Ніколаєва Вікторія"/>
            <filter val="Нікуліна Наталія"/>
            <filter val="Огієнко Данило"/>
            <filter val="Озімінський Павло"/>
            <filter val="Олійников Валентин"/>
            <filter val="Опімах Данило"/>
            <filter val="Опрісник Галина"/>
            <filter val="Орманжи Вікторія"/>
            <filter val="Остропільська Вікторія."/>
            <filter val="Павліщева Анна"/>
            <filter val="Палига Марина"/>
            <filter val="Переверзева Емілія"/>
            <filter val="Петеляк Юлія"/>
            <filter val="Пипченко Наталія"/>
            <filter val="Пінчук Максим"/>
            <filter val="Погребняк Микита"/>
            <filter val="Погрібний Анатолій"/>
            <filter val="Подопригор Валерія"/>
            <filter val="Полєєва Тетяна"/>
            <filter val="Полєшко Аліна"/>
            <filter val="Пономаренко Сергій"/>
            <filter val="Постоєнко Олег"/>
            <filter val="Прус Марина"/>
            <filter val="Пушкарьова Дарʼя"/>
            <filter val="Рибак Артем"/>
            <filter val="Рогачко Євгеній"/>
            <filter val="Рогова Анастасія"/>
            <filter val="Розгон Світлана"/>
            <filter val="Ротай Віра"/>
            <filter val="Ружина Марія"/>
            <filter val="Рябий Андрій"/>
            <filter val="Сальков Андрій"/>
            <filter val="Сафонов Іван"/>
            <filter val="Сергійчук Богдан"/>
            <filter val="Сивик Ігор"/>
            <filter val="Скрипка Андрій"/>
            <filter val="Скупейко Олег"/>
            <filter val="Смоктій Анна"/>
            <filter val="Смотрова Ольга"/>
            <filter val="Солодкий Микола"/>
            <filter val="Стець Матвій"/>
            <filter val="Тарасенко Кирило"/>
            <filter val="Таченко Оксана"/>
            <filter val="Тищенко Владислава"/>
            <filter val="Трифонов Денис"/>
            <filter val="Трубчанінов Павло"/>
            <filter val="Тупиця Вікторія"/>
            <filter val="Ухов Остап"/>
            <filter val="Фокін Максим"/>
            <filter val="Фоменко Дмитро"/>
            <filter val="Фрей Олеся"/>
            <filter val="Фурзенко Карина"/>
            <filter val="Хаврук Дарина"/>
            <filter val="Хайчіна Яна"/>
            <filter val="Хачатурова Ельвіра"/>
            <filter val="Хруленко Єлизавета"/>
            <filter val="Чернов Тимур"/>
            <filter val="Чорна Вікторія"/>
            <filter val="Шевченко Вікторія"/>
            <filter val="Шендюх Тетяна"/>
            <filter val="Шуба Карина"/>
            <filter val="Шуст Денис"/>
            <filter val="Юшманова Анастасія"/>
            <filter val="Янчук Володимир"/>
            <filter val="Ясінська Юлія"/>
          </filters>
        </filterColumn>
      </autoFilter>
    </customSheetView>
    <customSheetView guid="{429E25A9-A1EC-4576-B77C-11DEFF9A62E7}" filter="1" showAutoFilter="1">
      <pageMargins left="0.7" right="0.7" top="0.75" bottom="0.75" header="0.3" footer="0.3"/>
      <autoFilter ref="E1:F3102" xr:uid="{D193CCCF-D731-4211-9BE3-A12E9EC20936}">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5373988F-B528-4E2E-A95A-ABC31CCE62BC}" filter="1" showAutoFilter="1">
      <pageMargins left="0.7" right="0.7" top="0.75" bottom="0.75" header="0.3" footer="0.3"/>
      <autoFilter ref="E1:E3102" xr:uid="{9EE2EE7B-C694-4683-B73F-DE49BCA1D8CF}">
        <filterColumn colId="0">
          <filters>
            <filter val="Гриневич Олена"/>
            <filter val="Іванішена Юлія"/>
            <filter val="Лонжанська (Мазурик) Діана"/>
            <filter val="Максимів Яна"/>
            <filter val="Третьяк Олександра"/>
          </filters>
        </filterColumn>
      </autoFilter>
    </customSheetView>
    <customSheetView guid="{E4B6CD70-6F71-4930-8D93-E959514A309A}" filter="1" showAutoFilter="1">
      <pageMargins left="0.7" right="0.7" top="0.75" bottom="0.75" header="0.3" footer="0.3"/>
      <autoFilter ref="A2:BR492" xr:uid="{0B3BF33C-8541-48A0-A1E7-923F5CD32FE5}">
        <filterColumn colId="14">
          <filters>
            <filter val="TRUE"/>
          </filters>
        </filterColumn>
      </autoFilter>
    </customSheetView>
    <customSheetView guid="{CBB88F80-DFE5-4B02-A489-4A1E1854E110}" filter="1" showAutoFilter="1">
      <pageMargins left="0.7" right="0.7" top="0.75" bottom="0.75" header="0.3" footer="0.3"/>
      <autoFilter ref="E1:F3102" xr:uid="{005D3169-1F9B-44FD-B714-C70ADB3842CC}">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6F20B320-7067-46E1-B30B-C03D97C79631}" filter="1" showAutoFilter="1">
      <pageMargins left="0.7" right="0.7" top="0.75" bottom="0.75" header="0.3" footer="0.3"/>
      <autoFilter ref="E1:E2905" xr:uid="{FE5125C2-9E85-4825-B833-2BAA81D67A8A}">
        <filterColumn colId="0">
          <filters>
            <filter val="Гриневич Олена"/>
            <filter val="Лонжанська (Мазурик) Діана"/>
            <filter val="Максимів Яна"/>
            <filter val="Озімінська (Терентьєва) Влада"/>
            <filter val="Сербін Олександр"/>
            <filter val="Тарасович Тетяна"/>
          </filters>
        </filterColumn>
      </autoFilter>
    </customSheetView>
    <customSheetView guid="{DB5CAF45-066D-42CD-9985-873B987CC6A4}" filter="1" showAutoFilter="1">
      <pageMargins left="0.7" right="0.7" top="0.75" bottom="0.75" header="0.3" footer="0.3"/>
      <autoFilter ref="E1:E1906" xr:uid="{077919C6-B1A2-4E6D-91FF-F7067FB05BA5}">
        <filterColumn colId="0">
          <filters>
            <filter val="Гриневич Олена"/>
            <filter val="Лонжанська (Мазурик) Діана"/>
            <filter val="Маковська Анна"/>
            <filter val="Максименко Аліна"/>
            <filter val="Максимів Яна"/>
            <filter val="Озімінська (Терентьєва) Влада"/>
            <filter val="Сербін Олександр"/>
            <filter val="Тарасович Тетяна"/>
            <filter val="Терентьєва Влада"/>
            <filter val="Третьяк Олександра"/>
          </filters>
        </filterColumn>
      </autoFilter>
    </customSheetView>
    <customSheetView guid="{A17A7D7A-C8F7-4A3F-B31C-709F63F1EF83}" filter="1" showAutoFilter="1">
      <pageMargins left="0.7" right="0.7" top="0.75" bottom="0.75" header="0.3" footer="0.3"/>
      <autoFilter ref="A2:BR603" xr:uid="{95FA0786-BFE7-4F00-A013-E60BDB7DB440}">
        <filterColumn colId="4">
          <filters>
            <filter val="Гриневич Олена"/>
            <filter val="Лонжанська (Мазурик) Діана"/>
            <filter val="Максименко Аліна"/>
            <filter val="Озімінська (Терентьєва) Влада"/>
            <filter val="Сербін Олександр"/>
            <filter val="Тарасович Тетяна"/>
            <filter val="Терентьєва Влада"/>
          </filters>
        </filterColumn>
        <filterColumn colId="5">
          <filters>
            <filter val="звільнено"/>
            <filter val="Працює"/>
          </filters>
        </filterColumn>
      </autoFilter>
    </customSheetView>
    <customSheetView guid="{0B23F442-1C07-467C-B078-81B2B7170F33}" filter="1" showAutoFilter="1">
      <pageMargins left="0.7" right="0.7" top="0.75" bottom="0.75" header="0.3" footer="0.3"/>
      <autoFilter ref="E1:F3000" xr:uid="{DDEDB478-3DB5-42F8-BF1F-90BB48572B8C}">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0A496995-8A54-4FAF-B4AB-22D1612CBD21}" filter="1" showAutoFilter="1">
      <pageMargins left="0.7" right="0.7" top="0.75" bottom="0.75" header="0.3" footer="0.3"/>
      <autoFilter ref="E1:E3102" xr:uid="{5B0C44A6-5D92-41C8-B102-8FB5F5E80391}">
        <filterColumn colId="0">
          <filters>
            <filter val="Тарасович Тетяна"/>
          </filters>
        </filterColumn>
      </autoFilter>
    </customSheetView>
    <customSheetView guid="{B6C34B04-2E68-4B6B-9E84-54C527594094}" filter="1" showAutoFilter="1">
      <pageMargins left="0.7" right="0.7" top="0.75" bottom="0.75" header="0.3" footer="0.3"/>
      <autoFilter ref="A1:A1906" xr:uid="{757BA1DD-6F66-4D44-82B4-ED071BBC5E7A}"/>
    </customSheetView>
    <customSheetView guid="{A12A475D-5771-450F-9DC5-A0FCC0F29DE3}" filter="1" showAutoFilter="1">
      <pageMargins left="0.7" right="0.7" top="0.75" bottom="0.75" header="0.3" footer="0.3"/>
      <autoFilter ref="E1:F3102" xr:uid="{7196A64B-4E9A-4FC9-9969-C4B676E857BB}">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C791E6D3-155E-41D6-92F4-D7BB3B5D82EC}" filter="1" showAutoFilter="1">
      <pageMargins left="0.7" right="0.7" top="0.75" bottom="0.75" header="0.3" footer="0.3"/>
      <autoFilter ref="E1:E1906" xr:uid="{E227BE88-752C-46C1-BF71-696F9C8DE365}">
        <filterColumn colId="0">
          <filters>
            <filter val="Гриневич Олена"/>
            <filter val="Іванішена Юлія"/>
            <filter val="Лонжанська (Мазурик) Діана"/>
            <filter val="Максимів Яна"/>
            <filter val="Озімінська (Терентьєва) Влада"/>
            <filter val="Третьяк Олександра"/>
          </filters>
        </filterColumn>
      </autoFilter>
    </customSheetView>
    <customSheetView guid="{893337A3-F45B-4E5C-9D6D-B6C37627108B}" filter="1" showAutoFilter="1">
      <pageMargins left="0.7" right="0.7" top="0.75" bottom="0.75" header="0.3" footer="0.3"/>
      <autoFilter ref="A1:A3102" xr:uid="{5BF4D40C-02AA-432C-B286-07493A5BE49A}"/>
    </customSheetView>
    <customSheetView guid="{B44DD0BC-C4BC-4BD2-A21F-98D0F2D22D68}" filter="1" showAutoFilter="1">
      <pageMargins left="0.7" right="0.7" top="0.75" bottom="0.75" header="0.3" footer="0.3"/>
      <autoFilter ref="E1:F3102" xr:uid="{0B6EF4FD-5E3E-4C1F-B511-0BD15B04DB68}">
        <filterColumn colId="0">
          <filters>
            <filter val="Пустова Юлія"/>
          </filters>
        </filterColumn>
        <filterColumn colId="1">
          <filters blank="1">
            <filter val="звільнено"/>
            <filter val="Працює"/>
            <filter val="Статус"/>
          </filters>
        </filterColumn>
      </autoFilter>
    </customSheetView>
    <customSheetView guid="{65466170-B2B1-4ED5-9CF9-C25ACDF28BB5}" filter="1" showAutoFilter="1">
      <pageMargins left="0.7" right="0.7" top="0.75" bottom="0.75" header="0.3" footer="0.3"/>
      <autoFilter ref="E1:E1906" xr:uid="{AB04CDC8-B024-416C-A4FF-7CE82B06CD5F}">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9E54FD72-8F39-4839-BB8A-F56F0D0407A6}" filter="1" showAutoFilter="1">
      <pageMargins left="0.7" right="0.7" top="0.75" bottom="0.75" header="0.3" footer="0.3"/>
      <autoFilter ref="E1:E3102" xr:uid="{61AB65C1-CD0D-4CB6-AB81-25576E879F6F}">
        <filterColumn colId="0">
          <filters>
            <filter val="Озімінська (Терентьєва) Влада"/>
          </filters>
        </filterColumn>
      </autoFilter>
    </customSheetView>
    <customSheetView guid="{F83B2CEA-822A-4765-A602-AF548F769964}" filter="1" showAutoFilter="1">
      <pageMargins left="0.7" right="0.7" top="0.75" bottom="0.75" header="0.3" footer="0.3"/>
      <autoFilter ref="A1" xr:uid="{F2C355D9-DBB0-4ADF-BAEC-89A615F307F5}"/>
    </customSheetView>
    <customSheetView guid="{DA77F976-BDDC-474A-A18C-26B7282D8902}" filter="1" showAutoFilter="1">
      <pageMargins left="0.7" right="0.7" top="0.75" bottom="0.75" header="0.3" footer="0.3"/>
      <autoFilter ref="A2:CE3102" xr:uid="{2AC254EC-0674-41B7-972C-44B786C41B14}">
        <filterColumn colId="4">
          <filters>
            <filter val="Мих Анастасія"/>
            <filter val="Максименко Аліна"/>
          </filters>
        </filterColumn>
        <filterColumn colId="5">
          <filters blank="1">
            <filter val="звільнено"/>
            <filter val="Працює"/>
          </filters>
        </filterColumn>
        <filterColumn colId="9">
          <filters blank="1">
            <filter val="FALSE"/>
            <filter val="TRUE"/>
          </filters>
        </filterColumn>
      </autoFilter>
    </customSheetView>
    <customSheetView guid="{53FC7E8A-377B-4258-8D87-0C45316FF566}" filter="1" showAutoFilter="1">
      <pageMargins left="0.7" right="0.7" top="0.75" bottom="0.75" header="0.3" footer="0.3"/>
      <autoFilter ref="E1:F2905" xr:uid="{66107EE3-18C3-4603-9EEE-5451EC75F4C8}">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BD61C6D2-7755-41EE-8EB8-1CCCEB97E41E}" filter="1" showAutoFilter="1">
      <pageMargins left="0.7" right="0.7" top="0.75" bottom="0.75" header="0.3" footer="0.3"/>
      <autoFilter ref="E1:F3102" xr:uid="{D90D76AF-1747-41E8-BAC2-8957A50C4350}">
        <filterColumn colId="0">
          <filters>
            <filter val="Пустова Юлія"/>
          </filters>
        </filterColumn>
        <filterColumn colId="1">
          <filters blank="1">
            <filter val="звільнено"/>
            <filter val="Працює"/>
            <filter val="Статус"/>
          </filters>
        </filterColumn>
      </autoFilter>
    </customSheetView>
    <customSheetView guid="{E2CCEB60-9188-4C01-8803-5BD8B889631B}" filter="1" showAutoFilter="1">
      <pageMargins left="0.7" right="0.7" top="0.75" bottom="0.75" header="0.3" footer="0.3"/>
      <autoFilter ref="A2:CE3102" xr:uid="{B69DEAF0-2745-4811-84DF-4B7D5B9E7EAA}">
        <filterColumn colId="4">
          <filters>
            <filter val="Лонжанська (Мазурик) Діана"/>
          </filters>
        </filterColumn>
        <filterColumn colId="5">
          <filters blank="1">
            <filter val="звільнено"/>
            <filter val="Працює"/>
          </filters>
        </filterColumn>
      </autoFilter>
    </customSheetView>
    <customSheetView guid="{B1C55E80-5BA8-4B5E-90F0-4C6259C58804}" filter="1" showAutoFilter="1">
      <pageMargins left="0.7" right="0.7" top="0.75" bottom="0.75" header="0.3" footer="0.3"/>
      <autoFilter ref="A2:BR1041" xr:uid="{E4295D21-2138-4A6E-BA90-81BAA02C1CC3}">
        <filterColumn colId="4">
          <filters>
            <filter val="Іванішена Юлія"/>
          </filters>
        </filterColumn>
        <filterColumn colId="5">
          <filters>
            <filter val="звільнено"/>
            <filter val="Працює"/>
          </filters>
        </filterColumn>
      </autoFilter>
    </customSheetView>
    <customSheetView guid="{55E008F6-5F55-43D0-8301-2D0D1BD01DFB}" filter="1" showAutoFilter="1">
      <pageMargins left="0.7" right="0.7" top="0.75" bottom="0.75" header="0.3" footer="0.3"/>
      <autoFilter ref="F1:F3000" xr:uid="{7DB0A8AB-EC9A-406F-BD50-6DC59CCC0BE4}"/>
    </customSheetView>
    <customSheetView guid="{63971586-223E-43A1-86F9-C60F1FE9A7A7}" filter="1" showAutoFilter="1">
      <pageMargins left="0.7" right="0.7" top="0.75" bottom="0.75" header="0.3" footer="0.3"/>
      <autoFilter ref="E1:E1906" xr:uid="{56258DA8-2BB2-4DEC-BA38-EDA7CF3DC1E6}">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3027F1C3-8B3D-43F9-BA35-D6CE65FCE1FC}" filter="1" showAutoFilter="1">
      <pageMargins left="0.7" right="0.7" top="0.75" bottom="0.75" header="0.3" footer="0.3"/>
      <autoFilter ref="E1:E1906" xr:uid="{A9342076-79F8-49D2-A81F-513C17113A1B}">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93785AB8-0B18-4922-BD01-DADC93AFACD3}" filter="1" showAutoFilter="1">
      <pageMargins left="0.7" right="0.7" top="0.75" bottom="0.75" header="0.3" footer="0.3"/>
      <autoFilter ref="E1:E1906" xr:uid="{FF9D863A-0A3B-418E-B519-FEC973EA3CFC}">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0BEEBA6C-20F2-40F5-A3E5-9C3ED9FC7892}" filter="1" showAutoFilter="1">
      <pageMargins left="0.7" right="0.7" top="0.75" bottom="0.75" header="0.3" footer="0.3"/>
      <autoFilter ref="E1:E2905" xr:uid="{E9E9DD0C-8EEC-46DD-A2B0-AF253BB23114}">
        <filterColumn colId="0">
          <filters>
            <filter val="Гриневич Олена"/>
            <filter val="Лонжанська (Мазурик) Діана"/>
            <filter val="Максимів Яна"/>
            <filter val="Озімінська (Терентьєва) Влада"/>
            <filter val="Сербін Олександр"/>
            <filter val="Тарасович Тетяна"/>
          </filters>
        </filterColumn>
      </autoFilter>
    </customSheetView>
    <customSheetView guid="{55C68190-5AD7-43F8-9C19-985AC2366A2B}" filter="1" showAutoFilter="1">
      <pageMargins left="0.7" right="0.7" top="0.75" bottom="0.75" header="0.3" footer="0.3"/>
      <autoFilter ref="E1:F3095" xr:uid="{8FD1CD78-61F2-4B53-BD41-23D7DCDE8BB5}">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A8433BB3-5167-412B-B64E-3A808A6F7098}" filter="1" showAutoFilter="1">
      <pageMargins left="0.7" right="0.7" top="0.75" bottom="0.75" header="0.3" footer="0.3"/>
      <autoFilter ref="E1:F3102" xr:uid="{395B5A7D-CDC8-4AB5-96F0-1B7A220BEC70}">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3C243430-3BD5-47CD-98B4-14E3D47211F0}" filter="1" showAutoFilter="1">
      <pageMargins left="0.7" right="0.7" top="0.75" bottom="0.75" header="0.3" footer="0.3"/>
      <autoFilter ref="E1:F2905" xr:uid="{EA3FEEB8-C75C-4A3E-B348-B784993EEC63}"/>
    </customSheetView>
    <customSheetView guid="{9673F715-C235-486F-BB1E-291D3284E590}" filter="1" showAutoFilter="1">
      <pageMargins left="0.7" right="0.7" top="0.75" bottom="0.75" header="0.3" footer="0.3"/>
      <autoFilter ref="A2:CE3102" xr:uid="{FE098D04-B0EC-4826-AE15-742C0ED4E921}">
        <filterColumn colId="5">
          <filters>
            <filter val="звільнено"/>
            <filter val="Працює"/>
          </filters>
        </filterColumn>
        <filterColumn colId="17">
          <filters blank="1">
            <filter val="FALSE"/>
            <filter val="TRUE"/>
          </filters>
        </filterColumn>
      </autoFilter>
    </customSheetView>
    <customSheetView guid="{77DD0752-A248-4F41-807F-C0F92A503FA2}" filter="1" showAutoFilter="1">
      <pageMargins left="0.7" right="0.7" top="0.75" bottom="0.75" header="0.3" footer="0.3"/>
      <autoFilter ref="A1:A2" xr:uid="{0C7C7937-82E0-4C0A-9E64-3866054D0DB6}"/>
    </customSheetView>
    <customSheetView guid="{DD5D7C82-B3FD-4CFA-89E0-D022E66D1DEF}" filter="1" showAutoFilter="1">
      <pageMargins left="0.7" right="0.7" top="0.75" bottom="0.75" header="0.3" footer="0.3"/>
      <autoFilter ref="E1:E1906" xr:uid="{AACEE1A8-CC76-45F6-83E8-8FE9901B55CF}">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51DCDD25-5BC4-4D9C-8C6B-B8EB98E4C55C}" filter="1" showAutoFilter="1">
      <pageMargins left="0.7" right="0.7" top="0.75" bottom="0.75" header="0.3" footer="0.3"/>
      <autoFilter ref="E1:F3095" xr:uid="{D919D4F8-AA1B-476F-BA5F-AEE4A356BB0E}">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366F5F62-28D1-4A1B-9675-761A358439A0}" filter="1" showAutoFilter="1">
      <pageMargins left="0.7" right="0.7" top="0.75" bottom="0.75" header="0.3" footer="0.3"/>
      <autoFilter ref="BT1:BT3102" xr:uid="{AA5A940B-0FCB-49D4-9722-190C3ACB344E}">
        <filterColumn colId="0">
          <filters>
            <filter val="Sapphire"/>
          </filters>
        </filterColumn>
      </autoFilter>
    </customSheetView>
    <customSheetView guid="{7A3A4B17-B19C-402E-9FCD-49C2FFFC46CB}" filter="1" showAutoFilter="1">
      <pageMargins left="0.7" right="0.7" top="0.75" bottom="0.75" header="0.3" footer="0.3"/>
      <autoFilter ref="E1:E1906" xr:uid="{60442C97-19B1-4399-B1ED-64B9AEC68E66}">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24B329D8-7F6D-466B-99CF-FBDE7B0B5CD1}" filter="1" showAutoFilter="1">
      <pageMargins left="0.7" right="0.7" top="0.75" bottom="0.75" header="0.3" footer="0.3"/>
      <autoFilter ref="E1:E1906" xr:uid="{0416D095-14B0-4494-B95F-5C63FF7DC40F}">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1387B83D-F9DF-4352-A132-4EF5758D9509}" filter="1" showAutoFilter="1">
      <pageMargins left="0.7" right="0.7" top="0.75" bottom="0.75" header="0.3" footer="0.3"/>
      <autoFilter ref="F1:F3095" xr:uid="{BC089DC4-78E5-4D84-891F-931752A9A627}"/>
    </customSheetView>
    <customSheetView guid="{DC1ABAD8-7FE0-4BA8-9FDC-8E296776F648}" filter="1" showAutoFilter="1">
      <pageMargins left="0.7" right="0.7" top="0.75" bottom="0.75" header="0.3" footer="0.3"/>
      <autoFilter ref="E1:E3102" xr:uid="{22CB670A-6D3B-4356-A046-CD17847E4ECD}">
        <filterColumn colId="0">
          <filters>
            <filter val="Гриневич Олена"/>
          </filters>
        </filterColumn>
      </autoFilter>
    </customSheetView>
    <customSheetView guid="{D3409D31-344D-4436-94BC-988F0945491B}" filter="1" showAutoFilter="1">
      <pageMargins left="0.7" right="0.7" top="0.75" bottom="0.75" header="0.3" footer="0.3"/>
      <autoFilter ref="E1:E1906" xr:uid="{10C66A7E-8568-4DAB-84EF-4A9139DFD25C}">
        <filterColumn colId="0">
          <filters>
            <filter val="Гриневич Олена"/>
            <filter val="Лисенко Олександра"/>
            <filter val="Лонжанська (Мазурик) Діана"/>
            <filter val="Максимів Яна"/>
            <filter val="Озімінська (Терентьєва) Влада"/>
            <filter val="Тарасович Тетяна"/>
          </filters>
        </filterColumn>
      </autoFilter>
    </customSheetView>
    <customSheetView guid="{66D3854A-629C-473B-B869-BA11FDBFE1D1}" filter="1" showAutoFilter="1">
      <pageMargins left="0.7" right="0.7" top="0.75" bottom="0.75" header="0.3" footer="0.3"/>
      <autoFilter ref="E1:F2905" xr:uid="{4E18FE04-1317-4FDE-8F49-260419B6499C}">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D3C6E3B6-4A8E-4F8B-A6F9-C79D5AB27F50}" filter="1" showAutoFilter="1">
      <pageMargins left="0.7" right="0.7" top="0.75" bottom="0.75" header="0.3" footer="0.3"/>
      <autoFilter ref="E1:E1906" xr:uid="{04DCF877-8FF8-4A33-A6AE-A1BEC3175D44}">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DDA7AC39-8CE7-4887-9414-F8C67644A7C9}" filter="1" showAutoFilter="1">
      <pageMargins left="0.7" right="0.7" top="0.75" bottom="0.75" header="0.3" footer="0.3"/>
      <autoFilter ref="E1:F3102" xr:uid="{C94F4C9F-0809-48F9-9956-C258DDDD66A8}">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7551374D-8F6C-461D-AC42-1F01493FB074}" filter="1" showAutoFilter="1">
      <pageMargins left="0.7" right="0.7" top="0.75" bottom="0.75" header="0.3" footer="0.3"/>
      <autoFilter ref="E1:F3102" xr:uid="{8C78606A-6E87-43B6-AF00-BF5330D358A6}">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B0AAC4D9-01D8-4203-BA99-51556EA5F207}" filter="1" showAutoFilter="1">
      <pageMargins left="0.7" right="0.7" top="0.75" bottom="0.75" header="0.3" footer="0.3"/>
      <autoFilter ref="A10:A327" xr:uid="{EE05F385-879E-4945-8002-CFEE88E4C40B}"/>
    </customSheetView>
    <customSheetView guid="{54BD8BFE-F461-41E5-A01B-DD7082C1A3FF}" filter="1" showAutoFilter="1">
      <pageMargins left="0.7" right="0.7" top="0.75" bottom="0.75" header="0.3" footer="0.3"/>
      <autoFilter ref="E1:E2905" xr:uid="{1A5A40D0-B88F-4FE0-AA32-11EFB1278004}">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A6F1901A-FD26-4FE1-9549-61B476460E67}" filter="1" showAutoFilter="1">
      <pageMargins left="0.7" right="0.7" top="0.75" bottom="0.75" header="0.3" footer="0.3"/>
      <autoFilter ref="E1:E1906" xr:uid="{E7C86E3E-4AD8-4204-B66A-F3E3F0A0771A}">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E0934CDE-86D6-446F-A188-27119D28A433}" filter="1" showAutoFilter="1">
      <pageMargins left="0.7" right="0.7" top="0.75" bottom="0.75" header="0.3" footer="0.3"/>
      <autoFilter ref="A1:A3102" xr:uid="{B286DED0-B70A-4A9B-A07D-DC02BEBA0DAB}"/>
    </customSheetView>
    <customSheetView guid="{C5819023-4EBF-45FE-B05B-D48E07E46466}" filter="1" showAutoFilter="1">
      <pageMargins left="0.7" right="0.7" top="0.75" bottom="0.75" header="0.3" footer="0.3"/>
      <autoFilter ref="E1:E1906" xr:uid="{6B3B249B-569F-434A-8A22-56DDA5CA6EF9}">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97F47574-485E-44E1-B670-B530C99DEA9A}" filter="1" showAutoFilter="1">
      <pageMargins left="0.7" right="0.7" top="0.75" bottom="0.75" header="0.3" footer="0.3"/>
      <autoFilter ref="E1:E1906" xr:uid="{E105D42F-2CAC-410D-9185-0E9F0B5C9806}">
        <filterColumn colId="0">
          <filters>
            <filter val="Гриневич Олена"/>
            <filter val="Іванішена Юлія"/>
            <filter val="Лонжанська (Мазурик) Діана"/>
            <filter val="Максименко Аліна"/>
            <filter val="Максимів Яна"/>
            <filter val="Озімінська (Терентьєва) Влада"/>
            <filter val="Сербін Олександр"/>
            <filter val="Тарасович Тетяна"/>
          </filters>
        </filterColumn>
      </autoFilter>
    </customSheetView>
    <customSheetView guid="{BE384C63-EAA6-4E1D-8102-7C5366BC1CEA}" filter="1" showAutoFilter="1">
      <pageMargins left="0.7" right="0.7" top="0.75" bottom="0.75" header="0.3" footer="0.3"/>
      <autoFilter ref="E1:F3102" xr:uid="{2D57B407-EE0F-45A6-9EA6-54070C6B8714}">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179F8D3C-AA9B-4981-97B5-7F068B76835A}" filter="1" showAutoFilter="1">
      <pageMargins left="0.7" right="0.7" top="0.75" bottom="0.75" header="0.3" footer="0.3"/>
      <autoFilter ref="E1:E1906" xr:uid="{F2DF911D-C2AF-4E94-B6B3-2A58489D1C02}">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EBEF4C94-D7D5-4167-B81D-4F697BC5F934}" filter="1" showAutoFilter="1">
      <pageMargins left="0.7" right="0.7" top="0.75" bottom="0.75" header="0.3" footer="0.3"/>
      <autoFilter ref="E1:F3102" xr:uid="{84995A9C-3883-4B64-9917-B1D353BB833B}">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C50176BB-4778-4E34-9588-D79BAC17B4DA}" filter="1" showAutoFilter="1">
      <pageMargins left="0.7" right="0.7" top="0.75" bottom="0.75" header="0.3" footer="0.3"/>
      <autoFilter ref="B385:C835" xr:uid="{48864215-67AE-407D-A4DF-603A5C357906}"/>
    </customSheetView>
    <customSheetView guid="{5A88D8A7-BC19-4155-BC97-95F5DD81DF78}" filter="1" showAutoFilter="1">
      <pageMargins left="0.7" right="0.7" top="0.75" bottom="0.75" header="0.3" footer="0.3"/>
      <autoFilter ref="E1:E1906" xr:uid="{AC16132A-2CDD-4A4B-9B5F-169EE51149EE}">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264A88AE-E545-4746-B8D8-E67759717616}" filter="1" showAutoFilter="1">
      <pageMargins left="0.7" right="0.7" top="0.75" bottom="0.75" header="0.3" footer="0.3"/>
      <autoFilter ref="A2:CE3102" xr:uid="{95F063D8-4787-4B85-85B8-296FBD080072}">
        <filterColumn colId="5">
          <filters blank="1">
            <filter val="звільнено"/>
            <filter val="Працює"/>
          </filters>
        </filterColumn>
      </autoFilter>
    </customSheetView>
    <customSheetView guid="{2BBFF34C-B797-406F-9457-1A10570F0C32}" filter="1" showAutoFilter="1">
      <pageMargins left="0.7" right="0.7" top="0.75" bottom="0.75" header="0.3" footer="0.3"/>
      <autoFilter ref="E1:E2905" xr:uid="{A627DDFD-BD30-4449-8A53-C94D977FBACE}">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autoFilter>
    </customSheetView>
    <customSheetView guid="{B7256DB8-83B8-46BB-9E0C-F2CA5D6C469D}" filter="1" showAutoFilter="1">
      <pageMargins left="0.7" right="0.7" top="0.75" bottom="0.75" header="0.3" footer="0.3"/>
      <autoFilter ref="E1:E1906" xr:uid="{34B94FF5-D448-4F40-9D16-B6D0F5D1E254}">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00BDCD11-8950-458E-BFDF-570FE91CC33A}" filter="1" showAutoFilter="1">
      <pageMargins left="0.7" right="0.7" top="0.75" bottom="0.75" header="0.3" footer="0.3"/>
      <autoFilter ref="E1:F3102" xr:uid="{6597FCAB-7A24-4E61-AE90-4E963FF7A2BA}">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26473656-66D4-4924-91E4-00B7EA4D4199}" filter="1" showAutoFilter="1">
      <pageMargins left="0.7" right="0.7" top="0.75" bottom="0.75" header="0.3" footer="0.3"/>
      <autoFilter ref="E1:E1906" xr:uid="{F89F7FAC-2899-48D7-9751-E87E5AB4A5E2}">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CED67368-F6EA-4B53-8D72-0FD29261D932}" filter="1" showAutoFilter="1">
      <pageMargins left="0.7" right="0.7" top="0.75" bottom="0.75" header="0.3" footer="0.3"/>
      <autoFilter ref="E1:E1906" xr:uid="{C2270A59-BE6A-4D6F-A718-D2A4D830A560}">
        <filterColumn colId="0">
          <filters>
            <filter val="Гриневич Олена"/>
            <filter val="Лонжанська (Мазурик) Діана"/>
            <filter val="Максименко Аліна"/>
            <filter val="Максимів Яна"/>
            <filter val="Озімінська (Терентьєва) Влада"/>
            <filter val="Тарасович Тетяна"/>
            <filter val="Третьяк Олександра"/>
          </filters>
        </filterColumn>
      </autoFilter>
    </customSheetView>
    <customSheetView guid="{EC7FBF07-A031-4CCC-82DC-1E605ACFE7FA}" filter="1" showAutoFilter="1">
      <pageMargins left="0.7" right="0.7" top="0.75" bottom="0.75" header="0.3" footer="0.3"/>
      <autoFilter ref="E1:F3095" xr:uid="{80223A91-28F4-4A14-9B9A-D5326B4893AC}">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E5DFC77D-25D1-45FA-8DD2-995968EBED46}" filter="1" showAutoFilter="1">
      <pageMargins left="0.7" right="0.7" top="0.75" bottom="0.75" header="0.3" footer="0.3"/>
      <autoFilter ref="E1:F3102" xr:uid="{03F487F5-941D-4DC3-9B7F-FF8BBE6D61CE}">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BDE2D02C-9588-40CE-8C08-F0BE5C11E124}" filter="1" showAutoFilter="1">
      <pageMargins left="0.7" right="0.7" top="0.75" bottom="0.75" header="0.3" footer="0.3"/>
      <autoFilter ref="E1:F3102" xr:uid="{DBFCE7A5-D858-4659-A9CD-A091A616FA38}">
        <filterColumn colId="0">
          <filters>
            <filter val="Тарасович Тетяна"/>
          </filters>
        </filterColumn>
        <filterColumn colId="1">
          <filters blank="1">
            <filter val="звільнено"/>
            <filter val="Працює"/>
            <filter val="Статус"/>
          </filters>
        </filterColumn>
      </autoFilter>
    </customSheetView>
    <customSheetView guid="{CBC08363-879C-4F75-A6F3-4DD5280C81D9}" filter="1" showAutoFilter="1">
      <pageMargins left="0.7" right="0.7" top="0.75" bottom="0.75" header="0.3" footer="0.3"/>
      <autoFilter ref="E1:F3095" xr:uid="{4CB8E130-6ADE-4EB1-BC3A-C94507BBB919}">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768CAE28-BA97-4A60-88AE-9A3575842595}" filter="1" showAutoFilter="1">
      <pageMargins left="0.7" right="0.7" top="0.75" bottom="0.75" header="0.3" footer="0.3"/>
      <autoFilter ref="E1:F3102" xr:uid="{B2B033FE-A579-4A89-AA07-79EB76C89C5B}">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006F3222-7E9E-4060-B9BE-0268F2752A85}" filter="1" showAutoFilter="1">
      <pageMargins left="0.7" right="0.7" top="0.75" bottom="0.75" header="0.3" footer="0.3"/>
      <autoFilter ref="T1:T3102" xr:uid="{87E0E0C9-1BD4-46FB-AD7F-7F6CF06788E5}">
        <filterColumn colId="0">
          <filters>
            <filter val="ААА"/>
          </filters>
        </filterColumn>
      </autoFilter>
    </customSheetView>
    <customSheetView guid="{5A1E6FE7-1C6D-47C7-8844-D7CB3950C307}" filter="1" showAutoFilter="1">
      <pageMargins left="0.7" right="0.7" top="0.75" bottom="0.75" header="0.3" footer="0.3"/>
      <autoFilter ref="E1:F3102" xr:uid="{7D243184-5D15-4648-A5A3-4ACAC21AFD77}">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BC7AC370-F204-45C9-951C-A233D86ECCB2}" filter="1" showAutoFilter="1">
      <pageMargins left="0.7" right="0.7" top="0.75" bottom="0.75" header="0.3" footer="0.3"/>
      <autoFilter ref="A2:F950" xr:uid="{2243541F-CF5B-497F-9725-1922DEE00FB0}"/>
    </customSheetView>
    <customSheetView guid="{F8C60011-499E-43CA-888B-8D394BEDAC5D}" filter="1" showAutoFilter="1">
      <pageMargins left="0.7" right="0.7" top="0.75" bottom="0.75" header="0.3" footer="0.3"/>
      <autoFilter ref="A2:CE2905" xr:uid="{27EACE1D-3E11-4550-A42D-92E091D9C217}">
        <filterColumn colId="5">
          <filters>
            <filter val="звільнено"/>
            <filter val="Працює"/>
          </filters>
        </filterColumn>
      </autoFilter>
    </customSheetView>
    <customSheetView guid="{6AC89C7A-31A2-4BC7-82CA-F63F80FCCF16}" filter="1" showAutoFilter="1">
      <pageMargins left="0.7" right="0.7" top="0.75" bottom="0.75" header="0.3" footer="0.3"/>
      <autoFilter ref="A2:BR603" xr:uid="{7575C31F-9E2F-4C89-A7CC-5B06A7E26E28}">
        <filterColumn colId="5">
          <filters>
            <filter val="звільнено"/>
            <filter val="Працює"/>
          </filters>
        </filterColumn>
      </autoFilter>
    </customSheetView>
    <customSheetView guid="{F8593FFE-DE99-4BF2-B36F-29A16EFFE534}" filter="1" showAutoFilter="1">
      <pageMargins left="0.7" right="0.7" top="0.75" bottom="0.75" header="0.3" footer="0.3"/>
      <autoFilter ref="E1:E1906" xr:uid="{6F4A007B-7789-4227-8D31-F6BB7CE9C9E3}">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ерентьєва Влада"/>
            <filter val="Третьяк Олександра"/>
          </filters>
        </filterColumn>
      </autoFilter>
    </customSheetView>
    <customSheetView guid="{A9F0CE94-BBF5-49B5-ACA3-0923DD69EA6B}" filter="1" showAutoFilter="1">
      <pageMargins left="0.7" right="0.7" top="0.75" bottom="0.75" header="0.3" footer="0.3"/>
      <autoFilter ref="E1:F3102" xr:uid="{2C4C5BFA-A0D1-4300-87B5-0BEF5C390EF2}">
        <filterColumn colId="0">
          <filters>
            <filter val="Лонжанська (Мазурик) Діана"/>
            <filter val="Максимів Яна"/>
            <filter val="Третьяк Олександра"/>
          </filters>
        </filterColumn>
        <filterColumn colId="1">
          <filters blank="1">
            <filter val="звільнено"/>
            <filter val="Працює"/>
            <filter val="Статус"/>
          </filters>
        </filterColumn>
      </autoFilter>
    </customSheetView>
    <customSheetView guid="{3EB4FAFA-D20F-458B-8CBB-1B4CA9DA8DC2}" filter="1" showAutoFilter="1">
      <pageMargins left="0.7" right="0.7" top="0.75" bottom="0.75" header="0.3" footer="0.3"/>
      <autoFilter ref="A2:F1041" xr:uid="{BC079C24-9C18-4086-A329-067B502606A1}">
        <filterColumn colId="4">
          <filters blank="1">
            <filter val="Мих Анастасія"/>
            <filter val="Сербін Олександр"/>
            <filter val="Терентьєва Влада"/>
          </filters>
        </filterColumn>
        <filterColumn colId="5">
          <filters>
            <filter val="звільнено"/>
            <filter val="Працює"/>
          </filters>
        </filterColumn>
      </autoFilter>
    </customSheetView>
    <customSheetView guid="{3189AB85-C403-410D-892D-B3A5DB38D836}" filter="1" showAutoFilter="1">
      <pageMargins left="0.7" right="0.7" top="0.75" bottom="0.75" header="0.3" footer="0.3"/>
      <autoFilter ref="E1:F3095" xr:uid="{CB4D2A53-9DF2-4ECA-9B64-F84A90693F81}">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CB5684DC-4981-4B9E-8551-1909F9295D4A}" filter="1" showAutoFilter="1">
      <pageMargins left="0.7" right="0.7" top="0.75" bottom="0.75" header="0.3" footer="0.3"/>
      <autoFilter ref="E1:F3102" xr:uid="{65DE2BDA-D51B-44B0-B5B7-13A9B639F487}">
        <filterColumn colId="0">
          <filters>
            <filter val="Пустова Юлія"/>
          </filters>
        </filterColumn>
        <filterColumn colId="1">
          <filters blank="1">
            <filter val="звільнено"/>
            <filter val="Працює"/>
            <filter val="Статус"/>
          </filters>
        </filterColumn>
      </autoFilter>
    </customSheetView>
    <customSheetView guid="{94628588-29EC-4A78-A0E8-5080A863F280}" filter="1" showAutoFilter="1">
      <pageMargins left="0.7" right="0.7" top="0.75" bottom="0.75" header="0.3" footer="0.3"/>
      <autoFilter ref="E1:F3102" xr:uid="{1A560655-E41E-4933-BDD8-80821DC63E80}">
        <filterColumn colId="0">
          <filters>
            <filter val="Пустова Юлія"/>
          </filters>
        </filterColumn>
        <filterColumn colId="1">
          <filters blank="1">
            <filter val="звільнено"/>
            <filter val="Працює"/>
            <filter val="Статус"/>
          </filters>
        </filterColumn>
      </autoFilter>
    </customSheetView>
    <customSheetView guid="{1B597360-A471-48B2-82F5-FB431D2327F6}" filter="1" showAutoFilter="1">
      <pageMargins left="0.7" right="0.7" top="0.75" bottom="0.75" header="0.3" footer="0.3"/>
      <autoFilter ref="A1:A3102" xr:uid="{B05F0266-D15A-40C7-926D-CD88A6312A77}">
        <filterColumn colId="0">
          <filters>
            <filter val="Абдельжаліл Іліас"/>
            <filter val="Авдашкова Альона"/>
            <filter val="Артеменко Дмитро"/>
            <filter val="Атаманюк Мар’яна"/>
            <filter val="Ахинько Анна"/>
            <filter val="Ахметова Вікторія"/>
            <filter val="Балясова Анна"/>
            <filter val="Баннікова Єлизавета"/>
            <filter val="Баскін Ростислав"/>
            <filter val="Безматірних Надія"/>
            <filter val="Безноскович Дмитро"/>
            <filter val="Бєловенцева Марина"/>
            <filter val="Білик Інеса"/>
            <filter val="Біляшевич Ірина"/>
            <filter val="Богачевська Валентина"/>
            <filter val="Боднарчук Олексій"/>
            <filter val="Бойко Наталія"/>
            <filter val="Бондарчук Вероніка"/>
            <filter val="Борисов Артур"/>
            <filter val="Боровик Святослав"/>
            <filter val="Боровікова Марина"/>
            <filter val="Валенчук Світлана"/>
            <filter val="Ванда Вікторія"/>
            <filter val="Василега Поліна"/>
            <filter val="Вергун Андрій"/>
            <filter val="Вереницький Микола"/>
            <filter val="Верзун Уляна"/>
            <filter val="Віннічук Олександра"/>
            <filter val="Власенко Єлизавета"/>
            <filter val="Власенко Захар"/>
            <filter val="Волковська Лілія"/>
            <filter val="Горбунов Юрій"/>
            <filter val="Григоришен Олександр"/>
            <filter val="Данилюк Євгенія"/>
            <filter val="Дацко Анастасія"/>
            <filter val="Демидов Петро"/>
            <filter val="Джалладова Ірада"/>
            <filter val="Джевжик Андрій"/>
            <filter val="Діденко Юлія"/>
            <filter val="Дідківська Ірина"/>
            <filter val="Дмитрів Андрій"/>
            <filter val="Домажирська Неля"/>
            <filter val="Жалоба Богдан"/>
            <filter val="Живкова Марія"/>
            <filter val="Жук Анна"/>
            <filter val="Жук Дмитро"/>
            <filter val="Залозний Вадим"/>
            <filter val="Зарицька Євгенія"/>
            <filter val="Зиборова Вікторія"/>
            <filter val="Зябченко Ірина"/>
            <filter val="Івасик Лілія"/>
            <filter val="Ігнатов Дмитро"/>
            <filter val="Ільченко Карина"/>
            <filter val="Карманов Владислав"/>
            <filter val="Карплюк Юлія"/>
            <filter val="Катрич Кристина"/>
            <filter val="Кахновець Богдан"/>
            <filter val="Келлер Єгор"/>
            <filter val="Кирилишена Лілія"/>
            <filter val="Кірнос Анастасія"/>
            <filter val="Клименко Анна"/>
            <filter val="Копина Христина"/>
            <filter val="Кордіяка Юрій"/>
            <filter val="Корнєва Тетяна"/>
            <filter val="Косовський Павло"/>
            <filter val="Криворученко Наталія"/>
            <filter val="Кулешов Іван"/>
            <filter val="Лісова Вікторія"/>
            <filter val="Лонжанська (Мазурик) Діана"/>
            <filter val="Лубенець Гюльнара"/>
            <filter val="Луцик Наталія"/>
            <filter val="Любич-Роман Оксана"/>
            <filter val="Мазурчак Лідія"/>
            <filter val="Макарцов Ігор"/>
            <filter val="Малага Анжеліка"/>
            <filter val="Мартинюк Вікторія"/>
            <filter val="Матвійчук Леся"/>
            <filter val="Матяш Вікторія"/>
            <filter val="Махниборода Анастасія"/>
            <filter val="Медведовський Іван"/>
            <filter val="Мельнічук Анастасія"/>
            <filter val="Михайлевська Наталія"/>
            <filter val="Мишакова Ліана"/>
            <filter val="Мірошниченко Максим"/>
            <filter val="Мороз Єва"/>
            <filter val="Мороз Ольга"/>
            <filter val="Мушин Тетяна"/>
            <filter val="Непрядкіна Ірина"/>
            <filter val="Ніколаєва Вікторія"/>
            <filter val="Нікуліна Наталія"/>
            <filter val="Огієнко Данило"/>
            <filter val="Озімінський Павло"/>
            <filter val="Олійников Валентин"/>
            <filter val="Опімах Данило"/>
            <filter val="Опрісник Галина"/>
            <filter val="Орманжи Вікторія"/>
            <filter val="Остропільська Вікторія."/>
            <filter val="Павліщева Анна"/>
            <filter val="Палига Марина"/>
            <filter val="Переверзева Емілія"/>
            <filter val="Петеляк Юлія"/>
            <filter val="Пипченко Наталія"/>
            <filter val="Пінчук Максим"/>
            <filter val="Погребняк Микита"/>
            <filter val="Погрібний Анатолій"/>
            <filter val="Подопригор Валерія"/>
            <filter val="Полєєва Тетяна"/>
            <filter val="Полєшко Аліна"/>
            <filter val="Пономаренко Сергій"/>
            <filter val="Постоєнко Олег"/>
            <filter val="Прус Марина"/>
            <filter val="Пушкарьова Дарʼя"/>
            <filter val="Рибак Артем"/>
            <filter val="Рогачко Євгеній"/>
            <filter val="Рогова Анастасія"/>
            <filter val="Розгон Світлана"/>
            <filter val="Ротай Віра"/>
            <filter val="Ружина Марія"/>
            <filter val="Рябий Андрій"/>
            <filter val="Сальков Андрій"/>
            <filter val="Сафонов Іван"/>
            <filter val="Сергійчук Богдан"/>
            <filter val="Сивик Ігор"/>
            <filter val="Скрипка Андрій"/>
            <filter val="Скупейко Олег"/>
            <filter val="Смоктій Анна"/>
            <filter val="Смотрова Ольга"/>
            <filter val="Солодкий Микола"/>
            <filter val="Стець Матвій"/>
            <filter val="Тарасенко Кирило"/>
            <filter val="Таченко Оксана"/>
            <filter val="Тищенко Владислава"/>
            <filter val="Трифонов Денис"/>
            <filter val="Трубчанінов Павло"/>
            <filter val="Тупиця Вікторія"/>
            <filter val="Ухов Остап"/>
            <filter val="Фокін Максим"/>
            <filter val="Фоменко Дмитро"/>
            <filter val="Фрей Олеся"/>
            <filter val="Фурзенко Карина"/>
            <filter val="Хаврук Дарина"/>
            <filter val="Хайчіна Яна"/>
            <filter val="Хачатурова Ельвіра"/>
            <filter val="Хруленко Єлизавета"/>
            <filter val="Чернов Тимур"/>
            <filter val="Чорна Вікторія"/>
            <filter val="Шевченко Вікторія"/>
            <filter val="Шендюх Тетяна"/>
            <filter val="Шуба Карина"/>
            <filter val="Шуст Денис"/>
            <filter val="Юшманова Анастасія"/>
            <filter val="Янчук Володимир"/>
            <filter val="Ясінська Юлія"/>
          </filters>
        </filterColumn>
      </autoFilter>
    </customSheetView>
    <customSheetView guid="{4DE0576E-3CA9-434C-95EC-325EBB30CBA1}" filter="1" showAutoFilter="1">
      <pageMargins left="0.7" right="0.7" top="0.75" bottom="0.75" header="0.3" footer="0.3"/>
      <autoFilter ref="E1:E1906" xr:uid="{B152BAAA-6D51-49F8-8379-6D89DA316DA5}">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A254516C-072E-4707-965C-D566F6DB9267}" filter="1" showAutoFilter="1">
      <pageMargins left="0.7" right="0.7" top="0.75" bottom="0.75" header="0.3" footer="0.3"/>
      <autoFilter ref="E1:E1906" xr:uid="{00404B0A-E803-4C2D-87BF-19D564BE467E}">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0C6A102C-6E52-48E4-87E5-4BA6B497283F}" filter="1" showAutoFilter="1">
      <pageMargins left="0.7" right="0.7" top="0.75" bottom="0.75" header="0.3" footer="0.3"/>
      <autoFilter ref="E1:E2905" xr:uid="{A32587EB-A15E-4B62-A95F-95A4384D3C5E}">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autoFilter>
    </customSheetView>
    <customSheetView guid="{C1F67F32-F5B7-4674-B480-5EF847855954}" filter="1" showAutoFilter="1">
      <pageMargins left="0.7" right="0.7" top="0.75" bottom="0.75" header="0.3" footer="0.3"/>
      <autoFilter ref="E1:F3102" xr:uid="{D62FE58E-ED7C-4438-94CC-AD53814F8C1D}">
        <filterColumn colId="0">
          <filters>
            <filter val="Пустова Юлія"/>
          </filters>
        </filterColumn>
        <filterColumn colId="1">
          <filters blank="1">
            <filter val="звільнено"/>
            <filter val="Працює"/>
            <filter val="Статус"/>
          </filters>
        </filterColumn>
      </autoFilter>
    </customSheetView>
    <customSheetView guid="{483C8CED-EDB7-4198-9995-2FE23B8F71E8}" filter="1" showAutoFilter="1">
      <pageMargins left="0.7" right="0.7" top="0.75" bottom="0.75" header="0.3" footer="0.3"/>
      <autoFilter ref="A1:A2" xr:uid="{C142DB81-3BEA-40E6-B821-9D20ACC4B84F}"/>
    </customSheetView>
    <customSheetView guid="{E86A76E7-2BE2-4BEB-A12C-2257443BC6DD}" filter="1" showAutoFilter="1">
      <pageMargins left="0.7" right="0.7" top="0.75" bottom="0.75" header="0.3" footer="0.3"/>
      <autoFilter ref="E1:E3102" xr:uid="{40BDD276-5FB6-4C3B-9BE9-FD9BF5A1CBBD}">
        <filterColumn colId="0">
          <filters>
            <filter val="Гриневич Олена"/>
          </filters>
        </filterColumn>
      </autoFilter>
    </customSheetView>
    <customSheetView guid="{9B0945B3-8475-4B2A-96FD-ED951F4F8986}" filter="1" showAutoFilter="1">
      <pageMargins left="0.7" right="0.7" top="0.75" bottom="0.75" header="0.3" footer="0.3"/>
      <autoFilter ref="E1:E1906" xr:uid="{AC105B2F-5D65-4DBF-AC3E-65C23246B696}">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CDAFD32C-EF0E-4810-8351-9A5CD23C6A9C}" filter="1" showAutoFilter="1">
      <pageMargins left="0.7" right="0.7" top="0.75" bottom="0.75" header="0.3" footer="0.3"/>
      <autoFilter ref="E1:F2905" xr:uid="{9A2E13F3-4AA3-4DD8-9002-B9EC69612EF3}">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572AA877-6C23-414B-91C3-08160F506EDE}" filter="1" showAutoFilter="1">
      <pageMargins left="0.7" right="0.7" top="0.75" bottom="0.75" header="0.3" footer="0.3"/>
      <autoFilter ref="E1:F2905" xr:uid="{7D08574B-2AC7-4674-90F9-87FB695EB82D}">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F7316A87-9845-4315-84D5-34152F81560E}" filter="1" showAutoFilter="1">
      <pageMargins left="0.7" right="0.7" top="0.75" bottom="0.75" header="0.3" footer="0.3"/>
      <autoFilter ref="E1:E1906" xr:uid="{E61F3098-1955-4606-BED4-7EDA5463C48F}">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A684F7AB-3E38-4ABC-AFA1-6F3F821BEAE7}" filter="1" showAutoFilter="1">
      <pageMargins left="0.7" right="0.7" top="0.75" bottom="0.75" header="0.3" footer="0.3"/>
      <autoFilter ref="A2:CE3102" xr:uid="{9F213690-483F-459F-8119-1A16F50D5F7C}">
        <filterColumn colId="4">
          <filters>
            <filter val="Мих Анастасія"/>
            <filter val="Тарасович Тетяна"/>
          </filters>
        </filterColumn>
        <filterColumn colId="5">
          <filters blank="1">
            <filter val="звільнено"/>
            <filter val="Працює"/>
          </filters>
        </filterColumn>
      </autoFilter>
    </customSheetView>
    <customSheetView guid="{B74020AE-0802-4B1D-9C86-F5D158BA62C1}" filter="1" showAutoFilter="1">
      <pageMargins left="0.7" right="0.7" top="0.75" bottom="0.75" header="0.3" footer="0.3"/>
      <autoFilter ref="E1:F3102" xr:uid="{BFD898C0-EAC1-48CE-8013-BBC5390A8AB6}">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FC878F2B-65AB-4D70-83CE-C6EE23CD96CA}" filter="1" showAutoFilter="1">
      <pageMargins left="0.7" right="0.7" top="0.75" bottom="0.75" header="0.3" footer="0.3"/>
      <autoFilter ref="A1" xr:uid="{80C870E0-5FA1-4452-8AA0-E065DBB57655}"/>
    </customSheetView>
    <customSheetView guid="{7C59803B-17D7-4B03-9A0B-ACB0ECEF4305}" filter="1" showAutoFilter="1">
      <pageMargins left="0.7" right="0.7" top="0.75" bottom="0.75" header="0.3" footer="0.3"/>
      <autoFilter ref="E1:F3102" xr:uid="{B0C686D3-51E7-45E3-A231-E77F7DDE34BC}">
        <filterColumn colId="0">
          <filters>
            <filter val="Пустова Юлія"/>
          </filters>
        </filterColumn>
        <filterColumn colId="1">
          <filters blank="1">
            <filter val="звільнено"/>
            <filter val="Працює"/>
            <filter val="Статус"/>
          </filters>
        </filterColumn>
      </autoFilter>
    </customSheetView>
    <customSheetView guid="{E698FCE0-0D27-4A98-9480-520184631F20}" filter="1" showAutoFilter="1">
      <pageMargins left="0.7" right="0.7" top="0.75" bottom="0.75" header="0.3" footer="0.3"/>
      <autoFilter ref="E1:F3102" xr:uid="{5D2EC0B4-209C-4421-8339-B738A2F64532}">
        <filterColumn colId="0">
          <filters>
            <filter val="Лонжанська (Мазурик) Діана"/>
            <filter val="Максимів Яна"/>
            <filter val="Озімінська (Терентьєва) Влада"/>
            <filter val="Пустова Юлія"/>
          </filters>
        </filterColumn>
        <filterColumn colId="1">
          <filters blank="1">
            <filter val="звільнено"/>
            <filter val="Працює"/>
            <filter val="Статус"/>
          </filters>
        </filterColumn>
      </autoFilter>
    </customSheetView>
    <customSheetView guid="{9B8329E9-2935-4802-894C-AAEDF5B93852}" filter="1" showAutoFilter="1">
      <pageMargins left="0.7" right="0.7" top="0.75" bottom="0.75" header="0.3" footer="0.3"/>
      <autoFilter ref="A1:A3102" xr:uid="{D6193450-9750-4A57-AD23-5B2000560AAF}"/>
    </customSheetView>
    <customSheetView guid="{5F1D3C68-5572-48F1-84F2-45B5E29452E7}" filter="1" showAutoFilter="1">
      <pageMargins left="0.7" right="0.7" top="0.75" bottom="0.75" header="0.3" footer="0.3"/>
      <autoFilter ref="E1:E1906" xr:uid="{D15189A7-4D7E-435A-8C18-E77CA5580D26}">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39E79A8A-69B8-414C-BBAD-E33C0248542E}" filter="1" showAutoFilter="1">
      <pageMargins left="0.7" right="0.7" top="0.75" bottom="0.75" header="0.3" footer="0.3"/>
      <autoFilter ref="A2:CE3102" xr:uid="{36E6E75E-F7D7-4B8C-AA5D-516A4746618C}">
        <filterColumn colId="4">
          <filters>
            <filter val="Гриневич Олена"/>
          </filters>
        </filterColumn>
        <filterColumn colId="5">
          <filters blank="1">
            <filter val="звільнено"/>
            <filter val="Працює"/>
            <filter val="Резерв"/>
          </filters>
        </filterColumn>
      </autoFilter>
    </customSheetView>
    <customSheetView guid="{3927304B-B123-4738-BF08-521D4B1AD55E}" filter="1" showAutoFilter="1">
      <pageMargins left="0.7" right="0.7" top="0.75" bottom="0.75" header="0.3" footer="0.3"/>
      <autoFilter ref="E1:F3095" xr:uid="{891C10A7-2441-46EB-B64E-51A4C96440EA}">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DBA36F87-88B9-4581-8477-D48D45C47A1E}" filter="1" showAutoFilter="1">
      <pageMargins left="0.7" right="0.7" top="0.75" bottom="0.75" header="0.3" footer="0.3"/>
      <autoFilter ref="E1:F3102" xr:uid="{BCC13AFD-69FD-43D9-BA84-3D1104D25D37}">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DF66B588-FA80-440E-9B24-A26739E104A7}" filter="1" showAutoFilter="1">
      <pageMargins left="0.7" right="0.7" top="0.75" bottom="0.75" header="0.3" footer="0.3"/>
      <autoFilter ref="E1:F3095" xr:uid="{60C74547-1B1A-464C-9D37-81B2CE895F65}">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5C5E6217-C261-4592-BE1E-E0FF264D2261}" filter="1" showAutoFilter="1">
      <pageMargins left="0.7" right="0.7" top="0.75" bottom="0.75" header="0.3" footer="0.3"/>
      <autoFilter ref="D1:E3102" xr:uid="{1EADBCC7-A11F-4D6A-9F53-49B748061D7B}"/>
    </customSheetView>
    <customSheetView guid="{D60FF9AD-19B7-46E4-9975-634951477218}" filter="1" showAutoFilter="1">
      <pageMargins left="0.7" right="0.7" top="0.75" bottom="0.75" header="0.3" footer="0.3"/>
      <autoFilter ref="E1:F3102" xr:uid="{0119A084-98B8-4FB5-8DA7-DDC1527238B5}">
        <filterColumn colId="0">
          <filters>
            <filter val="Пустова Юлія"/>
          </filters>
        </filterColumn>
        <filterColumn colId="1">
          <filters blank="1">
            <filter val="звільнено"/>
            <filter val="Працює"/>
            <filter val="Статус"/>
          </filters>
        </filterColumn>
      </autoFilter>
    </customSheetView>
    <customSheetView guid="{7B938DD7-C3D7-47F3-98B3-FE233E50E235}" filter="1" showAutoFilter="1">
      <pageMargins left="0.7" right="0.7" top="0.75" bottom="0.75" header="0.3" footer="0.3"/>
      <autoFilter ref="E1:F3000" xr:uid="{805A799E-BAEA-4158-9EAD-4D07F4679D92}">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A1530E4E-EE6D-46F4-863C-CA2A53823913}" filter="1" showAutoFilter="1">
      <pageMargins left="0.7" right="0.7" top="0.75" bottom="0.75" header="0.3" footer="0.3"/>
      <autoFilter ref="E1:E1906" xr:uid="{08A94C0D-843B-47BB-B91D-D620054071D4}">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4A9D70B1-617C-4ECD-92AC-6DFD13C9A51F}" filter="1" showAutoFilter="1">
      <pageMargins left="0.7" right="0.7" top="0.75" bottom="0.75" header="0.3" footer="0.3"/>
      <autoFilter ref="E1:E1906" xr:uid="{2F17061B-2181-45CF-AC0D-A8920F5B159C}">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59085910-9B19-4996-A863-F3CEF6464C9F}" filter="1" showAutoFilter="1">
      <pageMargins left="0.7" right="0.7" top="0.75" bottom="0.75" header="0.3" footer="0.3"/>
      <autoFilter ref="E1:F3102" xr:uid="{E1E8FA5A-34DD-403C-89E2-A7C10B7F8E7C}">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1E374624-E406-4D9F-9C2D-223C7C37A713}" filter="1" showAutoFilter="1">
      <pageMargins left="0.7" right="0.7" top="0.75" bottom="0.75" header="0.3" footer="0.3"/>
      <autoFilter ref="E1:F2905" xr:uid="{BF7CF127-7844-4F14-ABFC-3710A4A715DE}">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6F00DC93-E465-47A7-A33D-4FAE8DE9D778}" filter="1" showAutoFilter="1">
      <pageMargins left="0.7" right="0.7" top="0.75" bottom="0.75" header="0.3" footer="0.3"/>
      <autoFilter ref="A2:BR988" xr:uid="{74D358D4-D89C-4131-B569-2A110EE46849}">
        <filterColumn colId="4">
          <filters>
            <filter val="Мих Анастасія"/>
            <filter val="Оджиковська Анна"/>
          </filters>
        </filterColumn>
        <filterColumn colId="5">
          <filters>
            <filter val="звільнено"/>
            <filter val="Працює"/>
          </filters>
        </filterColumn>
      </autoFilter>
    </customSheetView>
    <customSheetView guid="{588716E6-FC7F-4A03-8173-E2AF747FB401}" filter="1" showAutoFilter="1">
      <pageMargins left="0.7" right="0.7" top="0.75" bottom="0.75" header="0.3" footer="0.3"/>
      <autoFilter ref="E1:F3102" xr:uid="{7F3E9042-E44A-4DD0-AA13-81E53EAD9096}">
        <filterColumn colId="0">
          <filters>
            <filter val="Пустова Юлія"/>
          </filters>
        </filterColumn>
        <filterColumn colId="1">
          <filters blank="1">
            <filter val="звільнено"/>
            <filter val="Працює"/>
            <filter val="Статус"/>
          </filters>
        </filterColumn>
      </autoFilter>
    </customSheetView>
    <customSheetView guid="{38A1C88A-7E7D-4109-AABF-BF71A9E20897}" filter="1" showAutoFilter="1">
      <pageMargins left="0.7" right="0.7" top="0.75" bottom="0.75" header="0.3" footer="0.3"/>
      <autoFilter ref="E1:E1906" xr:uid="{6114675C-FEC8-4698-A81A-A552BD72883C}">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EDF10B2A-92BA-40D4-8BC9-0764F7A0639E}" filter="1" showAutoFilter="1">
      <pageMargins left="0.7" right="0.7" top="0.75" bottom="0.75" header="0.3" footer="0.3"/>
      <autoFilter ref="E1:F2905" xr:uid="{C1BE62C6-26D0-4F93-88FE-1E96E5B406D4}">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B504B2D6-BA0F-4E65-9F13-50CA81CFD501}" filter="1" showAutoFilter="1">
      <pageMargins left="0.7" right="0.7" top="0.75" bottom="0.75" header="0.3" footer="0.3"/>
      <autoFilter ref="A2:BR1398" xr:uid="{3B8BAD0D-C983-4652-B429-8A8977DB1641}">
        <filterColumn colId="4">
          <filters>
            <filter val="Мих Анастасія"/>
            <filter val="Озімінська (Терентьєва) Влада"/>
            <filter val="Терентьєва Влада"/>
          </filters>
        </filterColumn>
        <filterColumn colId="5">
          <filters blank="1">
            <filter val="звільнено"/>
            <filter val="Працює"/>
          </filters>
        </filterColumn>
      </autoFilter>
    </customSheetView>
    <customSheetView guid="{D707E385-B2CC-48BF-9C16-0074E1BCE416}" filter="1" showAutoFilter="1">
      <pageMargins left="0.7" right="0.7" top="0.75" bottom="0.75" header="0.3" footer="0.3"/>
      <autoFilter ref="E1:F3095" xr:uid="{C6906DAB-481C-4588-AEAD-E1E9A0DB6346}">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2AFEEA20-CA4D-48C5-BD60-F1D86B4B18D6}" filter="1" showAutoFilter="1">
      <pageMargins left="0.7" right="0.7" top="0.75" bottom="0.75" header="0.3" footer="0.3"/>
      <autoFilter ref="E1:F2905" xr:uid="{DE514F13-C818-484F-9B2A-78519D0F82E9}">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DE88B6D0-4BCA-4D7B-A0FB-6AA7DCE761C3}" filter="1" showAutoFilter="1">
      <pageMargins left="0.7" right="0.7" top="0.75" bottom="0.75" header="0.3" footer="0.3"/>
      <autoFilter ref="E1:F2905" xr:uid="{9356D590-E284-499A-BA26-DC834232837D}">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CE0C68CE-B679-4626-8D48-772890A7851B}" filter="1" showAutoFilter="1">
      <pageMargins left="0.7" right="0.7" top="0.75" bottom="0.75" header="0.3" footer="0.3"/>
      <autoFilter ref="A1:A1906" xr:uid="{A8EE422A-9A1F-4814-8CFC-12D21B20C553}"/>
    </customSheetView>
    <customSheetView guid="{CC16EBE5-E793-4F7B-A88F-9A58B51D7254}" filter="1" showAutoFilter="1">
      <pageMargins left="0.7" right="0.7" top="0.75" bottom="0.75" header="0.3" footer="0.3"/>
      <autoFilter ref="A2:CE2905" xr:uid="{E384A1D0-81B3-4C18-B17D-A9E1036C2662}">
        <filterColumn colId="4">
          <filters>
            <filter val="Гриневич Олена"/>
            <filter val="Лонжанська (Мазурик) Діана"/>
            <filter val="Максимів Яна"/>
            <filter val="Оджиковська Анна"/>
            <filter val="Озімінська (Терентьєва) Влада"/>
            <filter val="Тарасович Тетяна"/>
          </filters>
        </filterColumn>
        <filterColumn colId="5">
          <filters blank="1">
            <filter val="звільнено"/>
            <filter val="Працює"/>
          </filters>
        </filterColumn>
      </autoFilter>
    </customSheetView>
    <customSheetView guid="{F195D729-45CF-4295-AF8C-2A28106E8743}" filter="1" showAutoFilter="1">
      <pageMargins left="0.7" right="0.7" top="0.75" bottom="0.75" header="0.3" footer="0.3"/>
      <autoFilter ref="E1:E1906" xr:uid="{4BA091FC-C26C-4282-92A5-AD14FC4BD403}">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A7AE1271-7D7E-417B-A215-8BA9FC825721}" filter="1" showAutoFilter="1">
      <pageMargins left="0.7" right="0.7" top="0.75" bottom="0.75" header="0.3" footer="0.3"/>
      <autoFilter ref="E1:E1906" xr:uid="{4D910F4E-84B2-4002-84B7-B9877D83ED3C}">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1B119593-B1E5-4E90-9594-DF2555FFC5A5}" filter="1" showAutoFilter="1">
      <pageMargins left="0.7" right="0.7" top="0.75" bottom="0.75" header="0.3" footer="0.3"/>
      <autoFilter ref="E1:E3102" xr:uid="{AB18645A-25A9-471F-9EAB-E1A4C2F3A8BD}">
        <filterColumn colId="0">
          <filters>
            <filter val="Гриневич Олена"/>
            <filter val="Іванішена Юлія"/>
            <filter val="Лонжанська (Мазурик) Діана"/>
            <filter val="Максимів Яна"/>
            <filter val="Третьяк Олександра"/>
          </filters>
        </filterColumn>
      </autoFilter>
    </customSheetView>
    <customSheetView guid="{686110D2-E426-48D9-A8E5-A8307283842B}" filter="1" showAutoFilter="1">
      <pageMargins left="0.7" right="0.7" top="0.75" bottom="0.75" header="0.3" footer="0.3"/>
      <autoFilter ref="E1:F3095" xr:uid="{A5C482AF-B730-44E2-813F-097F38EC46F0}">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0C4F2CC4-21CF-4277-9153-8148098E562A}" filter="1" showAutoFilter="1">
      <pageMargins left="0.7" right="0.7" top="0.75" bottom="0.75" header="0.3" footer="0.3"/>
      <autoFilter ref="E1:F3102" xr:uid="{48CCD2A9-1BAE-4D40-8D56-9EB75D2871FE}">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6DB17C79-CDC4-4E9C-996A-4503B69B8D70}" filter="1" showAutoFilter="1">
      <pageMargins left="0.7" right="0.7" top="0.75" bottom="0.75" header="0.3" footer="0.3"/>
      <autoFilter ref="E1:F3102" xr:uid="{60742954-D6CA-497C-813D-9895A8532291}">
        <filterColumn colId="0">
          <filters>
            <filter val="Пустова Юлія"/>
          </filters>
        </filterColumn>
      </autoFilter>
    </customSheetView>
    <customSheetView guid="{5DAD8BB2-41A5-42B0-9C69-D6AEEB703812}" filter="1" showAutoFilter="1">
      <pageMargins left="0.7" right="0.7" top="0.75" bottom="0.75" header="0.3" footer="0.3"/>
      <autoFilter ref="E1:E1906" xr:uid="{CA4E1BF1-CDCD-4E91-A035-231AE9CB8147}">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 val="Третьяк Олександра"/>
          </filters>
        </filterColumn>
      </autoFilter>
    </customSheetView>
    <customSheetView guid="{778829F4-FD59-4C1F-AB0F-A94773087769}" filter="1" showAutoFilter="1">
      <pageMargins left="0.7" right="0.7" top="0.75" bottom="0.75" header="0.3" footer="0.3"/>
      <autoFilter ref="E1:F3000" xr:uid="{411F261B-ED72-438B-8A78-87739E419A7A}">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D34B621B-C869-46B0-BCB8-6565EC451D53}" filter="1" showAutoFilter="1">
      <pageMargins left="0.7" right="0.7" top="0.75" bottom="0.75" header="0.3" footer="0.3"/>
      <autoFilter ref="E1:F3095" xr:uid="{608E04D8-12B7-4145-AA56-03A1698C9128}">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21E91AB9-0C99-4F08-B052-61DE73055D67}" filter="1" showAutoFilter="1">
      <pageMargins left="0.7" right="0.7" top="0.75" bottom="0.75" header="0.3" footer="0.3"/>
      <autoFilter ref="E1:E3102" xr:uid="{6796D1DF-D1CA-4398-B123-BE288DC26E22}">
        <filterColumn colId="0">
          <filters>
            <filter val="Тарасович Тетяна"/>
          </filters>
        </filterColumn>
      </autoFilter>
    </customSheetView>
    <customSheetView guid="{2971D904-3FB4-4614-8152-B9A5F5A9E601}" filter="1" showAutoFilter="1">
      <pageMargins left="0.7" right="0.7" top="0.75" bottom="0.75" header="0.3" footer="0.3"/>
      <autoFilter ref="E1:F2905" xr:uid="{BE40D219-8DF8-4A75-9AB6-1223A452A98C}">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05028320-0C0B-49D7-A526-6E8AFF5377D9}" filter="1" showAutoFilter="1">
      <pageMargins left="0.7" right="0.7" top="0.75" bottom="0.75" header="0.3" footer="0.3"/>
      <autoFilter ref="A2:CE2905" xr:uid="{DF32227E-D866-4FDD-92BA-91D42E30B492}">
        <filterColumn colId="4">
          <filters>
            <filter val="Третьяк Олександра"/>
            <filter val="Мих Анастасія"/>
          </filters>
        </filterColumn>
        <filterColumn colId="5">
          <filters blank="1">
            <filter val="звільнено"/>
            <filter val="Працює"/>
          </filters>
        </filterColumn>
      </autoFilter>
    </customSheetView>
    <customSheetView guid="{E114B6AD-54F4-4D1C-9DFC-31B78B80811E}" filter="1" showAutoFilter="1">
      <pageMargins left="0.7" right="0.7" top="0.75" bottom="0.75" header="0.3" footer="0.3"/>
      <autoFilter ref="F1:F2905" xr:uid="{31AD440C-5AC7-4518-B236-DB9C2B47733A}"/>
    </customSheetView>
    <customSheetView guid="{5E872E9D-2D0E-4160-B952-80EC1B9CB377}" filter="1" showAutoFilter="1">
      <pageMargins left="0.7" right="0.7" top="0.75" bottom="0.75" header="0.3" footer="0.3"/>
      <autoFilter ref="E1:F2905" xr:uid="{CF18A3DD-2204-4FB1-ADB6-9E55BC2156EC}">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FBA89C9E-9D0F-4894-A2D0-469525CF3886}" filter="1" showAutoFilter="1">
      <pageMargins left="0.7" right="0.7" top="0.75" bottom="0.75" header="0.3" footer="0.3"/>
      <autoFilter ref="E1:F3102" xr:uid="{51295192-6A41-42A8-A994-671F9159523D}">
        <filterColumn colId="0">
          <filters>
            <filter val="Гриневич Олена"/>
            <filter val="Лонжанська (Мазурик) Діана"/>
            <filter val="Максимів Яна"/>
            <filter val="Оджиковська Анна"/>
            <filter val="Озімінська (Терентьєва) Влада"/>
            <filter val="Тарасович Тетяна"/>
          </filters>
        </filterColumn>
        <filterColumn colId="1">
          <filters blank="1">
            <filter val="звільнено"/>
            <filter val="Працює"/>
            <filter val="Статус"/>
          </filters>
        </filterColumn>
      </autoFilter>
    </customSheetView>
    <customSheetView guid="{2BBA6DCD-5DAC-4984-9DBA-323C8B830C4A}" filter="1" showAutoFilter="1">
      <pageMargins left="0.7" right="0.7" top="0.75" bottom="0.75" header="0.3" footer="0.3"/>
      <autoFilter ref="E1:F3102" xr:uid="{CD32D5CD-6AD7-43B9-8F13-5882F70986F2}">
        <filterColumn colId="0">
          <filters>
            <filter val="Лонжанська (Мазурик) Діана"/>
            <filter val="Максимів Яна"/>
            <filter val="Пустова Юлія"/>
          </filters>
        </filterColumn>
        <filterColumn colId="1">
          <filters blank="1">
            <filter val="звільнено"/>
            <filter val="Працює"/>
            <filter val="Статус"/>
          </filters>
        </filterColumn>
      </autoFilter>
    </customSheetView>
    <customSheetView guid="{A9B5F603-8171-47E4-8F54-91747AB0631E}" filter="1" showAutoFilter="1">
      <pageMargins left="0.7" right="0.7" top="0.75" bottom="0.75" header="0.3" footer="0.3"/>
      <autoFilter ref="E1:E1906" xr:uid="{DEB3279A-EF4E-4E45-84E0-79B1DC01039D}">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Сербін Олександр"/>
            <filter val="Тарасович Тетяна"/>
          </filters>
        </filterColumn>
      </autoFilter>
    </customSheetView>
    <customSheetView guid="{7A2BDAFE-606D-427C-B1CE-9DE5B93700DC}" filter="1" showAutoFilter="1">
      <pageMargins left="0.7" right="0.7" top="0.75" bottom="0.75" header="0.3" footer="0.3"/>
      <autoFilter ref="A1:CE2905" xr:uid="{B0492ECA-6F28-4FE7-81C7-7D610ACD607D}">
        <filterColumn colId="5">
          <filters>
            <filter val="звільнено"/>
            <filter val="Працює"/>
            <filter val="Резерв"/>
          </filters>
        </filterColumn>
      </autoFilter>
    </customSheetView>
    <customSheetView guid="{A4698AFA-486A-415A-8D19-820587C948A9}" filter="1" showAutoFilter="1">
      <pageMargins left="0.7" right="0.7" top="0.75" bottom="0.75" header="0.3" footer="0.3"/>
      <autoFilter ref="A2:BR603" xr:uid="{A0D6367A-33B2-4EEB-915E-6ADFB0469387}"/>
    </customSheetView>
    <customSheetView guid="{0D483D58-E6FA-44CD-AB11-2773801B32CC}" filter="1" showAutoFilter="1">
      <pageMargins left="0.7" right="0.7" top="0.75" bottom="0.75" header="0.3" footer="0.3"/>
      <autoFilter ref="E1:F3095" xr:uid="{0D2DBEAA-7615-49FC-9017-B32DCC0AFBC7}">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filterColumn colId="1">
          <filters blank="1">
            <filter val="звільнено"/>
            <filter val="Працює"/>
            <filter val="Статус"/>
          </filters>
        </filterColumn>
      </autoFilter>
    </customSheetView>
    <customSheetView guid="{780EBF8D-A7DD-4167-90A2-C8A9C5F48B8D}" filter="1" showAutoFilter="1">
      <pageMargins left="0.7" right="0.7" top="0.75" bottom="0.75" header="0.3" footer="0.3"/>
      <autoFilter ref="F1:F1906" xr:uid="{D673B32A-95D4-4E8B-A969-9E5F11FF1A8E}">
        <filterColumn colId="0">
          <filters>
            <filter val="звільнено"/>
            <filter val="Працює"/>
          </filters>
        </filterColumn>
      </autoFilter>
    </customSheetView>
    <customSheetView guid="{4D58A306-8720-4C54-AB28-CCE2E9A9B452}" filter="1" showAutoFilter="1">
      <pageMargins left="0.7" right="0.7" top="0.75" bottom="0.75" header="0.3" footer="0.3"/>
      <autoFilter ref="E1:E1906" xr:uid="{3967559E-250D-4754-99F6-683F40A570A2}">
        <filterColumn colId="0">
          <filters>
            <filter val="Гриневич Олена"/>
            <filter val="Іванішена Юлія"/>
            <filter val="Лонжанська (Мазурик) Діана"/>
            <filter val="Максименко Аліна"/>
            <filter val="Максимів Яна"/>
            <filter val="Озімінська (Терентьєва) Влада"/>
            <filter val="Сербін Олександр"/>
            <filter val="Тарасович Тетяна"/>
          </filters>
        </filterColumn>
      </autoFilter>
    </customSheetView>
    <customSheetView guid="{363534E3-1D4A-4A0D-A390-9DEE35B9D252}" filter="1" showAutoFilter="1">
      <pageMargins left="0.7" right="0.7" top="0.75" bottom="0.75" header="0.3" footer="0.3"/>
      <autoFilter ref="E1:E3102" xr:uid="{2CD5A5EA-68B0-4E42-92C3-8CC5F6BA5386}">
        <filterColumn colId="0">
          <filters>
            <filter val="Гриневич Олена"/>
          </filters>
        </filterColumn>
      </autoFilter>
    </customSheetView>
    <customSheetView guid="{17F1A6AA-45AC-4CAB-BB89-1DEF3CA8DAAB}" filter="1" showAutoFilter="1">
      <pageMargins left="0.7" right="0.7" top="0.75" bottom="0.75" header="0.3" footer="0.3"/>
      <autoFilter ref="E1:E3102" xr:uid="{C3ACF77D-04BA-436E-A187-A3D50BECB854}">
        <filterColumn colId="0">
          <filters>
            <filter val="Гриневич Олена"/>
            <filter val="Лонжанська (Мазурик) Діана"/>
            <filter val="Максимів Яна"/>
            <filter val="Озімінська (Терентьєва) Влада"/>
            <filter val="Пустова Юлія"/>
            <filter val="Тарасович Тетяна"/>
          </filters>
        </filterColumn>
      </autoFilter>
    </customSheetView>
    <customSheetView guid="{36A8D06A-10CE-40A0-8415-CB68DBCE7D76}" filter="1" showAutoFilter="1">
      <pageMargins left="0.7" right="0.7" top="0.75" bottom="0.75" header="0.3" footer="0.3"/>
      <autoFilter ref="A2:CE2905" xr:uid="{2AA94815-5EDE-44A3-A6CA-C33F6842EF07}">
        <filterColumn colId="4">
          <filters>
            <filter val="Гриневич Олена"/>
            <filter val="Лисенко Олександра"/>
            <filter val="Лонжанська (Мазурик) Діана"/>
            <filter val="Максимів Яна"/>
            <filter val="Мих Анастасія"/>
            <filter val="Озімінська (Терентьєва) Влада"/>
            <filter val="Тарасович Тетяна"/>
          </filters>
        </filterColumn>
        <filterColumn colId="5">
          <filters blank="1">
            <filter val="звільнено"/>
            <filter val="Працює"/>
          </filters>
        </filterColumn>
      </autoFilter>
    </customSheetView>
    <customSheetView guid="{212871EE-5BBB-44A8-8256-DAD766A7BA55}" filter="1" showAutoFilter="1">
      <pageMargins left="0.7" right="0.7" top="0.75" bottom="0.75" header="0.3" footer="0.3"/>
      <autoFilter ref="E1:E1906" xr:uid="{CC4AA6E3-01FA-4D7E-AEFE-8B9DE7102465}">
        <filterColumn colId="0">
          <filters>
            <filter val="Гриневич Олена"/>
            <filter val="Лонжанська (Мазурик) Діана"/>
            <filter val="Максименко Аліна"/>
            <filter val="Максимів Яна"/>
            <filter val="Озімінська (Терентьєва) Влада"/>
            <filter val="Пустова Юлія"/>
            <filter val="Тарасович Тетяна"/>
          </filters>
        </filterColumn>
      </autoFilter>
    </customSheetView>
    <customSheetView guid="{73929234-8108-4F2C-A51C-BAD31B11A2EB}" filter="1" showAutoFilter="1">
      <pageMargins left="0.7" right="0.7" top="0.75" bottom="0.75" header="0.3" footer="0.3"/>
      <autoFilter ref="A2:CE3102" xr:uid="{263CFB83-E985-4D3F-B797-A46731BFBFA1}">
        <filterColumn colId="4">
          <filters>
            <filter val="Маковська Анна"/>
            <filter val="Мих Анастасія"/>
            <filter val="Терентьєва Влада"/>
          </filters>
        </filterColumn>
        <filterColumn colId="5">
          <filters blank="1">
            <filter val="звільнено"/>
            <filter val="Працює"/>
          </filters>
        </filterColumn>
        <filterColumn colId="22">
          <filters blank="1">
            <filter val="#N/A"/>
            <filter val="64"/>
            <filter val="68"/>
            <filter val="69"/>
            <filter val="71"/>
            <filter val="74"/>
          </filters>
        </filterColumn>
      </autoFilter>
    </customSheetView>
    <customSheetView guid="{288F52A8-B44B-4157-A30B-AA31144EDE66}" filter="1" showAutoFilter="1">
      <pageMargins left="0.7" right="0.7" top="0.75" bottom="0.75" header="0.3" footer="0.3"/>
      <autoFilter ref="E1:F3102" xr:uid="{03F7DC10-7FA3-4127-A59E-3E7348D9F630}">
        <filterColumn colId="0">
          <filters>
            <filter val="Пустова Юлія"/>
          </filters>
        </filterColumn>
        <filterColumn colId="1">
          <filters blank="1">
            <filter val="звільнено"/>
            <filter val="Працює"/>
            <filter val="Статус"/>
          </filters>
        </filterColumn>
      </autoFilter>
    </customSheetView>
    <customSheetView guid="{7C202B57-669E-4BD7-9063-6E13EE2FD0C3}" filter="1" showAutoFilter="1">
      <pageMargins left="0.7" right="0.7" top="0.75" bottom="0.75" header="0.3" footer="0.3"/>
      <autoFilter ref="A2:CE1299" xr:uid="{7E58A002-0173-4897-8129-255AE60F066D}">
        <filterColumn colId="5">
          <filters>
            <filter val="звільнено"/>
            <filter val="Працює"/>
          </filters>
        </filterColumn>
      </autoFilter>
    </customSheetView>
  </customSheetViews>
  <mergeCells count="1">
    <mergeCell ref="G1:P1"/>
  </mergeCells>
  <dataValidations count="4">
    <dataValidation type="list" allowBlank="1" showErrorMessage="1" sqref="C594" xr:uid="{00000000-0002-0000-0000-000000000000}">
      <formula1>"https://t.me/vadim_tech_skill"</formula1>
    </dataValidation>
    <dataValidation type="list" allowBlank="1" sqref="A1007" xr:uid="{00000000-0002-0000-0000-000001000000}">
      <formula1>#REF!</formula1>
    </dataValidation>
    <dataValidation type="list" allowBlank="1" showErrorMessage="1" sqref="F3 F6:F15 F17:F19 F21 F23:F24 F26:F27 F29 F31:F37 F40:F45 F47:F52 F54:F58 F60:F63 F65:F73 F75:F84 F86 F88 F90 F92:F100 F102:F109 F111:F114 F116:F121 F123:F124 F126:F133 F135:F137 F139:F144 F146 F149:F176 F178 F180:F187 F189:F192 F194:F196 F198:F202 F204:F208 F210:F213 F215:F222 F225:F230 F232:F235 F237:F254 F256:F260 F262:F266 F268 F270:F275 F277:F279 F281:F282 F284:F306 F308:F309 F312:F315 F317:F324 F326:F327 F329:F339 F341:F343 F345:F357 F359:F360 F362:F381 F383:F402 F404:F463 F466 F469:F473 F475:F476 F478:F479 F481:F482 F484:F486 F488:F490 F492:F500 F502:F503 F506:F509 F511:F513 F515:F519 F521:F522 F526 F529 F531 F533:F534 F536 F540:F541 F543:F545 F547 F549:F550 F552:F553 F556:F559 F561:F564 F566:F567 F571:F573 F576:F577 F579:F585 F587:F588 F591:F594 F597:F598 F600:F602 F604:F609 F611 F613:F618 F620:F624 F627 F629:F631 F636:F637 F642 F644:F645 F647:F653 F655:F657 F659 F661:F664 F666:F670 F672 F675:F679 F682:F684 F689:F690 F692 F694:F702 F706:F1041" xr:uid="{00000000-0002-0000-0000-000002000000}">
      <formula1>"Працює,Звільнено,Резерв"</formula1>
    </dataValidation>
    <dataValidation type="list" allowBlank="1" showErrorMessage="1" sqref="E3:E3102" xr:uid="{00000000-0002-0000-0000-000003000000}">
      <formula1>"Лисенко Олександра,Оджиковська Анна,Іванішена Юлія,Пустова Юлія,Максименко Аліна,Маковська Анна,Озімінська (Терентьєва) Влада,Третьяк Олександра,Сербін Олександр,Тарасович Тетяна,Лонжанська (Мазурик) Діана,Гриневич Олена,Максимів Яна"</formula1>
    </dataValidation>
  </dataValidations>
  <hyperlinks>
    <hyperlink ref="B4" r:id="rId1" xr:uid="{00000000-0004-0000-0000-000001000000}"/>
    <hyperlink ref="B6" r:id="rId2" xr:uid="{00000000-0004-0000-0000-000002000000}"/>
    <hyperlink ref="B8" r:id="rId3" xr:uid="{00000000-0004-0000-0000-000005000000}"/>
    <hyperlink ref="B9" r:id="rId4" xr:uid="{00000000-0004-0000-0000-000007000000}"/>
    <hyperlink ref="B10" r:id="rId5" xr:uid="{00000000-0004-0000-0000-000009000000}"/>
    <hyperlink ref="B12" r:id="rId6" xr:uid="{00000000-0004-0000-0000-00000B000000}"/>
    <hyperlink ref="B13" r:id="rId7" xr:uid="{00000000-0004-0000-0000-00000C000000}"/>
    <hyperlink ref="B14" r:id="rId8" xr:uid="{00000000-0004-0000-0000-00000E000000}"/>
    <hyperlink ref="B15" r:id="rId9" xr:uid="{00000000-0004-0000-0000-00000F000000}"/>
    <hyperlink ref="B16" r:id="rId10" xr:uid="{00000000-0004-0000-0000-000011000000}"/>
    <hyperlink ref="B17" r:id="rId11" xr:uid="{00000000-0004-0000-0000-000013000000}"/>
    <hyperlink ref="B19" r:id="rId12" xr:uid="{00000000-0004-0000-0000-000016000000}"/>
    <hyperlink ref="C20" r:id="rId13" xr:uid="{00000000-0004-0000-0000-000018000000}"/>
    <hyperlink ref="B22" r:id="rId14" xr:uid="{00000000-0004-0000-0000-00001A000000}"/>
    <hyperlink ref="B23" r:id="rId15" xr:uid="{00000000-0004-0000-0000-00001C000000}"/>
    <hyperlink ref="B25" r:id="rId16" xr:uid="{00000000-0004-0000-0000-00001E000000}"/>
    <hyperlink ref="B28" r:id="rId17" xr:uid="{00000000-0004-0000-0000-000021000000}"/>
    <hyperlink ref="B29" r:id="rId18" xr:uid="{00000000-0004-0000-0000-000023000000}"/>
    <hyperlink ref="B30" r:id="rId19" xr:uid="{00000000-0004-0000-0000-000025000000}"/>
    <hyperlink ref="B31" r:id="rId20" xr:uid="{00000000-0004-0000-0000-000026000000}"/>
    <hyperlink ref="B33" r:id="rId21" xr:uid="{00000000-0004-0000-0000-000029000000}"/>
    <hyperlink ref="B34" r:id="rId22" xr:uid="{00000000-0004-0000-0000-00002B000000}"/>
    <hyperlink ref="B35" r:id="rId23" xr:uid="{00000000-0004-0000-0000-00002D000000}"/>
    <hyperlink ref="B36" r:id="rId24" xr:uid="{00000000-0004-0000-0000-00002F000000}"/>
    <hyperlink ref="B37" r:id="rId25" xr:uid="{00000000-0004-0000-0000-000031000000}"/>
    <hyperlink ref="B38" r:id="rId26" xr:uid="{00000000-0004-0000-0000-000033000000}"/>
    <hyperlink ref="B41" r:id="rId27" xr:uid="{00000000-0004-0000-0000-000035000000}"/>
    <hyperlink ref="B42" r:id="rId28" xr:uid="{00000000-0004-0000-0000-000037000000}"/>
    <hyperlink ref="B43" r:id="rId29" xr:uid="{00000000-0004-0000-0000-000039000000}"/>
    <hyperlink ref="B44" r:id="rId30" xr:uid="{00000000-0004-0000-0000-00003B000000}"/>
    <hyperlink ref="C46" r:id="rId31" xr:uid="{00000000-0004-0000-0000-00003D000000}"/>
    <hyperlink ref="B47" r:id="rId32" xr:uid="{00000000-0004-0000-0000-00003E000000}"/>
    <hyperlink ref="B48" r:id="rId33" xr:uid="{00000000-0004-0000-0000-000040000000}"/>
    <hyperlink ref="B49" r:id="rId34" xr:uid="{00000000-0004-0000-0000-000042000000}"/>
    <hyperlink ref="B50" r:id="rId35" xr:uid="{00000000-0004-0000-0000-000043000000}"/>
    <hyperlink ref="B51" r:id="rId36" xr:uid="{00000000-0004-0000-0000-000045000000}"/>
    <hyperlink ref="B52" r:id="rId37" xr:uid="{00000000-0004-0000-0000-000047000000}"/>
    <hyperlink ref="B54" r:id="rId38" xr:uid="{00000000-0004-0000-0000-000049000000}"/>
    <hyperlink ref="B55" r:id="rId39" xr:uid="{00000000-0004-0000-0000-00004B000000}"/>
    <hyperlink ref="B56" r:id="rId40" xr:uid="{00000000-0004-0000-0000-00004D000000}"/>
    <hyperlink ref="B57" r:id="rId41" xr:uid="{00000000-0004-0000-0000-00004F000000}"/>
    <hyperlink ref="B58" r:id="rId42" xr:uid="{00000000-0004-0000-0000-000051000000}"/>
    <hyperlink ref="B59" r:id="rId43" xr:uid="{00000000-0004-0000-0000-000053000000}"/>
    <hyperlink ref="B60" r:id="rId44" xr:uid="{00000000-0004-0000-0000-000054000000}"/>
    <hyperlink ref="B62" r:id="rId45" xr:uid="{00000000-0004-0000-0000-000056000000}"/>
    <hyperlink ref="B63" r:id="rId46" xr:uid="{00000000-0004-0000-0000-000058000000}"/>
    <hyperlink ref="B64" r:id="rId47" xr:uid="{00000000-0004-0000-0000-00005A000000}"/>
    <hyperlink ref="B65" r:id="rId48" xr:uid="{00000000-0004-0000-0000-00005C000000}"/>
    <hyperlink ref="B66" r:id="rId49" xr:uid="{00000000-0004-0000-0000-00005E000000}"/>
    <hyperlink ref="B68" r:id="rId50" xr:uid="{00000000-0004-0000-0000-000060000000}"/>
    <hyperlink ref="B72" r:id="rId51" xr:uid="{00000000-0004-0000-0000-000065000000}"/>
    <hyperlink ref="B73" r:id="rId52" xr:uid="{00000000-0004-0000-0000-000067000000}"/>
    <hyperlink ref="B74" r:id="rId53" xr:uid="{00000000-0004-0000-0000-000069000000}"/>
    <hyperlink ref="B76" r:id="rId54" xr:uid="{00000000-0004-0000-0000-00006B000000}"/>
    <hyperlink ref="B77" r:id="rId55" xr:uid="{00000000-0004-0000-0000-00006D000000}"/>
    <hyperlink ref="B78" r:id="rId56" xr:uid="{00000000-0004-0000-0000-00006F000000}"/>
    <hyperlink ref="B79" r:id="rId57" xr:uid="{00000000-0004-0000-0000-000071000000}"/>
    <hyperlink ref="B80" r:id="rId58" xr:uid="{00000000-0004-0000-0000-000073000000}"/>
    <hyperlink ref="B81" r:id="rId59" xr:uid="{00000000-0004-0000-0000-000075000000}"/>
    <hyperlink ref="B83" r:id="rId60" xr:uid="{00000000-0004-0000-0000-000078000000}"/>
    <hyperlink ref="B86" r:id="rId61" xr:uid="{00000000-0004-0000-0000-00007C000000}"/>
    <hyperlink ref="B88" r:id="rId62" xr:uid="{00000000-0004-0000-0000-00007F000000}"/>
    <hyperlink ref="B90" r:id="rId63" xr:uid="{00000000-0004-0000-0000-000081000000}"/>
    <hyperlink ref="B92" r:id="rId64" xr:uid="{00000000-0004-0000-0000-000083000000}"/>
    <hyperlink ref="B93" r:id="rId65" xr:uid="{00000000-0004-0000-0000-000085000000}"/>
    <hyperlink ref="B94" r:id="rId66" xr:uid="{00000000-0004-0000-0000-000087000000}"/>
    <hyperlink ref="B95" r:id="rId67" xr:uid="{00000000-0004-0000-0000-000089000000}"/>
    <hyperlink ref="B96" r:id="rId68" xr:uid="{00000000-0004-0000-0000-00008B000000}"/>
    <hyperlink ref="B97" r:id="rId69" xr:uid="{00000000-0004-0000-0000-00008D000000}"/>
    <hyperlink ref="B98" r:id="rId70" location="slide=id.g18011cc932d_0_249" xr:uid="{00000000-0004-0000-0000-00008F000000}"/>
    <hyperlink ref="B99" r:id="rId71" xr:uid="{00000000-0004-0000-0000-000091000000}"/>
    <hyperlink ref="B100" r:id="rId72" xr:uid="{00000000-0004-0000-0000-000093000000}"/>
    <hyperlink ref="B102" r:id="rId73" xr:uid="{00000000-0004-0000-0000-000096000000}"/>
    <hyperlink ref="C102" r:id="rId74" xr:uid="{00000000-0004-0000-0000-000097000000}"/>
    <hyperlink ref="B103" r:id="rId75" xr:uid="{00000000-0004-0000-0000-000099000000}"/>
    <hyperlink ref="B105" r:id="rId76" xr:uid="{00000000-0004-0000-0000-00009C000000}"/>
    <hyperlink ref="B106" r:id="rId77" xr:uid="{00000000-0004-0000-0000-00009E000000}"/>
    <hyperlink ref="B107" r:id="rId78" xr:uid="{00000000-0004-0000-0000-0000A0000000}"/>
    <hyperlink ref="B108" r:id="rId79" xr:uid="{00000000-0004-0000-0000-0000A2000000}"/>
    <hyperlink ref="B109" r:id="rId80" xr:uid="{00000000-0004-0000-0000-0000A4000000}"/>
    <hyperlink ref="B111" r:id="rId81" xr:uid="{00000000-0004-0000-0000-0000A7000000}"/>
    <hyperlink ref="B112" r:id="rId82" xr:uid="{00000000-0004-0000-0000-0000A9000000}"/>
    <hyperlink ref="B113" r:id="rId83" xr:uid="{00000000-0004-0000-0000-0000AB000000}"/>
    <hyperlink ref="B114" r:id="rId84" xr:uid="{00000000-0004-0000-0000-0000AD000000}"/>
    <hyperlink ref="B115" r:id="rId85" xr:uid="{00000000-0004-0000-0000-0000AF000000}"/>
    <hyperlink ref="B116" r:id="rId86" xr:uid="{00000000-0004-0000-0000-0000B0000000}"/>
    <hyperlink ref="B117" r:id="rId87" xr:uid="{00000000-0004-0000-0000-0000B2000000}"/>
    <hyperlink ref="B118" r:id="rId88" xr:uid="{00000000-0004-0000-0000-0000B4000000}"/>
    <hyperlink ref="B121" r:id="rId89" xr:uid="{00000000-0004-0000-0000-0000B8000000}"/>
    <hyperlink ref="B126" r:id="rId90" xr:uid="{00000000-0004-0000-0000-0000BC000000}"/>
    <hyperlink ref="B127" r:id="rId91" xr:uid="{00000000-0004-0000-0000-0000BE000000}"/>
    <hyperlink ref="B128" r:id="rId92" xr:uid="{00000000-0004-0000-0000-0000C0000000}"/>
    <hyperlink ref="B129" r:id="rId93" xr:uid="{00000000-0004-0000-0000-0000C2000000}"/>
    <hyperlink ref="B131" r:id="rId94" xr:uid="{00000000-0004-0000-0000-0000C5000000}"/>
    <hyperlink ref="B132" r:id="rId95" xr:uid="{00000000-0004-0000-0000-0000C7000000}"/>
    <hyperlink ref="B133" r:id="rId96" xr:uid="{00000000-0004-0000-0000-0000C9000000}"/>
    <hyperlink ref="B134" r:id="rId97" xr:uid="{00000000-0004-0000-0000-0000CB000000}"/>
    <hyperlink ref="B137" r:id="rId98" xr:uid="{00000000-0004-0000-0000-0000CF000000}"/>
    <hyperlink ref="B139" r:id="rId99" xr:uid="{00000000-0004-0000-0000-0000D2000000}"/>
    <hyperlink ref="B140" r:id="rId100" xr:uid="{00000000-0004-0000-0000-0000D4000000}"/>
    <hyperlink ref="B141" r:id="rId101" xr:uid="{00000000-0004-0000-0000-0000D6000000}"/>
    <hyperlink ref="B142" r:id="rId102" xr:uid="{00000000-0004-0000-0000-0000D8000000}"/>
    <hyperlink ref="B143" r:id="rId103" xr:uid="{00000000-0004-0000-0000-0000DA000000}"/>
    <hyperlink ref="B144" r:id="rId104" xr:uid="{00000000-0004-0000-0000-0000DC000000}"/>
    <hyperlink ref="B146" r:id="rId105" xr:uid="{00000000-0004-0000-0000-0000DF000000}"/>
    <hyperlink ref="B147" r:id="rId106" xr:uid="{00000000-0004-0000-0000-0000E1000000}"/>
    <hyperlink ref="B148" r:id="rId107" xr:uid="{00000000-0004-0000-0000-0000E3000000}"/>
    <hyperlink ref="B149" r:id="rId108" xr:uid="{00000000-0004-0000-0000-0000E4000000}"/>
    <hyperlink ref="B150" r:id="rId109" xr:uid="{00000000-0004-0000-0000-0000E6000000}"/>
    <hyperlink ref="B151" r:id="rId110" xr:uid="{00000000-0004-0000-0000-0000E8000000}"/>
    <hyperlink ref="B153" r:id="rId111" xr:uid="{00000000-0004-0000-0000-0000EB000000}"/>
    <hyperlink ref="D153" r:id="rId112" xr:uid="{00000000-0004-0000-0000-0000EC000000}"/>
    <hyperlink ref="B154" r:id="rId113" xr:uid="{00000000-0004-0000-0000-0000EE000000}"/>
    <hyperlink ref="B155" r:id="rId114" xr:uid="{00000000-0004-0000-0000-0000F0000000}"/>
    <hyperlink ref="B156" r:id="rId115" xr:uid="{00000000-0004-0000-0000-0000F2000000}"/>
    <hyperlink ref="B158" r:id="rId116" xr:uid="{00000000-0004-0000-0000-0000F5000000}"/>
    <hyperlink ref="B159" r:id="rId117" xr:uid="{00000000-0004-0000-0000-0000F7000000}"/>
    <hyperlink ref="B161" r:id="rId118" xr:uid="{00000000-0004-0000-0000-0000FA000000}"/>
    <hyperlink ref="B162" r:id="rId119" xr:uid="{00000000-0004-0000-0000-0000FC000000}"/>
    <hyperlink ref="B163" r:id="rId120" xr:uid="{00000000-0004-0000-0000-0000FE000000}"/>
    <hyperlink ref="B164" r:id="rId121" xr:uid="{00000000-0004-0000-0000-000000010000}"/>
    <hyperlink ref="B165" r:id="rId122" xr:uid="{00000000-0004-0000-0000-000002010000}"/>
    <hyperlink ref="B166" r:id="rId123" xr:uid="{00000000-0004-0000-0000-000004010000}"/>
    <hyperlink ref="B167" r:id="rId124" xr:uid="{00000000-0004-0000-0000-000006010000}"/>
    <hyperlink ref="B168" r:id="rId125" xr:uid="{00000000-0004-0000-0000-000008010000}"/>
    <hyperlink ref="B169" r:id="rId126" xr:uid="{00000000-0004-0000-0000-00000A010000}"/>
    <hyperlink ref="B170" r:id="rId127" xr:uid="{00000000-0004-0000-0000-00000C010000}"/>
    <hyperlink ref="B171" r:id="rId128" xr:uid="{00000000-0004-0000-0000-00000E010000}"/>
    <hyperlink ref="B172" r:id="rId129" xr:uid="{00000000-0004-0000-0000-000010010000}"/>
    <hyperlink ref="B173" r:id="rId130" xr:uid="{00000000-0004-0000-0000-000012010000}"/>
    <hyperlink ref="B174" r:id="rId131" xr:uid="{00000000-0004-0000-0000-000014010000}"/>
    <hyperlink ref="B176" r:id="rId132" xr:uid="{00000000-0004-0000-0000-000017010000}"/>
    <hyperlink ref="B177" r:id="rId133" xr:uid="{00000000-0004-0000-0000-000019010000}"/>
    <hyperlink ref="B179" r:id="rId134" xr:uid="{00000000-0004-0000-0000-00001C010000}"/>
    <hyperlink ref="B181" r:id="rId135" xr:uid="{00000000-0004-0000-0000-00001E010000}"/>
    <hyperlink ref="B182" r:id="rId136" xr:uid="{00000000-0004-0000-0000-000020010000}"/>
    <hyperlink ref="B184" r:id="rId137" xr:uid="{00000000-0004-0000-0000-000023010000}"/>
    <hyperlink ref="B185" r:id="rId138" xr:uid="{00000000-0004-0000-0000-000025010000}"/>
    <hyperlink ref="B187" r:id="rId139" xr:uid="{00000000-0004-0000-0000-000028010000}"/>
    <hyperlink ref="B188" r:id="rId140" xr:uid="{00000000-0004-0000-0000-00002A010000}"/>
    <hyperlink ref="B189" r:id="rId141" xr:uid="{00000000-0004-0000-0000-00002B010000}"/>
    <hyperlink ref="B190" r:id="rId142" xr:uid="{00000000-0004-0000-0000-00002D010000}"/>
    <hyperlink ref="B191" r:id="rId143" xr:uid="{00000000-0004-0000-0000-00002F010000}"/>
    <hyperlink ref="B192" r:id="rId144" xr:uid="{00000000-0004-0000-0000-000031010000}"/>
    <hyperlink ref="B193" r:id="rId145" xr:uid="{00000000-0004-0000-0000-000033010000}"/>
    <hyperlink ref="B194" r:id="rId146" xr:uid="{00000000-0004-0000-0000-000035010000}"/>
    <hyperlink ref="B195" r:id="rId147" xr:uid="{00000000-0004-0000-0000-000037010000}"/>
    <hyperlink ref="B196" r:id="rId148" xr:uid="{00000000-0004-0000-0000-000039010000}"/>
    <hyperlink ref="B197" r:id="rId149" xr:uid="{00000000-0004-0000-0000-00003B010000}"/>
    <hyperlink ref="B198" r:id="rId150" xr:uid="{00000000-0004-0000-0000-00003C010000}"/>
    <hyperlink ref="B199" r:id="rId151" xr:uid="{00000000-0004-0000-0000-00003E010000}"/>
    <hyperlink ref="B201" r:id="rId152" xr:uid="{00000000-0004-0000-0000-000040010000}"/>
    <hyperlink ref="B202" r:id="rId153" xr:uid="{00000000-0004-0000-0000-000042010000}"/>
    <hyperlink ref="B203" r:id="rId154" xr:uid="{00000000-0004-0000-0000-000044010000}"/>
    <hyperlink ref="B204" r:id="rId155" xr:uid="{00000000-0004-0000-0000-000046010000}"/>
    <hyperlink ref="B205" r:id="rId156" xr:uid="{00000000-0004-0000-0000-000048010000}"/>
    <hyperlink ref="B206" r:id="rId157" xr:uid="{00000000-0004-0000-0000-00004A010000}"/>
    <hyperlink ref="B207" r:id="rId158" xr:uid="{00000000-0004-0000-0000-00004C010000}"/>
    <hyperlink ref="B208" r:id="rId159" xr:uid="{00000000-0004-0000-0000-00004E010000}"/>
    <hyperlink ref="B209" r:id="rId160" xr:uid="{00000000-0004-0000-0000-000050010000}"/>
    <hyperlink ref="B210" r:id="rId161" xr:uid="{00000000-0004-0000-0000-000052010000}"/>
    <hyperlink ref="B211" r:id="rId162" xr:uid="{00000000-0004-0000-0000-000054010000}"/>
    <hyperlink ref="B212" r:id="rId163" xr:uid="{00000000-0004-0000-0000-000056010000}"/>
    <hyperlink ref="B213" r:id="rId164" xr:uid="{00000000-0004-0000-0000-000058010000}"/>
    <hyperlink ref="B214" r:id="rId165" xr:uid="{00000000-0004-0000-0000-00005A010000}"/>
    <hyperlink ref="B215" r:id="rId166" xr:uid="{00000000-0004-0000-0000-00005C010000}"/>
    <hyperlink ref="B216" r:id="rId167" xr:uid="{00000000-0004-0000-0000-00005E010000}"/>
    <hyperlink ref="B217" r:id="rId168" xr:uid="{00000000-0004-0000-0000-000060010000}"/>
    <hyperlink ref="B218" r:id="rId169" location="slide=id.p" xr:uid="{00000000-0004-0000-0000-000062010000}"/>
    <hyperlink ref="B219" r:id="rId170" xr:uid="{00000000-0004-0000-0000-000064010000}"/>
    <hyperlink ref="B220" r:id="rId171" xr:uid="{00000000-0004-0000-0000-000066010000}"/>
    <hyperlink ref="B221" r:id="rId172" xr:uid="{00000000-0004-0000-0000-000068010000}"/>
    <hyperlink ref="B223" r:id="rId173" xr:uid="{00000000-0004-0000-0000-00006B010000}"/>
    <hyperlink ref="B224" r:id="rId174" xr:uid="{00000000-0004-0000-0000-00006C010000}"/>
    <hyperlink ref="B225" r:id="rId175" xr:uid="{00000000-0004-0000-0000-00006D010000}"/>
    <hyperlink ref="B226" r:id="rId176" xr:uid="{00000000-0004-0000-0000-00006F010000}"/>
    <hyperlink ref="B227" r:id="rId177" xr:uid="{00000000-0004-0000-0000-000071010000}"/>
    <hyperlink ref="B229" r:id="rId178" xr:uid="{00000000-0004-0000-0000-000074010000}"/>
    <hyperlink ref="B230" r:id="rId179" xr:uid="{00000000-0004-0000-0000-000076010000}"/>
    <hyperlink ref="B231" r:id="rId180" xr:uid="{00000000-0004-0000-0000-000078010000}"/>
    <hyperlink ref="B232" r:id="rId181" xr:uid="{00000000-0004-0000-0000-00007A010000}"/>
    <hyperlink ref="B233" r:id="rId182" xr:uid="{00000000-0004-0000-0000-00007C010000}"/>
    <hyperlink ref="B234" r:id="rId183" xr:uid="{00000000-0004-0000-0000-00007E010000}"/>
    <hyperlink ref="B235" r:id="rId184" xr:uid="{00000000-0004-0000-0000-000080010000}"/>
    <hyperlink ref="B237" r:id="rId185" xr:uid="{00000000-0004-0000-0000-000082010000}"/>
    <hyperlink ref="B238" r:id="rId186" xr:uid="{00000000-0004-0000-0000-000084010000}"/>
    <hyperlink ref="B239" r:id="rId187" xr:uid="{00000000-0004-0000-0000-000086010000}"/>
    <hyperlink ref="B241" r:id="rId188" xr:uid="{00000000-0004-0000-0000-000089010000}"/>
    <hyperlink ref="B242" r:id="rId189" xr:uid="{00000000-0004-0000-0000-00008B010000}"/>
    <hyperlink ref="B243" r:id="rId190" xr:uid="{00000000-0004-0000-0000-00008D010000}"/>
    <hyperlink ref="B244" r:id="rId191" xr:uid="{00000000-0004-0000-0000-00008F010000}"/>
    <hyperlink ref="B245" r:id="rId192" xr:uid="{00000000-0004-0000-0000-000091010000}"/>
    <hyperlink ref="B246" r:id="rId193" xr:uid="{00000000-0004-0000-0000-000093010000}"/>
    <hyperlink ref="B247" r:id="rId194" xr:uid="{00000000-0004-0000-0000-000095010000}"/>
    <hyperlink ref="B248" r:id="rId195" xr:uid="{00000000-0004-0000-0000-000097010000}"/>
    <hyperlink ref="B249" r:id="rId196" xr:uid="{00000000-0004-0000-0000-000099010000}"/>
    <hyperlink ref="B250" r:id="rId197" xr:uid="{00000000-0004-0000-0000-00009B010000}"/>
    <hyperlink ref="B251" r:id="rId198" xr:uid="{00000000-0004-0000-0000-00009D010000}"/>
    <hyperlink ref="B252" r:id="rId199" xr:uid="{00000000-0004-0000-0000-00009F010000}"/>
    <hyperlink ref="B253" r:id="rId200" xr:uid="{00000000-0004-0000-0000-0000A1010000}"/>
    <hyperlink ref="B254" r:id="rId201" xr:uid="{00000000-0004-0000-0000-0000A3010000}"/>
    <hyperlink ref="B255" r:id="rId202" xr:uid="{00000000-0004-0000-0000-0000A5010000}"/>
    <hyperlink ref="B256" r:id="rId203" xr:uid="{00000000-0004-0000-0000-0000A7010000}"/>
    <hyperlink ref="B257" r:id="rId204" xr:uid="{00000000-0004-0000-0000-0000A9010000}"/>
    <hyperlink ref="B258" r:id="rId205" xr:uid="{00000000-0004-0000-0000-0000AB010000}"/>
    <hyperlink ref="B259" r:id="rId206" xr:uid="{00000000-0004-0000-0000-0000AD010000}"/>
    <hyperlink ref="B260" r:id="rId207" xr:uid="{00000000-0004-0000-0000-0000AF010000}"/>
    <hyperlink ref="B261" r:id="rId208" xr:uid="{00000000-0004-0000-0000-0000B1010000}"/>
    <hyperlink ref="B262" r:id="rId209" xr:uid="{00000000-0004-0000-0000-0000B3010000}"/>
    <hyperlink ref="B263" r:id="rId210" xr:uid="{00000000-0004-0000-0000-0000B5010000}"/>
    <hyperlink ref="B264" r:id="rId211" xr:uid="{00000000-0004-0000-0000-0000B7010000}"/>
    <hyperlink ref="B266" r:id="rId212" xr:uid="{00000000-0004-0000-0000-0000BA010000}"/>
    <hyperlink ref="B267" r:id="rId213" xr:uid="{00000000-0004-0000-0000-0000BC010000}"/>
    <hyperlink ref="B268" r:id="rId214" xr:uid="{00000000-0004-0000-0000-0000BE010000}"/>
    <hyperlink ref="D268" r:id="rId215" xr:uid="{00000000-0004-0000-0000-0000BF010000}"/>
    <hyperlink ref="B269" r:id="rId216" xr:uid="{00000000-0004-0000-0000-0000C1010000}"/>
    <hyperlink ref="B270" r:id="rId217" xr:uid="{00000000-0004-0000-0000-0000C3010000}"/>
    <hyperlink ref="B271" r:id="rId218" xr:uid="{00000000-0004-0000-0000-0000C5010000}"/>
    <hyperlink ref="B272" r:id="rId219" xr:uid="{00000000-0004-0000-0000-0000C7010000}"/>
    <hyperlink ref="B273" r:id="rId220" xr:uid="{00000000-0004-0000-0000-0000C9010000}"/>
    <hyperlink ref="B274" r:id="rId221" xr:uid="{00000000-0004-0000-0000-0000CB010000}"/>
    <hyperlink ref="B275" r:id="rId222" xr:uid="{00000000-0004-0000-0000-0000CD010000}"/>
    <hyperlink ref="B276" r:id="rId223" xr:uid="{00000000-0004-0000-0000-0000CF010000}"/>
    <hyperlink ref="B277" r:id="rId224" xr:uid="{00000000-0004-0000-0000-0000D1010000}"/>
    <hyperlink ref="B279" r:id="rId225" xr:uid="{00000000-0004-0000-0000-0000D4010000}"/>
    <hyperlink ref="B281" r:id="rId226" xr:uid="{00000000-0004-0000-0000-0000D7010000}"/>
    <hyperlink ref="B282" r:id="rId227" xr:uid="{00000000-0004-0000-0000-0000D9010000}"/>
    <hyperlink ref="B283" r:id="rId228" xr:uid="{00000000-0004-0000-0000-0000DB010000}"/>
    <hyperlink ref="B284" r:id="rId229" xr:uid="{00000000-0004-0000-0000-0000DC010000}"/>
    <hyperlink ref="B285" r:id="rId230" xr:uid="{00000000-0004-0000-0000-0000DE010000}"/>
    <hyperlink ref="B286" r:id="rId231" xr:uid="{00000000-0004-0000-0000-0000E0010000}"/>
    <hyperlink ref="B287" r:id="rId232" xr:uid="{00000000-0004-0000-0000-0000E2010000}"/>
    <hyperlink ref="B289" r:id="rId233" xr:uid="{00000000-0004-0000-0000-0000E5010000}"/>
    <hyperlink ref="B290" r:id="rId234" xr:uid="{00000000-0004-0000-0000-0000E7010000}"/>
    <hyperlink ref="B292" r:id="rId235" xr:uid="{00000000-0004-0000-0000-0000EA010000}"/>
    <hyperlink ref="B293" r:id="rId236" xr:uid="{00000000-0004-0000-0000-0000EC010000}"/>
    <hyperlink ref="B294" r:id="rId237" xr:uid="{00000000-0004-0000-0000-0000EE010000}"/>
    <hyperlink ref="B295" r:id="rId238" xr:uid="{00000000-0004-0000-0000-0000F0010000}"/>
    <hyperlink ref="B296" r:id="rId239" xr:uid="{00000000-0004-0000-0000-0000F2010000}"/>
    <hyperlink ref="B297" r:id="rId240" xr:uid="{00000000-0004-0000-0000-0000F4010000}"/>
    <hyperlink ref="B298" r:id="rId241" xr:uid="{00000000-0004-0000-0000-0000F6010000}"/>
    <hyperlink ref="B299" r:id="rId242" xr:uid="{00000000-0004-0000-0000-0000F8010000}"/>
    <hyperlink ref="B300" r:id="rId243" xr:uid="{00000000-0004-0000-0000-0000FA010000}"/>
    <hyperlink ref="B301" r:id="rId244" xr:uid="{00000000-0004-0000-0000-0000FC010000}"/>
    <hyperlink ref="B302" r:id="rId245" xr:uid="{00000000-0004-0000-0000-0000FE010000}"/>
    <hyperlink ref="B305" r:id="rId246" xr:uid="{00000000-0004-0000-0000-000002020000}"/>
    <hyperlink ref="B306" r:id="rId247" xr:uid="{00000000-0004-0000-0000-000004020000}"/>
    <hyperlink ref="B308" r:id="rId248" xr:uid="{00000000-0004-0000-0000-000007020000}"/>
    <hyperlink ref="B309" r:id="rId249" xr:uid="{00000000-0004-0000-0000-000009020000}"/>
    <hyperlink ref="B310" r:id="rId250" xr:uid="{00000000-0004-0000-0000-00000B020000}"/>
    <hyperlink ref="B311" r:id="rId251" xr:uid="{00000000-0004-0000-0000-00000D020000}"/>
    <hyperlink ref="B312" r:id="rId252" xr:uid="{00000000-0004-0000-0000-00000F020000}"/>
    <hyperlink ref="B313" r:id="rId253" xr:uid="{00000000-0004-0000-0000-000011020000}"/>
    <hyperlink ref="B315" r:id="rId254" xr:uid="{00000000-0004-0000-0000-000014020000}"/>
    <hyperlink ref="B317" r:id="rId255" xr:uid="{00000000-0004-0000-0000-000016020000}"/>
    <hyperlink ref="B318" r:id="rId256" xr:uid="{00000000-0004-0000-0000-000018020000}"/>
    <hyperlink ref="B319" r:id="rId257" xr:uid="{00000000-0004-0000-0000-00001A020000}"/>
    <hyperlink ref="B320" r:id="rId258" xr:uid="{00000000-0004-0000-0000-00001C020000}"/>
    <hyperlink ref="B321" r:id="rId259" xr:uid="{00000000-0004-0000-0000-00001E020000}"/>
    <hyperlink ref="B322" r:id="rId260" xr:uid="{00000000-0004-0000-0000-000020020000}"/>
    <hyperlink ref="B323" r:id="rId261" xr:uid="{00000000-0004-0000-0000-000022020000}"/>
    <hyperlink ref="B324" r:id="rId262" xr:uid="{00000000-0004-0000-0000-000024020000}"/>
    <hyperlink ref="B325" r:id="rId263" xr:uid="{00000000-0004-0000-0000-000026020000}"/>
    <hyperlink ref="B326" r:id="rId264" xr:uid="{00000000-0004-0000-0000-000028020000}"/>
    <hyperlink ref="B328" r:id="rId265" xr:uid="{00000000-0004-0000-0000-00002B020000}"/>
    <hyperlink ref="B329" r:id="rId266" xr:uid="{00000000-0004-0000-0000-00002D020000}"/>
    <hyperlink ref="B330" r:id="rId267" xr:uid="{00000000-0004-0000-0000-00002F020000}"/>
    <hyperlink ref="B331" r:id="rId268" xr:uid="{00000000-0004-0000-0000-000031020000}"/>
    <hyperlink ref="B332" r:id="rId269" xr:uid="{00000000-0004-0000-0000-000033020000}"/>
    <hyperlink ref="B333" r:id="rId270" xr:uid="{00000000-0004-0000-0000-000035020000}"/>
    <hyperlink ref="B334" r:id="rId271" xr:uid="{00000000-0004-0000-0000-000037020000}"/>
    <hyperlink ref="B335" r:id="rId272" xr:uid="{00000000-0004-0000-0000-000039020000}"/>
    <hyperlink ref="B336" r:id="rId273" xr:uid="{00000000-0004-0000-0000-00003B020000}"/>
    <hyperlink ref="B337" r:id="rId274" xr:uid="{00000000-0004-0000-0000-00003D020000}"/>
    <hyperlink ref="B338" r:id="rId275" xr:uid="{00000000-0004-0000-0000-00003F020000}"/>
    <hyperlink ref="B339" r:id="rId276" xr:uid="{00000000-0004-0000-0000-000041020000}"/>
    <hyperlink ref="B340" r:id="rId277" xr:uid="{00000000-0004-0000-0000-000043020000}"/>
    <hyperlink ref="B342" r:id="rId278" xr:uid="{00000000-0004-0000-0000-000045020000}"/>
    <hyperlink ref="B343" r:id="rId279" xr:uid="{00000000-0004-0000-0000-000047020000}"/>
    <hyperlink ref="B345" r:id="rId280" xr:uid="{00000000-0004-0000-0000-00004A020000}"/>
    <hyperlink ref="B346" r:id="rId281" xr:uid="{00000000-0004-0000-0000-00004C020000}"/>
    <hyperlink ref="B347" r:id="rId282" xr:uid="{00000000-0004-0000-0000-00004E020000}"/>
    <hyperlink ref="B348" r:id="rId283" xr:uid="{00000000-0004-0000-0000-000050020000}"/>
    <hyperlink ref="B349" r:id="rId284" xr:uid="{00000000-0004-0000-0000-000052020000}"/>
    <hyperlink ref="B351" r:id="rId285" xr:uid="{00000000-0004-0000-0000-000055020000}"/>
    <hyperlink ref="B352" r:id="rId286" xr:uid="{00000000-0004-0000-0000-000057020000}"/>
    <hyperlink ref="B353" r:id="rId287" xr:uid="{00000000-0004-0000-0000-000059020000}"/>
    <hyperlink ref="B354" r:id="rId288" xr:uid="{00000000-0004-0000-0000-00005B020000}"/>
    <hyperlink ref="B355" r:id="rId289" xr:uid="{00000000-0004-0000-0000-00005D020000}"/>
    <hyperlink ref="B356" r:id="rId290" xr:uid="{00000000-0004-0000-0000-00005F020000}"/>
    <hyperlink ref="B357" r:id="rId291" xr:uid="{00000000-0004-0000-0000-000061020000}"/>
    <hyperlink ref="B360" r:id="rId292" xr:uid="{00000000-0004-0000-0000-000065020000}"/>
    <hyperlink ref="B363" r:id="rId293" xr:uid="{00000000-0004-0000-0000-000069020000}"/>
    <hyperlink ref="B364" r:id="rId294" xr:uid="{00000000-0004-0000-0000-00006B020000}"/>
    <hyperlink ref="B365" r:id="rId295" xr:uid="{00000000-0004-0000-0000-00006D020000}"/>
    <hyperlink ref="B366" r:id="rId296" xr:uid="{00000000-0004-0000-0000-00006F020000}"/>
    <hyperlink ref="B367" r:id="rId297" xr:uid="{00000000-0004-0000-0000-000071020000}"/>
    <hyperlink ref="B368" r:id="rId298" xr:uid="{00000000-0004-0000-0000-000073020000}"/>
    <hyperlink ref="B369" r:id="rId299" xr:uid="{00000000-0004-0000-0000-000075020000}"/>
    <hyperlink ref="B370" r:id="rId300" xr:uid="{00000000-0004-0000-0000-000077020000}"/>
    <hyperlink ref="B371" r:id="rId301" xr:uid="{00000000-0004-0000-0000-000079020000}"/>
    <hyperlink ref="B373" r:id="rId302" xr:uid="{00000000-0004-0000-0000-00007C020000}"/>
    <hyperlink ref="B374" r:id="rId303" xr:uid="{00000000-0004-0000-0000-00007E020000}"/>
    <hyperlink ref="B375" r:id="rId304" xr:uid="{00000000-0004-0000-0000-000080020000}"/>
    <hyperlink ref="B376" r:id="rId305" xr:uid="{00000000-0004-0000-0000-000082020000}"/>
    <hyperlink ref="B377" r:id="rId306" xr:uid="{00000000-0004-0000-0000-000084020000}"/>
    <hyperlink ref="B378" r:id="rId307" xr:uid="{00000000-0004-0000-0000-000086020000}"/>
    <hyperlink ref="B379" r:id="rId308" xr:uid="{00000000-0004-0000-0000-000088020000}"/>
    <hyperlink ref="B380" r:id="rId309" xr:uid="{00000000-0004-0000-0000-00008A020000}"/>
    <hyperlink ref="B381" r:id="rId310" xr:uid="{00000000-0004-0000-0000-00008C020000}"/>
    <hyperlink ref="B384" r:id="rId311" xr:uid="{00000000-0004-0000-0000-00008F020000}"/>
    <hyperlink ref="B385" r:id="rId312" xr:uid="{00000000-0004-0000-0000-000091020000}"/>
    <hyperlink ref="B386" r:id="rId313" xr:uid="{00000000-0004-0000-0000-000093020000}"/>
    <hyperlink ref="B387" r:id="rId314" xr:uid="{00000000-0004-0000-0000-000095020000}"/>
    <hyperlink ref="B389" r:id="rId315" xr:uid="{00000000-0004-0000-0000-000098020000}"/>
    <hyperlink ref="B390" r:id="rId316" xr:uid="{00000000-0004-0000-0000-00009A020000}"/>
    <hyperlink ref="B391" r:id="rId317" xr:uid="{00000000-0004-0000-0000-00009C020000}"/>
    <hyperlink ref="B392" r:id="rId318" xr:uid="{00000000-0004-0000-0000-00009E020000}"/>
    <hyperlink ref="B393" r:id="rId319" xr:uid="{00000000-0004-0000-0000-0000A0020000}"/>
    <hyperlink ref="B394" r:id="rId320" xr:uid="{00000000-0004-0000-0000-0000A2020000}"/>
    <hyperlink ref="B396" r:id="rId321" xr:uid="{00000000-0004-0000-0000-0000A4020000}"/>
    <hyperlink ref="B397" r:id="rId322" xr:uid="{00000000-0004-0000-0000-0000A6020000}"/>
    <hyperlink ref="B398" r:id="rId323" xr:uid="{00000000-0004-0000-0000-0000A8020000}"/>
    <hyperlink ref="B399" r:id="rId324" xr:uid="{00000000-0004-0000-0000-0000AA020000}"/>
    <hyperlink ref="B400" r:id="rId325" xr:uid="{00000000-0004-0000-0000-0000AC020000}"/>
    <hyperlink ref="B401" r:id="rId326" xr:uid="{00000000-0004-0000-0000-0000AE020000}"/>
    <hyperlink ref="B402" r:id="rId327" xr:uid="{00000000-0004-0000-0000-0000B0020000}"/>
    <hyperlink ref="B403" r:id="rId328" xr:uid="{00000000-0004-0000-0000-0000B2020000}"/>
    <hyperlink ref="B404" r:id="rId329" xr:uid="{00000000-0004-0000-0000-0000B3020000}"/>
    <hyperlink ref="B405" r:id="rId330" xr:uid="{00000000-0004-0000-0000-0000B5020000}"/>
    <hyperlink ref="B406" r:id="rId331" xr:uid="{00000000-0004-0000-0000-0000B7020000}"/>
    <hyperlink ref="B407" r:id="rId332" xr:uid="{00000000-0004-0000-0000-0000B9020000}"/>
    <hyperlink ref="B408" r:id="rId333" xr:uid="{00000000-0004-0000-0000-0000BB020000}"/>
    <hyperlink ref="B410" r:id="rId334" xr:uid="{00000000-0004-0000-0000-0000BE020000}"/>
    <hyperlink ref="B411" r:id="rId335" xr:uid="{00000000-0004-0000-0000-0000C0020000}"/>
    <hyperlink ref="B413" r:id="rId336" xr:uid="{00000000-0004-0000-0000-0000C3020000}"/>
    <hyperlink ref="B414" r:id="rId337" xr:uid="{00000000-0004-0000-0000-0000C5020000}"/>
    <hyperlink ref="B415" r:id="rId338" xr:uid="{00000000-0004-0000-0000-0000C7020000}"/>
    <hyperlink ref="B416" r:id="rId339" xr:uid="{00000000-0004-0000-0000-0000C9020000}"/>
    <hyperlink ref="B417" r:id="rId340" xr:uid="{00000000-0004-0000-0000-0000CB020000}"/>
    <hyperlink ref="B418" r:id="rId341" xr:uid="{00000000-0004-0000-0000-0000CD020000}"/>
    <hyperlink ref="B419" r:id="rId342" xr:uid="{00000000-0004-0000-0000-0000CF020000}"/>
    <hyperlink ref="B420" r:id="rId343" xr:uid="{00000000-0004-0000-0000-0000D1020000}"/>
    <hyperlink ref="B422" r:id="rId344" xr:uid="{00000000-0004-0000-0000-0000D4020000}"/>
    <hyperlink ref="B423" r:id="rId345" xr:uid="{00000000-0004-0000-0000-0000D6020000}"/>
    <hyperlink ref="B425" r:id="rId346" xr:uid="{00000000-0004-0000-0000-0000D9020000}"/>
    <hyperlink ref="C425" r:id="rId347" xr:uid="{00000000-0004-0000-0000-0000DA020000}"/>
    <hyperlink ref="B426" r:id="rId348" xr:uid="{00000000-0004-0000-0000-0000DC020000}"/>
    <hyperlink ref="B427" r:id="rId349" xr:uid="{00000000-0004-0000-0000-0000DE020000}"/>
    <hyperlink ref="B428" r:id="rId350" xr:uid="{00000000-0004-0000-0000-0000E0020000}"/>
    <hyperlink ref="B429" r:id="rId351" xr:uid="{00000000-0004-0000-0000-0000E2020000}"/>
    <hyperlink ref="B430" r:id="rId352" xr:uid="{00000000-0004-0000-0000-0000E3020000}"/>
    <hyperlink ref="B431" r:id="rId353" xr:uid="{00000000-0004-0000-0000-0000E5020000}"/>
    <hyperlink ref="B432" r:id="rId354" xr:uid="{00000000-0004-0000-0000-0000E7020000}"/>
    <hyperlink ref="B434" r:id="rId355" xr:uid="{00000000-0004-0000-0000-0000E9020000}"/>
    <hyperlink ref="B435" r:id="rId356" xr:uid="{00000000-0004-0000-0000-0000EB020000}"/>
    <hyperlink ref="B436" r:id="rId357" xr:uid="{00000000-0004-0000-0000-0000ED020000}"/>
    <hyperlink ref="B437" r:id="rId358" xr:uid="{00000000-0004-0000-0000-0000EF020000}"/>
    <hyperlink ref="B439" r:id="rId359" xr:uid="{00000000-0004-0000-0000-0000F2020000}"/>
    <hyperlink ref="B440" r:id="rId360" xr:uid="{00000000-0004-0000-0000-0000F4020000}"/>
    <hyperlink ref="B443" r:id="rId361" xr:uid="{00000000-0004-0000-0000-0000F8020000}"/>
    <hyperlink ref="B444" r:id="rId362" xr:uid="{00000000-0004-0000-0000-0000FA020000}"/>
    <hyperlink ref="B445" r:id="rId363" xr:uid="{00000000-0004-0000-0000-0000FC020000}"/>
    <hyperlink ref="B446" r:id="rId364" xr:uid="{00000000-0004-0000-0000-0000FE020000}"/>
    <hyperlink ref="B447" r:id="rId365" xr:uid="{00000000-0004-0000-0000-000000030000}"/>
    <hyperlink ref="B448" r:id="rId366" xr:uid="{00000000-0004-0000-0000-000002030000}"/>
    <hyperlink ref="B449" r:id="rId367" xr:uid="{00000000-0004-0000-0000-000004030000}"/>
    <hyperlink ref="B450" r:id="rId368" xr:uid="{00000000-0004-0000-0000-000006030000}"/>
    <hyperlink ref="B451" r:id="rId369" xr:uid="{00000000-0004-0000-0000-000008030000}"/>
    <hyperlink ref="B452" r:id="rId370" xr:uid="{00000000-0004-0000-0000-00000A030000}"/>
    <hyperlink ref="B453" r:id="rId371" xr:uid="{00000000-0004-0000-0000-00000C030000}"/>
    <hyperlink ref="B454" r:id="rId372" xr:uid="{00000000-0004-0000-0000-00000E030000}"/>
    <hyperlink ref="B455" r:id="rId373" xr:uid="{00000000-0004-0000-0000-000010030000}"/>
    <hyperlink ref="B456" r:id="rId374" xr:uid="{00000000-0004-0000-0000-000012030000}"/>
    <hyperlink ref="B459" r:id="rId375" xr:uid="{00000000-0004-0000-0000-000014030000}"/>
    <hyperlink ref="B460" r:id="rId376" xr:uid="{00000000-0004-0000-0000-000016030000}"/>
    <hyperlink ref="B461" r:id="rId377" xr:uid="{00000000-0004-0000-0000-000018030000}"/>
    <hyperlink ref="B463" r:id="rId378" xr:uid="{00000000-0004-0000-0000-00001B030000}"/>
    <hyperlink ref="B466" r:id="rId379" xr:uid="{00000000-0004-0000-0000-00001D030000}"/>
    <hyperlink ref="B467" r:id="rId380" xr:uid="{00000000-0004-0000-0000-00001F030000}"/>
    <hyperlink ref="B468" r:id="rId381" xr:uid="{00000000-0004-0000-0000-000020030000}"/>
    <hyperlink ref="B469" r:id="rId382" xr:uid="{00000000-0004-0000-0000-000021030000}"/>
    <hyperlink ref="B470" r:id="rId383" xr:uid="{00000000-0004-0000-0000-000023030000}"/>
    <hyperlink ref="B471" r:id="rId384" xr:uid="{00000000-0004-0000-0000-000025030000}"/>
    <hyperlink ref="B472" r:id="rId385" xr:uid="{00000000-0004-0000-0000-000027030000}"/>
    <hyperlink ref="B473" r:id="rId386" xr:uid="{00000000-0004-0000-0000-000029030000}"/>
    <hyperlink ref="B476" r:id="rId387" xr:uid="{00000000-0004-0000-0000-00002C030000}"/>
    <hyperlink ref="B478" r:id="rId388" xr:uid="{00000000-0004-0000-0000-00002E030000}"/>
    <hyperlink ref="B480" r:id="rId389" xr:uid="{00000000-0004-0000-0000-000030030000}"/>
    <hyperlink ref="B481" r:id="rId390" xr:uid="{00000000-0004-0000-0000-000031030000}"/>
    <hyperlink ref="B482" r:id="rId391" xr:uid="{00000000-0004-0000-0000-000033030000}"/>
    <hyperlink ref="B484" r:id="rId392" xr:uid="{00000000-0004-0000-0000-000035030000}"/>
    <hyperlink ref="B485" r:id="rId393" xr:uid="{00000000-0004-0000-0000-000037030000}"/>
    <hyperlink ref="B486" r:id="rId394" xr:uid="{00000000-0004-0000-0000-000039030000}"/>
    <hyperlink ref="B487" r:id="rId395" xr:uid="{00000000-0004-0000-0000-00003B030000}"/>
    <hyperlink ref="B488" r:id="rId396" xr:uid="{00000000-0004-0000-0000-00003D030000}"/>
    <hyperlink ref="B490" r:id="rId397" xr:uid="{00000000-0004-0000-0000-000040030000}"/>
    <hyperlink ref="B492" r:id="rId398" xr:uid="{00000000-0004-0000-0000-000042030000}"/>
    <hyperlink ref="B493" r:id="rId399" xr:uid="{00000000-0004-0000-0000-000044030000}"/>
    <hyperlink ref="B494" r:id="rId400" xr:uid="{00000000-0004-0000-0000-000046030000}"/>
    <hyperlink ref="B495" r:id="rId401" xr:uid="{00000000-0004-0000-0000-000048030000}"/>
    <hyperlink ref="B496" r:id="rId402" xr:uid="{00000000-0004-0000-0000-00004A030000}"/>
    <hyperlink ref="B497" r:id="rId403" xr:uid="{00000000-0004-0000-0000-00004C030000}"/>
    <hyperlink ref="B498" r:id="rId404" xr:uid="{00000000-0004-0000-0000-00004D030000}"/>
    <hyperlink ref="B499" r:id="rId405" xr:uid="{00000000-0004-0000-0000-00004F030000}"/>
    <hyperlink ref="B503" r:id="rId406" location="slide=id.g25a9e00eb61_2_46" xr:uid="{00000000-0004-0000-0000-000052030000}"/>
    <hyperlink ref="B506" r:id="rId407" xr:uid="{00000000-0004-0000-0000-000055030000}"/>
    <hyperlink ref="B507" r:id="rId408" xr:uid="{00000000-0004-0000-0000-000057030000}"/>
    <hyperlink ref="B508" r:id="rId409" xr:uid="{00000000-0004-0000-0000-000059030000}"/>
    <hyperlink ref="B509" r:id="rId410" xr:uid="{00000000-0004-0000-0000-00005B030000}"/>
    <hyperlink ref="B512" r:id="rId411" xr:uid="{00000000-0004-0000-0000-00005E030000}"/>
    <hyperlink ref="B513" r:id="rId412" xr:uid="{00000000-0004-0000-0000-000060030000}"/>
    <hyperlink ref="B515" r:id="rId413" xr:uid="{00000000-0004-0000-0000-000062030000}"/>
    <hyperlink ref="B516" r:id="rId414" xr:uid="{00000000-0004-0000-0000-000064030000}"/>
    <hyperlink ref="B517" r:id="rId415" xr:uid="{00000000-0004-0000-0000-000066030000}"/>
    <hyperlink ref="B521" r:id="rId416" xr:uid="{00000000-0004-0000-0000-00006A030000}"/>
    <hyperlink ref="B524" r:id="rId417" xr:uid="{00000000-0004-0000-0000-00006D030000}"/>
    <hyperlink ref="B525" r:id="rId418" xr:uid="{00000000-0004-0000-0000-00006F030000}"/>
    <hyperlink ref="B526" r:id="rId419" xr:uid="{00000000-0004-0000-0000-000071030000}"/>
    <hyperlink ref="B529" r:id="rId420" xr:uid="{00000000-0004-0000-0000-000072030000}"/>
    <hyperlink ref="B530" r:id="rId421" xr:uid="{00000000-0004-0000-0000-000074030000}"/>
    <hyperlink ref="B532" r:id="rId422" xr:uid="{00000000-0004-0000-0000-000076030000}"/>
    <hyperlink ref="B533" r:id="rId423" xr:uid="{00000000-0004-0000-0000-000077030000}"/>
    <hyperlink ref="B534" r:id="rId424" xr:uid="{00000000-0004-0000-0000-000079030000}"/>
    <hyperlink ref="C535" r:id="rId425" xr:uid="{00000000-0004-0000-0000-00007A030000}"/>
    <hyperlink ref="B536" r:id="rId426" xr:uid="{00000000-0004-0000-0000-00007B030000}"/>
    <hyperlink ref="B539" r:id="rId427" xr:uid="{00000000-0004-0000-0000-00007D030000}"/>
    <hyperlink ref="B540" r:id="rId428" xr:uid="{00000000-0004-0000-0000-00007E030000}"/>
    <hyperlink ref="B541" r:id="rId429" xr:uid="{00000000-0004-0000-0000-000080030000}"/>
    <hyperlink ref="B542" r:id="rId430" xr:uid="{00000000-0004-0000-0000-000082030000}"/>
    <hyperlink ref="B543" r:id="rId431" xr:uid="{00000000-0004-0000-0000-000083030000}"/>
    <hyperlink ref="B545" r:id="rId432" xr:uid="{00000000-0004-0000-0000-000086030000}"/>
    <hyperlink ref="B547" r:id="rId433" xr:uid="{00000000-0004-0000-0000-000088030000}"/>
    <hyperlink ref="B548" r:id="rId434" xr:uid="{00000000-0004-0000-0000-00008A030000}"/>
    <hyperlink ref="B549" r:id="rId435" xr:uid="{00000000-0004-0000-0000-00008B030000}"/>
    <hyperlink ref="B550" r:id="rId436" xr:uid="{00000000-0004-0000-0000-00008D030000}"/>
    <hyperlink ref="B551" r:id="rId437" xr:uid="{00000000-0004-0000-0000-00008F030000}"/>
    <hyperlink ref="B552" r:id="rId438" xr:uid="{00000000-0004-0000-0000-000090030000}"/>
    <hyperlink ref="B553" r:id="rId439" xr:uid="{00000000-0004-0000-0000-000092030000}"/>
    <hyperlink ref="B556" r:id="rId440" xr:uid="{00000000-0004-0000-0000-000094030000}"/>
    <hyperlink ref="B557" r:id="rId441" xr:uid="{00000000-0004-0000-0000-000096030000}"/>
    <hyperlink ref="B558" r:id="rId442" xr:uid="{00000000-0004-0000-0000-000098030000}"/>
    <hyperlink ref="B559" r:id="rId443" xr:uid="{00000000-0004-0000-0000-00009A030000}"/>
    <hyperlink ref="C560" r:id="rId444" xr:uid="{00000000-0004-0000-0000-00009C030000}"/>
    <hyperlink ref="B561" r:id="rId445" xr:uid="{00000000-0004-0000-0000-00009D030000}"/>
    <hyperlink ref="B562" r:id="rId446" xr:uid="{00000000-0004-0000-0000-00009F030000}"/>
    <hyperlink ref="B564" r:id="rId447" xr:uid="{00000000-0004-0000-0000-0000A2030000}"/>
    <hyperlink ref="B566" r:id="rId448" xr:uid="{00000000-0004-0000-0000-0000A4030000}"/>
    <hyperlink ref="B567" r:id="rId449" xr:uid="{00000000-0004-0000-0000-0000A6030000}"/>
    <hyperlink ref="B569" r:id="rId450" xr:uid="{00000000-0004-0000-0000-0000A8030000}"/>
    <hyperlink ref="B570" r:id="rId451" xr:uid="{00000000-0004-0000-0000-0000AA030000}"/>
    <hyperlink ref="B571" r:id="rId452" xr:uid="{00000000-0004-0000-0000-0000AB030000}"/>
    <hyperlink ref="B572" r:id="rId453" xr:uid="{00000000-0004-0000-0000-0000AD030000}"/>
    <hyperlink ref="B573" r:id="rId454" xr:uid="{00000000-0004-0000-0000-0000AF030000}"/>
    <hyperlink ref="B577" r:id="rId455" xr:uid="{00000000-0004-0000-0000-0000B2030000}"/>
    <hyperlink ref="B580" r:id="rId456" xr:uid="{00000000-0004-0000-0000-0000B5030000}"/>
    <hyperlink ref="B583" r:id="rId457" xr:uid="{00000000-0004-0000-0000-0000B9030000}"/>
    <hyperlink ref="B584" r:id="rId458" xr:uid="{00000000-0004-0000-0000-0000BB030000}"/>
    <hyperlink ref="B585" r:id="rId459" xr:uid="{00000000-0004-0000-0000-0000BD030000}"/>
    <hyperlink ref="B586" r:id="rId460" xr:uid="{00000000-0004-0000-0000-0000BF030000}"/>
    <hyperlink ref="B588" r:id="rId461" xr:uid="{00000000-0004-0000-0000-0000C1030000}"/>
    <hyperlink ref="B592" r:id="rId462" xr:uid="{00000000-0004-0000-0000-0000C4030000}"/>
    <hyperlink ref="B593" r:id="rId463" xr:uid="{00000000-0004-0000-0000-0000C6030000}"/>
    <hyperlink ref="B594" r:id="rId464" xr:uid="{00000000-0004-0000-0000-0000C7030000}"/>
    <hyperlink ref="C594" r:id="rId465" xr:uid="{00000000-0004-0000-0000-0000C8030000}"/>
    <hyperlink ref="B595" r:id="rId466" xr:uid="{00000000-0004-0000-0000-0000CA030000}"/>
    <hyperlink ref="B596" r:id="rId467" xr:uid="{00000000-0004-0000-0000-0000CB030000}"/>
    <hyperlink ref="C596" r:id="rId468" xr:uid="{00000000-0004-0000-0000-0000CC030000}"/>
    <hyperlink ref="B597" r:id="rId469" xr:uid="{00000000-0004-0000-0000-0000CD030000}"/>
    <hyperlink ref="B598" r:id="rId470" xr:uid="{00000000-0004-0000-0000-0000CF030000}"/>
    <hyperlink ref="B599" r:id="rId471" xr:uid="{00000000-0004-0000-0000-0000D0030000}"/>
    <hyperlink ref="B600" r:id="rId472" xr:uid="{00000000-0004-0000-0000-0000D1030000}"/>
    <hyperlink ref="B601" r:id="rId473" xr:uid="{00000000-0004-0000-0000-0000D3030000}"/>
    <hyperlink ref="B602" r:id="rId474" xr:uid="{00000000-0004-0000-0000-0000D4030000}"/>
    <hyperlink ref="B604" r:id="rId475" xr:uid="{00000000-0004-0000-0000-0000D6030000}"/>
    <hyperlink ref="B605" r:id="rId476" xr:uid="{00000000-0004-0000-0000-0000D8030000}"/>
    <hyperlink ref="B608" r:id="rId477" xr:uid="{00000000-0004-0000-0000-0000DC030000}"/>
    <hyperlink ref="B609" r:id="rId478" xr:uid="{00000000-0004-0000-0000-0000DE030000}"/>
    <hyperlink ref="B611" r:id="rId479" xr:uid="{00000000-0004-0000-0000-0000E0030000}"/>
    <hyperlink ref="B613" r:id="rId480" xr:uid="{00000000-0004-0000-0000-0000E2030000}"/>
    <hyperlink ref="B614" r:id="rId481" xr:uid="{00000000-0004-0000-0000-0000E4030000}"/>
    <hyperlink ref="B615" r:id="rId482" xr:uid="{00000000-0004-0000-0000-0000E6030000}"/>
    <hyperlink ref="B616" r:id="rId483" xr:uid="{00000000-0004-0000-0000-0000E8030000}"/>
    <hyperlink ref="B617" r:id="rId484" xr:uid="{00000000-0004-0000-0000-0000EA030000}"/>
    <hyperlink ref="B618" r:id="rId485" xr:uid="{00000000-0004-0000-0000-0000EC030000}"/>
    <hyperlink ref="B620" r:id="rId486" xr:uid="{00000000-0004-0000-0000-0000EE030000}"/>
    <hyperlink ref="B621" r:id="rId487" xr:uid="{00000000-0004-0000-0000-0000F0030000}"/>
    <hyperlink ref="B622" r:id="rId488" xr:uid="{00000000-0004-0000-0000-0000F2030000}"/>
    <hyperlink ref="B624" r:id="rId489" xr:uid="{00000000-0004-0000-0000-0000F4030000}"/>
    <hyperlink ref="B625" r:id="rId490" xr:uid="{00000000-0004-0000-0000-0000F5030000}"/>
    <hyperlink ref="B626" r:id="rId491" xr:uid="{00000000-0004-0000-0000-0000F6030000}"/>
    <hyperlink ref="B627" r:id="rId492" xr:uid="{00000000-0004-0000-0000-0000F7030000}"/>
    <hyperlink ref="B629" r:id="rId493" xr:uid="{00000000-0004-0000-0000-0000F9030000}"/>
    <hyperlink ref="B630" r:id="rId494" xr:uid="{00000000-0004-0000-0000-0000FB030000}"/>
    <hyperlink ref="B631" r:id="rId495" xr:uid="{00000000-0004-0000-0000-0000FD030000}"/>
    <hyperlink ref="B636" r:id="rId496" xr:uid="{00000000-0004-0000-0000-0000FF030000}"/>
    <hyperlink ref="B637" r:id="rId497" xr:uid="{00000000-0004-0000-0000-000001040000}"/>
    <hyperlink ref="B642" r:id="rId498" xr:uid="{00000000-0004-0000-0000-000003040000}"/>
    <hyperlink ref="B644" r:id="rId499" location="slide=id.g18011cc932d_0_249" xr:uid="{00000000-0004-0000-0000-000004040000}"/>
    <hyperlink ref="B645" r:id="rId500" xr:uid="{00000000-0004-0000-0000-000006040000}"/>
    <hyperlink ref="B647" r:id="rId501" xr:uid="{00000000-0004-0000-0000-000008040000}"/>
    <hyperlink ref="B648" r:id="rId502" xr:uid="{00000000-0004-0000-0000-00000A040000}"/>
    <hyperlink ref="B649" r:id="rId503" xr:uid="{00000000-0004-0000-0000-00000C040000}"/>
    <hyperlink ref="B650" r:id="rId504" xr:uid="{00000000-0004-0000-0000-00000E040000}"/>
    <hyperlink ref="B651" r:id="rId505" xr:uid="{00000000-0004-0000-0000-000010040000}"/>
    <hyperlink ref="B652" r:id="rId506" xr:uid="{00000000-0004-0000-0000-000012040000}"/>
    <hyperlink ref="B653" r:id="rId507" xr:uid="{00000000-0004-0000-0000-000014040000}"/>
    <hyperlink ref="B655" r:id="rId508" xr:uid="{00000000-0004-0000-0000-000016040000}"/>
    <hyperlink ref="B656" r:id="rId509" xr:uid="{00000000-0004-0000-0000-000018040000}"/>
    <hyperlink ref="B657" r:id="rId510" xr:uid="{00000000-0004-0000-0000-00001A040000}"/>
    <hyperlink ref="B659" r:id="rId511" xr:uid="{00000000-0004-0000-0000-00001C040000}"/>
    <hyperlink ref="B661" r:id="rId512" xr:uid="{00000000-0004-0000-0000-00001E040000}"/>
    <hyperlink ref="B662" r:id="rId513" xr:uid="{00000000-0004-0000-0000-000020040000}"/>
    <hyperlink ref="B663" r:id="rId514" xr:uid="{00000000-0004-0000-0000-000022040000}"/>
    <hyperlink ref="B664" r:id="rId515" xr:uid="{00000000-0004-0000-0000-000024040000}"/>
    <hyperlink ref="B666" r:id="rId516" xr:uid="{00000000-0004-0000-0000-000026040000}"/>
    <hyperlink ref="B667" r:id="rId517" xr:uid="{00000000-0004-0000-0000-000028040000}"/>
    <hyperlink ref="B668" r:id="rId518" xr:uid="{00000000-0004-0000-0000-00002A040000}"/>
    <hyperlink ref="B669" r:id="rId519" xr:uid="{00000000-0004-0000-0000-00002C040000}"/>
    <hyperlink ref="B670" r:id="rId520" xr:uid="{00000000-0004-0000-0000-00002E040000}"/>
    <hyperlink ref="B672" r:id="rId521" xr:uid="{00000000-0004-0000-0000-000030040000}"/>
    <hyperlink ref="B675" r:id="rId522" location="slide=id.p" xr:uid="{00000000-0004-0000-0000-000032040000}"/>
    <hyperlink ref="B676" r:id="rId523" xr:uid="{00000000-0004-0000-0000-000034040000}"/>
    <hyperlink ref="B677" r:id="rId524" xr:uid="{00000000-0004-0000-0000-000036040000}"/>
    <hyperlink ref="B678" r:id="rId525" xr:uid="{00000000-0004-0000-0000-000038040000}"/>
    <hyperlink ref="B679" r:id="rId526" xr:uid="{00000000-0004-0000-0000-00003A040000}"/>
    <hyperlink ref="B680" r:id="rId527" xr:uid="{00000000-0004-0000-0000-00003C040000}"/>
    <hyperlink ref="B682" r:id="rId528" xr:uid="{00000000-0004-0000-0000-00003E040000}"/>
    <hyperlink ref="B684" r:id="rId529" xr:uid="{00000000-0004-0000-0000-000040040000}"/>
    <hyperlink ref="B688" r:id="rId530" xr:uid="{00000000-0004-0000-0000-000042040000}"/>
    <hyperlink ref="C688" r:id="rId531" xr:uid="{00000000-0004-0000-0000-000043040000}"/>
    <hyperlink ref="B690" r:id="rId532" xr:uid="{00000000-0004-0000-0000-000045040000}"/>
    <hyperlink ref="B691" r:id="rId533" xr:uid="{00000000-0004-0000-0000-000047040000}"/>
    <hyperlink ref="B692" r:id="rId534" xr:uid="{00000000-0004-0000-0000-000048040000}"/>
    <hyperlink ref="B694" r:id="rId535" xr:uid="{00000000-0004-0000-0000-00004A040000}"/>
    <hyperlink ref="B695" r:id="rId536" xr:uid="{00000000-0004-0000-0000-00004C040000}"/>
    <hyperlink ref="B696" r:id="rId537" xr:uid="{00000000-0004-0000-0000-00004E040000}"/>
    <hyperlink ref="B697" r:id="rId538" xr:uid="{00000000-0004-0000-0000-000050040000}"/>
    <hyperlink ref="B698" r:id="rId539" xr:uid="{00000000-0004-0000-0000-000052040000}"/>
    <hyperlink ref="B699" r:id="rId540" xr:uid="{00000000-0004-0000-0000-000054040000}"/>
    <hyperlink ref="B700" r:id="rId541" xr:uid="{00000000-0004-0000-0000-000056040000}"/>
    <hyperlink ref="B701" r:id="rId542" xr:uid="{00000000-0004-0000-0000-000058040000}"/>
    <hyperlink ref="B702" r:id="rId543" xr:uid="{00000000-0004-0000-0000-00005A040000}"/>
    <hyperlink ref="C702" r:id="rId544" xr:uid="{00000000-0004-0000-0000-00005B040000}"/>
    <hyperlink ref="B705" r:id="rId545" xr:uid="{00000000-0004-0000-0000-00005E040000}"/>
    <hyperlink ref="B706" r:id="rId546" xr:uid="{00000000-0004-0000-0000-00005F040000}"/>
    <hyperlink ref="B707" r:id="rId547" xr:uid="{00000000-0004-0000-0000-000061040000}"/>
    <hyperlink ref="B708" r:id="rId548" xr:uid="{00000000-0004-0000-0000-000063040000}"/>
    <hyperlink ref="B709" r:id="rId549" xr:uid="{00000000-0004-0000-0000-000065040000}"/>
    <hyperlink ref="B710" r:id="rId550" xr:uid="{00000000-0004-0000-0000-000067040000}"/>
    <hyperlink ref="B711" r:id="rId551" xr:uid="{00000000-0004-0000-0000-000069040000}"/>
    <hyperlink ref="B712" r:id="rId552" xr:uid="{00000000-0004-0000-0000-00006B040000}"/>
    <hyperlink ref="B713" r:id="rId553" xr:uid="{00000000-0004-0000-0000-00006D040000}"/>
    <hyperlink ref="B714" r:id="rId554" xr:uid="{00000000-0004-0000-0000-00006E040000}"/>
    <hyperlink ref="B715" r:id="rId555" xr:uid="{00000000-0004-0000-0000-000070040000}"/>
    <hyperlink ref="B716" r:id="rId556" xr:uid="{00000000-0004-0000-0000-000072040000}"/>
    <hyperlink ref="B717" r:id="rId557" xr:uid="{00000000-0004-0000-0000-000074040000}"/>
    <hyperlink ref="B718" r:id="rId558" xr:uid="{00000000-0004-0000-0000-000076040000}"/>
    <hyperlink ref="B719" r:id="rId559" xr:uid="{00000000-0004-0000-0000-000078040000}"/>
    <hyperlink ref="B720" r:id="rId560" xr:uid="{00000000-0004-0000-0000-00007A040000}"/>
    <hyperlink ref="B721" r:id="rId561" xr:uid="{00000000-0004-0000-0000-00007C040000}"/>
    <hyperlink ref="B722" r:id="rId562" xr:uid="{00000000-0004-0000-0000-00007E040000}"/>
    <hyperlink ref="B723" r:id="rId563" xr:uid="{00000000-0004-0000-0000-000080040000}"/>
    <hyperlink ref="B724" r:id="rId564" xr:uid="{00000000-0004-0000-0000-000082040000}"/>
    <hyperlink ref="B726" r:id="rId565" xr:uid="{00000000-0004-0000-0000-000084040000}"/>
    <hyperlink ref="B727" r:id="rId566" xr:uid="{00000000-0004-0000-0000-000086040000}"/>
    <hyperlink ref="B728" r:id="rId567" xr:uid="{00000000-0004-0000-0000-000088040000}"/>
    <hyperlink ref="B729" r:id="rId568" xr:uid="{00000000-0004-0000-0000-00008A040000}"/>
    <hyperlink ref="B730" r:id="rId569" xr:uid="{00000000-0004-0000-0000-00008C040000}"/>
    <hyperlink ref="B731" r:id="rId570" xr:uid="{00000000-0004-0000-0000-00008E040000}"/>
    <hyperlink ref="B732" r:id="rId571" location="slide=id.p" xr:uid="{00000000-0004-0000-0000-000090040000}"/>
    <hyperlink ref="B733" r:id="rId572" xr:uid="{00000000-0004-0000-0000-000092040000}"/>
    <hyperlink ref="B734" r:id="rId573" xr:uid="{00000000-0004-0000-0000-000094040000}"/>
    <hyperlink ref="B735" r:id="rId574" xr:uid="{00000000-0004-0000-0000-000096040000}"/>
    <hyperlink ref="B736" r:id="rId575" location="slide=id.g18011cc932d_0_249" xr:uid="{00000000-0004-0000-0000-000098040000}"/>
    <hyperlink ref="B737" r:id="rId576" xr:uid="{00000000-0004-0000-0000-00009A040000}"/>
    <hyperlink ref="B738" r:id="rId577" xr:uid="{00000000-0004-0000-0000-00009C040000}"/>
    <hyperlink ref="B739" r:id="rId578" xr:uid="{00000000-0004-0000-0000-00009E040000}"/>
    <hyperlink ref="B740" r:id="rId579" xr:uid="{00000000-0004-0000-0000-0000A0040000}"/>
    <hyperlink ref="B741" r:id="rId580" xr:uid="{00000000-0004-0000-0000-0000A2040000}"/>
    <hyperlink ref="B742" r:id="rId581" xr:uid="{00000000-0004-0000-0000-0000A4040000}"/>
    <hyperlink ref="B743" r:id="rId582" xr:uid="{00000000-0004-0000-0000-0000A6040000}"/>
    <hyperlink ref="B745" r:id="rId583" xr:uid="{00000000-0004-0000-0000-0000A9040000}"/>
    <hyperlink ref="B746" r:id="rId584" xr:uid="{00000000-0004-0000-0000-0000AB040000}"/>
    <hyperlink ref="B747" r:id="rId585" xr:uid="{00000000-0004-0000-0000-0000AD040000}"/>
    <hyperlink ref="B748" r:id="rId586" xr:uid="{00000000-0004-0000-0000-0000AF040000}"/>
    <hyperlink ref="B749" r:id="rId587" xr:uid="{00000000-0004-0000-0000-0000B1040000}"/>
    <hyperlink ref="B750" r:id="rId588" xr:uid="{00000000-0004-0000-0000-0000B3040000}"/>
    <hyperlink ref="B751" r:id="rId589" xr:uid="{00000000-0004-0000-0000-0000B5040000}"/>
    <hyperlink ref="B752" r:id="rId590" xr:uid="{00000000-0004-0000-0000-0000B6040000}"/>
    <hyperlink ref="B753" r:id="rId591" xr:uid="{00000000-0004-0000-0000-0000B8040000}"/>
    <hyperlink ref="B754" r:id="rId592" xr:uid="{00000000-0004-0000-0000-0000BA040000}"/>
    <hyperlink ref="B755" r:id="rId593" xr:uid="{00000000-0004-0000-0000-0000BC040000}"/>
    <hyperlink ref="B756" r:id="rId594" xr:uid="{00000000-0004-0000-0000-0000BE040000}"/>
    <hyperlink ref="B757" r:id="rId595" xr:uid="{00000000-0004-0000-0000-0000C0040000}"/>
    <hyperlink ref="B758" r:id="rId596" xr:uid="{00000000-0004-0000-0000-0000C2040000}"/>
    <hyperlink ref="B759" r:id="rId597" xr:uid="{00000000-0004-0000-0000-0000C4040000}"/>
    <hyperlink ref="B760" r:id="rId598" xr:uid="{00000000-0004-0000-0000-0000C6040000}"/>
    <hyperlink ref="B761" r:id="rId599" xr:uid="{00000000-0004-0000-0000-0000C8040000}"/>
    <hyperlink ref="B762" r:id="rId600" xr:uid="{00000000-0004-0000-0000-0000CA040000}"/>
    <hyperlink ref="B763" r:id="rId601" xr:uid="{00000000-0004-0000-0000-0000CC040000}"/>
    <hyperlink ref="B764" r:id="rId602" xr:uid="{00000000-0004-0000-0000-0000CE040000}"/>
    <hyperlink ref="B765" r:id="rId603" xr:uid="{00000000-0004-0000-0000-0000D0040000}"/>
    <hyperlink ref="B766" r:id="rId604" xr:uid="{00000000-0004-0000-0000-0000D2040000}"/>
    <hyperlink ref="B767" r:id="rId605" xr:uid="{00000000-0004-0000-0000-0000D4040000}"/>
    <hyperlink ref="B768" r:id="rId606" xr:uid="{00000000-0004-0000-0000-0000D6040000}"/>
    <hyperlink ref="B769" r:id="rId607" xr:uid="{00000000-0004-0000-0000-0000D8040000}"/>
    <hyperlink ref="B770" r:id="rId608" xr:uid="{00000000-0004-0000-0000-0000DA040000}"/>
    <hyperlink ref="B771" r:id="rId609" xr:uid="{00000000-0004-0000-0000-0000DC040000}"/>
    <hyperlink ref="B772" r:id="rId610" xr:uid="{00000000-0004-0000-0000-0000DE040000}"/>
    <hyperlink ref="B773" r:id="rId611" xr:uid="{00000000-0004-0000-0000-0000E0040000}"/>
    <hyperlink ref="B774" r:id="rId612" xr:uid="{00000000-0004-0000-0000-0000E2040000}"/>
    <hyperlink ref="B775" r:id="rId613" xr:uid="{00000000-0004-0000-0000-0000E4040000}"/>
    <hyperlink ref="B776" r:id="rId614" xr:uid="{00000000-0004-0000-0000-0000E6040000}"/>
    <hyperlink ref="B777" r:id="rId615" xr:uid="{00000000-0004-0000-0000-0000E8040000}"/>
    <hyperlink ref="B778" r:id="rId616" xr:uid="{00000000-0004-0000-0000-0000EA040000}"/>
    <hyperlink ref="B779" r:id="rId617" xr:uid="{00000000-0004-0000-0000-0000EC040000}"/>
    <hyperlink ref="B780" r:id="rId618" xr:uid="{00000000-0004-0000-0000-0000EE040000}"/>
    <hyperlink ref="B781" r:id="rId619" xr:uid="{00000000-0004-0000-0000-0000F0040000}"/>
    <hyperlink ref="B782" r:id="rId620" xr:uid="{00000000-0004-0000-0000-0000F2040000}"/>
    <hyperlink ref="B783" r:id="rId621" xr:uid="{00000000-0004-0000-0000-0000F4040000}"/>
    <hyperlink ref="B784" r:id="rId622" xr:uid="{00000000-0004-0000-0000-0000F6040000}"/>
    <hyperlink ref="B785" r:id="rId623" xr:uid="{00000000-0004-0000-0000-0000F8040000}"/>
    <hyperlink ref="B786" r:id="rId624" xr:uid="{00000000-0004-0000-0000-0000FA040000}"/>
    <hyperlink ref="B787" r:id="rId625" xr:uid="{00000000-0004-0000-0000-0000FC040000}"/>
    <hyperlink ref="B788" r:id="rId626" xr:uid="{00000000-0004-0000-0000-0000FE040000}"/>
    <hyperlink ref="B789" r:id="rId627" xr:uid="{00000000-0004-0000-0000-000000050000}"/>
    <hyperlink ref="B790" r:id="rId628" xr:uid="{00000000-0004-0000-0000-000002050000}"/>
    <hyperlink ref="B791" r:id="rId629" xr:uid="{00000000-0004-0000-0000-000004050000}"/>
    <hyperlink ref="B792" r:id="rId630" xr:uid="{00000000-0004-0000-0000-000006050000}"/>
    <hyperlink ref="B793" r:id="rId631" xr:uid="{00000000-0004-0000-0000-000008050000}"/>
    <hyperlink ref="B794" r:id="rId632" xr:uid="{00000000-0004-0000-0000-00000A050000}"/>
    <hyperlink ref="B795" r:id="rId633" xr:uid="{00000000-0004-0000-0000-00000C050000}"/>
    <hyperlink ref="B796" r:id="rId634" xr:uid="{00000000-0004-0000-0000-00000E050000}"/>
    <hyperlink ref="B797" r:id="rId635" xr:uid="{00000000-0004-0000-0000-000010050000}"/>
    <hyperlink ref="B798" r:id="rId636" xr:uid="{00000000-0004-0000-0000-000012050000}"/>
    <hyperlink ref="B799" r:id="rId637" xr:uid="{00000000-0004-0000-0000-000014050000}"/>
    <hyperlink ref="B800" r:id="rId638" xr:uid="{00000000-0004-0000-0000-000016050000}"/>
    <hyperlink ref="B801" r:id="rId639" xr:uid="{00000000-0004-0000-0000-000018050000}"/>
    <hyperlink ref="B803" r:id="rId640" xr:uid="{00000000-0004-0000-0000-00001B050000}"/>
    <hyperlink ref="B804" r:id="rId641" xr:uid="{00000000-0004-0000-0000-00001D050000}"/>
    <hyperlink ref="B805" r:id="rId642" xr:uid="{00000000-0004-0000-0000-00001F050000}"/>
    <hyperlink ref="B806" r:id="rId643" xr:uid="{00000000-0004-0000-0000-000021050000}"/>
    <hyperlink ref="B807" r:id="rId644" xr:uid="{00000000-0004-0000-0000-000023050000}"/>
    <hyperlink ref="B808" r:id="rId645" xr:uid="{00000000-0004-0000-0000-000025050000}"/>
    <hyperlink ref="B809" r:id="rId646" xr:uid="{00000000-0004-0000-0000-000027050000}"/>
    <hyperlink ref="B810" r:id="rId647" xr:uid="{00000000-0004-0000-0000-000029050000}"/>
    <hyperlink ref="B811" r:id="rId648" xr:uid="{00000000-0004-0000-0000-00002B050000}"/>
    <hyperlink ref="B812" r:id="rId649" xr:uid="{00000000-0004-0000-0000-00002D050000}"/>
    <hyperlink ref="B813" r:id="rId650" xr:uid="{00000000-0004-0000-0000-00002F050000}"/>
    <hyperlink ref="B814" r:id="rId651" xr:uid="{00000000-0004-0000-0000-000031050000}"/>
    <hyperlink ref="B815" r:id="rId652" xr:uid="{00000000-0004-0000-0000-000033050000}"/>
    <hyperlink ref="B816" r:id="rId653" xr:uid="{00000000-0004-0000-0000-000035050000}"/>
    <hyperlink ref="B817" r:id="rId654" xr:uid="{00000000-0004-0000-0000-000037050000}"/>
    <hyperlink ref="B818" r:id="rId655" xr:uid="{00000000-0004-0000-0000-000039050000}"/>
    <hyperlink ref="B819" r:id="rId656" xr:uid="{00000000-0004-0000-0000-00003B050000}"/>
    <hyperlink ref="B820" r:id="rId657" xr:uid="{00000000-0004-0000-0000-00003D050000}"/>
    <hyperlink ref="B821" r:id="rId658" xr:uid="{00000000-0004-0000-0000-00003F050000}"/>
    <hyperlink ref="B822" r:id="rId659" xr:uid="{00000000-0004-0000-0000-000041050000}"/>
    <hyperlink ref="B823" r:id="rId660" xr:uid="{00000000-0004-0000-0000-000043050000}"/>
    <hyperlink ref="B824" r:id="rId661" xr:uid="{00000000-0004-0000-0000-000045050000}"/>
    <hyperlink ref="B825" r:id="rId662" xr:uid="{00000000-0004-0000-0000-000047050000}"/>
    <hyperlink ref="B826" r:id="rId663" xr:uid="{00000000-0004-0000-0000-000049050000}"/>
    <hyperlink ref="B827" r:id="rId664" xr:uid="{00000000-0004-0000-0000-00004B050000}"/>
    <hyperlink ref="B828" r:id="rId665" xr:uid="{00000000-0004-0000-0000-00004D050000}"/>
    <hyperlink ref="B829" r:id="rId666" xr:uid="{00000000-0004-0000-0000-00004F050000}"/>
    <hyperlink ref="B830" r:id="rId667" xr:uid="{00000000-0004-0000-0000-000051050000}"/>
    <hyperlink ref="B831" r:id="rId668" xr:uid="{00000000-0004-0000-0000-000053050000}"/>
    <hyperlink ref="B832" r:id="rId669" xr:uid="{00000000-0004-0000-0000-000055050000}"/>
    <hyperlink ref="B833" r:id="rId670" xr:uid="{00000000-0004-0000-0000-000057050000}"/>
    <hyperlink ref="B834" r:id="rId671" xr:uid="{00000000-0004-0000-0000-000059050000}"/>
    <hyperlink ref="B835" r:id="rId672" xr:uid="{00000000-0004-0000-0000-00005B050000}"/>
    <hyperlink ref="B836" r:id="rId673" xr:uid="{00000000-0004-0000-0000-00005D050000}"/>
    <hyperlink ref="B837" r:id="rId674" xr:uid="{00000000-0004-0000-0000-00005F050000}"/>
    <hyperlink ref="B838" r:id="rId675" xr:uid="{00000000-0004-0000-0000-000061050000}"/>
    <hyperlink ref="B839" r:id="rId676" xr:uid="{00000000-0004-0000-0000-000063050000}"/>
    <hyperlink ref="B840" r:id="rId677" xr:uid="{00000000-0004-0000-0000-000065050000}"/>
    <hyperlink ref="B841" r:id="rId678" xr:uid="{00000000-0004-0000-0000-000067050000}"/>
    <hyperlink ref="B842" r:id="rId679" xr:uid="{00000000-0004-0000-0000-000069050000}"/>
    <hyperlink ref="B843" r:id="rId680" xr:uid="{00000000-0004-0000-0000-00006B050000}"/>
    <hyperlink ref="B844" r:id="rId681" xr:uid="{00000000-0004-0000-0000-00006D050000}"/>
    <hyperlink ref="B845" r:id="rId682" xr:uid="{00000000-0004-0000-0000-00006F050000}"/>
    <hyperlink ref="B846" r:id="rId683" xr:uid="{00000000-0004-0000-0000-000071050000}"/>
    <hyperlink ref="B847" r:id="rId684" xr:uid="{00000000-0004-0000-0000-000073050000}"/>
    <hyperlink ref="B848" r:id="rId685" xr:uid="{00000000-0004-0000-0000-000075050000}"/>
    <hyperlink ref="B849" r:id="rId686" xr:uid="{00000000-0004-0000-0000-000077050000}"/>
    <hyperlink ref="B850" r:id="rId687" xr:uid="{00000000-0004-0000-0000-000079050000}"/>
    <hyperlink ref="B851" r:id="rId688" xr:uid="{00000000-0004-0000-0000-00007B050000}"/>
    <hyperlink ref="B852" r:id="rId689" xr:uid="{00000000-0004-0000-0000-00007D050000}"/>
    <hyperlink ref="B853" r:id="rId690" xr:uid="{00000000-0004-0000-0000-00007F050000}"/>
    <hyperlink ref="B854" r:id="rId691" xr:uid="{00000000-0004-0000-0000-000081050000}"/>
    <hyperlink ref="B855" r:id="rId692" xr:uid="{00000000-0004-0000-0000-000083050000}"/>
    <hyperlink ref="B856" r:id="rId693" xr:uid="{00000000-0004-0000-0000-000085050000}"/>
    <hyperlink ref="B857" r:id="rId694" xr:uid="{00000000-0004-0000-0000-000087050000}"/>
    <hyperlink ref="B858" r:id="rId695" location="slide=id.g73d00c8b48a4e321_0" xr:uid="{00000000-0004-0000-0000-000089050000}"/>
    <hyperlink ref="B859" r:id="rId696" xr:uid="{00000000-0004-0000-0000-00008B050000}"/>
    <hyperlink ref="B860" r:id="rId697" xr:uid="{00000000-0004-0000-0000-00008D050000}"/>
    <hyperlink ref="B861" r:id="rId698" xr:uid="{00000000-0004-0000-0000-00008F050000}"/>
    <hyperlink ref="B862" r:id="rId699" xr:uid="{00000000-0004-0000-0000-000090050000}"/>
    <hyperlink ref="B863" r:id="rId700" xr:uid="{00000000-0004-0000-0000-000092050000}"/>
    <hyperlink ref="B864" r:id="rId701" xr:uid="{00000000-0004-0000-0000-000094050000}"/>
    <hyperlink ref="B865" r:id="rId702" xr:uid="{00000000-0004-0000-0000-000096050000}"/>
    <hyperlink ref="B866" r:id="rId703" xr:uid="{00000000-0004-0000-0000-000098050000}"/>
    <hyperlink ref="B867" r:id="rId704" xr:uid="{00000000-0004-0000-0000-00009A050000}"/>
    <hyperlink ref="B868" r:id="rId705" xr:uid="{00000000-0004-0000-0000-00009C050000}"/>
    <hyperlink ref="B869" r:id="rId706" xr:uid="{00000000-0004-0000-0000-00009E050000}"/>
    <hyperlink ref="D869" r:id="rId707" xr:uid="{00000000-0004-0000-0000-00009F050000}"/>
    <hyperlink ref="B870" r:id="rId708" xr:uid="{00000000-0004-0000-0000-0000A1050000}"/>
    <hyperlink ref="B871" r:id="rId709" xr:uid="{00000000-0004-0000-0000-0000A3050000}"/>
    <hyperlink ref="B872" r:id="rId710" xr:uid="{00000000-0004-0000-0000-0000A5050000}"/>
    <hyperlink ref="B873" r:id="rId711" xr:uid="{00000000-0004-0000-0000-0000A6050000}"/>
    <hyperlink ref="B874" r:id="rId712" xr:uid="{00000000-0004-0000-0000-0000A8050000}"/>
    <hyperlink ref="B875" r:id="rId713" xr:uid="{00000000-0004-0000-0000-0000AA050000}"/>
    <hyperlink ref="B876" r:id="rId714" xr:uid="{00000000-0004-0000-0000-0000AC050000}"/>
    <hyperlink ref="B877" r:id="rId715" xr:uid="{00000000-0004-0000-0000-0000AE050000}"/>
    <hyperlink ref="B878" r:id="rId716" xr:uid="{00000000-0004-0000-0000-0000B0050000}"/>
    <hyperlink ref="B879" r:id="rId717" xr:uid="{00000000-0004-0000-0000-0000B2050000}"/>
    <hyperlink ref="B880" r:id="rId718" xr:uid="{00000000-0004-0000-0000-0000B4050000}"/>
    <hyperlink ref="B881" r:id="rId719" xr:uid="{00000000-0004-0000-0000-0000B6050000}"/>
    <hyperlink ref="B882" r:id="rId720" xr:uid="{00000000-0004-0000-0000-0000B8050000}"/>
    <hyperlink ref="B883" r:id="rId721" xr:uid="{00000000-0004-0000-0000-0000BA050000}"/>
    <hyperlink ref="B884" r:id="rId722" xr:uid="{00000000-0004-0000-0000-0000BC050000}"/>
    <hyperlink ref="B885" r:id="rId723" xr:uid="{00000000-0004-0000-0000-0000BE050000}"/>
    <hyperlink ref="B886" r:id="rId724" xr:uid="{00000000-0004-0000-0000-0000C0050000}"/>
    <hyperlink ref="B887" r:id="rId725" xr:uid="{00000000-0004-0000-0000-0000C2050000}"/>
    <hyperlink ref="B888" r:id="rId726" xr:uid="{00000000-0004-0000-0000-0000C4050000}"/>
    <hyperlink ref="B889" r:id="rId727" xr:uid="{00000000-0004-0000-0000-0000C6050000}"/>
    <hyperlink ref="B890" r:id="rId728" xr:uid="{00000000-0004-0000-0000-0000C8050000}"/>
    <hyperlink ref="B891" r:id="rId729" xr:uid="{00000000-0004-0000-0000-0000CA050000}"/>
    <hyperlink ref="B892" r:id="rId730" xr:uid="{00000000-0004-0000-0000-0000CC050000}"/>
    <hyperlink ref="B893" r:id="rId731" xr:uid="{00000000-0004-0000-0000-0000CE050000}"/>
    <hyperlink ref="B894" r:id="rId732" xr:uid="{00000000-0004-0000-0000-0000D0050000}"/>
    <hyperlink ref="B895" r:id="rId733" xr:uid="{00000000-0004-0000-0000-0000D2050000}"/>
    <hyperlink ref="B896" r:id="rId734" xr:uid="{00000000-0004-0000-0000-0000D4050000}"/>
    <hyperlink ref="B897" r:id="rId735" xr:uid="{00000000-0004-0000-0000-0000D6050000}"/>
    <hyperlink ref="B898" r:id="rId736" xr:uid="{00000000-0004-0000-0000-0000D8050000}"/>
    <hyperlink ref="B899" r:id="rId737" xr:uid="{00000000-0004-0000-0000-0000DA050000}"/>
    <hyperlink ref="B900" r:id="rId738" xr:uid="{00000000-0004-0000-0000-0000DC050000}"/>
    <hyperlink ref="B901" r:id="rId739" xr:uid="{00000000-0004-0000-0000-0000DE050000}"/>
    <hyperlink ref="B902" r:id="rId740" xr:uid="{00000000-0004-0000-0000-0000E0050000}"/>
    <hyperlink ref="B903" r:id="rId741" xr:uid="{00000000-0004-0000-0000-0000E2050000}"/>
    <hyperlink ref="B904" r:id="rId742" xr:uid="{00000000-0004-0000-0000-0000E4050000}"/>
    <hyperlink ref="B905" r:id="rId743" xr:uid="{00000000-0004-0000-0000-0000E6050000}"/>
    <hyperlink ref="B906" r:id="rId744" xr:uid="{00000000-0004-0000-0000-0000E8050000}"/>
    <hyperlink ref="B907" r:id="rId745" xr:uid="{00000000-0004-0000-0000-0000EA050000}"/>
    <hyperlink ref="B908" r:id="rId746" xr:uid="{00000000-0004-0000-0000-0000EC050000}"/>
    <hyperlink ref="B909" r:id="rId747" xr:uid="{00000000-0004-0000-0000-0000EE050000}"/>
    <hyperlink ref="B910" r:id="rId748" xr:uid="{00000000-0004-0000-0000-0000F0050000}"/>
    <hyperlink ref="B911" r:id="rId749" xr:uid="{00000000-0004-0000-0000-0000F2050000}"/>
    <hyperlink ref="B912" r:id="rId750" xr:uid="{00000000-0004-0000-0000-0000F4050000}"/>
    <hyperlink ref="B915" r:id="rId751" xr:uid="{00000000-0004-0000-0000-0000F8050000}"/>
    <hyperlink ref="B916" r:id="rId752" xr:uid="{00000000-0004-0000-0000-0000FA050000}"/>
    <hyperlink ref="B917" r:id="rId753" xr:uid="{00000000-0004-0000-0000-0000FC050000}"/>
    <hyperlink ref="B918" r:id="rId754" xr:uid="{00000000-0004-0000-0000-0000FE050000}"/>
    <hyperlink ref="B919" r:id="rId755" xr:uid="{00000000-0004-0000-0000-0000FF050000}"/>
    <hyperlink ref="B920" r:id="rId756" xr:uid="{00000000-0004-0000-0000-000001060000}"/>
    <hyperlink ref="B921" r:id="rId757" xr:uid="{00000000-0004-0000-0000-000003060000}"/>
    <hyperlink ref="B922" r:id="rId758" xr:uid="{00000000-0004-0000-0000-000005060000}"/>
    <hyperlink ref="B923" r:id="rId759" xr:uid="{00000000-0004-0000-0000-000007060000}"/>
    <hyperlink ref="B924" r:id="rId760" xr:uid="{00000000-0004-0000-0000-000009060000}"/>
    <hyperlink ref="B925" r:id="rId761" xr:uid="{00000000-0004-0000-0000-00000B060000}"/>
    <hyperlink ref="B926" r:id="rId762" xr:uid="{00000000-0004-0000-0000-00000D060000}"/>
    <hyperlink ref="B927" r:id="rId763" xr:uid="{00000000-0004-0000-0000-00000F060000}"/>
    <hyperlink ref="B928" r:id="rId764" xr:uid="{00000000-0004-0000-0000-000011060000}"/>
    <hyperlink ref="B929" r:id="rId765" xr:uid="{00000000-0004-0000-0000-000013060000}"/>
    <hyperlink ref="B930" r:id="rId766" xr:uid="{00000000-0004-0000-0000-000015060000}"/>
    <hyperlink ref="B931" r:id="rId767" xr:uid="{00000000-0004-0000-0000-000016060000}"/>
    <hyperlink ref="B932" r:id="rId768" xr:uid="{00000000-0004-0000-0000-000018060000}"/>
    <hyperlink ref="B933" r:id="rId769" xr:uid="{00000000-0004-0000-0000-00001A060000}"/>
    <hyperlink ref="B934" r:id="rId770" xr:uid="{00000000-0004-0000-0000-00001C060000}"/>
    <hyperlink ref="B935" r:id="rId771" xr:uid="{00000000-0004-0000-0000-00001D060000}"/>
    <hyperlink ref="B936" r:id="rId772" xr:uid="{00000000-0004-0000-0000-00001F060000}"/>
    <hyperlink ref="B937" r:id="rId773" xr:uid="{00000000-0004-0000-0000-000021060000}"/>
    <hyperlink ref="B938" r:id="rId774" xr:uid="{00000000-0004-0000-0000-000022060000}"/>
    <hyperlink ref="B939" r:id="rId775" xr:uid="{00000000-0004-0000-0000-000024060000}"/>
    <hyperlink ref="B940" r:id="rId776" xr:uid="{00000000-0004-0000-0000-000026060000}"/>
    <hyperlink ref="B941" r:id="rId777" xr:uid="{00000000-0004-0000-0000-000027060000}"/>
    <hyperlink ref="B942" r:id="rId778" xr:uid="{00000000-0004-0000-0000-000028060000}"/>
    <hyperlink ref="B943" r:id="rId779" xr:uid="{00000000-0004-0000-0000-000029060000}"/>
    <hyperlink ref="B944" r:id="rId780" xr:uid="{00000000-0004-0000-0000-00002B060000}"/>
    <hyperlink ref="B945" r:id="rId781" xr:uid="{00000000-0004-0000-0000-00002D060000}"/>
    <hyperlink ref="B946" r:id="rId782" xr:uid="{00000000-0004-0000-0000-00002E060000}"/>
    <hyperlink ref="B947" r:id="rId783" xr:uid="{00000000-0004-0000-0000-000030060000}"/>
    <hyperlink ref="B948" r:id="rId784" xr:uid="{00000000-0004-0000-0000-000031060000}"/>
    <hyperlink ref="B950" r:id="rId785" xr:uid="{00000000-0004-0000-0000-000034060000}"/>
    <hyperlink ref="B951" r:id="rId786" xr:uid="{00000000-0004-0000-0000-000036060000}"/>
    <hyperlink ref="B952" r:id="rId787" xr:uid="{00000000-0004-0000-0000-000038060000}"/>
    <hyperlink ref="B953" r:id="rId788" xr:uid="{00000000-0004-0000-0000-00003A060000}"/>
    <hyperlink ref="B954" r:id="rId789" xr:uid="{00000000-0004-0000-0000-00003B060000}"/>
    <hyperlink ref="B955" r:id="rId790" xr:uid="{00000000-0004-0000-0000-00003D060000}"/>
    <hyperlink ref="B956" r:id="rId791" xr:uid="{00000000-0004-0000-0000-00003F060000}"/>
    <hyperlink ref="B957" r:id="rId792" xr:uid="{00000000-0004-0000-0000-000041060000}"/>
    <hyperlink ref="B958" r:id="rId793" xr:uid="{00000000-0004-0000-0000-000043060000}"/>
    <hyperlink ref="B959" r:id="rId794" xr:uid="{00000000-0004-0000-0000-000045060000}"/>
    <hyperlink ref="B960" r:id="rId795" xr:uid="{00000000-0004-0000-0000-000047060000}"/>
    <hyperlink ref="B961" r:id="rId796" xr:uid="{00000000-0004-0000-0000-000049060000}"/>
    <hyperlink ref="B962" r:id="rId797" xr:uid="{00000000-0004-0000-0000-00004B060000}"/>
    <hyperlink ref="B963" r:id="rId798" xr:uid="{00000000-0004-0000-0000-00004C060000}"/>
    <hyperlink ref="B964" r:id="rId799" xr:uid="{00000000-0004-0000-0000-00004E060000}"/>
    <hyperlink ref="B965" r:id="rId800" xr:uid="{00000000-0004-0000-0000-000050060000}"/>
    <hyperlink ref="B966" r:id="rId801" xr:uid="{00000000-0004-0000-0000-000052060000}"/>
    <hyperlink ref="B967" r:id="rId802" xr:uid="{00000000-0004-0000-0000-000054060000}"/>
    <hyperlink ref="B968" r:id="rId803" xr:uid="{00000000-0004-0000-0000-000056060000}"/>
    <hyperlink ref="B969" r:id="rId804" xr:uid="{00000000-0004-0000-0000-000058060000}"/>
    <hyperlink ref="B970" r:id="rId805" xr:uid="{00000000-0004-0000-0000-00005A060000}"/>
    <hyperlink ref="B971" r:id="rId806" xr:uid="{00000000-0004-0000-0000-00005B060000}"/>
    <hyperlink ref="B972" r:id="rId807" xr:uid="{00000000-0004-0000-0000-00005D060000}"/>
    <hyperlink ref="B973" r:id="rId808" xr:uid="{00000000-0004-0000-0000-00005F060000}"/>
    <hyperlink ref="B974" r:id="rId809" xr:uid="{00000000-0004-0000-0000-000061060000}"/>
    <hyperlink ref="B975" r:id="rId810" xr:uid="{00000000-0004-0000-0000-000063060000}"/>
    <hyperlink ref="B976" r:id="rId811" xr:uid="{00000000-0004-0000-0000-000065060000}"/>
    <hyperlink ref="B977" r:id="rId812" xr:uid="{00000000-0004-0000-0000-000067060000}"/>
    <hyperlink ref="B978" r:id="rId813" xr:uid="{00000000-0004-0000-0000-000069060000}"/>
    <hyperlink ref="B979" r:id="rId814" xr:uid="{00000000-0004-0000-0000-00006B060000}"/>
    <hyperlink ref="B981" r:id="rId815" xr:uid="{00000000-0004-0000-0000-00006E060000}"/>
    <hyperlink ref="B982" r:id="rId816" xr:uid="{00000000-0004-0000-0000-00006F060000}"/>
    <hyperlink ref="B983" r:id="rId817" xr:uid="{00000000-0004-0000-0000-000071060000}"/>
    <hyperlink ref="B984" r:id="rId818" xr:uid="{00000000-0004-0000-0000-000073060000}"/>
    <hyperlink ref="B985" r:id="rId819" xr:uid="{00000000-0004-0000-0000-000075060000}"/>
    <hyperlink ref="B986" r:id="rId820" xr:uid="{00000000-0004-0000-0000-000076060000}"/>
    <hyperlink ref="B987" r:id="rId821" xr:uid="{00000000-0004-0000-0000-000078060000}"/>
    <hyperlink ref="B989" r:id="rId822" xr:uid="{00000000-0004-0000-0000-00007A060000}"/>
    <hyperlink ref="B990" r:id="rId823" xr:uid="{00000000-0004-0000-0000-00007C060000}"/>
    <hyperlink ref="B991" r:id="rId824" xr:uid="{00000000-0004-0000-0000-00007E060000}"/>
    <hyperlink ref="B992" r:id="rId825" xr:uid="{00000000-0004-0000-0000-000080060000}"/>
    <hyperlink ref="B993" r:id="rId826" xr:uid="{00000000-0004-0000-0000-000082060000}"/>
    <hyperlink ref="B994" r:id="rId827" xr:uid="{00000000-0004-0000-0000-000084060000}"/>
    <hyperlink ref="B995" r:id="rId828" xr:uid="{00000000-0004-0000-0000-000086060000}"/>
    <hyperlink ref="B996" r:id="rId829" xr:uid="{00000000-0004-0000-0000-000088060000}"/>
    <hyperlink ref="B997" r:id="rId830" xr:uid="{00000000-0004-0000-0000-000089060000}"/>
    <hyperlink ref="B998" r:id="rId831" xr:uid="{00000000-0004-0000-0000-00008A060000}"/>
    <hyperlink ref="B999" r:id="rId832" xr:uid="{00000000-0004-0000-0000-00008B060000}"/>
    <hyperlink ref="B1001" r:id="rId833" xr:uid="{00000000-0004-0000-0000-00008E060000}"/>
    <hyperlink ref="B1003" r:id="rId834" xr:uid="{00000000-0004-0000-0000-000090060000}"/>
    <hyperlink ref="B1004" r:id="rId835" xr:uid="{00000000-0004-0000-0000-000092060000}"/>
    <hyperlink ref="B1005" r:id="rId836" xr:uid="{00000000-0004-0000-0000-000094060000}"/>
    <hyperlink ref="B1006" r:id="rId837" xr:uid="{00000000-0004-0000-0000-000096060000}"/>
    <hyperlink ref="B1007" r:id="rId838" xr:uid="{00000000-0004-0000-0000-000097060000}"/>
    <hyperlink ref="B1008" r:id="rId839" xr:uid="{00000000-0004-0000-0000-000099060000}"/>
    <hyperlink ref="B1009" r:id="rId840" xr:uid="{00000000-0004-0000-0000-00009B060000}"/>
    <hyperlink ref="B1011" r:id="rId841" xr:uid="{00000000-0004-0000-0000-00009C060000}"/>
    <hyperlink ref="B1012" r:id="rId842" xr:uid="{00000000-0004-0000-0000-00009E060000}"/>
    <hyperlink ref="B1013" r:id="rId843" xr:uid="{00000000-0004-0000-0000-0000A0060000}"/>
    <hyperlink ref="B1014" r:id="rId844" xr:uid="{00000000-0004-0000-0000-0000A2060000}"/>
    <hyperlink ref="B1016" r:id="rId845" xr:uid="{00000000-0004-0000-0000-0000A4060000}"/>
    <hyperlink ref="B1017" r:id="rId846" xr:uid="{00000000-0004-0000-0000-0000A6060000}"/>
    <hyperlink ref="C1017" r:id="rId847" xr:uid="{00000000-0004-0000-0000-0000A7060000}"/>
    <hyperlink ref="B1018" r:id="rId848" xr:uid="{00000000-0004-0000-0000-0000A9060000}"/>
    <hyperlink ref="B1019" r:id="rId849" xr:uid="{00000000-0004-0000-0000-0000AB060000}"/>
    <hyperlink ref="B1020" r:id="rId850" xr:uid="{00000000-0004-0000-0000-0000AD060000}"/>
    <hyperlink ref="B1021" r:id="rId851" xr:uid="{00000000-0004-0000-0000-0000AE060000}"/>
    <hyperlink ref="B1022" r:id="rId852" xr:uid="{00000000-0004-0000-0000-0000B0060000}"/>
    <hyperlink ref="B1025" r:id="rId853" xr:uid="{00000000-0004-0000-0000-0000B1060000}"/>
    <hyperlink ref="B1026" r:id="rId854" xr:uid="{00000000-0004-0000-0000-0000B3060000}"/>
    <hyperlink ref="D1032" r:id="rId855" xr:uid="{00000000-0004-0000-0000-0000B7060000}"/>
  </hyperlinks>
  <pageMargins left="0.7" right="0.7" top="0.75" bottom="0.75" header="0.3" footer="0.3"/>
  <legacyDrawing r:id="rId85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6FA8DC"/>
    <outlinePr summaryBelow="0" summaryRight="0"/>
  </sheetPr>
  <dimension ref="A1:AA2012"/>
  <sheetViews>
    <sheetView workbookViewId="0">
      <pane ySplit="1" topLeftCell="A2" activePane="bottomLeft" state="frozen"/>
      <selection pane="bottomLeft" activeCell="B3" sqref="B3"/>
    </sheetView>
  </sheetViews>
  <sheetFormatPr defaultColWidth="12.5703125" defaultRowHeight="15.75" customHeight="1" outlineLevelRow="3"/>
  <cols>
    <col min="1" max="1" width="19.85546875" customWidth="1"/>
    <col min="2" max="2" width="20.140625" customWidth="1"/>
    <col min="3" max="3" width="24.7109375" customWidth="1"/>
    <col min="6" max="6" width="15.42578125" customWidth="1"/>
    <col min="7" max="7" width="35.42578125" customWidth="1"/>
    <col min="8" max="8" width="17.7109375" customWidth="1"/>
    <col min="10" max="10" width="17.5703125" customWidth="1"/>
    <col min="11" max="11" width="28" customWidth="1"/>
  </cols>
  <sheetData>
    <row r="1" spans="1:27" ht="24" customHeight="1">
      <c r="A1" s="200" t="s">
        <v>3369</v>
      </c>
      <c r="B1" s="201" t="s">
        <v>3370</v>
      </c>
      <c r="C1" s="201" t="s">
        <v>7</v>
      </c>
      <c r="D1" s="201" t="s">
        <v>3371</v>
      </c>
      <c r="E1" s="201" t="s">
        <v>3372</v>
      </c>
      <c r="F1" s="201" t="s">
        <v>3373</v>
      </c>
      <c r="G1" s="201" t="s">
        <v>3374</v>
      </c>
      <c r="H1" s="201" t="s">
        <v>3375</v>
      </c>
      <c r="I1" s="201" t="s">
        <v>3376</v>
      </c>
      <c r="J1" s="201" t="s">
        <v>3377</v>
      </c>
      <c r="K1" s="201" t="s">
        <v>3378</v>
      </c>
      <c r="L1" s="201" t="s">
        <v>3379</v>
      </c>
      <c r="M1" s="201" t="s">
        <v>3380</v>
      </c>
      <c r="N1" s="202" t="s">
        <v>3381</v>
      </c>
      <c r="O1" s="201"/>
      <c r="P1" s="201"/>
      <c r="Q1" s="201"/>
      <c r="R1" s="201"/>
      <c r="S1" s="201"/>
      <c r="T1" s="201"/>
      <c r="U1" s="201"/>
      <c r="V1" s="201"/>
      <c r="W1" s="201"/>
      <c r="X1" s="201"/>
      <c r="Y1" s="201"/>
      <c r="Z1" s="201"/>
      <c r="AA1" s="201"/>
    </row>
    <row r="2" spans="1:27" ht="24" customHeight="1" collapsed="1">
      <c r="A2" s="203" t="s">
        <v>3382</v>
      </c>
      <c r="B2" s="203"/>
      <c r="C2" s="16"/>
      <c r="D2" s="16"/>
      <c r="E2" s="204"/>
      <c r="F2" s="16"/>
      <c r="G2" s="205"/>
      <c r="H2" s="205"/>
      <c r="I2" s="16"/>
      <c r="J2" s="16"/>
      <c r="K2" s="205"/>
      <c r="L2" s="16"/>
      <c r="M2" s="16"/>
      <c r="N2" s="16"/>
      <c r="O2" s="16"/>
      <c r="P2" s="16"/>
      <c r="Q2" s="16"/>
      <c r="R2" s="16"/>
      <c r="S2" s="16"/>
      <c r="T2" s="16"/>
      <c r="U2" s="16"/>
      <c r="V2" s="16"/>
      <c r="W2" s="16"/>
      <c r="X2" s="16"/>
      <c r="Y2" s="16"/>
      <c r="Z2" s="16"/>
      <c r="AA2" s="16"/>
    </row>
    <row r="3" spans="1:27" ht="24" hidden="1" customHeight="1" outlineLevel="1" collapsed="1">
      <c r="A3" s="206" t="s">
        <v>1539</v>
      </c>
      <c r="B3" s="178"/>
      <c r="C3" s="178"/>
      <c r="D3" s="178"/>
      <c r="E3" s="207"/>
      <c r="F3" s="178"/>
      <c r="G3" s="208"/>
      <c r="H3" s="208"/>
      <c r="I3" s="178"/>
      <c r="J3" s="178"/>
      <c r="K3" s="208"/>
      <c r="L3" s="178"/>
      <c r="M3" s="178"/>
      <c r="N3" s="178"/>
      <c r="O3" s="178"/>
      <c r="P3" s="178"/>
      <c r="Q3" s="178"/>
      <c r="R3" s="178"/>
      <c r="S3" s="178"/>
      <c r="T3" s="178"/>
      <c r="U3" s="178"/>
      <c r="V3" s="178"/>
      <c r="W3" s="178"/>
      <c r="X3" s="178"/>
      <c r="Y3" s="178"/>
      <c r="Z3" s="178"/>
      <c r="AA3" s="178"/>
    </row>
    <row r="4" spans="1:27" ht="24" hidden="1" customHeight="1" outlineLevel="2">
      <c r="A4" s="209" t="s">
        <v>2245</v>
      </c>
      <c r="B4" s="178" t="s">
        <v>2246</v>
      </c>
      <c r="C4" s="178" t="s">
        <v>2247</v>
      </c>
      <c r="D4" s="178" t="s">
        <v>3383</v>
      </c>
      <c r="E4" s="207">
        <v>44768</v>
      </c>
      <c r="F4" s="178" t="b">
        <v>0</v>
      </c>
      <c r="G4" s="208"/>
      <c r="H4" s="208"/>
      <c r="I4" s="178" t="b">
        <v>1</v>
      </c>
      <c r="J4" s="178" t="s">
        <v>3384</v>
      </c>
      <c r="K4" s="208"/>
      <c r="L4" s="178"/>
      <c r="M4" s="178"/>
      <c r="N4" s="178"/>
      <c r="O4" s="178"/>
      <c r="P4" s="178"/>
      <c r="Q4" s="178"/>
      <c r="R4" s="178"/>
      <c r="S4" s="178"/>
      <c r="T4" s="178"/>
      <c r="U4" s="178"/>
      <c r="V4" s="178"/>
      <c r="W4" s="178"/>
      <c r="X4" s="178"/>
      <c r="Y4" s="178"/>
      <c r="Z4" s="178"/>
      <c r="AA4" s="178"/>
    </row>
    <row r="5" spans="1:27" ht="24" hidden="1" customHeight="1" outlineLevel="2">
      <c r="A5" s="209" t="s">
        <v>854</v>
      </c>
      <c r="B5" s="178" t="s">
        <v>855</v>
      </c>
      <c r="C5" s="178" t="s">
        <v>856</v>
      </c>
      <c r="D5" s="178" t="s">
        <v>12</v>
      </c>
      <c r="E5" s="207">
        <v>44768</v>
      </c>
      <c r="F5" s="178" t="b">
        <v>0</v>
      </c>
      <c r="G5" s="208"/>
      <c r="H5" s="208"/>
      <c r="I5" s="178" t="b">
        <v>1</v>
      </c>
      <c r="J5" s="178" t="s">
        <v>3385</v>
      </c>
      <c r="K5" s="208"/>
      <c r="L5" s="178"/>
      <c r="M5" s="178"/>
      <c r="N5" s="178"/>
      <c r="O5" s="178"/>
      <c r="P5" s="178"/>
      <c r="Q5" s="178"/>
      <c r="R5" s="178"/>
      <c r="S5" s="178"/>
      <c r="T5" s="178"/>
      <c r="U5" s="178"/>
      <c r="V5" s="178"/>
      <c r="W5" s="178"/>
      <c r="X5" s="178"/>
      <c r="Y5" s="178"/>
      <c r="Z5" s="178"/>
      <c r="AA5" s="178"/>
    </row>
    <row r="6" spans="1:27" ht="24" hidden="1" customHeight="1" outlineLevel="2">
      <c r="A6" s="209" t="s">
        <v>834</v>
      </c>
      <c r="B6" s="178" t="s">
        <v>836</v>
      </c>
      <c r="C6" s="178" t="s">
        <v>837</v>
      </c>
      <c r="D6" s="178" t="s">
        <v>12</v>
      </c>
      <c r="E6" s="207">
        <v>44768</v>
      </c>
      <c r="F6" s="178" t="b">
        <v>0</v>
      </c>
      <c r="G6" s="208"/>
      <c r="H6" s="208"/>
      <c r="I6" s="178" t="b">
        <v>1</v>
      </c>
      <c r="J6" s="178" t="s">
        <v>3385</v>
      </c>
      <c r="K6" s="208"/>
      <c r="L6" s="178"/>
      <c r="M6" s="178"/>
      <c r="N6" s="178"/>
      <c r="O6" s="178"/>
      <c r="P6" s="178"/>
      <c r="Q6" s="178"/>
      <c r="R6" s="178"/>
      <c r="S6" s="178"/>
      <c r="T6" s="178"/>
      <c r="U6" s="178"/>
      <c r="V6" s="178"/>
      <c r="W6" s="178"/>
      <c r="X6" s="178"/>
      <c r="Y6" s="178"/>
      <c r="Z6" s="178"/>
      <c r="AA6" s="178"/>
    </row>
    <row r="7" spans="1:27" ht="24" hidden="1" customHeight="1" outlineLevel="2">
      <c r="A7" s="209" t="s">
        <v>1162</v>
      </c>
      <c r="B7" s="178" t="s">
        <v>1164</v>
      </c>
      <c r="C7" s="178" t="s">
        <v>1165</v>
      </c>
      <c r="D7" s="178" t="s">
        <v>12</v>
      </c>
      <c r="E7" s="207">
        <v>44768</v>
      </c>
      <c r="F7" s="178" t="b">
        <v>0</v>
      </c>
      <c r="G7" s="208"/>
      <c r="H7" s="208"/>
      <c r="I7" s="178" t="b">
        <v>1</v>
      </c>
      <c r="J7" s="178" t="s">
        <v>3385</v>
      </c>
      <c r="K7" s="208"/>
      <c r="L7" s="178"/>
      <c r="M7" s="178"/>
      <c r="N7" s="178"/>
      <c r="O7" s="178"/>
      <c r="P7" s="178"/>
      <c r="Q7" s="178"/>
      <c r="R7" s="178"/>
      <c r="S7" s="178"/>
      <c r="T7" s="178"/>
      <c r="U7" s="178"/>
      <c r="V7" s="178"/>
      <c r="W7" s="178"/>
      <c r="X7" s="178"/>
      <c r="Y7" s="178"/>
      <c r="Z7" s="178"/>
      <c r="AA7" s="178"/>
    </row>
    <row r="8" spans="1:27" ht="24" hidden="1" customHeight="1" outlineLevel="2">
      <c r="A8" s="209" t="s">
        <v>1131</v>
      </c>
      <c r="B8" s="178" t="s">
        <v>1133</v>
      </c>
      <c r="C8" s="178" t="s">
        <v>1134</v>
      </c>
      <c r="D8" s="178" t="s">
        <v>12</v>
      </c>
      <c r="E8" s="207">
        <v>44768</v>
      </c>
      <c r="F8" s="178" t="b">
        <v>0</v>
      </c>
      <c r="G8" s="208"/>
      <c r="H8" s="208"/>
      <c r="I8" s="178" t="b">
        <v>1</v>
      </c>
      <c r="J8" s="178" t="s">
        <v>3385</v>
      </c>
      <c r="K8" s="208"/>
      <c r="L8" s="178"/>
      <c r="M8" s="178"/>
      <c r="N8" s="178"/>
      <c r="O8" s="178"/>
      <c r="P8" s="178"/>
      <c r="Q8" s="178"/>
      <c r="R8" s="178"/>
      <c r="S8" s="178"/>
      <c r="T8" s="178"/>
      <c r="U8" s="178"/>
      <c r="V8" s="178"/>
      <c r="W8" s="178"/>
      <c r="X8" s="178"/>
      <c r="Y8" s="178"/>
      <c r="Z8" s="178"/>
      <c r="AA8" s="178"/>
    </row>
    <row r="9" spans="1:27" ht="24" hidden="1" customHeight="1" outlineLevel="2">
      <c r="A9" s="209" t="s">
        <v>548</v>
      </c>
      <c r="B9" s="178" t="s">
        <v>549</v>
      </c>
      <c r="C9" s="178" t="s">
        <v>550</v>
      </c>
      <c r="D9" s="178" t="s">
        <v>12</v>
      </c>
      <c r="E9" s="207">
        <v>44770</v>
      </c>
      <c r="F9" s="178" t="b">
        <v>0</v>
      </c>
      <c r="G9" s="208"/>
      <c r="H9" s="208"/>
      <c r="I9" s="178" t="b">
        <v>1</v>
      </c>
      <c r="J9" s="178" t="s">
        <v>3385</v>
      </c>
      <c r="K9" s="208"/>
      <c r="L9" s="178"/>
      <c r="M9" s="178"/>
      <c r="N9" s="178"/>
      <c r="O9" s="178"/>
      <c r="P9" s="178"/>
      <c r="Q9" s="178"/>
      <c r="R9" s="178"/>
      <c r="S9" s="178"/>
      <c r="T9" s="178"/>
      <c r="U9" s="178"/>
      <c r="V9" s="178"/>
      <c r="W9" s="178"/>
      <c r="X9" s="178"/>
      <c r="Y9" s="178"/>
      <c r="Z9" s="178"/>
      <c r="AA9" s="178"/>
    </row>
    <row r="10" spans="1:27" ht="24" hidden="1" customHeight="1" outlineLevel="2">
      <c r="A10" s="210" t="s">
        <v>682</v>
      </c>
      <c r="B10" s="211" t="s">
        <v>684</v>
      </c>
      <c r="C10" s="211" t="s">
        <v>685</v>
      </c>
      <c r="D10" s="211" t="s">
        <v>12</v>
      </c>
      <c r="E10" s="212">
        <v>44771</v>
      </c>
      <c r="F10" s="211" t="b">
        <v>0</v>
      </c>
      <c r="G10" s="213"/>
      <c r="H10" s="213"/>
      <c r="I10" s="211" t="b">
        <v>1</v>
      </c>
      <c r="J10" s="211" t="s">
        <v>3385</v>
      </c>
      <c r="K10" s="208"/>
      <c r="L10" s="178"/>
      <c r="M10" s="178"/>
      <c r="N10" s="178"/>
      <c r="O10" s="178"/>
      <c r="P10" s="178"/>
      <c r="Q10" s="178"/>
      <c r="R10" s="178"/>
      <c r="S10" s="178"/>
      <c r="T10" s="178"/>
      <c r="U10" s="178"/>
      <c r="V10" s="178"/>
      <c r="W10" s="178"/>
      <c r="X10" s="178"/>
      <c r="Y10" s="178"/>
      <c r="Z10" s="178"/>
      <c r="AA10" s="178"/>
    </row>
    <row r="11" spans="1:27" ht="24" hidden="1" customHeight="1" outlineLevel="2">
      <c r="A11" s="209" t="s">
        <v>3386</v>
      </c>
      <c r="B11" s="178" t="s">
        <v>3387</v>
      </c>
      <c r="C11" s="178" t="s">
        <v>743</v>
      </c>
      <c r="D11" s="178" t="s">
        <v>3388</v>
      </c>
      <c r="E11" s="207">
        <v>44775</v>
      </c>
      <c r="F11" s="178" t="b">
        <v>1</v>
      </c>
      <c r="G11" s="208" t="s">
        <v>3389</v>
      </c>
      <c r="H11" s="208"/>
      <c r="I11" s="178" t="b">
        <v>1</v>
      </c>
      <c r="J11" s="178" t="s">
        <v>3390</v>
      </c>
      <c r="K11" s="208" t="s">
        <v>3391</v>
      </c>
      <c r="L11" s="178" t="b">
        <v>1</v>
      </c>
      <c r="M11" s="178"/>
      <c r="N11" s="178"/>
      <c r="O11" s="178"/>
      <c r="P11" s="178"/>
      <c r="Q11" s="178"/>
      <c r="R11" s="178"/>
      <c r="S11" s="178"/>
      <c r="T11" s="178"/>
      <c r="U11" s="178"/>
      <c r="V11" s="178"/>
      <c r="W11" s="178"/>
      <c r="X11" s="178"/>
      <c r="Y11" s="178"/>
      <c r="Z11" s="178"/>
      <c r="AA11" s="178"/>
    </row>
    <row r="12" spans="1:27" ht="24" hidden="1" customHeight="1" outlineLevel="2">
      <c r="A12" s="209" t="s">
        <v>3392</v>
      </c>
      <c r="B12" s="178" t="s">
        <v>1528</v>
      </c>
      <c r="C12" s="178" t="s">
        <v>1529</v>
      </c>
      <c r="D12" s="178" t="s">
        <v>3388</v>
      </c>
      <c r="E12" s="207">
        <v>44775</v>
      </c>
      <c r="F12" s="178" t="b">
        <v>1</v>
      </c>
      <c r="G12" s="208" t="s">
        <v>3393</v>
      </c>
      <c r="H12" s="208"/>
      <c r="I12" s="178" t="b">
        <v>1</v>
      </c>
      <c r="J12" s="178" t="s">
        <v>3390</v>
      </c>
      <c r="K12" s="214" t="s">
        <v>3391</v>
      </c>
      <c r="L12" s="178" t="b">
        <v>1</v>
      </c>
      <c r="M12" s="178"/>
      <c r="N12" s="178"/>
      <c r="O12" s="178"/>
      <c r="P12" s="178"/>
      <c r="Q12" s="178"/>
      <c r="R12" s="178"/>
      <c r="S12" s="178"/>
      <c r="T12" s="178"/>
      <c r="U12" s="178"/>
      <c r="V12" s="178"/>
      <c r="W12" s="178"/>
      <c r="X12" s="178"/>
      <c r="Y12" s="178"/>
      <c r="Z12" s="178"/>
      <c r="AA12" s="178"/>
    </row>
    <row r="13" spans="1:27" ht="24" hidden="1" customHeight="1" outlineLevel="2">
      <c r="A13" s="209" t="s">
        <v>3394</v>
      </c>
      <c r="B13" s="178" t="s">
        <v>875</v>
      </c>
      <c r="C13" s="178" t="s">
        <v>876</v>
      </c>
      <c r="D13" s="178" t="s">
        <v>3388</v>
      </c>
      <c r="E13" s="207">
        <v>44775</v>
      </c>
      <c r="F13" s="178" t="b">
        <v>0</v>
      </c>
      <c r="G13" s="208" t="s">
        <v>3395</v>
      </c>
      <c r="H13" s="208"/>
      <c r="I13" s="178" t="b">
        <v>1</v>
      </c>
      <c r="J13" s="178" t="s">
        <v>3390</v>
      </c>
      <c r="K13" s="208" t="s">
        <v>3396</v>
      </c>
      <c r="L13" s="178" t="b">
        <v>1</v>
      </c>
      <c r="M13" s="178"/>
      <c r="N13" s="178"/>
      <c r="O13" s="178"/>
      <c r="P13" s="178"/>
      <c r="Q13" s="178"/>
      <c r="R13" s="178"/>
      <c r="S13" s="178"/>
      <c r="T13" s="178"/>
      <c r="U13" s="178"/>
      <c r="V13" s="178"/>
      <c r="W13" s="178"/>
      <c r="X13" s="178"/>
      <c r="Y13" s="178"/>
      <c r="Z13" s="178"/>
      <c r="AA13" s="178"/>
    </row>
    <row r="14" spans="1:27" ht="24" hidden="1" customHeight="1" outlineLevel="2">
      <c r="A14" s="209" t="s">
        <v>2276</v>
      </c>
      <c r="B14" s="178" t="s">
        <v>2277</v>
      </c>
      <c r="C14" s="178" t="s">
        <v>2278</v>
      </c>
      <c r="D14" s="178" t="s">
        <v>11</v>
      </c>
      <c r="E14" s="207">
        <v>44775</v>
      </c>
      <c r="F14" s="178" t="b">
        <v>1</v>
      </c>
      <c r="G14" s="208" t="s">
        <v>3397</v>
      </c>
      <c r="H14" s="208"/>
      <c r="I14" s="178" t="b">
        <v>1</v>
      </c>
      <c r="J14" s="178" t="s">
        <v>3398</v>
      </c>
      <c r="K14" s="208" t="s">
        <v>3391</v>
      </c>
      <c r="L14" s="178" t="b">
        <v>1</v>
      </c>
      <c r="M14" s="178"/>
      <c r="N14" s="178"/>
      <c r="O14" s="178"/>
      <c r="P14" s="178"/>
      <c r="Q14" s="178"/>
      <c r="R14" s="178"/>
      <c r="S14" s="178"/>
      <c r="T14" s="178"/>
      <c r="U14" s="178"/>
      <c r="V14" s="178"/>
      <c r="W14" s="178"/>
      <c r="X14" s="178"/>
      <c r="Y14" s="178"/>
      <c r="Z14" s="178"/>
      <c r="AA14" s="178"/>
    </row>
    <row r="15" spans="1:27" ht="24" hidden="1" customHeight="1" outlineLevel="2">
      <c r="A15" s="209" t="s">
        <v>3399</v>
      </c>
      <c r="B15" s="178" t="s">
        <v>2280</v>
      </c>
      <c r="C15" s="178" t="s">
        <v>2281</v>
      </c>
      <c r="D15" s="178" t="s">
        <v>3388</v>
      </c>
      <c r="E15" s="207">
        <v>44775</v>
      </c>
      <c r="F15" s="178" t="b">
        <v>1</v>
      </c>
      <c r="G15" s="208" t="s">
        <v>3400</v>
      </c>
      <c r="H15" s="208"/>
      <c r="I15" s="178" t="b">
        <v>1</v>
      </c>
      <c r="J15" s="178" t="s">
        <v>3390</v>
      </c>
      <c r="K15" s="208" t="s">
        <v>3391</v>
      </c>
      <c r="L15" s="178" t="b">
        <v>1</v>
      </c>
      <c r="M15" s="178"/>
      <c r="N15" s="178"/>
      <c r="O15" s="178"/>
      <c r="P15" s="178"/>
      <c r="Q15" s="178"/>
      <c r="R15" s="178"/>
      <c r="S15" s="178"/>
      <c r="T15" s="178"/>
      <c r="U15" s="178"/>
      <c r="V15" s="178"/>
      <c r="W15" s="178"/>
      <c r="X15" s="178"/>
      <c r="Y15" s="178"/>
      <c r="Z15" s="178"/>
      <c r="AA15" s="178"/>
    </row>
    <row r="16" spans="1:27" ht="24" hidden="1" customHeight="1" outlineLevel="2">
      <c r="A16" s="209" t="s">
        <v>3401</v>
      </c>
      <c r="B16" s="178" t="s">
        <v>1718</v>
      </c>
      <c r="C16" s="178" t="s">
        <v>1719</v>
      </c>
      <c r="D16" s="178" t="s">
        <v>3388</v>
      </c>
      <c r="E16" s="207">
        <v>44775</v>
      </c>
      <c r="F16" s="178" t="b">
        <v>1</v>
      </c>
      <c r="G16" s="208" t="s">
        <v>3402</v>
      </c>
      <c r="H16" s="208"/>
      <c r="I16" s="178" t="b">
        <v>1</v>
      </c>
      <c r="J16" s="178" t="s">
        <v>3390</v>
      </c>
      <c r="K16" s="208" t="s">
        <v>3391</v>
      </c>
      <c r="L16" s="178" t="b">
        <v>1</v>
      </c>
      <c r="M16" s="178"/>
      <c r="N16" s="178"/>
      <c r="O16" s="178"/>
      <c r="P16" s="178"/>
      <c r="Q16" s="178"/>
      <c r="R16" s="178"/>
      <c r="S16" s="178"/>
      <c r="T16" s="178"/>
      <c r="U16" s="178"/>
      <c r="V16" s="178"/>
      <c r="W16" s="178"/>
      <c r="X16" s="178"/>
      <c r="Y16" s="178"/>
      <c r="Z16" s="178"/>
      <c r="AA16" s="178"/>
    </row>
    <row r="17" spans="1:27" ht="24" hidden="1" customHeight="1" outlineLevel="2">
      <c r="A17" s="209" t="s">
        <v>3403</v>
      </c>
      <c r="B17" s="178" t="s">
        <v>3404</v>
      </c>
      <c r="C17" s="178" t="s">
        <v>467</v>
      </c>
      <c r="D17" s="178" t="s">
        <v>3388</v>
      </c>
      <c r="E17" s="207">
        <v>44775</v>
      </c>
      <c r="F17" s="178" t="b">
        <v>1</v>
      </c>
      <c r="G17" s="208" t="s">
        <v>3405</v>
      </c>
      <c r="H17" s="208"/>
      <c r="I17" s="178" t="b">
        <v>1</v>
      </c>
      <c r="J17" s="178" t="s">
        <v>3390</v>
      </c>
      <c r="K17" s="208" t="s">
        <v>3391</v>
      </c>
      <c r="L17" s="178" t="b">
        <v>1</v>
      </c>
      <c r="M17" s="178"/>
      <c r="N17" s="178"/>
      <c r="O17" s="178"/>
      <c r="P17" s="178"/>
      <c r="Q17" s="178"/>
      <c r="R17" s="178"/>
      <c r="S17" s="178"/>
      <c r="T17" s="178"/>
      <c r="U17" s="178"/>
      <c r="V17" s="178"/>
      <c r="W17" s="178"/>
      <c r="X17" s="178"/>
      <c r="Y17" s="178"/>
      <c r="Z17" s="178"/>
      <c r="AA17" s="178"/>
    </row>
    <row r="18" spans="1:27" ht="24" hidden="1" customHeight="1" outlineLevel="2">
      <c r="A18" s="209" t="s">
        <v>54</v>
      </c>
      <c r="B18" s="178" t="s">
        <v>55</v>
      </c>
      <c r="C18" s="178" t="s">
        <v>56</v>
      </c>
      <c r="D18" s="178" t="s">
        <v>12</v>
      </c>
      <c r="E18" s="207">
        <v>44776</v>
      </c>
      <c r="F18" s="178" t="b">
        <v>1</v>
      </c>
      <c r="G18" s="208" t="s">
        <v>3406</v>
      </c>
      <c r="H18" s="208"/>
      <c r="I18" s="178" t="b">
        <v>1</v>
      </c>
      <c r="J18" s="178" t="s">
        <v>3385</v>
      </c>
      <c r="K18" s="208" t="s">
        <v>3391</v>
      </c>
      <c r="L18" s="178" t="b">
        <v>1</v>
      </c>
      <c r="M18" s="178"/>
      <c r="N18" s="178"/>
      <c r="O18" s="178"/>
      <c r="P18" s="178"/>
      <c r="Q18" s="178"/>
      <c r="R18" s="178"/>
      <c r="S18" s="178"/>
      <c r="T18" s="178"/>
      <c r="U18" s="178"/>
      <c r="V18" s="178"/>
      <c r="W18" s="178"/>
      <c r="X18" s="178"/>
      <c r="Y18" s="178"/>
      <c r="Z18" s="178"/>
      <c r="AA18" s="178"/>
    </row>
    <row r="19" spans="1:27" ht="24" hidden="1" customHeight="1" outlineLevel="1" collapsed="1">
      <c r="A19" s="206" t="s">
        <v>1186</v>
      </c>
      <c r="B19" s="178"/>
      <c r="C19" s="178"/>
      <c r="D19" s="178"/>
      <c r="E19" s="207"/>
      <c r="F19" s="178"/>
      <c r="G19" s="208"/>
      <c r="H19" s="208"/>
      <c r="I19" s="178"/>
      <c r="J19" s="178"/>
      <c r="K19" s="208"/>
      <c r="L19" s="208"/>
      <c r="M19" s="178"/>
      <c r="N19" s="178"/>
      <c r="O19" s="178"/>
      <c r="P19" s="178"/>
      <c r="Q19" s="178"/>
      <c r="R19" s="178"/>
      <c r="S19" s="178"/>
      <c r="T19" s="178"/>
      <c r="U19" s="178"/>
      <c r="V19" s="178"/>
      <c r="W19" s="178"/>
      <c r="X19" s="178"/>
      <c r="Y19" s="178"/>
      <c r="Z19" s="178"/>
      <c r="AA19" s="178"/>
    </row>
    <row r="20" spans="1:27" ht="24" hidden="1" customHeight="1" outlineLevel="2">
      <c r="A20" s="215" t="s">
        <v>3407</v>
      </c>
      <c r="B20" s="216"/>
      <c r="C20" s="216"/>
      <c r="D20" s="216"/>
      <c r="E20" s="217"/>
      <c r="F20" s="216"/>
      <c r="G20" s="218"/>
      <c r="H20" s="218"/>
      <c r="I20" s="216"/>
      <c r="J20" s="216"/>
      <c r="K20" s="218"/>
      <c r="L20" s="218"/>
      <c r="M20" s="216"/>
      <c r="N20" s="216"/>
      <c r="O20" s="216"/>
      <c r="P20" s="216"/>
      <c r="Q20" s="216"/>
      <c r="R20" s="216"/>
      <c r="S20" s="216"/>
      <c r="T20" s="216"/>
      <c r="U20" s="216"/>
      <c r="V20" s="216"/>
      <c r="W20" s="216"/>
      <c r="X20" s="216"/>
      <c r="Y20" s="216"/>
      <c r="Z20" s="216"/>
      <c r="AA20" s="216"/>
    </row>
    <row r="21" spans="1:27" ht="24" hidden="1" customHeight="1" outlineLevel="2">
      <c r="A21" s="219" t="s">
        <v>1392</v>
      </c>
      <c r="B21" s="16" t="s">
        <v>1393</v>
      </c>
      <c r="C21" s="16" t="s">
        <v>3408</v>
      </c>
      <c r="D21" s="16" t="s">
        <v>3388</v>
      </c>
      <c r="E21" s="204">
        <v>44781</v>
      </c>
      <c r="F21" s="16" t="b">
        <v>1</v>
      </c>
      <c r="G21" s="205" t="s">
        <v>3409</v>
      </c>
      <c r="H21" s="205"/>
      <c r="I21" s="16" t="b">
        <v>1</v>
      </c>
      <c r="J21" s="16" t="s">
        <v>3390</v>
      </c>
      <c r="K21" s="205"/>
      <c r="L21" s="16" t="b">
        <v>1</v>
      </c>
      <c r="M21" s="16"/>
      <c r="N21" s="16"/>
      <c r="O21" s="16"/>
      <c r="P21" s="16"/>
      <c r="Q21" s="16"/>
      <c r="R21" s="16"/>
      <c r="S21" s="16"/>
      <c r="T21" s="16"/>
      <c r="U21" s="16"/>
      <c r="V21" s="16"/>
      <c r="W21" s="16"/>
      <c r="X21" s="16"/>
      <c r="Y21" s="16"/>
      <c r="Z21" s="16"/>
      <c r="AA21" s="16"/>
    </row>
    <row r="22" spans="1:27" ht="24" hidden="1" customHeight="1" outlineLevel="2">
      <c r="A22" s="220" t="s">
        <v>3410</v>
      </c>
      <c r="B22" s="16" t="s">
        <v>3411</v>
      </c>
      <c r="C22" s="16" t="s">
        <v>3412</v>
      </c>
      <c r="D22" s="16" t="s">
        <v>3413</v>
      </c>
      <c r="E22" s="204">
        <v>44781</v>
      </c>
      <c r="F22" s="16" t="b">
        <v>1</v>
      </c>
      <c r="G22" s="205" t="s">
        <v>3414</v>
      </c>
      <c r="H22" s="205"/>
      <c r="I22" s="16" t="b">
        <v>1</v>
      </c>
      <c r="J22" s="16" t="s">
        <v>3390</v>
      </c>
      <c r="K22" s="205"/>
      <c r="L22" s="16" t="b">
        <v>1</v>
      </c>
      <c r="M22" s="16"/>
      <c r="N22" s="16"/>
      <c r="O22" s="16"/>
      <c r="P22" s="16"/>
      <c r="Q22" s="16"/>
      <c r="R22" s="16"/>
      <c r="S22" s="16"/>
      <c r="T22" s="16"/>
      <c r="U22" s="16"/>
      <c r="V22" s="16"/>
      <c r="W22" s="16"/>
      <c r="X22" s="16"/>
      <c r="Y22" s="16"/>
      <c r="Z22" s="16"/>
      <c r="AA22" s="16"/>
    </row>
    <row r="23" spans="1:27" ht="24" hidden="1" customHeight="1" outlineLevel="2">
      <c r="A23" s="220" t="s">
        <v>175</v>
      </c>
      <c r="B23" s="16" t="s">
        <v>3415</v>
      </c>
      <c r="C23" s="16" t="s">
        <v>177</v>
      </c>
      <c r="D23" s="16" t="s">
        <v>3413</v>
      </c>
      <c r="E23" s="204">
        <v>44781</v>
      </c>
      <c r="F23" s="16" t="b">
        <v>1</v>
      </c>
      <c r="G23" s="205" t="s">
        <v>3416</v>
      </c>
      <c r="H23" s="205"/>
      <c r="I23" s="16" t="b">
        <v>1</v>
      </c>
      <c r="J23" s="221" t="s">
        <v>3390</v>
      </c>
      <c r="K23" s="205"/>
      <c r="L23" s="16" t="b">
        <v>1</v>
      </c>
      <c r="M23" s="16"/>
      <c r="N23" s="16"/>
      <c r="O23" s="16"/>
      <c r="P23" s="16"/>
      <c r="Q23" s="16"/>
      <c r="R23" s="16"/>
      <c r="S23" s="16"/>
      <c r="T23" s="16"/>
      <c r="U23" s="16"/>
      <c r="V23" s="16"/>
      <c r="W23" s="16"/>
      <c r="X23" s="16"/>
      <c r="Y23" s="16"/>
      <c r="Z23" s="16"/>
      <c r="AA23" s="16"/>
    </row>
    <row r="24" spans="1:27" ht="24" hidden="1" customHeight="1" outlineLevel="2">
      <c r="A24" s="220" t="s">
        <v>1540</v>
      </c>
      <c r="B24" s="16" t="s">
        <v>1542</v>
      </c>
      <c r="C24" s="16" t="s">
        <v>1543</v>
      </c>
      <c r="D24" s="16" t="s">
        <v>3417</v>
      </c>
      <c r="E24" s="204">
        <v>44781</v>
      </c>
      <c r="F24" s="16" t="b">
        <v>1</v>
      </c>
      <c r="G24" s="205" t="s">
        <v>3418</v>
      </c>
      <c r="H24" s="205"/>
      <c r="I24" s="16" t="b">
        <v>1</v>
      </c>
      <c r="J24" s="16" t="s">
        <v>3385</v>
      </c>
      <c r="K24" s="205" t="s">
        <v>3419</v>
      </c>
      <c r="L24" s="16" t="b">
        <v>1</v>
      </c>
      <c r="M24" s="16"/>
      <c r="N24" s="16"/>
      <c r="O24" s="16"/>
      <c r="P24" s="16"/>
      <c r="Q24" s="16"/>
      <c r="R24" s="16"/>
      <c r="S24" s="16"/>
      <c r="T24" s="16"/>
      <c r="U24" s="16"/>
      <c r="V24" s="16"/>
      <c r="W24" s="16"/>
      <c r="X24" s="16"/>
      <c r="Y24" s="16"/>
      <c r="Z24" s="16"/>
      <c r="AA24" s="16"/>
    </row>
    <row r="25" spans="1:27" ht="24" hidden="1" customHeight="1" outlineLevel="2">
      <c r="A25" s="220" t="s">
        <v>3420</v>
      </c>
      <c r="B25" s="76" t="s">
        <v>1546</v>
      </c>
      <c r="C25" s="16" t="s">
        <v>3421</v>
      </c>
      <c r="D25" s="16" t="s">
        <v>11</v>
      </c>
      <c r="E25" s="204">
        <v>44781</v>
      </c>
      <c r="F25" s="16" t="b">
        <v>1</v>
      </c>
      <c r="G25" s="205" t="s">
        <v>3422</v>
      </c>
      <c r="H25" s="205"/>
      <c r="I25" s="16" t="b">
        <v>1</v>
      </c>
      <c r="J25" s="16" t="s">
        <v>3390</v>
      </c>
      <c r="K25" s="205" t="s">
        <v>3423</v>
      </c>
      <c r="L25" s="16" t="b">
        <v>1</v>
      </c>
      <c r="M25" s="16"/>
      <c r="N25" s="16"/>
      <c r="O25" s="16"/>
      <c r="P25" s="16"/>
      <c r="Q25" s="16"/>
      <c r="R25" s="16"/>
      <c r="S25" s="16"/>
      <c r="T25" s="16"/>
      <c r="U25" s="16"/>
      <c r="V25" s="16"/>
      <c r="W25" s="16"/>
      <c r="X25" s="16"/>
      <c r="Y25" s="16"/>
      <c r="Z25" s="16"/>
      <c r="AA25" s="16"/>
    </row>
    <row r="26" spans="1:27" ht="24" hidden="1" customHeight="1" outlineLevel="2">
      <c r="A26" s="220" t="s">
        <v>3424</v>
      </c>
      <c r="B26" s="76" t="s">
        <v>973</v>
      </c>
      <c r="C26" s="16" t="s">
        <v>974</v>
      </c>
      <c r="D26" s="16" t="s">
        <v>3425</v>
      </c>
      <c r="E26" s="204">
        <v>44781</v>
      </c>
      <c r="F26" s="16" t="b">
        <v>1</v>
      </c>
      <c r="G26" s="205"/>
      <c r="H26" s="205"/>
      <c r="I26" s="16" t="b">
        <v>1</v>
      </c>
      <c r="J26" s="221" t="s">
        <v>3390</v>
      </c>
      <c r="K26" s="205"/>
      <c r="L26" s="16" t="b">
        <v>1</v>
      </c>
      <c r="M26" s="16"/>
      <c r="N26" s="16"/>
      <c r="O26" s="16"/>
      <c r="P26" s="16"/>
      <c r="Q26" s="16"/>
      <c r="R26" s="16"/>
      <c r="S26" s="16"/>
      <c r="T26" s="16"/>
      <c r="U26" s="16"/>
      <c r="V26" s="16"/>
      <c r="W26" s="16"/>
      <c r="X26" s="16"/>
      <c r="Y26" s="16"/>
      <c r="Z26" s="16"/>
      <c r="AA26" s="16"/>
    </row>
    <row r="27" spans="1:27" ht="24" hidden="1" customHeight="1" outlineLevel="2">
      <c r="A27" s="220" t="s">
        <v>3426</v>
      </c>
      <c r="B27" s="16" t="s">
        <v>3427</v>
      </c>
      <c r="C27" s="16" t="s">
        <v>3428</v>
      </c>
      <c r="D27" s="16" t="s">
        <v>3388</v>
      </c>
      <c r="E27" s="204">
        <v>44782</v>
      </c>
      <c r="F27" s="16" t="b">
        <v>1</v>
      </c>
      <c r="G27" s="205" t="s">
        <v>3429</v>
      </c>
      <c r="H27" s="205"/>
      <c r="I27" s="16" t="b">
        <v>1</v>
      </c>
      <c r="J27" s="16" t="s">
        <v>3390</v>
      </c>
      <c r="K27" s="205" t="s">
        <v>3430</v>
      </c>
      <c r="L27" s="16" t="b">
        <v>1</v>
      </c>
      <c r="M27" s="16"/>
      <c r="N27" s="16"/>
      <c r="O27" s="16"/>
      <c r="P27" s="16"/>
      <c r="Q27" s="16"/>
      <c r="R27" s="16"/>
      <c r="S27" s="16"/>
      <c r="T27" s="16"/>
      <c r="U27" s="16"/>
      <c r="V27" s="16"/>
      <c r="W27" s="16"/>
      <c r="X27" s="16"/>
      <c r="Y27" s="16"/>
      <c r="Z27" s="16"/>
      <c r="AA27" s="16"/>
    </row>
    <row r="28" spans="1:27" ht="24" hidden="1" customHeight="1" outlineLevel="2">
      <c r="A28" s="220" t="s">
        <v>3431</v>
      </c>
      <c r="B28" s="76" t="s">
        <v>395</v>
      </c>
      <c r="C28" s="16" t="s">
        <v>396</v>
      </c>
      <c r="D28" s="16" t="s">
        <v>18</v>
      </c>
      <c r="E28" s="204">
        <v>44782</v>
      </c>
      <c r="F28" s="16" t="b">
        <v>1</v>
      </c>
      <c r="G28" s="205" t="s">
        <v>3432</v>
      </c>
      <c r="H28" s="205"/>
      <c r="I28" s="16" t="b">
        <v>1</v>
      </c>
      <c r="J28" s="16" t="s">
        <v>3433</v>
      </c>
      <c r="K28" s="205" t="s">
        <v>3391</v>
      </c>
      <c r="L28" s="16" t="b">
        <v>1</v>
      </c>
      <c r="M28" s="16"/>
      <c r="N28" s="16"/>
      <c r="O28" s="16"/>
      <c r="P28" s="16"/>
      <c r="Q28" s="16"/>
      <c r="R28" s="16"/>
      <c r="S28" s="16"/>
      <c r="T28" s="16"/>
      <c r="U28" s="16"/>
      <c r="V28" s="16"/>
      <c r="W28" s="16"/>
      <c r="X28" s="16"/>
      <c r="Y28" s="16"/>
      <c r="Z28" s="16"/>
      <c r="AA28" s="16"/>
    </row>
    <row r="29" spans="1:27" ht="24" hidden="1" customHeight="1" outlineLevel="2">
      <c r="A29" s="219" t="s">
        <v>3434</v>
      </c>
      <c r="B29" s="16" t="s">
        <v>2162</v>
      </c>
      <c r="C29" s="16" t="s">
        <v>2163</v>
      </c>
      <c r="D29" s="16" t="s">
        <v>3413</v>
      </c>
      <c r="E29" s="204">
        <v>44782</v>
      </c>
      <c r="F29" s="16" t="b">
        <v>1</v>
      </c>
      <c r="G29" s="205" t="s">
        <v>3435</v>
      </c>
      <c r="H29" s="205"/>
      <c r="I29" s="16" t="b">
        <v>1</v>
      </c>
      <c r="J29" s="16" t="s">
        <v>3436</v>
      </c>
      <c r="K29" s="205"/>
      <c r="L29" s="16" t="b">
        <v>1</v>
      </c>
      <c r="M29" s="16"/>
      <c r="N29" s="16"/>
      <c r="O29" s="16"/>
      <c r="P29" s="16"/>
      <c r="Q29" s="16"/>
      <c r="R29" s="16"/>
      <c r="S29" s="16"/>
      <c r="T29" s="16"/>
      <c r="U29" s="16"/>
      <c r="V29" s="16"/>
      <c r="W29" s="16"/>
      <c r="X29" s="16"/>
      <c r="Y29" s="16"/>
      <c r="Z29" s="16"/>
      <c r="AA29" s="16"/>
    </row>
    <row r="30" spans="1:27" ht="24" hidden="1" customHeight="1" outlineLevel="2">
      <c r="A30" s="219" t="s">
        <v>663</v>
      </c>
      <c r="B30" s="16" t="s">
        <v>665</v>
      </c>
      <c r="C30" s="16" t="s">
        <v>666</v>
      </c>
      <c r="D30" s="16" t="s">
        <v>3417</v>
      </c>
      <c r="E30" s="204">
        <v>44782</v>
      </c>
      <c r="F30" s="16" t="b">
        <v>1</v>
      </c>
      <c r="G30" s="205" t="s">
        <v>3437</v>
      </c>
      <c r="H30" s="205"/>
      <c r="I30" s="16" t="b">
        <v>1</v>
      </c>
      <c r="J30" s="16" t="s">
        <v>3385</v>
      </c>
      <c r="K30" s="222" t="s">
        <v>3438</v>
      </c>
      <c r="L30" s="16" t="b">
        <v>1</v>
      </c>
      <c r="M30" s="16"/>
      <c r="N30" s="16"/>
      <c r="O30" s="16"/>
      <c r="P30" s="16"/>
      <c r="Q30" s="16"/>
      <c r="R30" s="16"/>
      <c r="S30" s="16"/>
      <c r="T30" s="16"/>
      <c r="U30" s="16"/>
      <c r="V30" s="16"/>
      <c r="W30" s="16"/>
      <c r="X30" s="16"/>
      <c r="Y30" s="16"/>
      <c r="Z30" s="16"/>
      <c r="AA30" s="16"/>
    </row>
    <row r="31" spans="1:27" ht="24" hidden="1" customHeight="1" outlineLevel="2">
      <c r="A31" s="219" t="s">
        <v>3439</v>
      </c>
      <c r="B31" s="223" t="s">
        <v>1564</v>
      </c>
      <c r="C31" s="16" t="s">
        <v>1565</v>
      </c>
      <c r="D31" s="16" t="s">
        <v>10</v>
      </c>
      <c r="E31" s="204">
        <v>44782</v>
      </c>
      <c r="F31" s="16" t="b">
        <v>1</v>
      </c>
      <c r="G31" s="205" t="s">
        <v>3440</v>
      </c>
      <c r="H31" s="205"/>
      <c r="I31" s="16" t="b">
        <v>1</v>
      </c>
      <c r="J31" s="16" t="s">
        <v>3441</v>
      </c>
      <c r="K31" s="205" t="s">
        <v>3442</v>
      </c>
      <c r="L31" s="16" t="b">
        <v>1</v>
      </c>
      <c r="M31" s="16"/>
      <c r="N31" s="16"/>
      <c r="O31" s="16"/>
      <c r="P31" s="16"/>
      <c r="Q31" s="16"/>
      <c r="R31" s="16"/>
      <c r="S31" s="16"/>
      <c r="T31" s="16"/>
      <c r="U31" s="16"/>
      <c r="V31" s="16"/>
      <c r="W31" s="16"/>
      <c r="X31" s="16"/>
      <c r="Y31" s="16"/>
      <c r="Z31" s="16"/>
      <c r="AA31" s="16"/>
    </row>
    <row r="32" spans="1:27" ht="24" hidden="1" customHeight="1" outlineLevel="2">
      <c r="A32" s="220" t="s">
        <v>3443</v>
      </c>
      <c r="B32" s="16" t="s">
        <v>1001</v>
      </c>
      <c r="C32" s="16" t="s">
        <v>1002</v>
      </c>
      <c r="D32" s="16" t="s">
        <v>12</v>
      </c>
      <c r="E32" s="204">
        <v>44782</v>
      </c>
      <c r="F32" s="16" t="b">
        <v>1</v>
      </c>
      <c r="G32" s="205" t="s">
        <v>3444</v>
      </c>
      <c r="H32" s="205"/>
      <c r="I32" s="16" t="b">
        <v>1</v>
      </c>
      <c r="J32" s="16" t="s">
        <v>3385</v>
      </c>
      <c r="K32" s="222" t="s">
        <v>3438</v>
      </c>
      <c r="L32" s="16" t="b">
        <v>1</v>
      </c>
      <c r="M32" s="16"/>
      <c r="N32" s="16"/>
      <c r="O32" s="16"/>
      <c r="P32" s="16"/>
      <c r="Q32" s="16"/>
      <c r="R32" s="16"/>
      <c r="S32" s="16"/>
      <c r="T32" s="16"/>
      <c r="U32" s="16"/>
      <c r="V32" s="16"/>
      <c r="W32" s="16"/>
      <c r="X32" s="16"/>
      <c r="Y32" s="16"/>
      <c r="Z32" s="16"/>
      <c r="AA32" s="16"/>
    </row>
    <row r="33" spans="1:27" ht="24" hidden="1" customHeight="1" outlineLevel="2">
      <c r="A33" s="220" t="s">
        <v>3445</v>
      </c>
      <c r="B33" s="16" t="s">
        <v>3446</v>
      </c>
      <c r="C33" s="16" t="s">
        <v>627</v>
      </c>
      <c r="D33" s="16" t="s">
        <v>3417</v>
      </c>
      <c r="E33" s="204">
        <v>44782</v>
      </c>
      <c r="F33" s="16" t="b">
        <v>1</v>
      </c>
      <c r="G33" s="205" t="s">
        <v>3447</v>
      </c>
      <c r="H33" s="205"/>
      <c r="I33" s="16" t="b">
        <v>1</v>
      </c>
      <c r="J33" s="16" t="s">
        <v>3385</v>
      </c>
      <c r="K33" s="222" t="s">
        <v>3438</v>
      </c>
      <c r="L33" s="16" t="b">
        <v>1</v>
      </c>
      <c r="M33" s="16"/>
      <c r="N33" s="16"/>
      <c r="O33" s="16"/>
      <c r="P33" s="16"/>
      <c r="Q33" s="16"/>
      <c r="R33" s="16"/>
      <c r="S33" s="16"/>
      <c r="T33" s="16"/>
      <c r="U33" s="16"/>
      <c r="V33" s="16"/>
      <c r="W33" s="16"/>
      <c r="X33" s="16"/>
      <c r="Y33" s="16"/>
      <c r="Z33" s="16"/>
      <c r="AA33" s="16"/>
    </row>
    <row r="34" spans="1:27" ht="24" hidden="1" customHeight="1" outlineLevel="2">
      <c r="A34" s="220" t="s">
        <v>622</v>
      </c>
      <c r="B34" s="16" t="s">
        <v>623</v>
      </c>
      <c r="C34" s="16" t="s">
        <v>624</v>
      </c>
      <c r="D34" s="16" t="s">
        <v>17</v>
      </c>
      <c r="E34" s="204">
        <v>44782</v>
      </c>
      <c r="F34" s="16" t="b">
        <v>1</v>
      </c>
      <c r="G34" s="205" t="s">
        <v>3448</v>
      </c>
      <c r="H34" s="205"/>
      <c r="I34" s="16" t="b">
        <v>1</v>
      </c>
      <c r="J34" s="16" t="s">
        <v>3436</v>
      </c>
      <c r="K34" s="205" t="s">
        <v>3449</v>
      </c>
      <c r="L34" s="16" t="b">
        <v>1</v>
      </c>
      <c r="M34" s="16"/>
      <c r="N34" s="16"/>
      <c r="O34" s="16"/>
      <c r="P34" s="16"/>
      <c r="Q34" s="16"/>
      <c r="R34" s="16"/>
      <c r="S34" s="16"/>
      <c r="T34" s="16"/>
      <c r="U34" s="16"/>
      <c r="V34" s="16"/>
      <c r="W34" s="16"/>
      <c r="X34" s="16"/>
      <c r="Y34" s="16"/>
      <c r="Z34" s="16"/>
      <c r="AA34" s="16"/>
    </row>
    <row r="35" spans="1:27" ht="24" hidden="1" customHeight="1" outlineLevel="2">
      <c r="A35" s="220" t="s">
        <v>248</v>
      </c>
      <c r="B35" s="16" t="s">
        <v>249</v>
      </c>
      <c r="C35" s="16" t="s">
        <v>250</v>
      </c>
      <c r="D35" s="16" t="s">
        <v>10</v>
      </c>
      <c r="E35" s="204">
        <v>44783</v>
      </c>
      <c r="F35" s="16" t="b">
        <v>1</v>
      </c>
      <c r="G35" s="205" t="s">
        <v>3450</v>
      </c>
      <c r="H35" s="205"/>
      <c r="I35" s="16" t="b">
        <v>1</v>
      </c>
      <c r="J35" s="16"/>
      <c r="K35" s="205"/>
      <c r="L35" s="16" t="b">
        <v>0</v>
      </c>
      <c r="M35" s="16"/>
      <c r="N35" s="16"/>
      <c r="O35" s="16"/>
      <c r="P35" s="16"/>
      <c r="Q35" s="16"/>
      <c r="R35" s="16"/>
      <c r="S35" s="16"/>
      <c r="T35" s="16"/>
      <c r="U35" s="16"/>
      <c r="V35" s="16"/>
      <c r="W35" s="16"/>
      <c r="X35" s="16"/>
      <c r="Y35" s="16"/>
      <c r="Z35" s="16"/>
      <c r="AA35" s="16"/>
    </row>
    <row r="36" spans="1:27" ht="24" hidden="1" customHeight="1" outlineLevel="2">
      <c r="A36" s="224" t="s">
        <v>2208</v>
      </c>
      <c r="B36" s="16" t="s">
        <v>2209</v>
      </c>
      <c r="C36" s="16" t="s">
        <v>2210</v>
      </c>
      <c r="D36" s="16" t="s">
        <v>18</v>
      </c>
      <c r="E36" s="204">
        <v>44783</v>
      </c>
      <c r="F36" s="16" t="b">
        <v>0</v>
      </c>
      <c r="G36" s="205" t="s">
        <v>3451</v>
      </c>
      <c r="H36" s="205"/>
      <c r="I36" s="16" t="b">
        <v>1</v>
      </c>
      <c r="J36" s="16" t="s">
        <v>3433</v>
      </c>
      <c r="K36" s="205" t="s">
        <v>3452</v>
      </c>
      <c r="L36" s="16" t="b">
        <v>0</v>
      </c>
      <c r="M36" s="16"/>
      <c r="N36" s="16"/>
      <c r="O36" s="16"/>
      <c r="P36" s="16"/>
      <c r="Q36" s="16"/>
      <c r="R36" s="16"/>
      <c r="S36" s="16"/>
      <c r="T36" s="16"/>
      <c r="U36" s="16"/>
      <c r="V36" s="16"/>
      <c r="W36" s="16"/>
      <c r="X36" s="16"/>
      <c r="Y36" s="16"/>
      <c r="Z36" s="16"/>
      <c r="AA36" s="16"/>
    </row>
    <row r="37" spans="1:27" ht="24" hidden="1" customHeight="1" outlineLevel="2">
      <c r="A37" s="224" t="s">
        <v>3453</v>
      </c>
      <c r="B37" s="16" t="s">
        <v>1576</v>
      </c>
      <c r="C37" s="16" t="s">
        <v>1577</v>
      </c>
      <c r="D37" s="16" t="s">
        <v>18</v>
      </c>
      <c r="E37" s="204">
        <v>44783</v>
      </c>
      <c r="F37" s="16" t="b">
        <v>0</v>
      </c>
      <c r="G37" s="205" t="s">
        <v>3454</v>
      </c>
      <c r="H37" s="205"/>
      <c r="I37" s="16" t="b">
        <v>1</v>
      </c>
      <c r="J37" s="16" t="s">
        <v>3433</v>
      </c>
      <c r="K37" s="205" t="s">
        <v>3452</v>
      </c>
      <c r="L37" s="16" t="b">
        <v>1</v>
      </c>
      <c r="M37" s="16"/>
      <c r="N37" s="16"/>
      <c r="O37" s="16"/>
      <c r="P37" s="16"/>
      <c r="Q37" s="16"/>
      <c r="R37" s="16"/>
      <c r="S37" s="16"/>
      <c r="T37" s="16"/>
      <c r="U37" s="16"/>
      <c r="V37" s="16"/>
      <c r="W37" s="16"/>
      <c r="X37" s="16"/>
      <c r="Y37" s="16"/>
      <c r="Z37" s="16"/>
      <c r="AA37" s="16"/>
    </row>
    <row r="38" spans="1:27" ht="24" hidden="1" customHeight="1" outlineLevel="2">
      <c r="A38" s="215" t="s">
        <v>3455</v>
      </c>
      <c r="B38" s="216"/>
      <c r="C38" s="216"/>
      <c r="D38" s="216"/>
      <c r="E38" s="216"/>
      <c r="F38" s="216"/>
      <c r="G38" s="218"/>
      <c r="H38" s="218"/>
      <c r="I38" s="216"/>
      <c r="J38" s="216"/>
      <c r="K38" s="218"/>
      <c r="L38" s="218"/>
      <c r="M38" s="216"/>
      <c r="N38" s="216"/>
      <c r="O38" s="216"/>
      <c r="P38" s="216"/>
      <c r="Q38" s="216"/>
      <c r="R38" s="216"/>
      <c r="S38" s="216"/>
      <c r="T38" s="216"/>
      <c r="U38" s="216"/>
      <c r="V38" s="216"/>
      <c r="W38" s="216"/>
      <c r="X38" s="216"/>
      <c r="Y38" s="216"/>
      <c r="Z38" s="216"/>
      <c r="AA38" s="216"/>
    </row>
    <row r="39" spans="1:27" ht="24" hidden="1" customHeight="1" outlineLevel="2">
      <c r="A39" s="220" t="s">
        <v>3456</v>
      </c>
      <c r="B39" s="16" t="s">
        <v>1580</v>
      </c>
      <c r="C39" s="16" t="s">
        <v>1581</v>
      </c>
      <c r="D39" s="16" t="s">
        <v>20</v>
      </c>
      <c r="E39" s="204">
        <v>44788</v>
      </c>
      <c r="F39" s="16" t="b">
        <v>1</v>
      </c>
      <c r="G39" s="205" t="s">
        <v>3457</v>
      </c>
      <c r="H39" s="205"/>
      <c r="I39" s="16" t="b">
        <v>1</v>
      </c>
      <c r="J39" s="16" t="s">
        <v>3458</v>
      </c>
      <c r="K39" s="205" t="s">
        <v>3459</v>
      </c>
      <c r="L39" s="16" t="b">
        <v>0</v>
      </c>
      <c r="M39" s="16"/>
      <c r="N39" s="16"/>
      <c r="O39" s="16"/>
      <c r="P39" s="16"/>
      <c r="Q39" s="16"/>
      <c r="R39" s="16"/>
      <c r="S39" s="16"/>
      <c r="T39" s="16"/>
      <c r="U39" s="16"/>
      <c r="V39" s="16"/>
      <c r="W39" s="16"/>
      <c r="X39" s="16"/>
      <c r="Y39" s="16"/>
      <c r="Z39" s="16"/>
      <c r="AA39" s="16"/>
    </row>
    <row r="40" spans="1:27" ht="24" hidden="1" customHeight="1" outlineLevel="2">
      <c r="A40" s="225" t="s">
        <v>3460</v>
      </c>
      <c r="B40" s="226" t="s">
        <v>3461</v>
      </c>
      <c r="C40" s="226" t="s">
        <v>3462</v>
      </c>
      <c r="D40" s="227" t="s">
        <v>3383</v>
      </c>
      <c r="E40" s="228">
        <v>44788</v>
      </c>
      <c r="F40" s="227" t="b">
        <v>0</v>
      </c>
      <c r="G40" s="229" t="s">
        <v>3463</v>
      </c>
      <c r="H40" s="229"/>
      <c r="I40" s="227" t="b">
        <v>0</v>
      </c>
      <c r="J40" s="227"/>
      <c r="K40" s="229"/>
      <c r="L40" s="16"/>
      <c r="M40" s="227"/>
      <c r="N40" s="227"/>
      <c r="O40" s="227"/>
      <c r="P40" s="227"/>
      <c r="Q40" s="227"/>
      <c r="R40" s="227"/>
      <c r="S40" s="227"/>
      <c r="T40" s="227"/>
      <c r="U40" s="227"/>
      <c r="V40" s="227"/>
      <c r="W40" s="227"/>
      <c r="X40" s="227"/>
      <c r="Y40" s="227"/>
      <c r="Z40" s="227"/>
      <c r="AA40" s="227"/>
    </row>
    <row r="41" spans="1:27" ht="24" hidden="1" customHeight="1" outlineLevel="2">
      <c r="A41" s="230" t="s">
        <v>3464</v>
      </c>
      <c r="B41" s="226" t="s">
        <v>3465</v>
      </c>
      <c r="C41" s="226" t="s">
        <v>3466</v>
      </c>
      <c r="D41" s="227" t="s">
        <v>3383</v>
      </c>
      <c r="E41" s="228">
        <v>44788</v>
      </c>
      <c r="F41" s="227" t="b">
        <v>0</v>
      </c>
      <c r="G41" s="229" t="s">
        <v>3467</v>
      </c>
      <c r="H41" s="229"/>
      <c r="I41" s="227" t="b">
        <v>1</v>
      </c>
      <c r="J41" s="227" t="s">
        <v>3468</v>
      </c>
      <c r="K41" s="231" t="s">
        <v>3469</v>
      </c>
      <c r="L41" s="16"/>
      <c r="M41" s="227"/>
      <c r="N41" s="227"/>
      <c r="O41" s="227"/>
      <c r="P41" s="227"/>
      <c r="Q41" s="227"/>
      <c r="R41" s="227"/>
      <c r="S41" s="227"/>
      <c r="T41" s="227"/>
      <c r="U41" s="227"/>
      <c r="V41" s="227"/>
      <c r="W41" s="227"/>
      <c r="X41" s="227"/>
      <c r="Y41" s="227"/>
      <c r="Z41" s="227"/>
      <c r="AA41" s="227"/>
    </row>
    <row r="42" spans="1:27" ht="24" hidden="1" customHeight="1" outlineLevel="2">
      <c r="A42" s="219" t="s">
        <v>3470</v>
      </c>
      <c r="B42" s="76" t="s">
        <v>577</v>
      </c>
      <c r="C42" s="76" t="s">
        <v>3471</v>
      </c>
      <c r="D42" s="16" t="s">
        <v>3388</v>
      </c>
      <c r="E42" s="204">
        <v>44788</v>
      </c>
      <c r="F42" s="16" t="b">
        <v>1</v>
      </c>
      <c r="G42" s="205" t="s">
        <v>3472</v>
      </c>
      <c r="H42" s="205"/>
      <c r="I42" s="16" t="b">
        <v>1</v>
      </c>
      <c r="J42" s="16"/>
      <c r="K42" s="205"/>
      <c r="L42" s="16" t="b">
        <v>1</v>
      </c>
      <c r="M42" s="16"/>
      <c r="N42" s="16"/>
      <c r="O42" s="16"/>
      <c r="P42" s="16"/>
      <c r="Q42" s="16"/>
      <c r="R42" s="16"/>
      <c r="S42" s="16"/>
      <c r="T42" s="16"/>
      <c r="U42" s="16"/>
      <c r="V42" s="16"/>
      <c r="W42" s="16"/>
      <c r="X42" s="16"/>
      <c r="Y42" s="16"/>
      <c r="Z42" s="16"/>
      <c r="AA42" s="16"/>
    </row>
    <row r="43" spans="1:27" ht="24" hidden="1" customHeight="1" outlineLevel="2">
      <c r="A43" s="219" t="s">
        <v>3473</v>
      </c>
      <c r="B43" s="76" t="s">
        <v>518</v>
      </c>
      <c r="C43" s="76" t="s">
        <v>519</v>
      </c>
      <c r="D43" s="16" t="s">
        <v>3388</v>
      </c>
      <c r="E43" s="204">
        <v>44788</v>
      </c>
      <c r="F43" s="16" t="b">
        <v>1</v>
      </c>
      <c r="G43" s="205" t="s">
        <v>3474</v>
      </c>
      <c r="H43" s="205"/>
      <c r="I43" s="16" t="b">
        <v>1</v>
      </c>
      <c r="J43" s="16"/>
      <c r="K43" s="205"/>
      <c r="L43" s="16" t="b">
        <v>1</v>
      </c>
      <c r="M43" s="16"/>
      <c r="N43" s="16"/>
      <c r="O43" s="16"/>
      <c r="P43" s="16"/>
      <c r="Q43" s="16"/>
      <c r="R43" s="16"/>
      <c r="S43" s="16"/>
      <c r="T43" s="16"/>
      <c r="U43" s="16"/>
      <c r="V43" s="16"/>
      <c r="W43" s="16"/>
      <c r="X43" s="16"/>
      <c r="Y43" s="16"/>
      <c r="Z43" s="16"/>
      <c r="AA43" s="16"/>
    </row>
    <row r="44" spans="1:27" ht="24" hidden="1" customHeight="1" outlineLevel="2">
      <c r="A44" s="219" t="s">
        <v>1588</v>
      </c>
      <c r="B44" s="16" t="s">
        <v>1589</v>
      </c>
      <c r="C44" s="16" t="s">
        <v>3475</v>
      </c>
      <c r="D44" s="16" t="s">
        <v>3417</v>
      </c>
      <c r="E44" s="204">
        <v>44789</v>
      </c>
      <c r="F44" s="16" t="b">
        <v>0</v>
      </c>
      <c r="G44" s="205" t="s">
        <v>3476</v>
      </c>
      <c r="H44" s="205"/>
      <c r="I44" s="16" t="b">
        <v>1</v>
      </c>
      <c r="J44" s="16" t="s">
        <v>3385</v>
      </c>
      <c r="K44" s="205"/>
      <c r="L44" s="16" t="b">
        <v>0</v>
      </c>
      <c r="M44" s="16"/>
      <c r="N44" s="16"/>
      <c r="O44" s="16"/>
      <c r="P44" s="16"/>
      <c r="Q44" s="16"/>
      <c r="R44" s="16"/>
      <c r="S44" s="16"/>
      <c r="T44" s="16"/>
      <c r="U44" s="16"/>
      <c r="V44" s="16"/>
      <c r="W44" s="16"/>
      <c r="X44" s="16"/>
      <c r="Y44" s="16"/>
      <c r="Z44" s="16"/>
      <c r="AA44" s="16"/>
    </row>
    <row r="45" spans="1:27" ht="24" hidden="1" customHeight="1" outlineLevel="2">
      <c r="A45" s="219" t="s">
        <v>3477</v>
      </c>
      <c r="B45" s="147" t="s">
        <v>1297</v>
      </c>
      <c r="C45" s="76" t="s">
        <v>1298</v>
      </c>
      <c r="D45" s="16" t="s">
        <v>3388</v>
      </c>
      <c r="E45" s="204">
        <v>44789</v>
      </c>
      <c r="F45" s="16" t="b">
        <v>1</v>
      </c>
      <c r="G45" s="205" t="s">
        <v>3478</v>
      </c>
      <c r="H45" s="205"/>
      <c r="I45" s="16" t="b">
        <v>1</v>
      </c>
      <c r="J45" s="16" t="s">
        <v>3390</v>
      </c>
      <c r="K45" s="205"/>
      <c r="L45" s="16" t="b">
        <v>1</v>
      </c>
      <c r="M45" s="16"/>
      <c r="N45" s="16"/>
      <c r="O45" s="16"/>
      <c r="P45" s="16"/>
      <c r="Q45" s="16"/>
      <c r="R45" s="16"/>
      <c r="S45" s="16"/>
      <c r="T45" s="16"/>
      <c r="U45" s="16"/>
      <c r="V45" s="16"/>
      <c r="W45" s="16"/>
      <c r="X45" s="16"/>
      <c r="Y45" s="16"/>
      <c r="Z45" s="16"/>
      <c r="AA45" s="16"/>
    </row>
    <row r="46" spans="1:27" ht="24" hidden="1" customHeight="1" outlineLevel="2">
      <c r="A46" s="219" t="s">
        <v>3479</v>
      </c>
      <c r="B46" s="76" t="s">
        <v>58</v>
      </c>
      <c r="C46" s="61" t="s">
        <v>59</v>
      </c>
      <c r="D46" s="16" t="s">
        <v>3383</v>
      </c>
      <c r="E46" s="204">
        <v>44789</v>
      </c>
      <c r="F46" s="16" t="b">
        <v>1</v>
      </c>
      <c r="G46" s="205" t="s">
        <v>3480</v>
      </c>
      <c r="H46" s="205"/>
      <c r="I46" s="16" t="b">
        <v>1</v>
      </c>
      <c r="J46" s="16" t="s">
        <v>3468</v>
      </c>
      <c r="K46" s="222"/>
      <c r="L46" s="16" t="b">
        <v>1</v>
      </c>
      <c r="M46" s="16"/>
      <c r="N46" s="16"/>
      <c r="O46" s="16"/>
      <c r="P46" s="16"/>
      <c r="Q46" s="16"/>
      <c r="R46" s="16"/>
      <c r="S46" s="16"/>
      <c r="T46" s="16"/>
      <c r="U46" s="16"/>
      <c r="V46" s="16"/>
      <c r="W46" s="16"/>
      <c r="X46" s="16"/>
      <c r="Y46" s="16"/>
      <c r="Z46" s="16"/>
      <c r="AA46" s="16"/>
    </row>
    <row r="47" spans="1:27" ht="24" hidden="1" customHeight="1" outlineLevel="2">
      <c r="A47" s="220" t="s">
        <v>462</v>
      </c>
      <c r="B47" s="76" t="s">
        <v>463</v>
      </c>
      <c r="C47" s="61" t="s">
        <v>464</v>
      </c>
      <c r="D47" s="16" t="s">
        <v>3481</v>
      </c>
      <c r="E47" s="204">
        <v>44789</v>
      </c>
      <c r="F47" s="16" t="b">
        <v>1</v>
      </c>
      <c r="G47" s="205" t="s">
        <v>3482</v>
      </c>
      <c r="H47" s="205"/>
      <c r="I47" s="16" t="b">
        <v>1</v>
      </c>
      <c r="J47" s="16" t="s">
        <v>3468</v>
      </c>
      <c r="K47" s="222" t="s">
        <v>3438</v>
      </c>
      <c r="L47" s="16" t="b">
        <v>1</v>
      </c>
      <c r="M47" s="16"/>
      <c r="N47" s="16"/>
      <c r="O47" s="16"/>
      <c r="P47" s="16"/>
      <c r="Q47" s="16"/>
      <c r="R47" s="16"/>
      <c r="S47" s="16"/>
      <c r="T47" s="16"/>
      <c r="U47" s="16"/>
      <c r="V47" s="16"/>
      <c r="W47" s="16"/>
      <c r="X47" s="16"/>
      <c r="Y47" s="16"/>
      <c r="Z47" s="16"/>
      <c r="AA47" s="16"/>
    </row>
    <row r="48" spans="1:27" ht="24" hidden="1" customHeight="1" outlineLevel="2">
      <c r="A48" s="219" t="s">
        <v>3483</v>
      </c>
      <c r="B48" s="16" t="s">
        <v>1603</v>
      </c>
      <c r="C48" s="148" t="s">
        <v>1604</v>
      </c>
      <c r="D48" s="16" t="s">
        <v>11</v>
      </c>
      <c r="E48" s="204">
        <v>44789</v>
      </c>
      <c r="F48" s="16" t="b">
        <v>0</v>
      </c>
      <c r="G48" s="205" t="s">
        <v>3484</v>
      </c>
      <c r="H48" s="205"/>
      <c r="I48" s="16" t="b">
        <v>1</v>
      </c>
      <c r="J48" s="16" t="s">
        <v>3485</v>
      </c>
      <c r="K48" s="205"/>
      <c r="L48" s="16" t="b">
        <v>1</v>
      </c>
      <c r="M48" s="16"/>
      <c r="N48" s="16"/>
      <c r="O48" s="16"/>
      <c r="P48" s="16"/>
      <c r="Q48" s="16"/>
      <c r="R48" s="16"/>
      <c r="S48" s="16"/>
      <c r="T48" s="16"/>
      <c r="U48" s="16"/>
      <c r="V48" s="16"/>
      <c r="W48" s="16"/>
      <c r="X48" s="16"/>
      <c r="Y48" s="16"/>
      <c r="Z48" s="16"/>
      <c r="AA48" s="16"/>
    </row>
    <row r="49" spans="1:27" ht="24" hidden="1" customHeight="1" outlineLevel="2">
      <c r="A49" s="219" t="s">
        <v>3486</v>
      </c>
      <c r="B49" s="76" t="s">
        <v>258</v>
      </c>
      <c r="C49" s="16" t="s">
        <v>3487</v>
      </c>
      <c r="D49" s="16" t="s">
        <v>20</v>
      </c>
      <c r="E49" s="204">
        <v>44789</v>
      </c>
      <c r="F49" s="16" t="b">
        <v>1</v>
      </c>
      <c r="G49" s="205" t="s">
        <v>3488</v>
      </c>
      <c r="H49" s="205"/>
      <c r="I49" s="16" t="b">
        <v>1</v>
      </c>
      <c r="J49" s="16" t="s">
        <v>3489</v>
      </c>
      <c r="K49" s="205" t="s">
        <v>3490</v>
      </c>
      <c r="L49" s="16" t="b">
        <v>0</v>
      </c>
      <c r="M49" s="16"/>
      <c r="N49" s="16"/>
      <c r="O49" s="16"/>
      <c r="P49" s="16"/>
      <c r="Q49" s="16"/>
      <c r="R49" s="16"/>
      <c r="S49" s="16"/>
      <c r="T49" s="16"/>
      <c r="U49" s="16"/>
      <c r="V49" s="16"/>
      <c r="W49" s="16"/>
      <c r="X49" s="16"/>
      <c r="Y49" s="16"/>
      <c r="Z49" s="16"/>
      <c r="AA49" s="16"/>
    </row>
    <row r="50" spans="1:27" ht="24" hidden="1" customHeight="1" outlineLevel="2">
      <c r="A50" s="219" t="s">
        <v>140</v>
      </c>
      <c r="B50" s="76" t="s">
        <v>352</v>
      </c>
      <c r="C50" s="16" t="s">
        <v>3491</v>
      </c>
      <c r="D50" s="153" t="s">
        <v>3492</v>
      </c>
      <c r="E50" s="204">
        <v>44789</v>
      </c>
      <c r="F50" s="16" t="b">
        <v>1</v>
      </c>
      <c r="G50" s="205" t="s">
        <v>3493</v>
      </c>
      <c r="H50" s="205"/>
      <c r="I50" s="16" t="b">
        <v>1</v>
      </c>
      <c r="J50" s="16" t="s">
        <v>3489</v>
      </c>
      <c r="K50" s="205" t="s">
        <v>3494</v>
      </c>
      <c r="L50" s="16" t="b">
        <v>1</v>
      </c>
      <c r="M50" s="16"/>
      <c r="N50" s="16"/>
      <c r="O50" s="16"/>
      <c r="P50" s="16"/>
      <c r="Q50" s="16"/>
      <c r="R50" s="16"/>
      <c r="S50" s="16"/>
      <c r="T50" s="16"/>
      <c r="U50" s="16"/>
      <c r="V50" s="16"/>
      <c r="W50" s="16"/>
      <c r="X50" s="16"/>
      <c r="Y50" s="16"/>
      <c r="Z50" s="16"/>
      <c r="AA50" s="16"/>
    </row>
    <row r="51" spans="1:27" ht="24" hidden="1" customHeight="1" outlineLevel="2">
      <c r="A51" s="219" t="s">
        <v>1212</v>
      </c>
      <c r="B51" s="232" t="s">
        <v>3495</v>
      </c>
      <c r="C51" s="16" t="s">
        <v>1215</v>
      </c>
      <c r="D51" s="16" t="s">
        <v>12</v>
      </c>
      <c r="E51" s="204">
        <v>44789</v>
      </c>
      <c r="F51" s="16" t="b">
        <v>0</v>
      </c>
      <c r="G51" s="205" t="s">
        <v>3496</v>
      </c>
      <c r="H51" s="205"/>
      <c r="I51" s="16" t="b">
        <v>1</v>
      </c>
      <c r="J51" s="16" t="s">
        <v>3385</v>
      </c>
      <c r="K51" s="205"/>
      <c r="L51" s="16" t="b">
        <v>0</v>
      </c>
      <c r="M51" s="16"/>
      <c r="N51" s="16"/>
      <c r="O51" s="16"/>
      <c r="P51" s="16"/>
      <c r="Q51" s="16"/>
      <c r="R51" s="16"/>
      <c r="S51" s="16"/>
      <c r="T51" s="16"/>
      <c r="U51" s="16"/>
      <c r="V51" s="16"/>
      <c r="W51" s="16"/>
      <c r="X51" s="16"/>
      <c r="Y51" s="16"/>
      <c r="Z51" s="16"/>
      <c r="AA51" s="16"/>
    </row>
    <row r="52" spans="1:27" ht="24" hidden="1" customHeight="1" outlineLevel="2">
      <c r="A52" s="219" t="s">
        <v>3497</v>
      </c>
      <c r="B52" s="61" t="s">
        <v>1615</v>
      </c>
      <c r="C52" s="76" t="s">
        <v>1616</v>
      </c>
      <c r="D52" s="16" t="s">
        <v>3383</v>
      </c>
      <c r="E52" s="204">
        <v>44789</v>
      </c>
      <c r="F52" s="16" t="b">
        <v>0</v>
      </c>
      <c r="G52" s="205" t="s">
        <v>3498</v>
      </c>
      <c r="H52" s="205"/>
      <c r="I52" s="16" t="b">
        <v>1</v>
      </c>
      <c r="J52" s="16" t="s">
        <v>3468</v>
      </c>
      <c r="K52" s="205" t="s">
        <v>3499</v>
      </c>
      <c r="L52" s="16" t="b">
        <v>0</v>
      </c>
      <c r="M52" s="16"/>
      <c r="N52" s="16"/>
      <c r="O52" s="16"/>
      <c r="P52" s="16"/>
      <c r="Q52" s="16"/>
      <c r="R52" s="16"/>
      <c r="S52" s="16"/>
      <c r="T52" s="16"/>
      <c r="U52" s="16"/>
      <c r="V52" s="16"/>
      <c r="W52" s="16"/>
      <c r="X52" s="16"/>
      <c r="Y52" s="16"/>
      <c r="Z52" s="16"/>
      <c r="AA52" s="16"/>
    </row>
    <row r="53" spans="1:27" ht="24" hidden="1" customHeight="1" outlineLevel="2">
      <c r="A53" s="219" t="s">
        <v>1141</v>
      </c>
      <c r="B53" s="76" t="s">
        <v>1143</v>
      </c>
      <c r="C53" s="76" t="s">
        <v>1144</v>
      </c>
      <c r="D53" s="16" t="s">
        <v>11</v>
      </c>
      <c r="E53" s="204">
        <v>44789</v>
      </c>
      <c r="F53" s="16" t="b">
        <v>0</v>
      </c>
      <c r="G53" s="205" t="s">
        <v>3500</v>
      </c>
      <c r="H53" s="205"/>
      <c r="I53" s="16" t="b">
        <v>1</v>
      </c>
      <c r="J53" s="16" t="s">
        <v>3485</v>
      </c>
      <c r="K53" s="205"/>
      <c r="L53" s="16" t="b">
        <v>0</v>
      </c>
      <c r="M53" s="16"/>
      <c r="N53" s="16"/>
      <c r="O53" s="16"/>
      <c r="P53" s="16"/>
      <c r="Q53" s="16"/>
      <c r="R53" s="16"/>
      <c r="S53" s="16"/>
      <c r="T53" s="16"/>
      <c r="U53" s="16"/>
      <c r="V53" s="16"/>
      <c r="W53" s="16"/>
      <c r="X53" s="16"/>
      <c r="Y53" s="16"/>
      <c r="Z53" s="16"/>
      <c r="AA53" s="16"/>
    </row>
    <row r="54" spans="1:27" ht="24" hidden="1" customHeight="1" outlineLevel="2">
      <c r="A54" s="219" t="s">
        <v>3501</v>
      </c>
      <c r="B54" s="76" t="s">
        <v>710</v>
      </c>
      <c r="C54" s="17" t="s">
        <v>711</v>
      </c>
      <c r="D54" s="16" t="s">
        <v>3383</v>
      </c>
      <c r="E54" s="204">
        <v>44791</v>
      </c>
      <c r="F54" s="16" t="b">
        <v>0</v>
      </c>
      <c r="G54" s="205" t="s">
        <v>3502</v>
      </c>
      <c r="H54" s="205"/>
      <c r="I54" s="16" t="b">
        <v>1</v>
      </c>
      <c r="J54" s="16" t="s">
        <v>3503</v>
      </c>
      <c r="K54" s="205"/>
      <c r="L54" s="16" t="b">
        <v>1</v>
      </c>
      <c r="M54" s="16"/>
      <c r="N54" s="16"/>
      <c r="O54" s="16"/>
      <c r="P54" s="16"/>
      <c r="Q54" s="16"/>
      <c r="R54" s="16"/>
      <c r="S54" s="16"/>
      <c r="T54" s="16"/>
      <c r="U54" s="16"/>
      <c r="V54" s="16"/>
      <c r="W54" s="16"/>
      <c r="X54" s="16"/>
      <c r="Y54" s="16"/>
      <c r="Z54" s="16"/>
      <c r="AA54" s="16"/>
    </row>
    <row r="55" spans="1:27" ht="24" hidden="1" customHeight="1" outlineLevel="2">
      <c r="A55" s="233" t="s">
        <v>3504</v>
      </c>
      <c r="B55" s="234" t="s">
        <v>1625</v>
      </c>
      <c r="C55" s="17" t="s">
        <v>1626</v>
      </c>
      <c r="D55" s="16" t="s">
        <v>3383</v>
      </c>
      <c r="E55" s="204">
        <v>44791</v>
      </c>
      <c r="F55" s="16" t="b">
        <v>1</v>
      </c>
      <c r="G55" s="205" t="s">
        <v>3505</v>
      </c>
      <c r="H55" s="205"/>
      <c r="I55" s="16" t="b">
        <v>1</v>
      </c>
      <c r="J55" s="16" t="s">
        <v>3503</v>
      </c>
      <c r="K55" s="205"/>
      <c r="L55" s="16" t="b">
        <v>1</v>
      </c>
      <c r="M55" s="16"/>
      <c r="N55" s="16"/>
      <c r="O55" s="16"/>
      <c r="P55" s="16"/>
      <c r="Q55" s="16"/>
      <c r="R55" s="16"/>
      <c r="S55" s="16"/>
      <c r="T55" s="16"/>
      <c r="U55" s="16"/>
      <c r="V55" s="16"/>
      <c r="W55" s="16"/>
      <c r="X55" s="16"/>
      <c r="Y55" s="16"/>
      <c r="Z55" s="16"/>
      <c r="AA55" s="16"/>
    </row>
    <row r="56" spans="1:27" ht="24" hidden="1" customHeight="1" outlineLevel="2">
      <c r="A56" s="219" t="s">
        <v>3506</v>
      </c>
      <c r="B56" s="76" t="s">
        <v>3507</v>
      </c>
      <c r="C56" s="17" t="s">
        <v>3508</v>
      </c>
      <c r="D56" s="16" t="s">
        <v>11</v>
      </c>
      <c r="E56" s="204">
        <v>44791</v>
      </c>
      <c r="F56" s="16" t="b">
        <v>0</v>
      </c>
      <c r="G56" s="205" t="s">
        <v>3509</v>
      </c>
      <c r="H56" s="205"/>
      <c r="I56" s="16" t="b">
        <v>1</v>
      </c>
      <c r="J56" s="16"/>
      <c r="K56" s="205"/>
      <c r="L56" s="16" t="b">
        <v>0</v>
      </c>
      <c r="M56" s="16"/>
      <c r="N56" s="16"/>
      <c r="O56" s="16"/>
      <c r="P56" s="16"/>
      <c r="Q56" s="16"/>
      <c r="R56" s="16"/>
      <c r="S56" s="16"/>
      <c r="T56" s="16"/>
      <c r="U56" s="16"/>
      <c r="V56" s="16"/>
      <c r="W56" s="16"/>
      <c r="X56" s="16"/>
      <c r="Y56" s="16"/>
      <c r="Z56" s="16"/>
      <c r="AA56" s="16"/>
    </row>
    <row r="57" spans="1:27" ht="24" hidden="1" customHeight="1" outlineLevel="2">
      <c r="A57" s="219" t="s">
        <v>3510</v>
      </c>
      <c r="B57" s="76" t="s">
        <v>1207</v>
      </c>
      <c r="C57" s="76" t="s">
        <v>1208</v>
      </c>
      <c r="D57" s="16" t="s">
        <v>13</v>
      </c>
      <c r="E57" s="204">
        <v>44792</v>
      </c>
      <c r="F57" s="16" t="b">
        <v>0</v>
      </c>
      <c r="G57" s="205" t="s">
        <v>3511</v>
      </c>
      <c r="H57" s="205"/>
      <c r="I57" s="16" t="b">
        <v>1</v>
      </c>
      <c r="J57" s="16"/>
      <c r="K57" s="205"/>
      <c r="L57" s="16" t="b">
        <v>1</v>
      </c>
      <c r="M57" s="16"/>
      <c r="N57" s="16"/>
      <c r="O57" s="16"/>
      <c r="P57" s="16"/>
      <c r="Q57" s="16"/>
      <c r="R57" s="16"/>
      <c r="S57" s="16"/>
      <c r="T57" s="16"/>
      <c r="U57" s="16"/>
      <c r="V57" s="16"/>
      <c r="W57" s="16"/>
      <c r="X57" s="16"/>
      <c r="Y57" s="16"/>
      <c r="Z57" s="16"/>
      <c r="AA57" s="16"/>
    </row>
    <row r="58" spans="1:27" ht="24" hidden="1" customHeight="1" outlineLevel="2">
      <c r="A58" s="215" t="s">
        <v>3512</v>
      </c>
      <c r="B58" s="216"/>
      <c r="C58" s="216"/>
      <c r="D58" s="216"/>
      <c r="E58" s="216"/>
      <c r="F58" s="216"/>
      <c r="G58" s="218"/>
      <c r="H58" s="218"/>
      <c r="I58" s="216"/>
      <c r="J58" s="216"/>
      <c r="K58" s="218"/>
      <c r="L58" s="216"/>
      <c r="M58" s="216"/>
      <c r="N58" s="216"/>
      <c r="O58" s="216"/>
      <c r="P58" s="216"/>
      <c r="Q58" s="216"/>
      <c r="R58" s="216"/>
      <c r="S58" s="216"/>
      <c r="T58" s="216"/>
      <c r="U58" s="216"/>
      <c r="V58" s="216"/>
      <c r="W58" s="216"/>
      <c r="X58" s="216"/>
      <c r="Y58" s="216"/>
      <c r="Z58" s="216"/>
      <c r="AA58" s="216"/>
    </row>
    <row r="59" spans="1:27" ht="24" hidden="1" customHeight="1" outlineLevel="2">
      <c r="A59" s="219" t="s">
        <v>3513</v>
      </c>
      <c r="B59" s="76" t="s">
        <v>1427</v>
      </c>
      <c r="C59" s="14" t="s">
        <v>1428</v>
      </c>
      <c r="D59" s="16" t="s">
        <v>18</v>
      </c>
      <c r="E59" s="204">
        <v>44802</v>
      </c>
      <c r="F59" s="16" t="b">
        <v>1</v>
      </c>
      <c r="G59" s="205" t="s">
        <v>3514</v>
      </c>
      <c r="H59" s="205"/>
      <c r="I59" s="16" t="b">
        <v>1</v>
      </c>
      <c r="J59" s="16" t="s">
        <v>3433</v>
      </c>
      <c r="K59" s="205"/>
      <c r="L59" s="16" t="b">
        <v>1</v>
      </c>
      <c r="M59" s="16"/>
      <c r="N59" s="16"/>
      <c r="O59" s="16"/>
      <c r="P59" s="16"/>
      <c r="Q59" s="16"/>
      <c r="R59" s="16"/>
      <c r="S59" s="16"/>
      <c r="T59" s="16"/>
      <c r="U59" s="16"/>
      <c r="V59" s="16"/>
      <c r="W59" s="16"/>
      <c r="X59" s="16"/>
      <c r="Y59" s="16"/>
      <c r="Z59" s="16"/>
      <c r="AA59" s="16"/>
    </row>
    <row r="60" spans="1:27" ht="24" hidden="1" customHeight="1" outlineLevel="2">
      <c r="A60" s="219" t="s">
        <v>3515</v>
      </c>
      <c r="B60" s="76" t="s">
        <v>1635</v>
      </c>
      <c r="C60" s="14" t="s">
        <v>1636</v>
      </c>
      <c r="D60" s="16" t="s">
        <v>18</v>
      </c>
      <c r="E60" s="204">
        <v>44802</v>
      </c>
      <c r="F60" s="16" t="b">
        <v>1</v>
      </c>
      <c r="G60" s="205" t="s">
        <v>3516</v>
      </c>
      <c r="H60" s="205"/>
      <c r="I60" s="16" t="b">
        <v>1</v>
      </c>
      <c r="J60" s="16" t="s">
        <v>3433</v>
      </c>
      <c r="K60" s="205" t="s">
        <v>3517</v>
      </c>
      <c r="L60" s="16" t="b">
        <v>1</v>
      </c>
      <c r="M60" s="16"/>
      <c r="N60" s="16"/>
      <c r="O60" s="16"/>
      <c r="P60" s="16"/>
      <c r="Q60" s="16"/>
      <c r="R60" s="16"/>
      <c r="S60" s="16"/>
      <c r="T60" s="16"/>
      <c r="U60" s="16"/>
      <c r="V60" s="16"/>
      <c r="W60" s="16"/>
      <c r="X60" s="16"/>
      <c r="Y60" s="16"/>
      <c r="Z60" s="16"/>
      <c r="AA60" s="16"/>
    </row>
    <row r="61" spans="1:27" ht="24" hidden="1" customHeight="1" outlineLevel="2">
      <c r="A61" s="219" t="s">
        <v>3518</v>
      </c>
      <c r="B61" s="76" t="s">
        <v>1456</v>
      </c>
      <c r="C61" s="76" t="s">
        <v>3519</v>
      </c>
      <c r="D61" s="16" t="s">
        <v>18</v>
      </c>
      <c r="E61" s="204">
        <v>44802</v>
      </c>
      <c r="F61" s="16" t="b">
        <v>1</v>
      </c>
      <c r="G61" s="205" t="s">
        <v>3520</v>
      </c>
      <c r="H61" s="205"/>
      <c r="I61" s="16" t="b">
        <v>1</v>
      </c>
      <c r="J61" s="16" t="s">
        <v>3433</v>
      </c>
      <c r="K61" s="205" t="s">
        <v>3521</v>
      </c>
      <c r="L61" s="16" t="b">
        <v>1</v>
      </c>
      <c r="M61" s="16"/>
      <c r="N61" s="16"/>
      <c r="O61" s="16"/>
      <c r="P61" s="16"/>
      <c r="Q61" s="16"/>
      <c r="R61" s="16"/>
      <c r="S61" s="16"/>
      <c r="T61" s="16"/>
      <c r="U61" s="16"/>
      <c r="V61" s="16"/>
      <c r="W61" s="16"/>
      <c r="X61" s="16"/>
      <c r="Y61" s="16"/>
      <c r="Z61" s="16"/>
      <c r="AA61" s="16"/>
    </row>
    <row r="62" spans="1:27" ht="24" hidden="1" customHeight="1" outlineLevel="2">
      <c r="A62" s="219" t="s">
        <v>3522</v>
      </c>
      <c r="B62" s="167">
        <v>380979492586</v>
      </c>
      <c r="C62" s="76" t="s">
        <v>717</v>
      </c>
      <c r="D62" s="16" t="s">
        <v>3388</v>
      </c>
      <c r="E62" s="204">
        <v>44802</v>
      </c>
      <c r="F62" s="16" t="b">
        <v>1</v>
      </c>
      <c r="G62" s="205" t="s">
        <v>3523</v>
      </c>
      <c r="H62" s="205"/>
      <c r="I62" s="16" t="b">
        <v>1</v>
      </c>
      <c r="J62" s="16" t="s">
        <v>3524</v>
      </c>
      <c r="K62" s="205"/>
      <c r="L62" s="16" t="b">
        <v>1</v>
      </c>
      <c r="M62" s="16"/>
      <c r="N62" s="16"/>
      <c r="O62" s="16"/>
      <c r="P62" s="16"/>
      <c r="Q62" s="16"/>
      <c r="R62" s="16"/>
      <c r="S62" s="16"/>
      <c r="T62" s="16"/>
      <c r="U62" s="16"/>
      <c r="V62" s="16"/>
      <c r="W62" s="16"/>
      <c r="X62" s="16"/>
      <c r="Y62" s="16"/>
      <c r="Z62" s="16"/>
      <c r="AA62" s="16"/>
    </row>
    <row r="63" spans="1:27" ht="24" hidden="1" customHeight="1" outlineLevel="2">
      <c r="A63" s="219" t="s">
        <v>3525</v>
      </c>
      <c r="B63" s="76" t="s">
        <v>1359</v>
      </c>
      <c r="C63" s="14" t="s">
        <v>1360</v>
      </c>
      <c r="D63" s="16" t="s">
        <v>3388</v>
      </c>
      <c r="E63" s="204">
        <v>44802</v>
      </c>
      <c r="F63" s="16" t="b">
        <v>1</v>
      </c>
      <c r="G63" s="205" t="s">
        <v>3526</v>
      </c>
      <c r="H63" s="205"/>
      <c r="I63" s="16" t="b">
        <v>1</v>
      </c>
      <c r="J63" s="16" t="s">
        <v>3524</v>
      </c>
      <c r="K63" s="205"/>
      <c r="L63" s="16" t="b">
        <v>1</v>
      </c>
      <c r="M63" s="16"/>
      <c r="N63" s="16"/>
      <c r="O63" s="16"/>
      <c r="P63" s="16"/>
      <c r="Q63" s="16"/>
      <c r="R63" s="16"/>
      <c r="S63" s="16"/>
      <c r="T63" s="16"/>
      <c r="U63" s="16"/>
      <c r="V63" s="16"/>
      <c r="W63" s="16"/>
      <c r="X63" s="16"/>
      <c r="Y63" s="16"/>
      <c r="Z63" s="16"/>
      <c r="AA63" s="16"/>
    </row>
    <row r="64" spans="1:27" ht="24" hidden="1" customHeight="1" outlineLevel="2">
      <c r="A64" s="219" t="s">
        <v>3527</v>
      </c>
      <c r="B64" s="16" t="s">
        <v>1648</v>
      </c>
      <c r="C64" s="16" t="s">
        <v>1649</v>
      </c>
      <c r="D64" s="16" t="s">
        <v>20</v>
      </c>
      <c r="E64" s="204">
        <v>44802</v>
      </c>
      <c r="F64" s="16" t="b">
        <v>0</v>
      </c>
      <c r="G64" s="205" t="s">
        <v>3528</v>
      </c>
      <c r="H64" s="205"/>
      <c r="I64" s="16" t="b">
        <v>1</v>
      </c>
      <c r="J64" s="16"/>
      <c r="K64" s="205"/>
      <c r="L64" s="16" t="b">
        <v>0</v>
      </c>
      <c r="M64" s="16"/>
      <c r="N64" s="16"/>
      <c r="O64" s="16"/>
      <c r="P64" s="16"/>
      <c r="Q64" s="16"/>
      <c r="R64" s="16"/>
      <c r="S64" s="16"/>
      <c r="T64" s="16"/>
      <c r="U64" s="16"/>
      <c r="V64" s="16"/>
      <c r="W64" s="16"/>
      <c r="X64" s="16"/>
      <c r="Y64" s="16"/>
      <c r="Z64" s="16"/>
      <c r="AA64" s="16"/>
    </row>
    <row r="65" spans="1:27" ht="24" hidden="1" customHeight="1" outlineLevel="2">
      <c r="A65" s="219" t="s">
        <v>3529</v>
      </c>
      <c r="B65" s="16" t="s">
        <v>1651</v>
      </c>
      <c r="C65" s="158" t="s">
        <v>1652</v>
      </c>
      <c r="D65" s="76" t="s">
        <v>3530</v>
      </c>
      <c r="E65" s="204">
        <v>44802</v>
      </c>
      <c r="F65" s="16" t="b">
        <v>0</v>
      </c>
      <c r="G65" s="205" t="s">
        <v>3531</v>
      </c>
      <c r="H65" s="205"/>
      <c r="I65" s="16" t="b">
        <v>1</v>
      </c>
      <c r="J65" s="16" t="s">
        <v>3468</v>
      </c>
      <c r="K65" s="221" t="s">
        <v>3532</v>
      </c>
      <c r="L65" s="16" t="b">
        <v>1</v>
      </c>
      <c r="M65" s="16"/>
      <c r="N65" s="16"/>
      <c r="O65" s="16"/>
      <c r="P65" s="16"/>
      <c r="Q65" s="16"/>
      <c r="R65" s="16"/>
      <c r="S65" s="16"/>
      <c r="T65" s="16"/>
      <c r="U65" s="16"/>
      <c r="V65" s="16"/>
      <c r="W65" s="16"/>
      <c r="X65" s="16"/>
      <c r="Y65" s="16"/>
      <c r="Z65" s="16"/>
      <c r="AA65" s="16"/>
    </row>
    <row r="66" spans="1:27" ht="24" hidden="1" customHeight="1" outlineLevel="2">
      <c r="A66" s="225" t="s">
        <v>3533</v>
      </c>
      <c r="B66" s="226" t="s">
        <v>3534</v>
      </c>
      <c r="C66" s="235" t="s">
        <v>3535</v>
      </c>
      <c r="D66" s="226" t="s">
        <v>3388</v>
      </c>
      <c r="E66" s="228">
        <v>44803</v>
      </c>
      <c r="F66" s="227" t="b">
        <v>0</v>
      </c>
      <c r="G66" s="229" t="s">
        <v>3536</v>
      </c>
      <c r="H66" s="229"/>
      <c r="I66" s="227" t="b">
        <v>1</v>
      </c>
      <c r="J66" s="227" t="s">
        <v>3524</v>
      </c>
      <c r="K66" s="229" t="s">
        <v>3391</v>
      </c>
      <c r="L66" s="227" t="b">
        <v>1</v>
      </c>
      <c r="M66" s="16"/>
      <c r="N66" s="16"/>
      <c r="O66" s="16"/>
      <c r="P66" s="16"/>
      <c r="Q66" s="16"/>
      <c r="R66" s="16"/>
      <c r="S66" s="16"/>
      <c r="T66" s="16"/>
      <c r="U66" s="16"/>
      <c r="V66" s="16"/>
      <c r="W66" s="16"/>
      <c r="X66" s="16"/>
      <c r="Y66" s="16"/>
      <c r="Z66" s="16"/>
      <c r="AA66" s="16"/>
    </row>
    <row r="67" spans="1:27" ht="24" hidden="1" customHeight="1" outlineLevel="2">
      <c r="A67" s="219" t="s">
        <v>3537</v>
      </c>
      <c r="B67" s="76" t="s">
        <v>1658</v>
      </c>
      <c r="C67" s="158" t="s">
        <v>1659</v>
      </c>
      <c r="D67" s="76" t="s">
        <v>3388</v>
      </c>
      <c r="E67" s="204">
        <v>44803</v>
      </c>
      <c r="F67" s="16" t="b">
        <v>0</v>
      </c>
      <c r="G67" s="205" t="s">
        <v>3538</v>
      </c>
      <c r="H67" s="205"/>
      <c r="I67" s="16" t="b">
        <v>1</v>
      </c>
      <c r="J67" s="16" t="s">
        <v>3524</v>
      </c>
      <c r="K67" s="205"/>
      <c r="L67" s="16" t="b">
        <v>1</v>
      </c>
      <c r="M67" s="16"/>
      <c r="N67" s="16"/>
      <c r="O67" s="16"/>
      <c r="P67" s="16"/>
      <c r="Q67" s="16"/>
      <c r="R67" s="16"/>
      <c r="S67" s="16"/>
      <c r="T67" s="16"/>
      <c r="U67" s="16"/>
      <c r="V67" s="16"/>
      <c r="W67" s="16"/>
      <c r="X67" s="16"/>
      <c r="Y67" s="16"/>
      <c r="Z67" s="16"/>
      <c r="AA67" s="16"/>
    </row>
    <row r="68" spans="1:27" ht="24" hidden="1" customHeight="1" outlineLevel="1" collapsed="1">
      <c r="A68" s="236" t="s">
        <v>28</v>
      </c>
      <c r="B68" s="184"/>
      <c r="C68" s="184"/>
      <c r="D68" s="184"/>
      <c r="E68" s="237"/>
      <c r="F68" s="184"/>
      <c r="G68" s="238"/>
      <c r="H68" s="238"/>
      <c r="I68" s="184"/>
      <c r="J68" s="184"/>
      <c r="K68" s="238"/>
      <c r="L68" s="238"/>
      <c r="M68" s="184"/>
      <c r="N68" s="184"/>
      <c r="O68" s="184"/>
      <c r="P68" s="184"/>
      <c r="Q68" s="184"/>
      <c r="R68" s="184"/>
      <c r="S68" s="184"/>
      <c r="T68" s="184"/>
      <c r="U68" s="184"/>
      <c r="V68" s="184"/>
      <c r="W68" s="184"/>
      <c r="X68" s="184"/>
      <c r="Y68" s="184"/>
      <c r="Z68" s="184"/>
      <c r="AA68" s="184"/>
    </row>
    <row r="69" spans="1:27" ht="24" hidden="1" customHeight="1" outlineLevel="2">
      <c r="A69" s="239"/>
      <c r="B69" s="184" t="s">
        <v>3539</v>
      </c>
      <c r="C69" s="184"/>
      <c r="D69" s="184"/>
      <c r="E69" s="184"/>
      <c r="F69" s="184"/>
      <c r="G69" s="238"/>
      <c r="H69" s="238"/>
      <c r="I69" s="184"/>
      <c r="J69" s="184"/>
      <c r="K69" s="238"/>
      <c r="L69" s="184"/>
      <c r="M69" s="184"/>
      <c r="N69" s="184"/>
      <c r="O69" s="184"/>
      <c r="P69" s="184"/>
      <c r="Q69" s="184"/>
      <c r="R69" s="184"/>
      <c r="S69" s="184"/>
      <c r="T69" s="184"/>
      <c r="U69" s="184"/>
      <c r="V69" s="184"/>
      <c r="W69" s="184"/>
      <c r="X69" s="184"/>
      <c r="Y69" s="184"/>
      <c r="Z69" s="184"/>
      <c r="AA69" s="184"/>
    </row>
    <row r="70" spans="1:27" ht="24" hidden="1" customHeight="1" outlineLevel="3">
      <c r="A70" s="239" t="s">
        <v>1288</v>
      </c>
      <c r="B70" s="240" t="s">
        <v>3540</v>
      </c>
      <c r="C70" s="48" t="s">
        <v>1291</v>
      </c>
      <c r="D70" s="48" t="s">
        <v>3388</v>
      </c>
      <c r="E70" s="241">
        <v>44809</v>
      </c>
      <c r="F70" s="184" t="b">
        <v>0</v>
      </c>
      <c r="G70" s="238" t="s">
        <v>3541</v>
      </c>
      <c r="H70" s="238"/>
      <c r="I70" s="184" t="b">
        <v>1</v>
      </c>
      <c r="J70" s="242" t="s">
        <v>3524</v>
      </c>
      <c r="K70" s="238" t="s">
        <v>3532</v>
      </c>
      <c r="L70" s="184" t="b">
        <v>1</v>
      </c>
      <c r="M70" s="184"/>
      <c r="N70" s="184"/>
      <c r="O70" s="184"/>
      <c r="P70" s="184"/>
      <c r="Q70" s="184"/>
      <c r="R70" s="184"/>
      <c r="S70" s="184"/>
      <c r="T70" s="184"/>
      <c r="U70" s="184"/>
      <c r="V70" s="184"/>
      <c r="W70" s="184"/>
      <c r="X70" s="184"/>
      <c r="Y70" s="184"/>
      <c r="Z70" s="184"/>
      <c r="AA70" s="184"/>
    </row>
    <row r="71" spans="1:27" ht="24" hidden="1" customHeight="1" outlineLevel="3">
      <c r="A71" s="243" t="s">
        <v>3542</v>
      </c>
      <c r="B71" s="244" t="s">
        <v>3543</v>
      </c>
      <c r="C71" s="245" t="s">
        <v>3544</v>
      </c>
      <c r="D71" s="244" t="s">
        <v>20</v>
      </c>
      <c r="E71" s="246">
        <v>44809</v>
      </c>
      <c r="F71" s="247" t="b">
        <v>0</v>
      </c>
      <c r="G71" s="248" t="s">
        <v>3545</v>
      </c>
      <c r="H71" s="248"/>
      <c r="I71" s="247" t="b">
        <v>1</v>
      </c>
      <c r="J71" s="247" t="s">
        <v>3489</v>
      </c>
      <c r="K71" s="248"/>
      <c r="L71" s="247"/>
      <c r="M71" s="184"/>
      <c r="N71" s="184"/>
      <c r="O71" s="184"/>
      <c r="P71" s="184"/>
      <c r="Q71" s="184"/>
      <c r="R71" s="184"/>
      <c r="S71" s="184"/>
      <c r="T71" s="184"/>
      <c r="U71" s="184"/>
      <c r="V71" s="184"/>
      <c r="W71" s="184"/>
      <c r="X71" s="184"/>
      <c r="Y71" s="184"/>
      <c r="Z71" s="184"/>
      <c r="AA71" s="184"/>
    </row>
    <row r="72" spans="1:27" ht="24" hidden="1" customHeight="1" outlineLevel="3">
      <c r="A72" s="239" t="s">
        <v>1052</v>
      </c>
      <c r="B72" s="48" t="s">
        <v>1053</v>
      </c>
      <c r="C72" s="249" t="s">
        <v>1054</v>
      </c>
      <c r="D72" s="48" t="s">
        <v>3388</v>
      </c>
      <c r="E72" s="241">
        <v>44809</v>
      </c>
      <c r="F72" s="184" t="b">
        <v>0</v>
      </c>
      <c r="G72" s="238" t="s">
        <v>3546</v>
      </c>
      <c r="H72" s="238"/>
      <c r="I72" s="184" t="b">
        <v>1</v>
      </c>
      <c r="J72" s="184" t="s">
        <v>3524</v>
      </c>
      <c r="K72" s="242" t="s">
        <v>3532</v>
      </c>
      <c r="L72" s="184" t="b">
        <v>1</v>
      </c>
      <c r="M72" s="184"/>
      <c r="N72" s="184"/>
      <c r="O72" s="184"/>
      <c r="P72" s="184"/>
      <c r="Q72" s="184"/>
      <c r="R72" s="184"/>
      <c r="S72" s="184"/>
      <c r="T72" s="184"/>
      <c r="U72" s="184"/>
      <c r="V72" s="184"/>
      <c r="W72" s="184"/>
      <c r="X72" s="184"/>
      <c r="Y72" s="184"/>
      <c r="Z72" s="184"/>
      <c r="AA72" s="184"/>
    </row>
    <row r="73" spans="1:27" ht="24" hidden="1" customHeight="1" outlineLevel="3">
      <c r="A73" s="239" t="s">
        <v>3547</v>
      </c>
      <c r="B73" s="240" t="s">
        <v>3548</v>
      </c>
      <c r="C73" s="250" t="s">
        <v>455</v>
      </c>
      <c r="D73" s="48" t="s">
        <v>3388</v>
      </c>
      <c r="E73" s="241">
        <v>44809</v>
      </c>
      <c r="F73" s="184" t="b">
        <v>0</v>
      </c>
      <c r="G73" s="238" t="s">
        <v>3549</v>
      </c>
      <c r="H73" s="238"/>
      <c r="I73" s="184" t="b">
        <v>1</v>
      </c>
      <c r="J73" s="242" t="s">
        <v>3524</v>
      </c>
      <c r="K73" s="242" t="s">
        <v>3532</v>
      </c>
      <c r="L73" s="184" t="b">
        <v>1</v>
      </c>
      <c r="M73" s="184"/>
      <c r="N73" s="184"/>
      <c r="O73" s="184"/>
      <c r="P73" s="184"/>
      <c r="Q73" s="184"/>
      <c r="R73" s="184"/>
      <c r="S73" s="184"/>
      <c r="T73" s="184"/>
      <c r="U73" s="184"/>
      <c r="V73" s="184"/>
      <c r="W73" s="184"/>
      <c r="X73" s="184"/>
      <c r="Y73" s="184"/>
      <c r="Z73" s="184"/>
      <c r="AA73" s="184"/>
    </row>
    <row r="74" spans="1:27" ht="24" hidden="1" customHeight="1" outlineLevel="3">
      <c r="A74" s="239" t="s">
        <v>3550</v>
      </c>
      <c r="B74" s="184" t="s">
        <v>3551</v>
      </c>
      <c r="C74" s="184" t="s">
        <v>1407</v>
      </c>
      <c r="D74" s="184" t="s">
        <v>3388</v>
      </c>
      <c r="E74" s="237">
        <v>44810</v>
      </c>
      <c r="F74" s="184" t="b">
        <v>0</v>
      </c>
      <c r="G74" s="238" t="s">
        <v>3552</v>
      </c>
      <c r="H74" s="238"/>
      <c r="I74" s="184" t="b">
        <v>1</v>
      </c>
      <c r="J74" s="242" t="s">
        <v>3524</v>
      </c>
      <c r="K74" s="242" t="s">
        <v>3532</v>
      </c>
      <c r="L74" s="184" t="b">
        <v>1</v>
      </c>
      <c r="M74" s="184"/>
      <c r="N74" s="184"/>
      <c r="O74" s="184"/>
      <c r="P74" s="184"/>
      <c r="Q74" s="184"/>
      <c r="R74" s="184"/>
      <c r="S74" s="184"/>
      <c r="T74" s="184"/>
      <c r="U74" s="184"/>
      <c r="V74" s="184"/>
      <c r="W74" s="184"/>
      <c r="X74" s="184"/>
      <c r="Y74" s="184"/>
      <c r="Z74" s="184"/>
      <c r="AA74" s="184"/>
    </row>
    <row r="75" spans="1:27" ht="24" hidden="1" customHeight="1" outlineLevel="3">
      <c r="A75" s="239" t="s">
        <v>3553</v>
      </c>
      <c r="B75" s="251" t="s">
        <v>3554</v>
      </c>
      <c r="C75" s="252" t="s">
        <v>1387</v>
      </c>
      <c r="D75" s="184" t="s">
        <v>3388</v>
      </c>
      <c r="E75" s="237">
        <v>44810</v>
      </c>
      <c r="F75" s="184" t="b">
        <v>0</v>
      </c>
      <c r="G75" s="238" t="s">
        <v>3555</v>
      </c>
      <c r="H75" s="238"/>
      <c r="I75" s="184" t="b">
        <v>1</v>
      </c>
      <c r="J75" s="242" t="s">
        <v>3524</v>
      </c>
      <c r="K75" s="242" t="s">
        <v>3532</v>
      </c>
      <c r="L75" s="184" t="b">
        <v>1</v>
      </c>
      <c r="M75" s="184"/>
      <c r="N75" s="184"/>
      <c r="O75" s="184"/>
      <c r="P75" s="184"/>
      <c r="Q75" s="184"/>
      <c r="R75" s="184"/>
      <c r="S75" s="184"/>
      <c r="T75" s="184"/>
      <c r="U75" s="184"/>
      <c r="V75" s="184"/>
      <c r="W75" s="184"/>
      <c r="X75" s="184"/>
      <c r="Y75" s="184"/>
      <c r="Z75" s="184"/>
      <c r="AA75" s="184"/>
    </row>
    <row r="76" spans="1:27" ht="24" hidden="1" customHeight="1" outlineLevel="3">
      <c r="A76" s="239" t="s">
        <v>1675</v>
      </c>
      <c r="B76" s="253">
        <v>380930479640</v>
      </c>
      <c r="C76" s="184" t="s">
        <v>1676</v>
      </c>
      <c r="D76" s="184" t="s">
        <v>18</v>
      </c>
      <c r="E76" s="237">
        <v>44811</v>
      </c>
      <c r="F76" s="184" t="b">
        <v>1</v>
      </c>
      <c r="G76" s="238" t="s">
        <v>3556</v>
      </c>
      <c r="H76" s="238"/>
      <c r="I76" s="184" t="b">
        <v>0</v>
      </c>
      <c r="J76" s="184" t="s">
        <v>3433</v>
      </c>
      <c r="K76" s="238"/>
      <c r="L76" s="184" t="b">
        <v>0</v>
      </c>
      <c r="M76" s="184"/>
      <c r="N76" s="184"/>
      <c r="O76" s="184"/>
      <c r="P76" s="184"/>
      <c r="Q76" s="184"/>
      <c r="R76" s="184"/>
      <c r="S76" s="184"/>
      <c r="T76" s="184"/>
      <c r="U76" s="184"/>
      <c r="V76" s="184"/>
      <c r="W76" s="184"/>
      <c r="X76" s="184"/>
      <c r="Y76" s="184"/>
      <c r="Z76" s="184"/>
      <c r="AA76" s="184"/>
    </row>
    <row r="77" spans="1:27" ht="24" hidden="1" customHeight="1" outlineLevel="3">
      <c r="A77" s="239" t="s">
        <v>912</v>
      </c>
      <c r="B77" s="184" t="s">
        <v>914</v>
      </c>
      <c r="C77" s="254" t="s">
        <v>915</v>
      </c>
      <c r="D77" s="184" t="s">
        <v>18</v>
      </c>
      <c r="E77" s="237">
        <v>44811</v>
      </c>
      <c r="F77" s="184" t="b">
        <v>1</v>
      </c>
      <c r="G77" s="238" t="s">
        <v>3557</v>
      </c>
      <c r="H77" s="238"/>
      <c r="I77" s="184" t="b">
        <v>1</v>
      </c>
      <c r="J77" s="184" t="s">
        <v>3433</v>
      </c>
      <c r="K77" s="238" t="s">
        <v>3558</v>
      </c>
      <c r="L77" s="184" t="b">
        <v>1</v>
      </c>
      <c r="M77" s="184"/>
      <c r="N77" s="184"/>
      <c r="O77" s="184"/>
      <c r="P77" s="184"/>
      <c r="Q77" s="184"/>
      <c r="R77" s="184"/>
      <c r="S77" s="184"/>
      <c r="T77" s="184"/>
      <c r="U77" s="184"/>
      <c r="V77" s="184"/>
      <c r="W77" s="184"/>
      <c r="X77" s="184"/>
      <c r="Y77" s="184"/>
      <c r="Z77" s="184"/>
      <c r="AA77" s="184"/>
    </row>
    <row r="78" spans="1:27" ht="24" hidden="1" customHeight="1" outlineLevel="3">
      <c r="A78" s="239" t="s">
        <v>560</v>
      </c>
      <c r="B78" s="255" t="s">
        <v>3559</v>
      </c>
      <c r="C78" s="252" t="s">
        <v>563</v>
      </c>
      <c r="D78" s="184" t="s">
        <v>3383</v>
      </c>
      <c r="E78" s="237">
        <v>44811</v>
      </c>
      <c r="F78" s="184" t="b">
        <v>0</v>
      </c>
      <c r="G78" s="238" t="s">
        <v>3560</v>
      </c>
      <c r="H78" s="238"/>
      <c r="I78" s="184" t="b">
        <v>1</v>
      </c>
      <c r="J78" s="184" t="s">
        <v>3561</v>
      </c>
      <c r="K78" s="242" t="s">
        <v>3532</v>
      </c>
      <c r="L78" s="184" t="b">
        <v>1</v>
      </c>
      <c r="M78" s="184"/>
      <c r="N78" s="184"/>
      <c r="O78" s="184"/>
      <c r="P78" s="184"/>
      <c r="Q78" s="184"/>
      <c r="R78" s="184"/>
      <c r="S78" s="184"/>
      <c r="T78" s="184"/>
      <c r="U78" s="184"/>
      <c r="V78" s="184"/>
      <c r="W78" s="184"/>
      <c r="X78" s="184"/>
      <c r="Y78" s="184"/>
      <c r="Z78" s="184"/>
      <c r="AA78" s="184"/>
    </row>
    <row r="79" spans="1:27" ht="24" hidden="1" customHeight="1" outlineLevel="2">
      <c r="A79" s="239"/>
      <c r="B79" s="237">
        <v>44816</v>
      </c>
      <c r="C79" s="184"/>
      <c r="D79" s="184"/>
      <c r="E79" s="184"/>
      <c r="F79" s="184"/>
      <c r="G79" s="238"/>
      <c r="H79" s="238"/>
      <c r="I79" s="184"/>
      <c r="J79" s="184"/>
      <c r="K79" s="238"/>
      <c r="L79" s="184"/>
      <c r="M79" s="184"/>
      <c r="N79" s="184"/>
      <c r="O79" s="184"/>
      <c r="P79" s="184"/>
      <c r="Q79" s="184"/>
      <c r="R79" s="184"/>
      <c r="S79" s="184"/>
      <c r="T79" s="184"/>
      <c r="U79" s="184"/>
      <c r="V79" s="184"/>
      <c r="W79" s="184"/>
      <c r="X79" s="184"/>
      <c r="Y79" s="184"/>
      <c r="Z79" s="184"/>
      <c r="AA79" s="184"/>
    </row>
    <row r="80" spans="1:27" ht="24" hidden="1" customHeight="1" outlineLevel="3">
      <c r="A80" s="239" t="s">
        <v>3562</v>
      </c>
      <c r="B80" s="184" t="s">
        <v>1255</v>
      </c>
      <c r="C80" s="254" t="s">
        <v>1256</v>
      </c>
      <c r="D80" s="184" t="s">
        <v>3563</v>
      </c>
      <c r="E80" s="237">
        <v>44816</v>
      </c>
      <c r="F80" s="184" t="b">
        <v>0</v>
      </c>
      <c r="G80" s="238" t="s">
        <v>3564</v>
      </c>
      <c r="H80" s="238"/>
      <c r="I80" s="184" t="b">
        <v>1</v>
      </c>
      <c r="J80" s="184" t="s">
        <v>3565</v>
      </c>
      <c r="K80" s="238"/>
      <c r="L80" s="184" t="b">
        <v>1</v>
      </c>
      <c r="M80" s="184"/>
      <c r="N80" s="184"/>
      <c r="O80" s="184"/>
      <c r="P80" s="184"/>
      <c r="Q80" s="184"/>
      <c r="R80" s="184"/>
      <c r="S80" s="184"/>
      <c r="T80" s="184"/>
      <c r="U80" s="184"/>
      <c r="V80" s="184"/>
      <c r="W80" s="184"/>
      <c r="X80" s="184"/>
      <c r="Y80" s="184"/>
      <c r="Z80" s="184"/>
      <c r="AA80" s="184"/>
    </row>
    <row r="81" spans="1:27" ht="24" hidden="1" customHeight="1" outlineLevel="3">
      <c r="A81" s="239" t="s">
        <v>1687</v>
      </c>
      <c r="B81" s="256" t="s">
        <v>1688</v>
      </c>
      <c r="C81" s="184" t="s">
        <v>1689</v>
      </c>
      <c r="D81" s="184" t="s">
        <v>3383</v>
      </c>
      <c r="E81" s="237">
        <v>44816</v>
      </c>
      <c r="F81" s="184" t="b">
        <v>0</v>
      </c>
      <c r="G81" s="238" t="s">
        <v>3566</v>
      </c>
      <c r="H81" s="238"/>
      <c r="I81" s="184" t="b">
        <v>1</v>
      </c>
      <c r="J81" s="184" t="s">
        <v>3567</v>
      </c>
      <c r="K81" s="238" t="s">
        <v>3568</v>
      </c>
      <c r="L81" s="184" t="b">
        <v>0</v>
      </c>
      <c r="M81" s="184"/>
      <c r="N81" s="184"/>
      <c r="O81" s="184"/>
      <c r="P81" s="184"/>
      <c r="Q81" s="184"/>
      <c r="R81" s="184"/>
      <c r="S81" s="184"/>
      <c r="T81" s="184"/>
      <c r="U81" s="184"/>
      <c r="V81" s="184"/>
      <c r="W81" s="184"/>
      <c r="X81" s="184"/>
      <c r="Y81" s="184"/>
      <c r="Z81" s="184"/>
      <c r="AA81" s="184"/>
    </row>
    <row r="82" spans="1:27" ht="24" hidden="1" customHeight="1" outlineLevel="3">
      <c r="A82" s="239" t="s">
        <v>3569</v>
      </c>
      <c r="B82" s="184" t="s">
        <v>212</v>
      </c>
      <c r="C82" s="184" t="s">
        <v>213</v>
      </c>
      <c r="D82" s="184" t="s">
        <v>3383</v>
      </c>
      <c r="E82" s="237">
        <v>44816</v>
      </c>
      <c r="F82" s="184" t="b">
        <v>0</v>
      </c>
      <c r="G82" s="238" t="s">
        <v>3570</v>
      </c>
      <c r="H82" s="238"/>
      <c r="I82" s="184" t="b">
        <v>1</v>
      </c>
      <c r="J82" s="242" t="s">
        <v>3567</v>
      </c>
      <c r="K82" s="238"/>
      <c r="L82" s="184" t="b">
        <v>0</v>
      </c>
      <c r="M82" s="184"/>
      <c r="N82" s="184"/>
      <c r="O82" s="184"/>
      <c r="P82" s="184"/>
      <c r="Q82" s="184"/>
      <c r="R82" s="184"/>
      <c r="S82" s="184"/>
      <c r="T82" s="184"/>
      <c r="U82" s="184"/>
      <c r="V82" s="184"/>
      <c r="W82" s="184"/>
      <c r="X82" s="184"/>
      <c r="Y82" s="184"/>
      <c r="Z82" s="184"/>
      <c r="AA82" s="184"/>
    </row>
    <row r="83" spans="1:27" ht="24" hidden="1" customHeight="1" outlineLevel="3">
      <c r="A83" s="239" t="s">
        <v>3571</v>
      </c>
      <c r="B83" s="184" t="s">
        <v>1355</v>
      </c>
      <c r="C83" s="254" t="s">
        <v>1356</v>
      </c>
      <c r="D83" s="184" t="s">
        <v>11</v>
      </c>
      <c r="E83" s="237">
        <v>44816</v>
      </c>
      <c r="F83" s="184" t="b">
        <v>1</v>
      </c>
      <c r="G83" s="238" t="s">
        <v>3572</v>
      </c>
      <c r="H83" s="238"/>
      <c r="I83" s="184" t="b">
        <v>1</v>
      </c>
      <c r="J83" s="184" t="s">
        <v>3573</v>
      </c>
      <c r="K83" s="238"/>
      <c r="L83" s="184" t="b">
        <v>1</v>
      </c>
      <c r="M83" s="184"/>
      <c r="N83" s="184"/>
      <c r="O83" s="184"/>
      <c r="P83" s="184"/>
      <c r="Q83" s="184"/>
      <c r="R83" s="184"/>
      <c r="S83" s="184"/>
      <c r="T83" s="184"/>
      <c r="U83" s="184"/>
      <c r="V83" s="184"/>
      <c r="W83" s="184"/>
      <c r="X83" s="184"/>
      <c r="Y83" s="184"/>
      <c r="Z83" s="184"/>
      <c r="AA83" s="184"/>
    </row>
    <row r="84" spans="1:27" ht="24" hidden="1" customHeight="1" outlineLevel="3">
      <c r="A84" s="239" t="s">
        <v>3574</v>
      </c>
      <c r="B84" s="184">
        <v>380935543416</v>
      </c>
      <c r="C84" s="254" t="s">
        <v>1112</v>
      </c>
      <c r="D84" s="184" t="s">
        <v>3388</v>
      </c>
      <c r="E84" s="237">
        <v>44816</v>
      </c>
      <c r="F84" s="184" t="b">
        <v>1</v>
      </c>
      <c r="G84" s="238" t="s">
        <v>3575</v>
      </c>
      <c r="H84" s="238"/>
      <c r="I84" s="184" t="b">
        <v>1</v>
      </c>
      <c r="J84" s="184" t="s">
        <v>3524</v>
      </c>
      <c r="K84" s="238"/>
      <c r="L84" s="184" t="b">
        <v>1</v>
      </c>
      <c r="M84" s="184"/>
      <c r="N84" s="184"/>
      <c r="O84" s="184"/>
      <c r="P84" s="184"/>
      <c r="Q84" s="184"/>
      <c r="R84" s="184"/>
      <c r="S84" s="184"/>
      <c r="T84" s="184"/>
      <c r="U84" s="184"/>
      <c r="V84" s="184"/>
      <c r="W84" s="184"/>
      <c r="X84" s="184"/>
      <c r="Y84" s="184"/>
      <c r="Z84" s="184"/>
      <c r="AA84" s="184"/>
    </row>
    <row r="85" spans="1:27" ht="24" hidden="1" customHeight="1" outlineLevel="3">
      <c r="A85" s="239" t="s">
        <v>3576</v>
      </c>
      <c r="B85" s="257" t="s">
        <v>1080</v>
      </c>
      <c r="C85" s="184" t="s">
        <v>1081</v>
      </c>
      <c r="D85" s="184" t="s">
        <v>3383</v>
      </c>
      <c r="E85" s="237">
        <v>44818</v>
      </c>
      <c r="F85" s="184" t="b">
        <v>0</v>
      </c>
      <c r="G85" s="238" t="s">
        <v>3577</v>
      </c>
      <c r="H85" s="238"/>
      <c r="I85" s="184" t="b">
        <v>1</v>
      </c>
      <c r="J85" s="242" t="s">
        <v>3567</v>
      </c>
      <c r="K85" s="238"/>
      <c r="L85" s="184" t="b">
        <v>0</v>
      </c>
      <c r="M85" s="184"/>
      <c r="N85" s="184"/>
      <c r="O85" s="184"/>
      <c r="P85" s="184"/>
      <c r="Q85" s="184"/>
      <c r="R85" s="184"/>
      <c r="S85" s="184"/>
      <c r="T85" s="184"/>
      <c r="U85" s="184"/>
      <c r="V85" s="184"/>
      <c r="W85" s="184"/>
      <c r="X85" s="184"/>
      <c r="Y85" s="184"/>
      <c r="Z85" s="184"/>
      <c r="AA85" s="184"/>
    </row>
    <row r="86" spans="1:27" ht="24" hidden="1" customHeight="1" outlineLevel="3">
      <c r="A86" s="239" t="s">
        <v>3578</v>
      </c>
      <c r="B86" s="184" t="s">
        <v>1706</v>
      </c>
      <c r="C86" s="254" t="s">
        <v>1707</v>
      </c>
      <c r="D86" s="184" t="s">
        <v>3388</v>
      </c>
      <c r="E86" s="237">
        <v>44818</v>
      </c>
      <c r="F86" s="184" t="b">
        <v>1</v>
      </c>
      <c r="G86" s="238" t="s">
        <v>3579</v>
      </c>
      <c r="H86" s="238"/>
      <c r="I86" s="184" t="b">
        <v>1</v>
      </c>
      <c r="J86" s="184" t="s">
        <v>3524</v>
      </c>
      <c r="K86" s="238"/>
      <c r="L86" s="184" t="b">
        <v>1</v>
      </c>
      <c r="M86" s="184"/>
      <c r="N86" s="184"/>
      <c r="O86" s="184"/>
      <c r="P86" s="184"/>
      <c r="Q86" s="184"/>
      <c r="R86" s="184"/>
      <c r="S86" s="184"/>
      <c r="T86" s="184"/>
      <c r="U86" s="184"/>
      <c r="V86" s="184"/>
      <c r="W86" s="184"/>
      <c r="X86" s="184"/>
      <c r="Y86" s="184"/>
      <c r="Z86" s="184"/>
      <c r="AA86" s="184"/>
    </row>
    <row r="87" spans="1:27" ht="24" hidden="1" customHeight="1" outlineLevel="3">
      <c r="A87" s="239" t="s">
        <v>3580</v>
      </c>
      <c r="B87" s="184" t="s">
        <v>3581</v>
      </c>
      <c r="C87" s="184" t="s">
        <v>1454</v>
      </c>
      <c r="D87" s="184" t="s">
        <v>3388</v>
      </c>
      <c r="E87" s="237">
        <v>44818</v>
      </c>
      <c r="F87" s="184" t="b">
        <v>1</v>
      </c>
      <c r="G87" s="238" t="s">
        <v>3582</v>
      </c>
      <c r="H87" s="238"/>
      <c r="I87" s="184" t="b">
        <v>1</v>
      </c>
      <c r="J87" s="184" t="s">
        <v>3524</v>
      </c>
      <c r="K87" s="238"/>
      <c r="L87" s="184" t="b">
        <v>1</v>
      </c>
      <c r="M87" s="184"/>
      <c r="N87" s="184"/>
      <c r="O87" s="184"/>
      <c r="P87" s="184"/>
      <c r="Q87" s="184"/>
      <c r="R87" s="184"/>
      <c r="S87" s="184"/>
      <c r="T87" s="184"/>
      <c r="U87" s="184"/>
      <c r="V87" s="184"/>
      <c r="W87" s="184"/>
      <c r="X87" s="184"/>
      <c r="Y87" s="184"/>
      <c r="Z87" s="184"/>
      <c r="AA87" s="184"/>
    </row>
    <row r="88" spans="1:27" ht="24" hidden="1" customHeight="1" outlineLevel="3">
      <c r="A88" s="239" t="s">
        <v>1429</v>
      </c>
      <c r="B88" s="184" t="s">
        <v>1431</v>
      </c>
      <c r="C88" s="184" t="s">
        <v>1432</v>
      </c>
      <c r="D88" s="184" t="s">
        <v>3388</v>
      </c>
      <c r="E88" s="237">
        <v>44818</v>
      </c>
      <c r="F88" s="184" t="b">
        <v>1</v>
      </c>
      <c r="G88" s="238" t="s">
        <v>3583</v>
      </c>
      <c r="H88" s="238"/>
      <c r="I88" s="184" t="b">
        <v>1</v>
      </c>
      <c r="J88" s="184" t="s">
        <v>3524</v>
      </c>
      <c r="K88" s="238" t="s">
        <v>3584</v>
      </c>
      <c r="L88" s="184" t="b">
        <v>0</v>
      </c>
      <c r="M88" s="184"/>
      <c r="N88" s="184"/>
      <c r="O88" s="184"/>
      <c r="P88" s="184"/>
      <c r="Q88" s="184"/>
      <c r="R88" s="184"/>
      <c r="S88" s="184"/>
      <c r="T88" s="184"/>
      <c r="U88" s="184"/>
      <c r="V88" s="184"/>
      <c r="W88" s="184"/>
      <c r="X88" s="184"/>
      <c r="Y88" s="184"/>
      <c r="Z88" s="184"/>
      <c r="AA88" s="184"/>
    </row>
    <row r="89" spans="1:27" ht="24" hidden="1" customHeight="1" outlineLevel="3">
      <c r="A89" s="239" t="s">
        <v>3585</v>
      </c>
      <c r="B89" s="184" t="s">
        <v>1715</v>
      </c>
      <c r="C89" s="254" t="s">
        <v>1716</v>
      </c>
      <c r="D89" s="184" t="s">
        <v>3388</v>
      </c>
      <c r="E89" s="237">
        <v>44818</v>
      </c>
      <c r="F89" s="184" t="b">
        <v>0</v>
      </c>
      <c r="G89" s="238" t="s">
        <v>3586</v>
      </c>
      <c r="H89" s="238"/>
      <c r="I89" s="184" t="b">
        <v>1</v>
      </c>
      <c r="J89" s="184" t="s">
        <v>3524</v>
      </c>
      <c r="K89" s="238" t="s">
        <v>3587</v>
      </c>
      <c r="L89" s="184" t="b">
        <v>0</v>
      </c>
      <c r="M89" s="184"/>
      <c r="N89" s="184"/>
      <c r="O89" s="184"/>
      <c r="P89" s="184"/>
      <c r="Q89" s="184"/>
      <c r="R89" s="184"/>
      <c r="S89" s="184"/>
      <c r="T89" s="184"/>
      <c r="U89" s="184"/>
      <c r="V89" s="184"/>
      <c r="W89" s="184"/>
      <c r="X89" s="184"/>
      <c r="Y89" s="184"/>
      <c r="Z89" s="184"/>
      <c r="AA89" s="184"/>
    </row>
    <row r="90" spans="1:27" ht="24" hidden="1" customHeight="1" outlineLevel="3">
      <c r="A90" s="239" t="s">
        <v>557</v>
      </c>
      <c r="B90" s="184" t="s">
        <v>558</v>
      </c>
      <c r="C90" s="184" t="s">
        <v>559</v>
      </c>
      <c r="D90" s="184" t="s">
        <v>3388</v>
      </c>
      <c r="E90" s="237">
        <v>44818</v>
      </c>
      <c r="F90" s="184" t="b">
        <v>1</v>
      </c>
      <c r="G90" s="238" t="s">
        <v>3588</v>
      </c>
      <c r="H90" s="238"/>
      <c r="I90" s="184" t="b">
        <v>1</v>
      </c>
      <c r="J90" s="184" t="s">
        <v>3524</v>
      </c>
      <c r="K90" s="238"/>
      <c r="L90" s="184" t="b">
        <v>0</v>
      </c>
      <c r="M90" s="184"/>
      <c r="N90" s="184"/>
      <c r="O90" s="184"/>
      <c r="P90" s="184"/>
      <c r="Q90" s="184"/>
      <c r="R90" s="184"/>
      <c r="S90" s="184"/>
      <c r="T90" s="184"/>
      <c r="U90" s="184"/>
      <c r="V90" s="184"/>
      <c r="W90" s="184"/>
      <c r="X90" s="184"/>
      <c r="Y90" s="184"/>
      <c r="Z90" s="184"/>
      <c r="AA90" s="184"/>
    </row>
    <row r="91" spans="1:27" ht="24" hidden="1" customHeight="1" outlineLevel="2">
      <c r="A91" s="239"/>
      <c r="B91" s="184"/>
      <c r="C91" s="258">
        <v>44823</v>
      </c>
      <c r="D91" s="184"/>
      <c r="E91" s="184"/>
      <c r="F91" s="184"/>
      <c r="G91" s="238"/>
      <c r="H91" s="238"/>
      <c r="I91" s="184"/>
      <c r="J91" s="184"/>
      <c r="K91" s="238"/>
      <c r="L91" s="184"/>
      <c r="M91" s="184"/>
      <c r="N91" s="184"/>
      <c r="O91" s="184"/>
      <c r="P91" s="184"/>
      <c r="Q91" s="184"/>
      <c r="R91" s="184"/>
      <c r="S91" s="184"/>
      <c r="T91" s="184"/>
      <c r="U91" s="184"/>
      <c r="V91" s="184"/>
      <c r="W91" s="184"/>
      <c r="X91" s="184"/>
      <c r="Y91" s="184"/>
      <c r="Z91" s="184"/>
      <c r="AA91" s="184"/>
    </row>
    <row r="92" spans="1:27" ht="24" hidden="1" customHeight="1" outlineLevel="3">
      <c r="A92" s="239" t="s">
        <v>3589</v>
      </c>
      <c r="B92" s="184" t="s">
        <v>1721</v>
      </c>
      <c r="C92" s="184" t="s">
        <v>1722</v>
      </c>
      <c r="D92" s="184" t="s">
        <v>3383</v>
      </c>
      <c r="E92" s="237">
        <v>44823</v>
      </c>
      <c r="F92" s="184" t="b">
        <v>0</v>
      </c>
      <c r="G92" s="238" t="s">
        <v>3590</v>
      </c>
      <c r="H92" s="238"/>
      <c r="I92" s="184" t="b">
        <v>1</v>
      </c>
      <c r="J92" s="184" t="s">
        <v>3468</v>
      </c>
      <c r="K92" s="238" t="s">
        <v>3591</v>
      </c>
      <c r="L92" s="184" t="b">
        <v>0</v>
      </c>
      <c r="M92" s="184"/>
      <c r="N92" s="184"/>
      <c r="O92" s="184"/>
      <c r="P92" s="184"/>
      <c r="Q92" s="184"/>
      <c r="R92" s="184"/>
      <c r="S92" s="184"/>
      <c r="T92" s="184"/>
      <c r="U92" s="184"/>
      <c r="V92" s="184"/>
      <c r="W92" s="184"/>
      <c r="X92" s="184"/>
      <c r="Y92" s="184"/>
      <c r="Z92" s="184"/>
      <c r="AA92" s="184"/>
    </row>
    <row r="93" spans="1:27" ht="24" hidden="1" customHeight="1" outlineLevel="3">
      <c r="A93" s="239" t="s">
        <v>292</v>
      </c>
      <c r="B93" s="184" t="s">
        <v>293</v>
      </c>
      <c r="C93" s="184" t="s">
        <v>3592</v>
      </c>
      <c r="D93" s="184" t="s">
        <v>3593</v>
      </c>
      <c r="E93" s="237">
        <v>44823</v>
      </c>
      <c r="F93" s="184" t="b">
        <v>0</v>
      </c>
      <c r="G93" s="238" t="s">
        <v>3594</v>
      </c>
      <c r="H93" s="238"/>
      <c r="I93" s="184" t="b">
        <v>1</v>
      </c>
      <c r="J93" s="184" t="s">
        <v>3468</v>
      </c>
      <c r="K93" s="238"/>
      <c r="L93" s="184" t="b">
        <v>1</v>
      </c>
      <c r="M93" s="184"/>
      <c r="N93" s="184"/>
      <c r="O93" s="184"/>
      <c r="P93" s="184"/>
      <c r="Q93" s="184"/>
      <c r="R93" s="184"/>
      <c r="S93" s="184"/>
      <c r="T93" s="184"/>
      <c r="U93" s="184"/>
      <c r="V93" s="184"/>
      <c r="W93" s="184"/>
      <c r="X93" s="184"/>
      <c r="Y93" s="184"/>
      <c r="Z93" s="184"/>
      <c r="AA93" s="184"/>
    </row>
    <row r="94" spans="1:27" ht="24" hidden="1" customHeight="1" outlineLevel="3">
      <c r="A94" s="243" t="s">
        <v>1726</v>
      </c>
      <c r="B94" s="247" t="s">
        <v>1727</v>
      </c>
      <c r="C94" s="259" t="s">
        <v>1728</v>
      </c>
      <c r="D94" s="247" t="s">
        <v>3388</v>
      </c>
      <c r="E94" s="260">
        <v>44823</v>
      </c>
      <c r="F94" s="247" t="b">
        <v>0</v>
      </c>
      <c r="G94" s="248" t="s">
        <v>3595</v>
      </c>
      <c r="H94" s="248"/>
      <c r="I94" s="247" t="b">
        <v>1</v>
      </c>
      <c r="J94" s="247" t="s">
        <v>3489</v>
      </c>
      <c r="K94" s="248"/>
      <c r="L94" s="247"/>
      <c r="M94" s="184"/>
      <c r="N94" s="184"/>
      <c r="O94" s="184"/>
      <c r="P94" s="184"/>
      <c r="Q94" s="184"/>
      <c r="R94" s="184"/>
      <c r="S94" s="184"/>
      <c r="T94" s="184"/>
      <c r="U94" s="184"/>
      <c r="V94" s="184"/>
      <c r="W94" s="184"/>
      <c r="X94" s="184"/>
      <c r="Y94" s="184"/>
      <c r="Z94" s="184"/>
      <c r="AA94" s="184"/>
    </row>
    <row r="95" spans="1:27" ht="24" hidden="1" customHeight="1" outlineLevel="3">
      <c r="A95" s="239" t="s">
        <v>1729</v>
      </c>
      <c r="B95" s="184" t="s">
        <v>1730</v>
      </c>
      <c r="C95" s="184" t="s">
        <v>1731</v>
      </c>
      <c r="D95" s="184" t="s">
        <v>3388</v>
      </c>
      <c r="E95" s="237">
        <v>44823</v>
      </c>
      <c r="F95" s="184" t="b">
        <v>0</v>
      </c>
      <c r="G95" s="238" t="s">
        <v>3596</v>
      </c>
      <c r="H95" s="238"/>
      <c r="I95" s="184" t="b">
        <v>1</v>
      </c>
      <c r="J95" s="184" t="s">
        <v>3489</v>
      </c>
      <c r="K95" s="238"/>
      <c r="L95" s="184" t="b">
        <v>0</v>
      </c>
      <c r="M95" s="184"/>
      <c r="N95" s="184"/>
      <c r="O95" s="184"/>
      <c r="P95" s="184"/>
      <c r="Q95" s="184"/>
      <c r="R95" s="184"/>
      <c r="S95" s="184"/>
      <c r="T95" s="184"/>
      <c r="U95" s="184"/>
      <c r="V95" s="184"/>
      <c r="W95" s="184"/>
      <c r="X95" s="184"/>
      <c r="Y95" s="184"/>
      <c r="Z95" s="184"/>
      <c r="AA95" s="184"/>
    </row>
    <row r="96" spans="1:27" ht="24" hidden="1" customHeight="1" outlineLevel="3">
      <c r="A96" s="239" t="s">
        <v>640</v>
      </c>
      <c r="B96" s="184" t="s">
        <v>642</v>
      </c>
      <c r="C96" s="254" t="s">
        <v>643</v>
      </c>
      <c r="D96" s="184" t="s">
        <v>3388</v>
      </c>
      <c r="E96" s="237">
        <v>44824</v>
      </c>
      <c r="F96" s="184" t="b">
        <v>0</v>
      </c>
      <c r="G96" s="238" t="s">
        <v>3597</v>
      </c>
      <c r="H96" s="238"/>
      <c r="I96" s="184" t="b">
        <v>1</v>
      </c>
      <c r="J96" s="184" t="s">
        <v>3489</v>
      </c>
      <c r="K96" s="238"/>
      <c r="L96" s="184" t="b">
        <v>1</v>
      </c>
      <c r="M96" s="184"/>
      <c r="N96" s="184"/>
      <c r="O96" s="184"/>
      <c r="P96" s="184"/>
      <c r="Q96" s="184"/>
      <c r="R96" s="184"/>
      <c r="S96" s="184"/>
      <c r="T96" s="184"/>
      <c r="U96" s="184"/>
      <c r="V96" s="184"/>
      <c r="W96" s="184"/>
      <c r="X96" s="184"/>
      <c r="Y96" s="184"/>
      <c r="Z96" s="184"/>
      <c r="AA96" s="184"/>
    </row>
    <row r="97" spans="1:27" ht="24" hidden="1" customHeight="1" outlineLevel="3">
      <c r="A97" s="239" t="s">
        <v>1735</v>
      </c>
      <c r="B97" s="184" t="s">
        <v>1737</v>
      </c>
      <c r="C97" s="184" t="s">
        <v>1738</v>
      </c>
      <c r="D97" s="184" t="s">
        <v>3388</v>
      </c>
      <c r="E97" s="237">
        <v>44824</v>
      </c>
      <c r="F97" s="184" t="b">
        <v>0</v>
      </c>
      <c r="G97" s="238" t="s">
        <v>3598</v>
      </c>
      <c r="H97" s="238"/>
      <c r="I97" s="184" t="b">
        <v>1</v>
      </c>
      <c r="J97" s="184" t="s">
        <v>3489</v>
      </c>
      <c r="K97" s="238"/>
      <c r="L97" s="184" t="b">
        <v>0</v>
      </c>
      <c r="M97" s="184"/>
      <c r="N97" s="184"/>
      <c r="O97" s="184"/>
      <c r="P97" s="184"/>
      <c r="Q97" s="184"/>
      <c r="R97" s="184"/>
      <c r="S97" s="184"/>
      <c r="T97" s="184"/>
      <c r="U97" s="184"/>
      <c r="V97" s="184"/>
      <c r="W97" s="184"/>
      <c r="X97" s="184"/>
      <c r="Y97" s="184"/>
      <c r="Z97" s="184"/>
      <c r="AA97" s="184"/>
    </row>
    <row r="98" spans="1:27" ht="24" hidden="1" customHeight="1" outlineLevel="3">
      <c r="A98" s="239" t="s">
        <v>1116</v>
      </c>
      <c r="B98" s="184" t="s">
        <v>1117</v>
      </c>
      <c r="C98" s="184" t="s">
        <v>1118</v>
      </c>
      <c r="D98" s="184" t="s">
        <v>3388</v>
      </c>
      <c r="E98" s="237">
        <v>44824</v>
      </c>
      <c r="F98" s="184" t="b">
        <v>0</v>
      </c>
      <c r="G98" s="238" t="s">
        <v>3599</v>
      </c>
      <c r="H98" s="238"/>
      <c r="I98" s="184" t="b">
        <v>1</v>
      </c>
      <c r="J98" s="184" t="s">
        <v>3489</v>
      </c>
      <c r="K98" s="238"/>
      <c r="L98" s="184" t="b">
        <v>1</v>
      </c>
      <c r="M98" s="184"/>
      <c r="N98" s="184"/>
      <c r="O98" s="184"/>
      <c r="P98" s="184"/>
      <c r="Q98" s="184"/>
      <c r="R98" s="184"/>
      <c r="S98" s="184"/>
      <c r="T98" s="184"/>
      <c r="U98" s="184"/>
      <c r="V98" s="184"/>
      <c r="W98" s="184"/>
      <c r="X98" s="184"/>
      <c r="Y98" s="184"/>
      <c r="Z98" s="184"/>
      <c r="AA98" s="184"/>
    </row>
    <row r="99" spans="1:27" ht="24" hidden="1" customHeight="1" outlineLevel="3">
      <c r="A99" s="239" t="s">
        <v>1742</v>
      </c>
      <c r="B99" s="184" t="s">
        <v>1743</v>
      </c>
      <c r="C99" s="261" t="s">
        <v>1744</v>
      </c>
      <c r="D99" s="184" t="s">
        <v>3388</v>
      </c>
      <c r="E99" s="237">
        <v>44824</v>
      </c>
      <c r="F99" s="184" t="b">
        <v>0</v>
      </c>
      <c r="G99" s="238" t="s">
        <v>3600</v>
      </c>
      <c r="H99" s="238"/>
      <c r="I99" s="184" t="b">
        <v>1</v>
      </c>
      <c r="J99" s="184" t="s">
        <v>3489</v>
      </c>
      <c r="K99" s="238"/>
      <c r="L99" s="184" t="b">
        <v>0</v>
      </c>
      <c r="M99" s="184"/>
      <c r="N99" s="184"/>
      <c r="O99" s="184"/>
      <c r="P99" s="184"/>
      <c r="Q99" s="184"/>
      <c r="R99" s="184"/>
      <c r="S99" s="184"/>
      <c r="T99" s="184"/>
      <c r="U99" s="184"/>
      <c r="V99" s="184"/>
      <c r="W99" s="184"/>
      <c r="X99" s="184"/>
      <c r="Y99" s="184"/>
      <c r="Z99" s="184"/>
      <c r="AA99" s="184"/>
    </row>
    <row r="100" spans="1:27" ht="24" hidden="1" customHeight="1" outlineLevel="3">
      <c r="A100" s="239" t="s">
        <v>1493</v>
      </c>
      <c r="B100" s="184" t="s">
        <v>1495</v>
      </c>
      <c r="C100" s="184" t="s">
        <v>1496</v>
      </c>
      <c r="D100" s="184" t="s">
        <v>3383</v>
      </c>
      <c r="E100" s="237">
        <v>44825</v>
      </c>
      <c r="F100" s="184" t="b">
        <v>0</v>
      </c>
      <c r="G100" s="238" t="s">
        <v>3601</v>
      </c>
      <c r="H100" s="238"/>
      <c r="I100" s="184" t="b">
        <v>1</v>
      </c>
      <c r="J100" s="184" t="s">
        <v>3468</v>
      </c>
      <c r="K100" s="238" t="s">
        <v>3591</v>
      </c>
      <c r="L100" s="184" t="b">
        <v>0</v>
      </c>
      <c r="M100" s="184"/>
      <c r="N100" s="184"/>
      <c r="O100" s="184"/>
      <c r="P100" s="184"/>
      <c r="Q100" s="184"/>
      <c r="R100" s="184"/>
      <c r="S100" s="184"/>
      <c r="T100" s="184"/>
      <c r="U100" s="184"/>
      <c r="V100" s="184"/>
      <c r="W100" s="184"/>
      <c r="X100" s="184"/>
      <c r="Y100" s="184"/>
      <c r="Z100" s="184"/>
      <c r="AA100" s="184"/>
    </row>
    <row r="101" spans="1:27" ht="24" hidden="1" customHeight="1" outlineLevel="2">
      <c r="A101" s="239"/>
      <c r="B101" s="184"/>
      <c r="C101" s="258">
        <v>44830</v>
      </c>
      <c r="D101" s="184"/>
      <c r="E101" s="184"/>
      <c r="F101" s="184"/>
      <c r="G101" s="238"/>
      <c r="H101" s="238"/>
      <c r="I101" s="184"/>
      <c r="J101" s="184"/>
      <c r="K101" s="238"/>
      <c r="L101" s="184"/>
      <c r="M101" s="184"/>
      <c r="N101" s="184"/>
      <c r="O101" s="184"/>
      <c r="P101" s="184"/>
      <c r="Q101" s="184"/>
      <c r="R101" s="184"/>
      <c r="S101" s="184"/>
      <c r="T101" s="184"/>
      <c r="U101" s="184"/>
      <c r="V101" s="184"/>
      <c r="W101" s="184"/>
      <c r="X101" s="184"/>
      <c r="Y101" s="184"/>
      <c r="Z101" s="184"/>
      <c r="AA101" s="184"/>
    </row>
    <row r="102" spans="1:27" ht="24" hidden="1" customHeight="1" outlineLevel="3">
      <c r="A102" s="239" t="s">
        <v>1752</v>
      </c>
      <c r="B102" s="251" t="s">
        <v>3602</v>
      </c>
      <c r="C102" s="184" t="s">
        <v>1754</v>
      </c>
      <c r="D102" s="184" t="s">
        <v>10</v>
      </c>
      <c r="E102" s="237">
        <v>44830</v>
      </c>
      <c r="F102" s="184" t="b">
        <v>0</v>
      </c>
      <c r="G102" s="238" t="s">
        <v>3603</v>
      </c>
      <c r="H102" s="238"/>
      <c r="I102" s="184" t="b">
        <v>1</v>
      </c>
      <c r="J102" s="184" t="s">
        <v>3441</v>
      </c>
      <c r="K102" s="238" t="s">
        <v>3604</v>
      </c>
      <c r="L102" s="184" t="b">
        <v>1</v>
      </c>
      <c r="M102" s="184"/>
      <c r="N102" s="184"/>
      <c r="O102" s="184"/>
      <c r="P102" s="184"/>
      <c r="Q102" s="184"/>
      <c r="R102" s="184"/>
      <c r="S102" s="184"/>
      <c r="T102" s="184"/>
      <c r="U102" s="184"/>
      <c r="V102" s="184"/>
      <c r="W102" s="184"/>
      <c r="X102" s="184"/>
      <c r="Y102" s="184"/>
      <c r="Z102" s="184"/>
      <c r="AA102" s="184"/>
    </row>
    <row r="103" spans="1:27" ht="24" hidden="1" customHeight="1" outlineLevel="3">
      <c r="A103" s="239" t="s">
        <v>3605</v>
      </c>
      <c r="B103" s="184" t="s">
        <v>964</v>
      </c>
      <c r="C103" s="184" t="s">
        <v>965</v>
      </c>
      <c r="D103" s="184" t="s">
        <v>20</v>
      </c>
      <c r="E103" s="237">
        <v>44830</v>
      </c>
      <c r="F103" s="184" t="b">
        <v>0</v>
      </c>
      <c r="G103" s="238" t="s">
        <v>3606</v>
      </c>
      <c r="H103" s="238"/>
      <c r="I103" s="184" t="b">
        <v>1</v>
      </c>
      <c r="J103" s="184" t="s">
        <v>3489</v>
      </c>
      <c r="K103" s="238"/>
      <c r="L103" s="184" t="b">
        <v>1</v>
      </c>
      <c r="M103" s="184"/>
      <c r="N103" s="184"/>
      <c r="O103" s="184"/>
      <c r="P103" s="184"/>
      <c r="Q103" s="184"/>
      <c r="R103" s="184"/>
      <c r="S103" s="184"/>
      <c r="T103" s="184"/>
      <c r="U103" s="184"/>
      <c r="V103" s="184"/>
      <c r="W103" s="184"/>
      <c r="X103" s="184"/>
      <c r="Y103" s="184"/>
      <c r="Z103" s="184"/>
      <c r="AA103" s="184"/>
    </row>
    <row r="104" spans="1:27" ht="24" hidden="1" customHeight="1" outlineLevel="3">
      <c r="A104" s="239" t="s">
        <v>1758</v>
      </c>
      <c r="B104" s="184" t="s">
        <v>1759</v>
      </c>
      <c r="C104" s="184" t="s">
        <v>1760</v>
      </c>
      <c r="D104" s="184" t="s">
        <v>20</v>
      </c>
      <c r="E104" s="237">
        <v>44831</v>
      </c>
      <c r="F104" s="184" t="b">
        <v>0</v>
      </c>
      <c r="G104" s="238" t="s">
        <v>3607</v>
      </c>
      <c r="H104" s="238"/>
      <c r="I104" s="184" t="b">
        <v>1</v>
      </c>
      <c r="J104" s="184" t="s">
        <v>3489</v>
      </c>
      <c r="K104" s="238"/>
      <c r="L104" s="184" t="b">
        <v>0</v>
      </c>
      <c r="M104" s="184"/>
      <c r="N104" s="184"/>
      <c r="O104" s="184"/>
      <c r="P104" s="184"/>
      <c r="Q104" s="184"/>
      <c r="R104" s="184"/>
      <c r="S104" s="184"/>
      <c r="T104" s="184"/>
      <c r="U104" s="184"/>
      <c r="V104" s="184"/>
      <c r="W104" s="184"/>
      <c r="X104" s="184"/>
      <c r="Y104" s="184"/>
      <c r="Z104" s="184"/>
      <c r="AA104" s="184"/>
    </row>
    <row r="105" spans="1:27" ht="24" hidden="1" customHeight="1" outlineLevel="3">
      <c r="A105" s="239" t="s">
        <v>1761</v>
      </c>
      <c r="B105" s="184" t="s">
        <v>1762</v>
      </c>
      <c r="C105" s="184" t="s">
        <v>1763</v>
      </c>
      <c r="D105" s="184" t="s">
        <v>20</v>
      </c>
      <c r="E105" s="237">
        <v>44831</v>
      </c>
      <c r="F105" s="184" t="b">
        <v>0</v>
      </c>
      <c r="G105" s="238" t="s">
        <v>3608</v>
      </c>
      <c r="H105" s="238"/>
      <c r="I105" s="184" t="b">
        <v>1</v>
      </c>
      <c r="J105" s="184" t="s">
        <v>3489</v>
      </c>
      <c r="K105" s="238"/>
      <c r="L105" s="184" t="b">
        <v>0</v>
      </c>
      <c r="M105" s="184"/>
      <c r="N105" s="184"/>
      <c r="O105" s="184"/>
      <c r="P105" s="184"/>
      <c r="Q105" s="184"/>
      <c r="R105" s="184"/>
      <c r="S105" s="184"/>
      <c r="T105" s="184"/>
      <c r="U105" s="184"/>
      <c r="V105" s="184"/>
      <c r="W105" s="184"/>
      <c r="X105" s="184"/>
      <c r="Y105" s="184"/>
      <c r="Z105" s="184"/>
      <c r="AA105" s="184"/>
    </row>
    <row r="106" spans="1:27" ht="24" hidden="1" customHeight="1" outlineLevel="3">
      <c r="A106" s="239" t="s">
        <v>1764</v>
      </c>
      <c r="B106" s="184" t="s">
        <v>1766</v>
      </c>
      <c r="C106" s="184" t="s">
        <v>1767</v>
      </c>
      <c r="D106" s="184" t="s">
        <v>20</v>
      </c>
      <c r="E106" s="237">
        <v>44831</v>
      </c>
      <c r="F106" s="184" t="b">
        <v>0</v>
      </c>
      <c r="G106" s="238" t="s">
        <v>3609</v>
      </c>
      <c r="H106" s="238"/>
      <c r="I106" s="184" t="b">
        <v>1</v>
      </c>
      <c r="J106" s="184" t="s">
        <v>3489</v>
      </c>
      <c r="K106" s="262"/>
      <c r="L106" s="184" t="b">
        <v>0</v>
      </c>
      <c r="M106" s="184"/>
      <c r="N106" s="184"/>
      <c r="O106" s="184"/>
      <c r="P106" s="184"/>
      <c r="Q106" s="184"/>
      <c r="R106" s="184"/>
      <c r="S106" s="184"/>
      <c r="T106" s="184"/>
      <c r="U106" s="184"/>
      <c r="V106" s="184"/>
      <c r="W106" s="184"/>
      <c r="X106" s="184"/>
      <c r="Y106" s="184"/>
      <c r="Z106" s="184"/>
      <c r="AA106" s="184"/>
    </row>
    <row r="107" spans="1:27" ht="24" hidden="1" customHeight="1" outlineLevel="3">
      <c r="A107" s="239" t="s">
        <v>377</v>
      </c>
      <c r="B107" s="184" t="s">
        <v>378</v>
      </c>
      <c r="C107" s="184" t="s">
        <v>379</v>
      </c>
      <c r="D107" s="184" t="s">
        <v>12</v>
      </c>
      <c r="E107" s="237">
        <v>44832</v>
      </c>
      <c r="F107" s="184" t="b">
        <v>0</v>
      </c>
      <c r="G107" s="238" t="s">
        <v>3610</v>
      </c>
      <c r="H107" s="238"/>
      <c r="I107" s="184" t="b">
        <v>1</v>
      </c>
      <c r="J107" s="184" t="s">
        <v>3611</v>
      </c>
      <c r="K107" s="238" t="s">
        <v>3612</v>
      </c>
      <c r="L107" s="184" t="b">
        <v>0</v>
      </c>
      <c r="M107" s="184"/>
      <c r="N107" s="184"/>
      <c r="O107" s="184"/>
      <c r="P107" s="184"/>
      <c r="Q107" s="184"/>
      <c r="R107" s="184"/>
      <c r="S107" s="184"/>
      <c r="T107" s="184"/>
      <c r="U107" s="184"/>
      <c r="V107" s="184"/>
      <c r="W107" s="184"/>
      <c r="X107" s="184"/>
      <c r="Y107" s="184"/>
      <c r="Z107" s="184"/>
      <c r="AA107" s="184"/>
    </row>
    <row r="108" spans="1:27" ht="24" hidden="1" customHeight="1" outlineLevel="3">
      <c r="A108" s="239" t="s">
        <v>2101</v>
      </c>
      <c r="B108" s="184" t="s">
        <v>2103</v>
      </c>
      <c r="C108" s="184" t="s">
        <v>2104</v>
      </c>
      <c r="D108" s="184" t="s">
        <v>3388</v>
      </c>
      <c r="E108" s="237">
        <v>44833</v>
      </c>
      <c r="F108" s="184" t="b">
        <v>0</v>
      </c>
      <c r="G108" s="238" t="s">
        <v>3613</v>
      </c>
      <c r="H108" s="238"/>
      <c r="I108" s="184" t="b">
        <v>0</v>
      </c>
      <c r="J108" s="184"/>
      <c r="K108" s="238"/>
      <c r="L108" s="184" t="b">
        <v>0</v>
      </c>
      <c r="M108" s="184"/>
      <c r="N108" s="184"/>
      <c r="O108" s="184"/>
      <c r="P108" s="184"/>
      <c r="Q108" s="184"/>
      <c r="R108" s="184"/>
      <c r="S108" s="184"/>
      <c r="T108" s="184"/>
      <c r="U108" s="184"/>
      <c r="V108" s="184"/>
      <c r="W108" s="184"/>
      <c r="X108" s="184"/>
      <c r="Y108" s="184"/>
      <c r="Z108" s="184"/>
      <c r="AA108" s="184"/>
    </row>
    <row r="109" spans="1:27" ht="24" hidden="1" customHeight="1" outlineLevel="3">
      <c r="A109" s="239" t="s">
        <v>1774</v>
      </c>
      <c r="B109" s="184" t="s">
        <v>1776</v>
      </c>
      <c r="C109" s="184" t="s">
        <v>1777</v>
      </c>
      <c r="D109" s="184" t="s">
        <v>13</v>
      </c>
      <c r="E109" s="237">
        <v>44834</v>
      </c>
      <c r="F109" s="184" t="b">
        <v>0</v>
      </c>
      <c r="G109" s="238" t="s">
        <v>3614</v>
      </c>
      <c r="H109" s="238"/>
      <c r="I109" s="184" t="b">
        <v>1</v>
      </c>
      <c r="J109" s="184" t="s">
        <v>140</v>
      </c>
      <c r="K109" s="238" t="s">
        <v>3615</v>
      </c>
      <c r="L109" s="184" t="b">
        <v>0</v>
      </c>
      <c r="M109" s="184"/>
      <c r="N109" s="184"/>
      <c r="O109" s="184"/>
      <c r="P109" s="184"/>
      <c r="Q109" s="184"/>
      <c r="R109" s="184"/>
      <c r="S109" s="184"/>
      <c r="T109" s="184"/>
      <c r="U109" s="184"/>
      <c r="V109" s="184"/>
      <c r="W109" s="184"/>
      <c r="X109" s="184"/>
      <c r="Y109" s="184"/>
      <c r="Z109" s="184"/>
      <c r="AA109" s="184"/>
    </row>
    <row r="110" spans="1:27" ht="24" hidden="1" customHeight="1" outlineLevel="3">
      <c r="A110" s="239" t="s">
        <v>61</v>
      </c>
      <c r="B110" s="184" t="s">
        <v>62</v>
      </c>
      <c r="C110" s="184" t="s">
        <v>63</v>
      </c>
      <c r="D110" s="184" t="s">
        <v>13</v>
      </c>
      <c r="E110" s="237">
        <v>44834</v>
      </c>
      <c r="F110" s="184" t="b">
        <v>0</v>
      </c>
      <c r="G110" s="238" t="s">
        <v>3616</v>
      </c>
      <c r="H110" s="238"/>
      <c r="I110" s="184" t="b">
        <v>1</v>
      </c>
      <c r="J110" s="184" t="s">
        <v>140</v>
      </c>
      <c r="K110" s="238" t="s">
        <v>3617</v>
      </c>
      <c r="L110" s="184" t="b">
        <v>0</v>
      </c>
      <c r="M110" s="184"/>
      <c r="N110" s="184"/>
      <c r="O110" s="184"/>
      <c r="P110" s="184"/>
      <c r="Q110" s="184"/>
      <c r="R110" s="184"/>
      <c r="S110" s="184"/>
      <c r="T110" s="184"/>
      <c r="U110" s="184"/>
      <c r="V110" s="184"/>
      <c r="W110" s="184"/>
      <c r="X110" s="184"/>
      <c r="Y110" s="184"/>
      <c r="Z110" s="184"/>
      <c r="AA110" s="184"/>
    </row>
    <row r="111" spans="1:27" ht="24" hidden="1" customHeight="1" outlineLevel="1" collapsed="1">
      <c r="A111" s="236" t="s">
        <v>4</v>
      </c>
      <c r="B111" s="184"/>
      <c r="C111" s="184"/>
      <c r="D111" s="184"/>
      <c r="E111" s="237"/>
      <c r="F111" s="184"/>
      <c r="G111" s="238"/>
      <c r="H111" s="238"/>
      <c r="I111" s="184"/>
      <c r="J111" s="184"/>
      <c r="K111" s="238"/>
      <c r="L111" s="238"/>
      <c r="M111" s="184"/>
      <c r="N111" s="184"/>
      <c r="O111" s="184"/>
      <c r="P111" s="184"/>
      <c r="Q111" s="184"/>
      <c r="R111" s="184"/>
      <c r="S111" s="184"/>
      <c r="T111" s="184"/>
      <c r="U111" s="184"/>
      <c r="V111" s="184"/>
      <c r="W111" s="184"/>
      <c r="X111" s="184"/>
      <c r="Y111" s="184"/>
      <c r="Z111" s="184"/>
      <c r="AA111" s="184"/>
    </row>
    <row r="112" spans="1:27" ht="24" hidden="1" customHeight="1" outlineLevel="2" collapsed="1">
      <c r="A112" s="239"/>
      <c r="B112" s="184"/>
      <c r="C112" s="184"/>
      <c r="D112" s="184"/>
      <c r="E112" s="184"/>
      <c r="F112" s="184"/>
      <c r="G112" s="238"/>
      <c r="H112" s="238"/>
      <c r="I112" s="184"/>
      <c r="J112" s="184"/>
      <c r="K112" s="238"/>
      <c r="L112" s="184"/>
      <c r="M112" s="184"/>
      <c r="N112" s="184"/>
      <c r="O112" s="184"/>
      <c r="P112" s="184"/>
      <c r="Q112" s="184"/>
      <c r="R112" s="184"/>
      <c r="S112" s="184"/>
      <c r="T112" s="184"/>
      <c r="U112" s="184"/>
      <c r="V112" s="184"/>
      <c r="W112" s="184"/>
      <c r="X112" s="184"/>
      <c r="Y112" s="184"/>
      <c r="Z112" s="184"/>
      <c r="AA112" s="184"/>
    </row>
    <row r="113" spans="1:27" ht="24" hidden="1" customHeight="1" outlineLevel="3">
      <c r="A113" s="239" t="s">
        <v>554</v>
      </c>
      <c r="B113" s="184" t="s">
        <v>555</v>
      </c>
      <c r="C113" s="184" t="s">
        <v>556</v>
      </c>
      <c r="D113" s="184" t="s">
        <v>12</v>
      </c>
      <c r="E113" s="237">
        <v>44837</v>
      </c>
      <c r="F113" s="184" t="b">
        <v>0</v>
      </c>
      <c r="G113" s="238" t="s">
        <v>3618</v>
      </c>
      <c r="H113" s="238"/>
      <c r="I113" s="184" t="b">
        <v>1</v>
      </c>
      <c r="J113" s="184" t="s">
        <v>3619</v>
      </c>
      <c r="K113" s="238"/>
      <c r="L113" s="184" t="b">
        <v>0</v>
      </c>
      <c r="M113" s="184"/>
      <c r="N113" s="184"/>
      <c r="O113" s="184"/>
      <c r="P113" s="184"/>
      <c r="Q113" s="184"/>
      <c r="R113" s="184"/>
      <c r="S113" s="184"/>
      <c r="T113" s="184"/>
      <c r="U113" s="184"/>
      <c r="V113" s="184"/>
      <c r="W113" s="184"/>
      <c r="X113" s="184"/>
      <c r="Y113" s="184"/>
      <c r="Z113" s="184"/>
      <c r="AA113" s="184"/>
    </row>
    <row r="114" spans="1:27" ht="24" hidden="1" customHeight="1" outlineLevel="3">
      <c r="A114" s="239" t="s">
        <v>784</v>
      </c>
      <c r="B114" s="253">
        <v>988327198</v>
      </c>
      <c r="C114" s="184" t="s">
        <v>786</v>
      </c>
      <c r="D114" s="184" t="s">
        <v>3593</v>
      </c>
      <c r="E114" s="237">
        <v>44839</v>
      </c>
      <c r="F114" s="184" t="b">
        <v>0</v>
      </c>
      <c r="G114" s="238" t="s">
        <v>3620</v>
      </c>
      <c r="H114" s="238"/>
      <c r="I114" s="184" t="b">
        <v>1</v>
      </c>
      <c r="J114" s="184" t="s">
        <v>3621</v>
      </c>
      <c r="K114" s="238" t="s">
        <v>3622</v>
      </c>
      <c r="L114" s="184" t="b">
        <v>0</v>
      </c>
      <c r="M114" s="184"/>
      <c r="N114" s="184"/>
      <c r="O114" s="184"/>
      <c r="P114" s="184"/>
      <c r="Q114" s="184"/>
      <c r="R114" s="184"/>
      <c r="S114" s="184"/>
      <c r="T114" s="184"/>
      <c r="U114" s="184"/>
      <c r="V114" s="184"/>
      <c r="W114" s="184"/>
      <c r="X114" s="184"/>
      <c r="Y114" s="184"/>
      <c r="Z114" s="184"/>
      <c r="AA114" s="184"/>
    </row>
    <row r="115" spans="1:27" ht="24" hidden="1" customHeight="1" outlineLevel="3">
      <c r="A115" s="239" t="s">
        <v>1787</v>
      </c>
      <c r="B115" s="263" t="s">
        <v>1788</v>
      </c>
      <c r="C115" s="184" t="s">
        <v>1789</v>
      </c>
      <c r="D115" s="184" t="s">
        <v>11</v>
      </c>
      <c r="E115" s="237">
        <v>44839</v>
      </c>
      <c r="F115" s="184" t="b">
        <v>0</v>
      </c>
      <c r="G115" s="238" t="s">
        <v>3623</v>
      </c>
      <c r="H115" s="238"/>
      <c r="I115" s="184" t="b">
        <v>0</v>
      </c>
      <c r="J115" s="184"/>
      <c r="K115" s="238"/>
      <c r="L115" s="184" t="b">
        <v>0</v>
      </c>
      <c r="M115" s="184"/>
      <c r="N115" s="184"/>
      <c r="O115" s="184"/>
      <c r="P115" s="184"/>
      <c r="Q115" s="184"/>
      <c r="R115" s="184"/>
      <c r="S115" s="184"/>
      <c r="T115" s="184"/>
      <c r="U115" s="184"/>
      <c r="V115" s="184"/>
      <c r="W115" s="184"/>
      <c r="X115" s="184"/>
      <c r="Y115" s="184"/>
      <c r="Z115" s="184"/>
      <c r="AA115" s="184"/>
    </row>
    <row r="116" spans="1:27" ht="24" hidden="1" customHeight="1" outlineLevel="2" collapsed="1">
      <c r="A116" s="239"/>
      <c r="B116" s="184"/>
      <c r="C116" s="184"/>
      <c r="D116" s="184"/>
      <c r="E116" s="184"/>
      <c r="F116" s="184"/>
      <c r="G116" s="238"/>
      <c r="H116" s="238"/>
      <c r="I116" s="184"/>
      <c r="J116" s="184"/>
      <c r="K116" s="238"/>
      <c r="L116" s="184"/>
      <c r="M116" s="184"/>
      <c r="N116" s="184"/>
      <c r="O116" s="184"/>
      <c r="P116" s="184"/>
      <c r="Q116" s="184"/>
      <c r="R116" s="184"/>
      <c r="S116" s="184"/>
      <c r="T116" s="184"/>
      <c r="U116" s="184"/>
      <c r="V116" s="184"/>
      <c r="W116" s="184"/>
      <c r="X116" s="184"/>
      <c r="Y116" s="184"/>
      <c r="Z116" s="184"/>
      <c r="AA116" s="184"/>
    </row>
    <row r="117" spans="1:27" ht="24" hidden="1" customHeight="1" outlineLevel="3">
      <c r="A117" s="239" t="s">
        <v>3624</v>
      </c>
      <c r="B117" s="184" t="s">
        <v>1444</v>
      </c>
      <c r="C117" s="184" t="s">
        <v>1445</v>
      </c>
      <c r="D117" s="184" t="s">
        <v>3388</v>
      </c>
      <c r="E117" s="264">
        <v>44845</v>
      </c>
      <c r="F117" s="184" t="b">
        <v>1</v>
      </c>
      <c r="G117" s="238" t="s">
        <v>3625</v>
      </c>
      <c r="H117" s="238"/>
      <c r="I117" s="184" t="b">
        <v>0</v>
      </c>
      <c r="J117" s="184"/>
      <c r="K117" s="238"/>
      <c r="L117" s="184" t="b">
        <v>0</v>
      </c>
      <c r="M117" s="265" t="s">
        <v>3626</v>
      </c>
      <c r="N117" s="184"/>
      <c r="O117" s="184"/>
      <c r="P117" s="184"/>
      <c r="Q117" s="184"/>
      <c r="R117" s="184"/>
      <c r="S117" s="184"/>
      <c r="T117" s="184"/>
      <c r="U117" s="184"/>
      <c r="V117" s="184"/>
      <c r="W117" s="184"/>
      <c r="X117" s="184"/>
      <c r="Y117" s="184"/>
      <c r="Z117" s="184"/>
      <c r="AA117" s="184"/>
    </row>
    <row r="118" spans="1:27" ht="24" hidden="1" customHeight="1" outlineLevel="3">
      <c r="A118" s="239" t="s">
        <v>3627</v>
      </c>
      <c r="B118" s="184" t="s">
        <v>1794</v>
      </c>
      <c r="C118" s="254" t="s">
        <v>1795</v>
      </c>
      <c r="D118" s="184" t="s">
        <v>3628</v>
      </c>
      <c r="E118" s="264">
        <v>44845</v>
      </c>
      <c r="F118" s="184" t="b">
        <v>1</v>
      </c>
      <c r="G118" s="238" t="s">
        <v>3629</v>
      </c>
      <c r="H118" s="238"/>
      <c r="I118" s="184" t="b">
        <v>0</v>
      </c>
      <c r="J118" s="184"/>
      <c r="K118" s="238"/>
      <c r="L118" s="184" t="b">
        <v>1</v>
      </c>
      <c r="M118" s="184"/>
      <c r="N118" s="184"/>
      <c r="O118" s="184"/>
      <c r="P118" s="184"/>
      <c r="Q118" s="184"/>
      <c r="R118" s="184"/>
      <c r="S118" s="184"/>
      <c r="T118" s="184"/>
      <c r="U118" s="184"/>
      <c r="V118" s="184"/>
      <c r="W118" s="184"/>
      <c r="X118" s="184"/>
      <c r="Y118" s="184"/>
      <c r="Z118" s="184"/>
      <c r="AA118" s="184"/>
    </row>
    <row r="119" spans="1:27" ht="24" hidden="1" customHeight="1" outlineLevel="3">
      <c r="A119" s="239" t="s">
        <v>423</v>
      </c>
      <c r="B119" s="184" t="s">
        <v>3630</v>
      </c>
      <c r="C119" s="184" t="s">
        <v>425</v>
      </c>
      <c r="D119" s="184" t="s">
        <v>12</v>
      </c>
      <c r="E119" s="264">
        <v>44845</v>
      </c>
      <c r="F119" s="184" t="b">
        <v>1</v>
      </c>
      <c r="G119" s="238" t="s">
        <v>3631</v>
      </c>
      <c r="H119" s="238"/>
      <c r="I119" s="184" t="b">
        <v>1</v>
      </c>
      <c r="J119" s="184" t="s">
        <v>3611</v>
      </c>
      <c r="K119" s="238"/>
      <c r="L119" s="184" t="b">
        <v>1</v>
      </c>
      <c r="M119" s="265" t="s">
        <v>3632</v>
      </c>
      <c r="N119" s="184"/>
      <c r="O119" s="184"/>
      <c r="P119" s="184"/>
      <c r="Q119" s="184"/>
      <c r="R119" s="184"/>
      <c r="S119" s="184"/>
      <c r="T119" s="184"/>
      <c r="U119" s="184"/>
      <c r="V119" s="184"/>
      <c r="W119" s="184"/>
      <c r="X119" s="184"/>
      <c r="Y119" s="184"/>
      <c r="Z119" s="184"/>
      <c r="AA119" s="184"/>
    </row>
    <row r="120" spans="1:27" ht="24" hidden="1" customHeight="1" outlineLevel="3">
      <c r="A120" s="239" t="s">
        <v>3633</v>
      </c>
      <c r="B120" s="184" t="s">
        <v>1800</v>
      </c>
      <c r="C120" s="184" t="s">
        <v>1801</v>
      </c>
      <c r="D120" s="184" t="s">
        <v>10</v>
      </c>
      <c r="E120" s="264">
        <v>44845</v>
      </c>
      <c r="F120" s="184" t="b">
        <v>1</v>
      </c>
      <c r="G120" s="238" t="s">
        <v>3634</v>
      </c>
      <c r="H120" s="238"/>
      <c r="I120" s="184" t="b">
        <v>1</v>
      </c>
      <c r="J120" s="184" t="s">
        <v>230</v>
      </c>
      <c r="K120" s="238"/>
      <c r="L120" s="184" t="b">
        <v>0</v>
      </c>
      <c r="M120" s="265" t="s">
        <v>3635</v>
      </c>
      <c r="N120" s="184"/>
      <c r="O120" s="184"/>
      <c r="P120" s="184"/>
      <c r="Q120" s="184"/>
      <c r="R120" s="184"/>
      <c r="S120" s="184"/>
      <c r="T120" s="184"/>
      <c r="U120" s="184"/>
      <c r="V120" s="184"/>
      <c r="W120" s="184"/>
      <c r="X120" s="184"/>
      <c r="Y120" s="184"/>
      <c r="Z120" s="184"/>
      <c r="AA120" s="184"/>
    </row>
    <row r="121" spans="1:27" ht="24" hidden="1" customHeight="1" outlineLevel="3">
      <c r="A121" s="239" t="s">
        <v>1802</v>
      </c>
      <c r="B121" s="257" t="s">
        <v>1803</v>
      </c>
      <c r="C121" s="184" t="s">
        <v>1804</v>
      </c>
      <c r="D121" s="184" t="s">
        <v>16</v>
      </c>
      <c r="E121" s="264">
        <v>44846</v>
      </c>
      <c r="F121" s="184" t="b">
        <v>1</v>
      </c>
      <c r="G121" s="238" t="s">
        <v>3636</v>
      </c>
      <c r="H121" s="238"/>
      <c r="I121" s="184" t="b">
        <v>1</v>
      </c>
      <c r="J121" s="184" t="s">
        <v>3621</v>
      </c>
      <c r="K121" s="238"/>
      <c r="L121" s="184" t="b">
        <v>0</v>
      </c>
      <c r="M121" s="265" t="s">
        <v>3637</v>
      </c>
      <c r="N121" s="184"/>
      <c r="O121" s="184"/>
      <c r="P121" s="184"/>
      <c r="Q121" s="184"/>
      <c r="R121" s="184"/>
      <c r="S121" s="184"/>
      <c r="T121" s="184"/>
      <c r="U121" s="184"/>
      <c r="V121" s="184"/>
      <c r="W121" s="184"/>
      <c r="X121" s="184"/>
      <c r="Y121" s="184"/>
      <c r="Z121" s="184"/>
      <c r="AA121" s="184"/>
    </row>
    <row r="122" spans="1:27" ht="24" hidden="1" customHeight="1" outlineLevel="3">
      <c r="A122" s="239" t="s">
        <v>1007</v>
      </c>
      <c r="B122" s="184" t="s">
        <v>1008</v>
      </c>
      <c r="C122" s="184" t="s">
        <v>1009</v>
      </c>
      <c r="D122" s="184" t="s">
        <v>3638</v>
      </c>
      <c r="E122" s="264">
        <v>44846</v>
      </c>
      <c r="F122" s="184" t="b">
        <v>0</v>
      </c>
      <c r="G122" s="238" t="s">
        <v>3639</v>
      </c>
      <c r="H122" s="238"/>
      <c r="I122" s="184" t="b">
        <v>0</v>
      </c>
      <c r="J122" s="184"/>
      <c r="K122" s="238"/>
      <c r="L122" s="184" t="b">
        <v>0</v>
      </c>
      <c r="M122" s="265" t="s">
        <v>3640</v>
      </c>
      <c r="N122" s="184"/>
      <c r="O122" s="184"/>
      <c r="P122" s="184"/>
      <c r="Q122" s="184"/>
      <c r="R122" s="184"/>
      <c r="S122" s="184"/>
      <c r="T122" s="184"/>
      <c r="U122" s="184"/>
      <c r="V122" s="184"/>
      <c r="W122" s="184"/>
      <c r="X122" s="184"/>
      <c r="Y122" s="184"/>
      <c r="Z122" s="184"/>
      <c r="AA122" s="184"/>
    </row>
    <row r="123" spans="1:27" ht="24" hidden="1" customHeight="1" outlineLevel="3">
      <c r="A123" s="243" t="s">
        <v>3641</v>
      </c>
      <c r="B123" s="247" t="s">
        <v>1812</v>
      </c>
      <c r="C123" s="247" t="s">
        <v>3642</v>
      </c>
      <c r="D123" s="247" t="s">
        <v>12</v>
      </c>
      <c r="E123" s="266">
        <v>44848</v>
      </c>
      <c r="F123" s="247" t="b">
        <v>0</v>
      </c>
      <c r="G123" s="248" t="s">
        <v>3643</v>
      </c>
      <c r="H123" s="248"/>
      <c r="I123" s="247" t="b">
        <v>1</v>
      </c>
      <c r="J123" s="247" t="s">
        <v>3611</v>
      </c>
      <c r="K123" s="248"/>
      <c r="L123" s="247"/>
      <c r="M123" s="184"/>
      <c r="N123" s="184"/>
      <c r="O123" s="184"/>
      <c r="P123" s="184"/>
      <c r="Q123" s="184"/>
      <c r="R123" s="184"/>
      <c r="S123" s="184"/>
      <c r="T123" s="184"/>
      <c r="U123" s="184"/>
      <c r="V123" s="184"/>
      <c r="W123" s="184"/>
      <c r="X123" s="184"/>
      <c r="Y123" s="184"/>
      <c r="Z123" s="184"/>
      <c r="AA123" s="184"/>
    </row>
    <row r="124" spans="1:27" ht="24" hidden="1" customHeight="1" outlineLevel="2" collapsed="1">
      <c r="A124" s="239"/>
      <c r="B124" s="184"/>
      <c r="C124" s="184" t="s">
        <v>3644</v>
      </c>
      <c r="D124" s="184"/>
      <c r="E124" s="184"/>
      <c r="F124" s="184"/>
      <c r="G124" s="238"/>
      <c r="H124" s="238"/>
      <c r="I124" s="184"/>
      <c r="J124" s="184"/>
      <c r="K124" s="238"/>
      <c r="L124" s="184"/>
      <c r="M124" s="184"/>
      <c r="N124" s="184"/>
      <c r="O124" s="184"/>
      <c r="P124" s="184"/>
      <c r="Q124" s="184"/>
      <c r="R124" s="184"/>
      <c r="S124" s="184"/>
      <c r="T124" s="184"/>
      <c r="U124" s="184"/>
      <c r="V124" s="184"/>
      <c r="W124" s="184"/>
      <c r="X124" s="184"/>
      <c r="Y124" s="184"/>
      <c r="Z124" s="184"/>
      <c r="AA124" s="184"/>
    </row>
    <row r="125" spans="1:27" ht="24" hidden="1" customHeight="1" outlineLevel="3">
      <c r="A125" s="267" t="s">
        <v>3645</v>
      </c>
      <c r="B125" s="268" t="s">
        <v>1815</v>
      </c>
      <c r="C125" s="269" t="s">
        <v>1816</v>
      </c>
      <c r="D125" s="184" t="s">
        <v>12</v>
      </c>
      <c r="E125" s="264">
        <v>44851</v>
      </c>
      <c r="F125" s="184" t="b">
        <v>0</v>
      </c>
      <c r="G125" s="238" t="s">
        <v>3646</v>
      </c>
      <c r="H125" s="238"/>
      <c r="I125" s="184" t="b">
        <v>1</v>
      </c>
      <c r="J125" s="184" t="s">
        <v>3611</v>
      </c>
      <c r="K125" s="238"/>
      <c r="L125" s="184" t="b">
        <v>1</v>
      </c>
      <c r="M125" s="184"/>
      <c r="N125" s="184"/>
      <c r="O125" s="184"/>
      <c r="P125" s="184"/>
      <c r="Q125" s="184"/>
      <c r="R125" s="184"/>
      <c r="S125" s="184"/>
      <c r="T125" s="184"/>
      <c r="U125" s="184"/>
      <c r="V125" s="184"/>
      <c r="W125" s="184"/>
      <c r="X125" s="184"/>
      <c r="Y125" s="184"/>
      <c r="Z125" s="184"/>
      <c r="AA125" s="184"/>
    </row>
    <row r="126" spans="1:27" ht="24" hidden="1" customHeight="1" outlineLevel="3">
      <c r="A126" s="239" t="s">
        <v>241</v>
      </c>
      <c r="B126" s="184" t="s">
        <v>242</v>
      </c>
      <c r="C126" s="184" t="s">
        <v>243</v>
      </c>
      <c r="D126" s="184" t="s">
        <v>12</v>
      </c>
      <c r="E126" s="264">
        <v>44852</v>
      </c>
      <c r="F126" s="184" t="b">
        <v>0</v>
      </c>
      <c r="G126" s="238" t="s">
        <v>3647</v>
      </c>
      <c r="H126" s="238"/>
      <c r="I126" s="184" t="b">
        <v>1</v>
      </c>
      <c r="J126" s="184" t="s">
        <v>3611</v>
      </c>
      <c r="K126" s="238"/>
      <c r="L126" s="184" t="b">
        <v>1</v>
      </c>
      <c r="M126" s="265" t="s">
        <v>3648</v>
      </c>
      <c r="N126" s="184"/>
      <c r="O126" s="184"/>
      <c r="P126" s="184"/>
      <c r="Q126" s="184"/>
      <c r="R126" s="184"/>
      <c r="S126" s="184"/>
      <c r="T126" s="184"/>
      <c r="U126" s="184"/>
      <c r="V126" s="184"/>
      <c r="W126" s="184"/>
      <c r="X126" s="184"/>
      <c r="Y126" s="184"/>
      <c r="Z126" s="184"/>
      <c r="AA126" s="184"/>
    </row>
    <row r="127" spans="1:27" ht="24" hidden="1" customHeight="1" outlineLevel="3">
      <c r="A127" s="239" t="s">
        <v>1483</v>
      </c>
      <c r="B127" s="184" t="s">
        <v>1484</v>
      </c>
      <c r="C127" s="184" t="s">
        <v>1485</v>
      </c>
      <c r="D127" s="184" t="s">
        <v>3388</v>
      </c>
      <c r="E127" s="264">
        <v>44852</v>
      </c>
      <c r="F127" s="184" t="b">
        <v>0</v>
      </c>
      <c r="G127" s="238" t="s">
        <v>3649</v>
      </c>
      <c r="H127" s="238"/>
      <c r="I127" s="184" t="b">
        <v>0</v>
      </c>
      <c r="J127" s="184"/>
      <c r="K127" s="238"/>
      <c r="L127" s="184" t="b">
        <v>0</v>
      </c>
      <c r="M127" s="265" t="s">
        <v>3650</v>
      </c>
      <c r="N127" s="184"/>
      <c r="O127" s="184"/>
      <c r="P127" s="184"/>
      <c r="Q127" s="184"/>
      <c r="R127" s="184"/>
      <c r="S127" s="184"/>
      <c r="T127" s="184"/>
      <c r="U127" s="184"/>
      <c r="V127" s="184"/>
      <c r="W127" s="184"/>
      <c r="X127" s="184"/>
      <c r="Y127" s="184"/>
      <c r="Z127" s="184"/>
      <c r="AA127" s="184"/>
    </row>
    <row r="128" spans="1:27" ht="24" hidden="1" customHeight="1" outlineLevel="3">
      <c r="A128" s="239" t="s">
        <v>841</v>
      </c>
      <c r="B128" s="184" t="s">
        <v>842</v>
      </c>
      <c r="C128" s="184" t="s">
        <v>843</v>
      </c>
      <c r="D128" s="184" t="s">
        <v>13</v>
      </c>
      <c r="E128" s="264">
        <v>44852</v>
      </c>
      <c r="F128" s="184" t="b">
        <v>0</v>
      </c>
      <c r="G128" s="238" t="s">
        <v>3651</v>
      </c>
      <c r="H128" s="238"/>
      <c r="I128" s="184" t="b">
        <v>1</v>
      </c>
      <c r="J128" s="242" t="s">
        <v>140</v>
      </c>
      <c r="K128" s="238"/>
      <c r="L128" s="184" t="b">
        <v>1</v>
      </c>
      <c r="M128" s="184"/>
      <c r="N128" s="184"/>
      <c r="O128" s="184"/>
      <c r="P128" s="184"/>
      <c r="Q128" s="184"/>
      <c r="R128" s="184"/>
      <c r="S128" s="184"/>
      <c r="T128" s="184"/>
      <c r="U128" s="184"/>
      <c r="V128" s="184"/>
      <c r="W128" s="184"/>
      <c r="X128" s="184"/>
      <c r="Y128" s="184"/>
      <c r="Z128" s="184"/>
      <c r="AA128" s="184"/>
    </row>
    <row r="129" spans="1:27" ht="24" hidden="1" customHeight="1" outlineLevel="3">
      <c r="A129" s="239" t="s">
        <v>171</v>
      </c>
      <c r="B129" s="184" t="s">
        <v>173</v>
      </c>
      <c r="C129" s="184" t="s">
        <v>174</v>
      </c>
      <c r="D129" s="184" t="s">
        <v>11</v>
      </c>
      <c r="E129" s="264">
        <v>44853</v>
      </c>
      <c r="F129" s="184" t="b">
        <v>0</v>
      </c>
      <c r="G129" s="238" t="s">
        <v>3652</v>
      </c>
      <c r="H129" s="238"/>
      <c r="I129" s="184" t="b">
        <v>1</v>
      </c>
      <c r="J129" s="242" t="s">
        <v>140</v>
      </c>
      <c r="K129" s="238"/>
      <c r="L129" s="184" t="b">
        <v>0</v>
      </c>
      <c r="M129" s="270" t="s">
        <v>3653</v>
      </c>
      <c r="N129" s="184"/>
      <c r="O129" s="184"/>
      <c r="P129" s="184"/>
      <c r="Q129" s="184"/>
      <c r="R129" s="184"/>
      <c r="S129" s="184"/>
      <c r="T129" s="184"/>
      <c r="U129" s="184"/>
      <c r="V129" s="184"/>
      <c r="W129" s="184"/>
      <c r="X129" s="184"/>
      <c r="Y129" s="184"/>
      <c r="Z129" s="184"/>
      <c r="AA129" s="184"/>
    </row>
    <row r="130" spans="1:27" ht="24" hidden="1" customHeight="1" outlineLevel="2" collapsed="1">
      <c r="A130" s="239"/>
      <c r="B130" s="184"/>
      <c r="C130" s="271">
        <v>44858</v>
      </c>
      <c r="D130" s="184"/>
      <c r="E130" s="184"/>
      <c r="F130" s="184"/>
      <c r="G130" s="238"/>
      <c r="H130" s="238"/>
      <c r="I130" s="184"/>
      <c r="J130" s="184"/>
      <c r="K130" s="238"/>
      <c r="L130" s="184"/>
      <c r="M130" s="184"/>
      <c r="N130" s="184"/>
      <c r="O130" s="184"/>
      <c r="P130" s="184"/>
      <c r="Q130" s="184"/>
      <c r="R130" s="184"/>
      <c r="S130" s="184"/>
      <c r="T130" s="184"/>
      <c r="U130" s="184"/>
      <c r="V130" s="184"/>
      <c r="W130" s="184"/>
      <c r="X130" s="184"/>
      <c r="Y130" s="184"/>
      <c r="Z130" s="184"/>
      <c r="AA130" s="184"/>
    </row>
    <row r="131" spans="1:27" ht="24" hidden="1" customHeight="1" outlineLevel="3">
      <c r="A131" s="239" t="s">
        <v>1854</v>
      </c>
      <c r="B131" s="184" t="s">
        <v>1855</v>
      </c>
      <c r="C131" s="184" t="s">
        <v>1856</v>
      </c>
      <c r="D131" s="184" t="s">
        <v>12</v>
      </c>
      <c r="E131" s="264">
        <v>44858</v>
      </c>
      <c r="F131" s="184" t="b">
        <v>0</v>
      </c>
      <c r="G131" s="238" t="s">
        <v>3654</v>
      </c>
      <c r="H131" s="238"/>
      <c r="I131" s="184" t="b">
        <v>1</v>
      </c>
      <c r="J131" s="184" t="s">
        <v>3611</v>
      </c>
      <c r="K131" s="238"/>
      <c r="L131" s="184" t="b">
        <v>0</v>
      </c>
      <c r="M131" s="184"/>
      <c r="N131" s="184"/>
      <c r="O131" s="184"/>
      <c r="P131" s="184"/>
      <c r="Q131" s="184"/>
      <c r="R131" s="184"/>
      <c r="S131" s="184"/>
      <c r="T131" s="184"/>
      <c r="U131" s="184"/>
      <c r="V131" s="184"/>
      <c r="W131" s="184"/>
      <c r="X131" s="184"/>
      <c r="Y131" s="184"/>
      <c r="Z131" s="184"/>
      <c r="AA131" s="184"/>
    </row>
    <row r="132" spans="1:27" ht="24" hidden="1" customHeight="1" outlineLevel="3">
      <c r="A132" s="239" t="s">
        <v>3655</v>
      </c>
      <c r="B132" s="184" t="s">
        <v>3656</v>
      </c>
      <c r="C132" s="184" t="s">
        <v>1859</v>
      </c>
      <c r="D132" s="184" t="s">
        <v>12</v>
      </c>
      <c r="E132" s="264">
        <v>44858</v>
      </c>
      <c r="F132" s="184" t="b">
        <v>0</v>
      </c>
      <c r="G132" s="238" t="s">
        <v>3657</v>
      </c>
      <c r="H132" s="238"/>
      <c r="I132" s="184" t="b">
        <v>1</v>
      </c>
      <c r="J132" s="184" t="s">
        <v>3611</v>
      </c>
      <c r="K132" s="238"/>
      <c r="L132" s="184" t="b">
        <v>0</v>
      </c>
      <c r="M132" s="184"/>
      <c r="N132" s="184"/>
      <c r="O132" s="184"/>
      <c r="P132" s="184"/>
      <c r="Q132" s="184"/>
      <c r="R132" s="184"/>
      <c r="S132" s="184"/>
      <c r="T132" s="184"/>
      <c r="U132" s="184"/>
      <c r="V132" s="184"/>
      <c r="W132" s="184"/>
      <c r="X132" s="184"/>
      <c r="Y132" s="184"/>
      <c r="Z132" s="184"/>
      <c r="AA132" s="184"/>
    </row>
    <row r="133" spans="1:27" ht="24" hidden="1" customHeight="1" outlineLevel="3">
      <c r="A133" s="239" t="s">
        <v>1830</v>
      </c>
      <c r="B133" s="184" t="s">
        <v>3658</v>
      </c>
      <c r="C133" s="184" t="s">
        <v>1832</v>
      </c>
      <c r="D133" s="184" t="s">
        <v>12</v>
      </c>
      <c r="E133" s="264">
        <v>44859</v>
      </c>
      <c r="F133" s="184" t="b">
        <v>0</v>
      </c>
      <c r="G133" s="238" t="s">
        <v>3659</v>
      </c>
      <c r="H133" s="238"/>
      <c r="I133" s="184" t="b">
        <v>1</v>
      </c>
      <c r="J133" s="184" t="s">
        <v>3611</v>
      </c>
      <c r="K133" s="238"/>
      <c r="L133" s="184" t="b">
        <v>0</v>
      </c>
      <c r="M133" s="184"/>
      <c r="N133" s="184"/>
      <c r="O133" s="184"/>
      <c r="P133" s="184"/>
      <c r="Q133" s="184"/>
      <c r="R133" s="184"/>
      <c r="S133" s="184"/>
      <c r="T133" s="184"/>
      <c r="U133" s="184"/>
      <c r="V133" s="184"/>
      <c r="W133" s="184"/>
      <c r="X133" s="184"/>
      <c r="Y133" s="184"/>
      <c r="Z133" s="184"/>
      <c r="AA133" s="184"/>
    </row>
    <row r="134" spans="1:27" ht="24" hidden="1" customHeight="1" outlineLevel="3">
      <c r="A134" s="239" t="s">
        <v>214</v>
      </c>
      <c r="B134" s="184" t="s">
        <v>215</v>
      </c>
      <c r="C134" s="184" t="s">
        <v>216</v>
      </c>
      <c r="D134" s="184" t="s">
        <v>12</v>
      </c>
      <c r="E134" s="264">
        <v>44859</v>
      </c>
      <c r="F134" s="184" t="b">
        <v>0</v>
      </c>
      <c r="G134" s="238" t="s">
        <v>3660</v>
      </c>
      <c r="H134" s="238"/>
      <c r="I134" s="184" t="b">
        <v>1</v>
      </c>
      <c r="J134" s="184" t="s">
        <v>3611</v>
      </c>
      <c r="K134" s="238"/>
      <c r="L134" s="184" t="b">
        <v>0</v>
      </c>
      <c r="M134" s="184"/>
      <c r="N134" s="184"/>
      <c r="O134" s="184"/>
      <c r="P134" s="184"/>
      <c r="Q134" s="184"/>
      <c r="R134" s="184"/>
      <c r="S134" s="184"/>
      <c r="T134" s="184"/>
      <c r="U134" s="184"/>
      <c r="V134" s="184"/>
      <c r="W134" s="184"/>
      <c r="X134" s="184"/>
      <c r="Y134" s="184"/>
      <c r="Z134" s="184"/>
      <c r="AA134" s="184"/>
    </row>
    <row r="135" spans="1:27" ht="24" hidden="1" customHeight="1" outlineLevel="3">
      <c r="A135" s="239" t="s">
        <v>3661</v>
      </c>
      <c r="B135" s="184" t="s">
        <v>3662</v>
      </c>
      <c r="C135" s="184" t="s">
        <v>1470</v>
      </c>
      <c r="D135" s="184" t="s">
        <v>12</v>
      </c>
      <c r="E135" s="264">
        <v>44859</v>
      </c>
      <c r="F135" s="184" t="b">
        <v>0</v>
      </c>
      <c r="G135" s="238" t="s">
        <v>3663</v>
      </c>
      <c r="H135" s="238"/>
      <c r="I135" s="184" t="b">
        <v>1</v>
      </c>
      <c r="J135" s="184" t="s">
        <v>3611</v>
      </c>
      <c r="K135" s="238"/>
      <c r="L135" s="184" t="b">
        <v>0</v>
      </c>
      <c r="M135" s="184"/>
      <c r="N135" s="184"/>
      <c r="O135" s="184"/>
      <c r="P135" s="184"/>
      <c r="Q135" s="184"/>
      <c r="R135" s="184"/>
      <c r="S135" s="184"/>
      <c r="T135" s="184"/>
      <c r="U135" s="184"/>
      <c r="V135" s="184"/>
      <c r="W135" s="184"/>
      <c r="X135" s="184"/>
      <c r="Y135" s="184"/>
      <c r="Z135" s="184"/>
      <c r="AA135" s="184"/>
    </row>
    <row r="136" spans="1:27" ht="24" hidden="1" customHeight="1" outlineLevel="3">
      <c r="A136" s="239" t="s">
        <v>433</v>
      </c>
      <c r="B136" s="184" t="s">
        <v>434</v>
      </c>
      <c r="C136" s="184" t="s">
        <v>435</v>
      </c>
      <c r="D136" s="184" t="s">
        <v>11</v>
      </c>
      <c r="E136" s="264">
        <v>44859</v>
      </c>
      <c r="F136" s="184" t="b">
        <v>0</v>
      </c>
      <c r="G136" s="238" t="s">
        <v>3664</v>
      </c>
      <c r="H136" s="238"/>
      <c r="I136" s="184" t="b">
        <v>1</v>
      </c>
      <c r="J136" s="184" t="s">
        <v>140</v>
      </c>
      <c r="K136" s="238"/>
      <c r="L136" s="184" t="b">
        <v>0</v>
      </c>
      <c r="M136" s="184"/>
      <c r="N136" s="184"/>
      <c r="O136" s="184"/>
      <c r="P136" s="184"/>
      <c r="Q136" s="184"/>
      <c r="R136" s="184"/>
      <c r="S136" s="184"/>
      <c r="T136" s="184"/>
      <c r="U136" s="184"/>
      <c r="V136" s="184"/>
      <c r="W136" s="184"/>
      <c r="X136" s="184"/>
      <c r="Y136" s="184"/>
      <c r="Z136" s="184"/>
      <c r="AA136" s="184"/>
    </row>
    <row r="137" spans="1:27" ht="24" hidden="1" customHeight="1" outlineLevel="3">
      <c r="A137" s="239" t="s">
        <v>794</v>
      </c>
      <c r="B137" s="184" t="s">
        <v>795</v>
      </c>
      <c r="C137" s="184" t="s">
        <v>796</v>
      </c>
      <c r="D137" s="184" t="s">
        <v>11</v>
      </c>
      <c r="E137" s="264">
        <v>44859</v>
      </c>
      <c r="F137" s="184" t="b">
        <v>0</v>
      </c>
      <c r="G137" s="238" t="s">
        <v>3665</v>
      </c>
      <c r="H137" s="238"/>
      <c r="I137" s="184" t="b">
        <v>1</v>
      </c>
      <c r="J137" s="242" t="s">
        <v>140</v>
      </c>
      <c r="K137" s="238"/>
      <c r="L137" s="184" t="b">
        <v>1</v>
      </c>
      <c r="M137" s="184"/>
      <c r="N137" s="184"/>
      <c r="O137" s="184"/>
      <c r="P137" s="184"/>
      <c r="Q137" s="184"/>
      <c r="R137" s="184"/>
      <c r="S137" s="184"/>
      <c r="T137" s="184"/>
      <c r="U137" s="184"/>
      <c r="V137" s="184"/>
      <c r="W137" s="184"/>
      <c r="X137" s="184"/>
      <c r="Y137" s="184"/>
      <c r="Z137" s="184"/>
      <c r="AA137" s="184"/>
    </row>
    <row r="138" spans="1:27" ht="24" hidden="1" customHeight="1" outlineLevel="3">
      <c r="A138" s="239" t="s">
        <v>3666</v>
      </c>
      <c r="B138" s="253">
        <v>380673769474</v>
      </c>
      <c r="C138" s="184" t="s">
        <v>1877</v>
      </c>
      <c r="D138" s="184" t="s">
        <v>3388</v>
      </c>
      <c r="E138" s="264">
        <v>44860</v>
      </c>
      <c r="F138" s="184" t="b">
        <v>0</v>
      </c>
      <c r="G138" s="238" t="s">
        <v>3667</v>
      </c>
      <c r="H138" s="238"/>
      <c r="I138" s="184" t="b">
        <v>1</v>
      </c>
      <c r="J138" s="184" t="s">
        <v>3668</v>
      </c>
      <c r="K138" s="238"/>
      <c r="L138" s="184" t="b">
        <v>0</v>
      </c>
      <c r="M138" s="184"/>
      <c r="N138" s="184"/>
      <c r="O138" s="184"/>
      <c r="P138" s="184"/>
      <c r="Q138" s="184"/>
      <c r="R138" s="184"/>
      <c r="S138" s="184"/>
      <c r="T138" s="184"/>
      <c r="U138" s="184"/>
      <c r="V138" s="184"/>
      <c r="W138" s="184"/>
      <c r="X138" s="184"/>
      <c r="Y138" s="184"/>
      <c r="Z138" s="184"/>
      <c r="AA138" s="184"/>
    </row>
    <row r="139" spans="1:27" ht="24" hidden="1" customHeight="1" outlineLevel="3">
      <c r="A139" s="239" t="s">
        <v>821</v>
      </c>
      <c r="B139" s="184" t="s">
        <v>823</v>
      </c>
      <c r="C139" s="184" t="s">
        <v>824</v>
      </c>
      <c r="D139" s="184" t="s">
        <v>12</v>
      </c>
      <c r="E139" s="264">
        <v>44860</v>
      </c>
      <c r="F139" s="184" t="b">
        <v>0</v>
      </c>
      <c r="G139" s="238" t="s">
        <v>3669</v>
      </c>
      <c r="H139" s="238"/>
      <c r="I139" s="184" t="b">
        <v>1</v>
      </c>
      <c r="J139" s="184" t="s">
        <v>3611</v>
      </c>
      <c r="K139" s="238"/>
      <c r="L139" s="184" t="b">
        <v>0</v>
      </c>
      <c r="M139" s="184"/>
      <c r="N139" s="184"/>
      <c r="O139" s="184"/>
      <c r="P139" s="184"/>
      <c r="Q139" s="184"/>
      <c r="R139" s="184"/>
      <c r="S139" s="184"/>
      <c r="T139" s="184"/>
      <c r="U139" s="184"/>
      <c r="V139" s="184"/>
      <c r="W139" s="184"/>
      <c r="X139" s="184"/>
      <c r="Y139" s="184"/>
      <c r="Z139" s="184"/>
      <c r="AA139" s="184"/>
    </row>
    <row r="140" spans="1:27" ht="24" hidden="1" customHeight="1" outlineLevel="3">
      <c r="A140" s="239" t="s">
        <v>3670</v>
      </c>
      <c r="B140" s="184" t="s">
        <v>1885</v>
      </c>
      <c r="C140" s="184" t="s">
        <v>1886</v>
      </c>
      <c r="D140" s="184" t="s">
        <v>12</v>
      </c>
      <c r="E140" s="264">
        <v>44860</v>
      </c>
      <c r="F140" s="184" t="b">
        <v>0</v>
      </c>
      <c r="G140" s="238" t="s">
        <v>3671</v>
      </c>
      <c r="H140" s="238"/>
      <c r="I140" s="184" t="b">
        <v>1</v>
      </c>
      <c r="J140" s="184" t="s">
        <v>3611</v>
      </c>
      <c r="K140" s="238"/>
      <c r="L140" s="184" t="b">
        <v>0</v>
      </c>
      <c r="M140" s="184"/>
      <c r="N140" s="184"/>
      <c r="O140" s="184"/>
      <c r="P140" s="184"/>
      <c r="Q140" s="184"/>
      <c r="R140" s="184"/>
      <c r="S140" s="184"/>
      <c r="T140" s="184"/>
      <c r="U140" s="184"/>
      <c r="V140" s="184"/>
      <c r="W140" s="184"/>
      <c r="X140" s="184"/>
      <c r="Y140" s="184"/>
      <c r="Z140" s="184"/>
      <c r="AA140" s="184"/>
    </row>
    <row r="141" spans="1:27" ht="24" hidden="1" customHeight="1" outlineLevel="2" collapsed="1">
      <c r="A141" s="239"/>
      <c r="B141" s="184"/>
      <c r="C141" s="271">
        <v>44865</v>
      </c>
      <c r="D141" s="184"/>
      <c r="E141" s="184"/>
      <c r="F141" s="184"/>
      <c r="G141" s="238"/>
      <c r="H141" s="238"/>
      <c r="I141" s="184"/>
      <c r="J141" s="184"/>
      <c r="K141" s="238"/>
      <c r="L141" s="184"/>
      <c r="M141" s="184"/>
      <c r="N141" s="184"/>
      <c r="O141" s="184"/>
      <c r="P141" s="184"/>
      <c r="Q141" s="184"/>
      <c r="R141" s="184"/>
      <c r="S141" s="184"/>
      <c r="T141" s="184"/>
      <c r="U141" s="184"/>
      <c r="V141" s="184"/>
      <c r="W141" s="184"/>
      <c r="X141" s="184"/>
      <c r="Y141" s="184"/>
      <c r="Z141" s="184"/>
      <c r="AA141" s="184"/>
    </row>
    <row r="142" spans="1:27" ht="24" hidden="1" customHeight="1" outlineLevel="3">
      <c r="A142" s="239" t="s">
        <v>601</v>
      </c>
      <c r="B142" s="184" t="s">
        <v>602</v>
      </c>
      <c r="C142" s="184" t="s">
        <v>603</v>
      </c>
      <c r="D142" s="184" t="s">
        <v>3388</v>
      </c>
      <c r="E142" s="264">
        <v>44865</v>
      </c>
      <c r="F142" s="184" t="b">
        <v>0</v>
      </c>
      <c r="G142" s="238" t="s">
        <v>3672</v>
      </c>
      <c r="H142" s="238"/>
      <c r="I142" s="184" t="b">
        <v>1</v>
      </c>
      <c r="J142" s="184" t="s">
        <v>3673</v>
      </c>
      <c r="K142" s="238"/>
      <c r="L142" s="184" t="b">
        <v>0</v>
      </c>
      <c r="M142" s="184"/>
      <c r="N142" s="184"/>
      <c r="O142" s="184"/>
      <c r="P142" s="184"/>
      <c r="Q142" s="184"/>
      <c r="R142" s="184"/>
      <c r="S142" s="184"/>
      <c r="T142" s="184"/>
      <c r="U142" s="184"/>
      <c r="V142" s="184"/>
      <c r="W142" s="184"/>
      <c r="X142" s="184"/>
      <c r="Y142" s="184"/>
      <c r="Z142" s="184"/>
      <c r="AA142" s="184"/>
    </row>
    <row r="143" spans="1:27" ht="24" hidden="1" customHeight="1" outlineLevel="3">
      <c r="A143" s="239" t="s">
        <v>3674</v>
      </c>
      <c r="B143" s="184" t="s">
        <v>3675</v>
      </c>
      <c r="C143" s="184" t="s">
        <v>1875</v>
      </c>
      <c r="D143" s="184" t="s">
        <v>12</v>
      </c>
      <c r="E143" s="264">
        <v>44865</v>
      </c>
      <c r="F143" s="184" t="b">
        <v>0</v>
      </c>
      <c r="G143" s="238" t="s">
        <v>3676</v>
      </c>
      <c r="H143" s="238"/>
      <c r="I143" s="184" t="b">
        <v>1</v>
      </c>
      <c r="J143" s="184" t="s">
        <v>3611</v>
      </c>
      <c r="K143" s="238"/>
      <c r="L143" s="184" t="b">
        <v>0</v>
      </c>
      <c r="M143" s="184"/>
      <c r="N143" s="184"/>
      <c r="O143" s="184"/>
      <c r="P143" s="184"/>
      <c r="Q143" s="184"/>
      <c r="R143" s="184"/>
      <c r="S143" s="184"/>
      <c r="T143" s="184"/>
      <c r="U143" s="184"/>
      <c r="V143" s="184"/>
      <c r="W143" s="184"/>
      <c r="X143" s="184"/>
      <c r="Y143" s="184"/>
      <c r="Z143" s="184"/>
      <c r="AA143" s="184"/>
    </row>
    <row r="144" spans="1:27" ht="24" hidden="1" customHeight="1" outlineLevel="1" collapsed="1">
      <c r="A144" s="236" t="s">
        <v>902</v>
      </c>
      <c r="B144" s="184"/>
      <c r="C144" s="184"/>
      <c r="D144" s="184"/>
      <c r="E144" s="237"/>
      <c r="F144" s="184"/>
      <c r="G144" s="238"/>
      <c r="H144" s="238"/>
      <c r="I144" s="184"/>
      <c r="J144" s="184"/>
      <c r="K144" s="238"/>
      <c r="L144" s="238"/>
      <c r="M144" s="184"/>
      <c r="N144" s="184"/>
      <c r="O144" s="184"/>
      <c r="P144" s="184"/>
      <c r="Q144" s="184"/>
      <c r="R144" s="184"/>
      <c r="S144" s="184"/>
      <c r="T144" s="184"/>
      <c r="U144" s="184"/>
      <c r="V144" s="184"/>
      <c r="W144" s="184"/>
      <c r="X144" s="184"/>
      <c r="Y144" s="184"/>
      <c r="Z144" s="184"/>
      <c r="AA144" s="184"/>
    </row>
    <row r="145" spans="1:27" ht="24" hidden="1" customHeight="1" outlineLevel="2" collapsed="1">
      <c r="A145" s="215"/>
      <c r="B145" s="216"/>
      <c r="C145" s="272">
        <v>44866</v>
      </c>
      <c r="D145" s="216"/>
      <c r="E145" s="216"/>
      <c r="F145" s="216"/>
      <c r="G145" s="218"/>
      <c r="H145" s="218"/>
      <c r="I145" s="216"/>
      <c r="J145" s="216"/>
      <c r="K145" s="218"/>
      <c r="L145" s="216"/>
      <c r="M145" s="216"/>
      <c r="N145" s="216"/>
      <c r="O145" s="216"/>
      <c r="P145" s="216"/>
      <c r="Q145" s="216"/>
      <c r="R145" s="216"/>
      <c r="S145" s="216"/>
      <c r="T145" s="216"/>
      <c r="U145" s="216"/>
      <c r="V145" s="216"/>
      <c r="W145" s="216"/>
      <c r="X145" s="216"/>
      <c r="Y145" s="216"/>
      <c r="Z145" s="216"/>
      <c r="AA145" s="216"/>
    </row>
    <row r="146" spans="1:27" ht="24" hidden="1" customHeight="1" outlineLevel="3">
      <c r="A146" s="219" t="s">
        <v>1845</v>
      </c>
      <c r="B146" s="76" t="s">
        <v>1846</v>
      </c>
      <c r="C146" s="76" t="s">
        <v>1847</v>
      </c>
      <c r="D146" s="76" t="s">
        <v>12</v>
      </c>
      <c r="E146" s="204">
        <v>44866</v>
      </c>
      <c r="F146" s="16" t="b">
        <v>0</v>
      </c>
      <c r="G146" s="205" t="s">
        <v>3677</v>
      </c>
      <c r="H146" s="205"/>
      <c r="I146" s="16" t="b">
        <v>1</v>
      </c>
      <c r="J146" s="16" t="s">
        <v>3611</v>
      </c>
      <c r="K146" s="205"/>
      <c r="L146" s="16" t="b">
        <v>0</v>
      </c>
      <c r="M146" s="16"/>
      <c r="N146" s="16"/>
      <c r="O146" s="16"/>
      <c r="P146" s="16"/>
      <c r="Q146" s="16"/>
      <c r="R146" s="16"/>
      <c r="S146" s="16"/>
      <c r="T146" s="16"/>
      <c r="U146" s="16"/>
      <c r="V146" s="16"/>
      <c r="W146" s="16"/>
      <c r="X146" s="16"/>
      <c r="Y146" s="16"/>
      <c r="Z146" s="16"/>
      <c r="AA146" s="16"/>
    </row>
    <row r="147" spans="1:27" ht="24" hidden="1" customHeight="1" outlineLevel="3">
      <c r="A147" s="219" t="s">
        <v>1497</v>
      </c>
      <c r="B147" s="76" t="s">
        <v>1499</v>
      </c>
      <c r="C147" s="76" t="s">
        <v>1500</v>
      </c>
      <c r="D147" s="76" t="s">
        <v>12</v>
      </c>
      <c r="E147" s="204">
        <v>44866</v>
      </c>
      <c r="F147" s="16" t="b">
        <v>0</v>
      </c>
      <c r="G147" s="205" t="s">
        <v>3678</v>
      </c>
      <c r="H147" s="205"/>
      <c r="I147" s="16" t="b">
        <v>1</v>
      </c>
      <c r="J147" s="16" t="s">
        <v>3611</v>
      </c>
      <c r="K147" s="205"/>
      <c r="L147" s="16" t="b">
        <v>1</v>
      </c>
      <c r="M147" s="16"/>
      <c r="N147" s="16"/>
      <c r="O147" s="16"/>
      <c r="P147" s="16"/>
      <c r="Q147" s="16"/>
      <c r="R147" s="16"/>
      <c r="S147" s="16"/>
      <c r="T147" s="16"/>
      <c r="U147" s="16"/>
      <c r="V147" s="16"/>
      <c r="W147" s="16"/>
      <c r="X147" s="16"/>
      <c r="Y147" s="16"/>
      <c r="Z147" s="16"/>
      <c r="AA147" s="16"/>
    </row>
    <row r="148" spans="1:27" ht="24" hidden="1" customHeight="1" outlineLevel="3">
      <c r="A148" s="219" t="s">
        <v>189</v>
      </c>
      <c r="B148" s="76" t="s">
        <v>190</v>
      </c>
      <c r="C148" s="76" t="s">
        <v>191</v>
      </c>
      <c r="D148" s="76" t="s">
        <v>20</v>
      </c>
      <c r="E148" s="204">
        <v>44866</v>
      </c>
      <c r="F148" s="16" t="b">
        <v>0</v>
      </c>
      <c r="G148" s="205" t="s">
        <v>3679</v>
      </c>
      <c r="H148" s="205"/>
      <c r="I148" s="16" t="b">
        <v>1</v>
      </c>
      <c r="J148" s="16" t="s">
        <v>3673</v>
      </c>
      <c r="K148" s="205"/>
      <c r="L148" s="16" t="b">
        <v>0</v>
      </c>
      <c r="M148" s="16"/>
      <c r="N148" s="16"/>
      <c r="O148" s="16"/>
      <c r="P148" s="16"/>
      <c r="Q148" s="16"/>
      <c r="R148" s="16"/>
      <c r="S148" s="16"/>
      <c r="T148" s="16"/>
      <c r="U148" s="16"/>
      <c r="V148" s="16"/>
      <c r="W148" s="16"/>
      <c r="X148" s="16"/>
      <c r="Y148" s="16"/>
      <c r="Z148" s="16"/>
      <c r="AA148" s="16"/>
    </row>
    <row r="149" spans="1:27" ht="24" hidden="1" customHeight="1" outlineLevel="3">
      <c r="A149" s="219" t="s">
        <v>3680</v>
      </c>
      <c r="B149" s="61" t="s">
        <v>1862</v>
      </c>
      <c r="C149" s="76" t="s">
        <v>1863</v>
      </c>
      <c r="D149" s="76" t="s">
        <v>11</v>
      </c>
      <c r="E149" s="204">
        <v>44867</v>
      </c>
      <c r="F149" s="16" t="b">
        <v>0</v>
      </c>
      <c r="G149" s="205" t="s">
        <v>3681</v>
      </c>
      <c r="H149" s="205"/>
      <c r="I149" s="16" t="b">
        <v>1</v>
      </c>
      <c r="J149" s="16"/>
      <c r="K149" s="205"/>
      <c r="L149" s="16" t="b">
        <v>0</v>
      </c>
      <c r="M149" s="16"/>
      <c r="N149" s="16"/>
      <c r="O149" s="16"/>
      <c r="P149" s="16"/>
      <c r="Q149" s="16"/>
      <c r="R149" s="16"/>
      <c r="S149" s="16"/>
      <c r="T149" s="16"/>
      <c r="U149" s="16"/>
      <c r="V149" s="16"/>
      <c r="W149" s="16"/>
      <c r="X149" s="16"/>
      <c r="Y149" s="16"/>
      <c r="Z149" s="16"/>
      <c r="AA149" s="16"/>
    </row>
    <row r="150" spans="1:27" ht="24" hidden="1" customHeight="1" outlineLevel="3">
      <c r="A150" s="219" t="s">
        <v>485</v>
      </c>
      <c r="B150" s="76" t="s">
        <v>486</v>
      </c>
      <c r="C150" s="76" t="s">
        <v>487</v>
      </c>
      <c r="D150" s="76" t="s">
        <v>12</v>
      </c>
      <c r="E150" s="204">
        <v>44867</v>
      </c>
      <c r="F150" s="16" t="b">
        <v>0</v>
      </c>
      <c r="G150" s="205" t="s">
        <v>3682</v>
      </c>
      <c r="H150" s="205"/>
      <c r="I150" s="16" t="b">
        <v>1</v>
      </c>
      <c r="J150" s="16" t="s">
        <v>3611</v>
      </c>
      <c r="K150" s="205" t="s">
        <v>3683</v>
      </c>
      <c r="L150" s="16" t="b">
        <v>1</v>
      </c>
      <c r="M150" s="16"/>
      <c r="N150" s="16"/>
      <c r="O150" s="16"/>
      <c r="P150" s="16"/>
      <c r="Q150" s="16"/>
      <c r="R150" s="16"/>
      <c r="S150" s="16"/>
      <c r="T150" s="16"/>
      <c r="U150" s="16"/>
      <c r="V150" s="16"/>
      <c r="W150" s="16"/>
      <c r="X150" s="16"/>
      <c r="Y150" s="16"/>
      <c r="Z150" s="16"/>
      <c r="AA150" s="16"/>
    </row>
    <row r="151" spans="1:27" ht="24" hidden="1" customHeight="1" outlineLevel="3">
      <c r="A151" s="219" t="s">
        <v>202</v>
      </c>
      <c r="B151" s="76" t="s">
        <v>204</v>
      </c>
      <c r="C151" s="76" t="s">
        <v>205</v>
      </c>
      <c r="D151" s="16" t="s">
        <v>13</v>
      </c>
      <c r="E151" s="204">
        <v>44867</v>
      </c>
      <c r="F151" s="16" t="b">
        <v>0</v>
      </c>
      <c r="G151" s="205" t="s">
        <v>3684</v>
      </c>
      <c r="H151" s="205"/>
      <c r="I151" s="16" t="b">
        <v>1</v>
      </c>
      <c r="J151" s="16"/>
      <c r="K151" s="205"/>
      <c r="L151" s="16" t="b">
        <v>0</v>
      </c>
      <c r="M151" s="16"/>
      <c r="N151" s="16"/>
      <c r="O151" s="16"/>
      <c r="P151" s="16"/>
      <c r="Q151" s="16"/>
      <c r="R151" s="16"/>
      <c r="S151" s="16"/>
      <c r="T151" s="16"/>
      <c r="U151" s="16"/>
      <c r="V151" s="16"/>
      <c r="W151" s="16"/>
      <c r="X151" s="16"/>
      <c r="Y151" s="16"/>
      <c r="Z151" s="16"/>
      <c r="AA151" s="16"/>
    </row>
    <row r="152" spans="1:27" ht="24" hidden="1" customHeight="1" outlineLevel="3">
      <c r="A152" s="219" t="s">
        <v>1379</v>
      </c>
      <c r="B152" s="76" t="s">
        <v>1380</v>
      </c>
      <c r="C152" s="76" t="s">
        <v>3685</v>
      </c>
      <c r="D152" s="76" t="s">
        <v>12</v>
      </c>
      <c r="E152" s="204">
        <v>44868</v>
      </c>
      <c r="F152" s="16" t="b">
        <v>0</v>
      </c>
      <c r="G152" s="205" t="s">
        <v>3686</v>
      </c>
      <c r="H152" s="205"/>
      <c r="I152" s="16" t="b">
        <v>1</v>
      </c>
      <c r="J152" s="16" t="s">
        <v>3611</v>
      </c>
      <c r="K152" s="205" t="s">
        <v>3683</v>
      </c>
      <c r="L152" s="16" t="b">
        <v>1</v>
      </c>
      <c r="M152" s="16"/>
      <c r="N152" s="16"/>
      <c r="O152" s="16"/>
      <c r="P152" s="16"/>
      <c r="Q152" s="16"/>
      <c r="R152" s="16"/>
      <c r="S152" s="16"/>
      <c r="T152" s="16"/>
      <c r="U152" s="16"/>
      <c r="V152" s="16"/>
      <c r="W152" s="16"/>
      <c r="X152" s="16"/>
      <c r="Y152" s="16"/>
      <c r="Z152" s="16"/>
      <c r="AA152" s="16"/>
    </row>
    <row r="153" spans="1:27" ht="24" hidden="1" customHeight="1" outlineLevel="2" collapsed="1">
      <c r="A153" s="215"/>
      <c r="B153" s="216"/>
      <c r="C153" s="272">
        <v>44866</v>
      </c>
      <c r="D153" s="216"/>
      <c r="E153" s="216"/>
      <c r="F153" s="216"/>
      <c r="G153" s="218"/>
      <c r="H153" s="218"/>
      <c r="I153" s="216"/>
      <c r="J153" s="216"/>
      <c r="K153" s="218"/>
      <c r="L153" s="16"/>
      <c r="M153" s="16"/>
      <c r="N153" s="16"/>
      <c r="O153" s="16"/>
      <c r="P153" s="16"/>
      <c r="Q153" s="16"/>
      <c r="R153" s="16"/>
      <c r="S153" s="16"/>
      <c r="T153" s="16"/>
      <c r="U153" s="16"/>
      <c r="V153" s="16"/>
      <c r="W153" s="16"/>
      <c r="X153" s="16"/>
      <c r="Y153" s="16"/>
      <c r="Z153" s="16"/>
      <c r="AA153" s="16"/>
    </row>
    <row r="154" spans="1:27" ht="24" hidden="1" customHeight="1" outlineLevel="3">
      <c r="A154" s="219" t="s">
        <v>598</v>
      </c>
      <c r="B154" s="76" t="s">
        <v>599</v>
      </c>
      <c r="C154" s="76" t="s">
        <v>600</v>
      </c>
      <c r="D154" s="76" t="s">
        <v>12</v>
      </c>
      <c r="E154" s="273">
        <v>44873</v>
      </c>
      <c r="F154" s="16" t="b">
        <v>0</v>
      </c>
      <c r="G154" s="205" t="s">
        <v>3687</v>
      </c>
      <c r="H154" s="205"/>
      <c r="I154" s="16" t="b">
        <v>1</v>
      </c>
      <c r="J154" s="16" t="s">
        <v>3611</v>
      </c>
      <c r="K154" s="205"/>
      <c r="L154" s="16" t="b">
        <v>0</v>
      </c>
      <c r="M154" s="16"/>
      <c r="N154" s="16"/>
      <c r="O154" s="16"/>
      <c r="P154" s="16"/>
      <c r="Q154" s="16"/>
      <c r="R154" s="16"/>
      <c r="S154" s="16"/>
      <c r="T154" s="16"/>
      <c r="U154" s="16"/>
      <c r="V154" s="16"/>
      <c r="W154" s="16"/>
      <c r="X154" s="16"/>
      <c r="Y154" s="16"/>
      <c r="Z154" s="16"/>
      <c r="AA154" s="16"/>
    </row>
    <row r="155" spans="1:27" ht="24" hidden="1" customHeight="1" outlineLevel="3">
      <c r="A155" s="219" t="s">
        <v>193</v>
      </c>
      <c r="B155" s="76" t="s">
        <v>194</v>
      </c>
      <c r="C155" s="76" t="s">
        <v>195</v>
      </c>
      <c r="D155" s="76" t="s">
        <v>12</v>
      </c>
      <c r="E155" s="273">
        <v>44873</v>
      </c>
      <c r="F155" s="16" t="b">
        <v>0</v>
      </c>
      <c r="G155" s="205" t="s">
        <v>3688</v>
      </c>
      <c r="H155" s="205"/>
      <c r="I155" s="16" t="b">
        <v>1</v>
      </c>
      <c r="J155" s="16" t="s">
        <v>3611</v>
      </c>
      <c r="K155" s="205"/>
      <c r="L155" s="16" t="b">
        <v>1</v>
      </c>
      <c r="M155" s="16"/>
      <c r="N155" s="16"/>
      <c r="O155" s="16"/>
      <c r="P155" s="16"/>
      <c r="Q155" s="16"/>
      <c r="R155" s="16"/>
      <c r="S155" s="16"/>
      <c r="T155" s="16"/>
      <c r="U155" s="16"/>
      <c r="V155" s="16"/>
      <c r="W155" s="16"/>
      <c r="X155" s="16"/>
      <c r="Y155" s="16"/>
      <c r="Z155" s="16"/>
      <c r="AA155" s="16"/>
    </row>
    <row r="156" spans="1:27" ht="24" hidden="1" customHeight="1" outlineLevel="3">
      <c r="A156" s="219" t="s">
        <v>1975</v>
      </c>
      <c r="B156" s="274" t="s">
        <v>1976</v>
      </c>
      <c r="C156" s="274" t="s">
        <v>1977</v>
      </c>
      <c r="D156" s="76" t="s">
        <v>3388</v>
      </c>
      <c r="E156" s="273">
        <v>44873</v>
      </c>
      <c r="F156" s="16" t="b">
        <v>0</v>
      </c>
      <c r="G156" s="205" t="s">
        <v>3689</v>
      </c>
      <c r="H156" s="205"/>
      <c r="I156" s="16" t="b">
        <v>1</v>
      </c>
      <c r="J156" s="16" t="s">
        <v>1149</v>
      </c>
      <c r="K156" s="205"/>
      <c r="L156" s="16" t="b">
        <v>0</v>
      </c>
      <c r="M156" s="16"/>
      <c r="N156" s="16"/>
      <c r="O156" s="16"/>
      <c r="P156" s="16"/>
      <c r="Q156" s="16"/>
      <c r="R156" s="16"/>
      <c r="S156" s="16"/>
      <c r="T156" s="16"/>
      <c r="U156" s="16"/>
      <c r="V156" s="16"/>
      <c r="W156" s="16"/>
      <c r="X156" s="16"/>
      <c r="Y156" s="16"/>
      <c r="Z156" s="16"/>
      <c r="AA156" s="16"/>
    </row>
    <row r="157" spans="1:27" ht="24" hidden="1" customHeight="1" outlineLevel="3">
      <c r="A157" s="219" t="s">
        <v>445</v>
      </c>
      <c r="B157" s="111" t="s">
        <v>447</v>
      </c>
      <c r="C157" s="76" t="s">
        <v>448</v>
      </c>
      <c r="D157" s="76" t="s">
        <v>12</v>
      </c>
      <c r="E157" s="273">
        <v>44873</v>
      </c>
      <c r="F157" s="16" t="b">
        <v>0</v>
      </c>
      <c r="G157" s="205" t="s">
        <v>3690</v>
      </c>
      <c r="H157" s="205"/>
      <c r="I157" s="16" t="b">
        <v>1</v>
      </c>
      <c r="J157" s="16" t="s">
        <v>3611</v>
      </c>
      <c r="K157" s="205"/>
      <c r="L157" s="16" t="b">
        <v>0</v>
      </c>
      <c r="M157" s="16"/>
      <c r="N157" s="16"/>
      <c r="O157" s="16"/>
      <c r="P157" s="16"/>
      <c r="Q157" s="16"/>
      <c r="R157" s="16"/>
      <c r="S157" s="16"/>
      <c r="T157" s="16"/>
      <c r="U157" s="16"/>
      <c r="V157" s="16"/>
      <c r="W157" s="16"/>
      <c r="X157" s="16"/>
      <c r="Y157" s="16"/>
      <c r="Z157" s="16"/>
      <c r="AA157" s="16"/>
    </row>
    <row r="158" spans="1:27" ht="24" hidden="1" customHeight="1" outlineLevel="3">
      <c r="A158" s="219" t="s">
        <v>1904</v>
      </c>
      <c r="B158" s="76" t="s">
        <v>3691</v>
      </c>
      <c r="C158" s="76" t="s">
        <v>1906</v>
      </c>
      <c r="D158" s="16" t="s">
        <v>3692</v>
      </c>
      <c r="E158" s="273">
        <v>44874</v>
      </c>
      <c r="F158" s="16" t="b">
        <v>0</v>
      </c>
      <c r="G158" s="205" t="s">
        <v>3693</v>
      </c>
      <c r="H158" s="205"/>
      <c r="I158" s="16" t="b">
        <v>1</v>
      </c>
      <c r="J158" s="16" t="s">
        <v>3573</v>
      </c>
      <c r="K158" s="205"/>
      <c r="L158" s="16" t="b">
        <v>0</v>
      </c>
      <c r="M158" s="16"/>
      <c r="N158" s="16"/>
      <c r="O158" s="16"/>
      <c r="P158" s="16"/>
      <c r="Q158" s="16"/>
      <c r="R158" s="16"/>
      <c r="S158" s="16"/>
      <c r="T158" s="16"/>
      <c r="U158" s="16"/>
      <c r="V158" s="16"/>
      <c r="W158" s="16"/>
      <c r="X158" s="16"/>
      <c r="Y158" s="16"/>
      <c r="Z158" s="16"/>
      <c r="AA158" s="16"/>
    </row>
    <row r="159" spans="1:27" ht="24" hidden="1" customHeight="1" outlineLevel="3">
      <c r="A159" s="219" t="s">
        <v>507</v>
      </c>
      <c r="B159" s="76" t="s">
        <v>509</v>
      </c>
      <c r="C159" s="76" t="s">
        <v>510</v>
      </c>
      <c r="D159" s="16" t="s">
        <v>3694</v>
      </c>
      <c r="E159" s="273">
        <v>44874</v>
      </c>
      <c r="F159" s="16" t="b">
        <v>0</v>
      </c>
      <c r="G159" s="205" t="s">
        <v>3695</v>
      </c>
      <c r="H159" s="205"/>
      <c r="I159" s="16" t="b">
        <v>1</v>
      </c>
      <c r="J159" s="16" t="s">
        <v>1149</v>
      </c>
      <c r="K159" s="205"/>
      <c r="L159" s="16" t="b">
        <v>0</v>
      </c>
      <c r="M159" s="16"/>
      <c r="N159" s="16"/>
      <c r="O159" s="16"/>
      <c r="P159" s="16"/>
      <c r="Q159" s="16"/>
      <c r="R159" s="16"/>
      <c r="S159" s="16"/>
      <c r="T159" s="16"/>
      <c r="U159" s="16"/>
      <c r="V159" s="16"/>
      <c r="W159" s="16"/>
      <c r="X159" s="16"/>
      <c r="Y159" s="16"/>
      <c r="Z159" s="16"/>
      <c r="AA159" s="16"/>
    </row>
    <row r="160" spans="1:27" ht="24" hidden="1" customHeight="1" outlineLevel="3">
      <c r="A160" s="219" t="s">
        <v>1910</v>
      </c>
      <c r="B160" s="76" t="s">
        <v>1912</v>
      </c>
      <c r="C160" s="274" t="s">
        <v>1913</v>
      </c>
      <c r="D160" s="16" t="s">
        <v>3696</v>
      </c>
      <c r="E160" s="273">
        <v>44874</v>
      </c>
      <c r="F160" s="16" t="b">
        <v>0</v>
      </c>
      <c r="G160" s="205" t="s">
        <v>3697</v>
      </c>
      <c r="H160" s="205"/>
      <c r="I160" s="16" t="b">
        <v>1</v>
      </c>
      <c r="J160" s="16" t="s">
        <v>3611</v>
      </c>
      <c r="K160" s="205"/>
      <c r="L160" s="16" t="b">
        <v>0</v>
      </c>
      <c r="M160" s="16"/>
      <c r="N160" s="16"/>
      <c r="O160" s="16"/>
      <c r="P160" s="16"/>
      <c r="Q160" s="16"/>
      <c r="R160" s="16"/>
      <c r="S160" s="16"/>
      <c r="T160" s="16"/>
      <c r="U160" s="16"/>
      <c r="V160" s="16"/>
      <c r="W160" s="16"/>
      <c r="X160" s="16"/>
      <c r="Y160" s="16"/>
      <c r="Z160" s="16"/>
      <c r="AA160" s="16"/>
    </row>
    <row r="161" spans="1:27" ht="24" hidden="1" customHeight="1" outlineLevel="2">
      <c r="A161" s="215"/>
      <c r="B161" s="216"/>
      <c r="C161" s="216"/>
      <c r="D161" s="216"/>
      <c r="E161" s="216"/>
      <c r="F161" s="216" t="b">
        <v>0</v>
      </c>
      <c r="G161" s="218"/>
      <c r="H161" s="218"/>
      <c r="I161" s="216" t="b">
        <v>0</v>
      </c>
      <c r="J161" s="216"/>
      <c r="K161" s="218"/>
      <c r="L161" s="216"/>
      <c r="M161" s="216"/>
      <c r="N161" s="216"/>
      <c r="O161" s="216"/>
      <c r="P161" s="216"/>
      <c r="Q161" s="216"/>
      <c r="R161" s="216"/>
      <c r="S161" s="216"/>
      <c r="T161" s="216"/>
      <c r="U161" s="216"/>
      <c r="V161" s="216"/>
      <c r="W161" s="216"/>
      <c r="X161" s="216"/>
      <c r="Y161" s="216"/>
      <c r="Z161" s="216"/>
      <c r="AA161" s="216"/>
    </row>
    <row r="162" spans="1:27" ht="24" hidden="1" customHeight="1" outlineLevel="2">
      <c r="A162" s="220" t="s">
        <v>1058</v>
      </c>
      <c r="B162" s="16" t="s">
        <v>1059</v>
      </c>
      <c r="C162" s="16" t="s">
        <v>1060</v>
      </c>
      <c r="D162" s="76" t="s">
        <v>12</v>
      </c>
      <c r="E162" s="273">
        <v>44879</v>
      </c>
      <c r="F162" s="16" t="b">
        <v>0</v>
      </c>
      <c r="G162" s="205" t="s">
        <v>3698</v>
      </c>
      <c r="H162" s="205"/>
      <c r="I162" s="16" t="b">
        <v>1</v>
      </c>
      <c r="J162" s="16" t="s">
        <v>3611</v>
      </c>
      <c r="K162" s="205"/>
      <c r="L162" s="16" t="b">
        <v>0</v>
      </c>
      <c r="M162" s="16"/>
      <c r="N162" s="16"/>
      <c r="O162" s="16"/>
      <c r="P162" s="16"/>
      <c r="Q162" s="16"/>
      <c r="R162" s="16"/>
      <c r="S162" s="16"/>
      <c r="T162" s="16"/>
      <c r="U162" s="16"/>
      <c r="V162" s="16"/>
      <c r="W162" s="16"/>
      <c r="X162" s="16"/>
      <c r="Y162" s="16"/>
      <c r="Z162" s="16"/>
      <c r="AA162" s="16"/>
    </row>
    <row r="163" spans="1:27" ht="24" hidden="1" customHeight="1" outlineLevel="2">
      <c r="A163" s="219" t="s">
        <v>877</v>
      </c>
      <c r="B163" s="274" t="s">
        <v>879</v>
      </c>
      <c r="C163" s="76" t="s">
        <v>880</v>
      </c>
      <c r="D163" s="76" t="s">
        <v>12</v>
      </c>
      <c r="E163" s="273">
        <v>44879</v>
      </c>
      <c r="F163" s="16" t="b">
        <v>0</v>
      </c>
      <c r="G163" s="205" t="s">
        <v>3699</v>
      </c>
      <c r="H163" s="205"/>
      <c r="I163" s="16" t="b">
        <v>1</v>
      </c>
      <c r="J163" s="16" t="s">
        <v>3611</v>
      </c>
      <c r="K163" s="205"/>
      <c r="L163" s="16" t="b">
        <v>0</v>
      </c>
      <c r="M163" s="16"/>
      <c r="N163" s="16"/>
      <c r="O163" s="16"/>
      <c r="P163" s="16"/>
      <c r="Q163" s="16"/>
      <c r="R163" s="16"/>
      <c r="S163" s="16"/>
      <c r="T163" s="16"/>
      <c r="U163" s="16"/>
      <c r="V163" s="16"/>
      <c r="W163" s="16"/>
      <c r="X163" s="16"/>
      <c r="Y163" s="16"/>
      <c r="Z163" s="16"/>
      <c r="AA163" s="16"/>
    </row>
    <row r="164" spans="1:27" ht="24" hidden="1" customHeight="1" outlineLevel="2">
      <c r="A164" s="219" t="s">
        <v>1920</v>
      </c>
      <c r="B164" s="76" t="s">
        <v>3700</v>
      </c>
      <c r="C164" s="76" t="s">
        <v>1922</v>
      </c>
      <c r="D164" s="76" t="s">
        <v>3696</v>
      </c>
      <c r="E164" s="273">
        <v>44880</v>
      </c>
      <c r="F164" s="16" t="b">
        <v>0</v>
      </c>
      <c r="G164" s="205" t="s">
        <v>3701</v>
      </c>
      <c r="H164" s="205"/>
      <c r="I164" s="16" t="b">
        <v>1</v>
      </c>
      <c r="J164" s="16" t="s">
        <v>3611</v>
      </c>
      <c r="K164" s="205" t="s">
        <v>38</v>
      </c>
      <c r="L164" s="16" t="b">
        <v>0</v>
      </c>
      <c r="M164" s="16"/>
      <c r="N164" s="16"/>
      <c r="O164" s="16"/>
      <c r="P164" s="16"/>
      <c r="Q164" s="16"/>
      <c r="R164" s="16"/>
      <c r="S164" s="16"/>
      <c r="T164" s="16"/>
      <c r="U164" s="16"/>
      <c r="V164" s="16"/>
      <c r="W164" s="16"/>
      <c r="X164" s="16"/>
      <c r="Y164" s="16"/>
      <c r="Z164" s="16"/>
      <c r="AA164" s="16"/>
    </row>
    <row r="165" spans="1:27" ht="24" hidden="1" customHeight="1" outlineLevel="2">
      <c r="A165" s="219" t="s">
        <v>1923</v>
      </c>
      <c r="B165" s="76" t="s">
        <v>1924</v>
      </c>
      <c r="C165" s="76" t="s">
        <v>1925</v>
      </c>
      <c r="D165" s="76" t="s">
        <v>3702</v>
      </c>
      <c r="E165" s="273">
        <v>44880</v>
      </c>
      <c r="F165" s="16" t="b">
        <v>0</v>
      </c>
      <c r="G165" s="205" t="s">
        <v>3703</v>
      </c>
      <c r="H165" s="205"/>
      <c r="I165" s="16" t="b">
        <v>1</v>
      </c>
      <c r="J165" s="16" t="s">
        <v>3611</v>
      </c>
      <c r="K165" s="205"/>
      <c r="L165" s="16" t="b">
        <v>0</v>
      </c>
      <c r="M165" s="16"/>
      <c r="N165" s="16"/>
      <c r="O165" s="16"/>
      <c r="P165" s="16"/>
      <c r="Q165" s="16"/>
      <c r="R165" s="16"/>
      <c r="S165" s="16"/>
      <c r="T165" s="16"/>
      <c r="U165" s="16"/>
      <c r="V165" s="16"/>
      <c r="W165" s="16"/>
      <c r="X165" s="16"/>
      <c r="Y165" s="16"/>
      <c r="Z165" s="16"/>
      <c r="AA165" s="16"/>
    </row>
    <row r="166" spans="1:27" ht="24" hidden="1" customHeight="1" outlineLevel="2">
      <c r="A166" s="219" t="s">
        <v>1234</v>
      </c>
      <c r="B166" s="76" t="s">
        <v>1235</v>
      </c>
      <c r="C166" s="76" t="s">
        <v>1236</v>
      </c>
      <c r="D166" s="76" t="s">
        <v>3704</v>
      </c>
      <c r="E166" s="273">
        <v>44880</v>
      </c>
      <c r="F166" s="16" t="b">
        <v>0</v>
      </c>
      <c r="G166" s="205" t="s">
        <v>3705</v>
      </c>
      <c r="H166" s="205"/>
      <c r="I166" s="16" t="b">
        <v>1</v>
      </c>
      <c r="J166" s="16" t="s">
        <v>3621</v>
      </c>
      <c r="K166" s="205"/>
      <c r="L166" s="16" t="b">
        <v>0</v>
      </c>
      <c r="M166" s="16"/>
      <c r="N166" s="16"/>
      <c r="O166" s="16"/>
      <c r="P166" s="16"/>
      <c r="Q166" s="16"/>
      <c r="R166" s="16"/>
      <c r="S166" s="16"/>
      <c r="T166" s="16"/>
      <c r="U166" s="16"/>
      <c r="V166" s="16"/>
      <c r="W166" s="16"/>
      <c r="X166" s="16"/>
      <c r="Y166" s="16"/>
      <c r="Z166" s="16"/>
      <c r="AA166" s="16"/>
    </row>
    <row r="167" spans="1:27" ht="24" hidden="1" customHeight="1" outlineLevel="2">
      <c r="A167" s="219" t="s">
        <v>649</v>
      </c>
      <c r="B167" s="76" t="s">
        <v>651</v>
      </c>
      <c r="C167" s="76" t="s">
        <v>652</v>
      </c>
      <c r="D167" s="76" t="s">
        <v>3696</v>
      </c>
      <c r="E167" s="273">
        <v>44881</v>
      </c>
      <c r="F167" s="16" t="b">
        <v>0</v>
      </c>
      <c r="G167" s="205" t="s">
        <v>3706</v>
      </c>
      <c r="H167" s="205"/>
      <c r="I167" s="16" t="b">
        <v>1</v>
      </c>
      <c r="J167" s="16" t="s">
        <v>3611</v>
      </c>
      <c r="K167" s="205"/>
      <c r="L167" s="16" t="b">
        <v>0</v>
      </c>
      <c r="M167" s="16"/>
      <c r="N167" s="16"/>
      <c r="O167" s="16"/>
      <c r="P167" s="16"/>
      <c r="Q167" s="16"/>
      <c r="R167" s="16"/>
      <c r="S167" s="16"/>
      <c r="T167" s="16"/>
      <c r="U167" s="16"/>
      <c r="V167" s="16"/>
      <c r="W167" s="16"/>
      <c r="X167" s="16"/>
      <c r="Y167" s="16"/>
      <c r="Z167" s="16"/>
      <c r="AA167" s="16"/>
    </row>
    <row r="168" spans="1:27" ht="24" hidden="1" customHeight="1" outlineLevel="2">
      <c r="A168" s="219" t="s">
        <v>1179</v>
      </c>
      <c r="B168" s="76" t="s">
        <v>1181</v>
      </c>
      <c r="C168" s="76" t="s">
        <v>3707</v>
      </c>
      <c r="D168" s="76" t="s">
        <v>3708</v>
      </c>
      <c r="E168" s="273">
        <v>44881</v>
      </c>
      <c r="F168" s="16" t="b">
        <v>0</v>
      </c>
      <c r="G168" s="205" t="s">
        <v>3709</v>
      </c>
      <c r="H168" s="205"/>
      <c r="I168" s="16" t="b">
        <v>1</v>
      </c>
      <c r="J168" s="16" t="s">
        <v>3710</v>
      </c>
      <c r="K168" s="205"/>
      <c r="L168" s="16" t="b">
        <v>0</v>
      </c>
      <c r="M168" s="16"/>
      <c r="N168" s="16"/>
      <c r="O168" s="16"/>
      <c r="P168" s="16"/>
      <c r="Q168" s="16"/>
      <c r="R168" s="16"/>
      <c r="S168" s="16"/>
      <c r="T168" s="16"/>
      <c r="U168" s="16"/>
      <c r="V168" s="16"/>
      <c r="W168" s="16"/>
      <c r="X168" s="16"/>
      <c r="Y168" s="16"/>
      <c r="Z168" s="16"/>
      <c r="AA168" s="16"/>
    </row>
    <row r="169" spans="1:27" ht="24" hidden="1" customHeight="1" outlineLevel="2">
      <c r="A169" s="219" t="s">
        <v>289</v>
      </c>
      <c r="B169" s="76" t="s">
        <v>3711</v>
      </c>
      <c r="C169" s="76" t="s">
        <v>291</v>
      </c>
      <c r="D169" s="76" t="s">
        <v>3712</v>
      </c>
      <c r="E169" s="273">
        <v>44881</v>
      </c>
      <c r="F169" s="16" t="b">
        <v>0</v>
      </c>
      <c r="G169" s="205" t="s">
        <v>3713</v>
      </c>
      <c r="H169" s="205"/>
      <c r="I169" s="16" t="b">
        <v>1</v>
      </c>
      <c r="J169" s="16" t="s">
        <v>3621</v>
      </c>
      <c r="K169" s="205"/>
      <c r="L169" s="16" t="b">
        <v>0</v>
      </c>
      <c r="M169" s="16"/>
      <c r="N169" s="16"/>
      <c r="O169" s="16"/>
      <c r="P169" s="16"/>
      <c r="Q169" s="16"/>
      <c r="R169" s="16"/>
      <c r="S169" s="16"/>
      <c r="T169" s="16"/>
      <c r="U169" s="16"/>
      <c r="V169" s="16"/>
      <c r="W169" s="16"/>
      <c r="X169" s="16"/>
      <c r="Y169" s="16"/>
      <c r="Z169" s="16"/>
      <c r="AA169" s="16"/>
    </row>
    <row r="170" spans="1:27" ht="24" hidden="1" customHeight="1" outlineLevel="2">
      <c r="A170" s="219" t="s">
        <v>1938</v>
      </c>
      <c r="B170" s="76" t="s">
        <v>1939</v>
      </c>
      <c r="C170" s="76" t="s">
        <v>1940</v>
      </c>
      <c r="D170" s="76" t="s">
        <v>3696</v>
      </c>
      <c r="E170" s="273">
        <v>44882</v>
      </c>
      <c r="F170" s="16" t="b">
        <v>0</v>
      </c>
      <c r="G170" s="205" t="s">
        <v>3714</v>
      </c>
      <c r="H170" s="205"/>
      <c r="I170" s="16" t="b">
        <v>1</v>
      </c>
      <c r="J170" s="16" t="s">
        <v>3710</v>
      </c>
      <c r="K170" s="205"/>
      <c r="L170" s="16" t="b">
        <v>0</v>
      </c>
      <c r="M170" s="16"/>
      <c r="N170" s="16"/>
      <c r="O170" s="16"/>
      <c r="P170" s="16"/>
      <c r="Q170" s="16"/>
      <c r="R170" s="16"/>
      <c r="S170" s="16"/>
      <c r="T170" s="16"/>
      <c r="U170" s="16"/>
      <c r="V170" s="16"/>
      <c r="W170" s="16"/>
      <c r="X170" s="16"/>
      <c r="Y170" s="16"/>
      <c r="Z170" s="16"/>
      <c r="AA170" s="16"/>
    </row>
    <row r="171" spans="1:27" ht="24" hidden="1" customHeight="1" outlineLevel="2">
      <c r="A171" s="215"/>
      <c r="B171" s="216"/>
      <c r="C171" s="216"/>
      <c r="D171" s="216"/>
      <c r="E171" s="216"/>
      <c r="F171" s="216"/>
      <c r="G171" s="218"/>
      <c r="H171" s="218"/>
      <c r="I171" s="216"/>
      <c r="J171" s="216"/>
      <c r="K171" s="218"/>
      <c r="L171" s="216"/>
      <c r="M171" s="216"/>
      <c r="N171" s="216"/>
      <c r="O171" s="216"/>
      <c r="P171" s="216"/>
      <c r="Q171" s="216"/>
      <c r="R171" s="216"/>
      <c r="S171" s="216"/>
      <c r="T171" s="216"/>
      <c r="U171" s="216"/>
      <c r="V171" s="216"/>
      <c r="W171" s="216"/>
      <c r="X171" s="216"/>
      <c r="Y171" s="216"/>
      <c r="Z171" s="216"/>
      <c r="AA171" s="216"/>
    </row>
    <row r="172" spans="1:27" ht="24" hidden="1" customHeight="1" outlineLevel="2">
      <c r="A172" s="219" t="s">
        <v>1941</v>
      </c>
      <c r="B172" s="76" t="s">
        <v>3715</v>
      </c>
      <c r="C172" s="76" t="s">
        <v>1944</v>
      </c>
      <c r="D172" s="16" t="s">
        <v>3716</v>
      </c>
      <c r="E172" s="273">
        <v>44886</v>
      </c>
      <c r="F172" s="16" t="b">
        <v>0</v>
      </c>
      <c r="G172" s="205" t="s">
        <v>3717</v>
      </c>
      <c r="H172" s="205"/>
      <c r="I172" s="16" t="b">
        <v>1</v>
      </c>
      <c r="J172" s="16"/>
      <c r="K172" s="205"/>
      <c r="L172" s="16" t="b">
        <v>0</v>
      </c>
      <c r="M172" s="16"/>
      <c r="N172" s="16"/>
      <c r="O172" s="16"/>
      <c r="P172" s="16"/>
      <c r="Q172" s="16"/>
      <c r="R172" s="16"/>
      <c r="S172" s="16"/>
      <c r="T172" s="16"/>
      <c r="U172" s="16"/>
      <c r="V172" s="16"/>
      <c r="W172" s="16"/>
      <c r="X172" s="16"/>
      <c r="Y172" s="16"/>
      <c r="Z172" s="16"/>
      <c r="AA172" s="16"/>
    </row>
    <row r="173" spans="1:27" ht="24" hidden="1" customHeight="1" outlineLevel="2">
      <c r="A173" s="219" t="s">
        <v>1501</v>
      </c>
      <c r="B173" s="76" t="s">
        <v>1502</v>
      </c>
      <c r="C173" s="76" t="s">
        <v>1503</v>
      </c>
      <c r="D173" s="16" t="s">
        <v>3718</v>
      </c>
      <c r="E173" s="273">
        <v>44887</v>
      </c>
      <c r="F173" s="16" t="b">
        <v>0</v>
      </c>
      <c r="G173" s="205" t="s">
        <v>3719</v>
      </c>
      <c r="H173" s="205"/>
      <c r="I173" s="16" t="b">
        <v>1</v>
      </c>
      <c r="J173" s="16" t="s">
        <v>3621</v>
      </c>
      <c r="K173" s="205"/>
      <c r="L173" s="16" t="b">
        <v>0</v>
      </c>
      <c r="M173" s="16"/>
      <c r="N173" s="16"/>
      <c r="O173" s="16"/>
      <c r="P173" s="16"/>
      <c r="Q173" s="16"/>
      <c r="R173" s="16"/>
      <c r="S173" s="16"/>
      <c r="T173" s="16"/>
      <c r="U173" s="16"/>
      <c r="V173" s="16"/>
      <c r="W173" s="16"/>
      <c r="X173" s="16"/>
      <c r="Y173" s="16"/>
      <c r="Z173" s="16"/>
      <c r="AA173" s="16"/>
    </row>
    <row r="174" spans="1:27" ht="24" hidden="1" customHeight="1" outlineLevel="2">
      <c r="A174" s="220" t="s">
        <v>1948</v>
      </c>
      <c r="B174" s="275" t="s">
        <v>1949</v>
      </c>
      <c r="C174" s="79" t="s">
        <v>1950</v>
      </c>
      <c r="D174" s="16" t="s">
        <v>3718</v>
      </c>
      <c r="E174" s="273">
        <v>44887</v>
      </c>
      <c r="F174" s="16" t="b">
        <v>0</v>
      </c>
      <c r="G174" s="205" t="s">
        <v>3720</v>
      </c>
      <c r="H174" s="205"/>
      <c r="I174" s="16" t="b">
        <v>1</v>
      </c>
      <c r="J174" s="16" t="s">
        <v>3621</v>
      </c>
      <c r="K174" s="205"/>
      <c r="L174" s="16" t="b">
        <v>0</v>
      </c>
      <c r="M174" s="16"/>
      <c r="N174" s="16"/>
      <c r="O174" s="16"/>
      <c r="P174" s="16"/>
      <c r="Q174" s="16"/>
      <c r="R174" s="16"/>
      <c r="S174" s="16"/>
      <c r="T174" s="16"/>
      <c r="U174" s="16"/>
      <c r="V174" s="16"/>
      <c r="W174" s="16"/>
      <c r="X174" s="16"/>
      <c r="Y174" s="16"/>
      <c r="Z174" s="16"/>
      <c r="AA174" s="16"/>
    </row>
    <row r="175" spans="1:27" ht="24" hidden="1" customHeight="1" outlineLevel="2">
      <c r="A175" s="220" t="s">
        <v>320</v>
      </c>
      <c r="B175" s="16" t="s">
        <v>322</v>
      </c>
      <c r="C175" s="85" t="s">
        <v>3721</v>
      </c>
      <c r="D175" s="16" t="s">
        <v>3694</v>
      </c>
      <c r="E175" s="273">
        <v>44890</v>
      </c>
      <c r="F175" s="16" t="b">
        <v>0</v>
      </c>
      <c r="G175" s="205" t="s">
        <v>3722</v>
      </c>
      <c r="H175" s="205"/>
      <c r="I175" s="16" t="b">
        <v>1</v>
      </c>
      <c r="J175" s="16" t="s">
        <v>3673</v>
      </c>
      <c r="K175" s="205"/>
      <c r="L175" s="16" t="b">
        <v>0</v>
      </c>
      <c r="M175" s="16"/>
      <c r="N175" s="16"/>
      <c r="O175" s="16"/>
      <c r="P175" s="16"/>
      <c r="Q175" s="16"/>
      <c r="R175" s="16"/>
      <c r="S175" s="16"/>
      <c r="T175" s="16"/>
      <c r="U175" s="16"/>
      <c r="V175" s="16"/>
      <c r="W175" s="16"/>
      <c r="X175" s="16"/>
      <c r="Y175" s="16"/>
      <c r="Z175" s="16"/>
      <c r="AA175" s="16"/>
    </row>
    <row r="176" spans="1:27" ht="24" hidden="1" customHeight="1" outlineLevel="2">
      <c r="A176" s="220"/>
      <c r="B176" s="16"/>
      <c r="C176" s="16"/>
      <c r="D176" s="16"/>
      <c r="E176" s="16"/>
      <c r="F176" s="16"/>
      <c r="G176" s="205"/>
      <c r="H176" s="205"/>
      <c r="I176" s="16"/>
      <c r="J176" s="16"/>
      <c r="K176" s="205"/>
      <c r="L176" s="16"/>
      <c r="M176" s="16"/>
      <c r="N176" s="16"/>
      <c r="O176" s="16"/>
      <c r="P176" s="16"/>
      <c r="Q176" s="16"/>
      <c r="R176" s="16"/>
      <c r="S176" s="16"/>
      <c r="T176" s="16"/>
      <c r="U176" s="16"/>
      <c r="V176" s="16"/>
      <c r="W176" s="16"/>
      <c r="X176" s="16"/>
      <c r="Y176" s="16"/>
      <c r="Z176" s="16"/>
      <c r="AA176" s="16"/>
    </row>
    <row r="177" spans="1:27" ht="24" hidden="1" customHeight="1" outlineLevel="2">
      <c r="A177" s="219" t="s">
        <v>1471</v>
      </c>
      <c r="B177" s="76" t="s">
        <v>1472</v>
      </c>
      <c r="C177" s="76" t="s">
        <v>1473</v>
      </c>
      <c r="D177" s="16" t="s">
        <v>3692</v>
      </c>
      <c r="E177" s="273">
        <v>44894</v>
      </c>
      <c r="F177" s="16" t="b">
        <v>0</v>
      </c>
      <c r="G177" s="205" t="s">
        <v>3723</v>
      </c>
      <c r="H177" s="205"/>
      <c r="I177" s="16" t="b">
        <v>1</v>
      </c>
      <c r="J177" s="16" t="s">
        <v>3710</v>
      </c>
      <c r="K177" s="276" t="s">
        <v>3724</v>
      </c>
      <c r="L177" s="16"/>
      <c r="M177" s="16"/>
      <c r="N177" s="16"/>
      <c r="O177" s="16"/>
      <c r="P177" s="16"/>
      <c r="Q177" s="16"/>
      <c r="R177" s="16"/>
      <c r="S177" s="16"/>
      <c r="T177" s="16"/>
      <c r="U177" s="16"/>
      <c r="V177" s="16"/>
      <c r="W177" s="16"/>
      <c r="X177" s="16"/>
      <c r="Y177" s="16"/>
      <c r="Z177" s="16"/>
      <c r="AA177" s="16"/>
    </row>
    <row r="178" spans="1:27" ht="24" hidden="1" customHeight="1" outlineLevel="2">
      <c r="A178" s="220" t="s">
        <v>628</v>
      </c>
      <c r="B178" s="158" t="s">
        <v>3725</v>
      </c>
      <c r="C178" s="16" t="s">
        <v>630</v>
      </c>
      <c r="D178" s="16" t="s">
        <v>3718</v>
      </c>
      <c r="E178" s="273">
        <v>44895</v>
      </c>
      <c r="F178" s="16" t="b">
        <v>0</v>
      </c>
      <c r="G178" s="205" t="s">
        <v>3726</v>
      </c>
      <c r="H178" s="205"/>
      <c r="I178" s="16" t="b">
        <v>1</v>
      </c>
      <c r="J178" s="16" t="s">
        <v>3621</v>
      </c>
      <c r="K178" s="277" t="s">
        <v>3727</v>
      </c>
      <c r="L178" s="16"/>
      <c r="M178" s="16"/>
      <c r="N178" s="16"/>
      <c r="O178" s="16"/>
      <c r="P178" s="16"/>
      <c r="Q178" s="16"/>
      <c r="R178" s="16"/>
      <c r="S178" s="16"/>
      <c r="T178" s="16"/>
      <c r="U178" s="16"/>
      <c r="V178" s="16"/>
      <c r="W178" s="16"/>
      <c r="X178" s="16"/>
      <c r="Y178" s="16"/>
      <c r="Z178" s="16"/>
      <c r="AA178" s="16"/>
    </row>
    <row r="179" spans="1:27" ht="24" hidden="1" customHeight="1" outlineLevel="2">
      <c r="A179" s="219" t="s">
        <v>345</v>
      </c>
      <c r="B179" s="76" t="s">
        <v>346</v>
      </c>
      <c r="C179" s="76" t="s">
        <v>347</v>
      </c>
      <c r="D179" s="16" t="s">
        <v>3692</v>
      </c>
      <c r="E179" s="273">
        <v>44895</v>
      </c>
      <c r="F179" s="16" t="b">
        <v>0</v>
      </c>
      <c r="G179" s="205" t="s">
        <v>3728</v>
      </c>
      <c r="H179" s="205"/>
      <c r="I179" s="16" t="b">
        <v>1</v>
      </c>
      <c r="J179" s="16" t="s">
        <v>140</v>
      </c>
      <c r="K179" s="205"/>
      <c r="L179" s="16"/>
      <c r="M179" s="16"/>
      <c r="N179" s="16"/>
      <c r="O179" s="16"/>
      <c r="P179" s="16"/>
      <c r="Q179" s="16"/>
      <c r="R179" s="16"/>
      <c r="S179" s="16"/>
      <c r="T179" s="16"/>
      <c r="U179" s="16"/>
      <c r="V179" s="16"/>
      <c r="W179" s="16"/>
      <c r="X179" s="16"/>
      <c r="Y179" s="16"/>
      <c r="Z179" s="16"/>
      <c r="AA179" s="16"/>
    </row>
    <row r="180" spans="1:27" ht="24" hidden="1" customHeight="1" outlineLevel="1" collapsed="1">
      <c r="A180" s="278" t="s">
        <v>2698</v>
      </c>
      <c r="B180" s="162"/>
      <c r="C180" s="162"/>
      <c r="D180" s="162"/>
      <c r="E180" s="279"/>
      <c r="F180" s="162"/>
      <c r="G180" s="280"/>
      <c r="H180" s="280"/>
      <c r="I180" s="162"/>
      <c r="J180" s="162"/>
      <c r="K180" s="280"/>
      <c r="L180" s="280"/>
      <c r="M180" s="162"/>
      <c r="N180" s="162"/>
      <c r="O180" s="162"/>
      <c r="P180" s="162"/>
      <c r="Q180" s="162"/>
      <c r="R180" s="162"/>
      <c r="S180" s="162"/>
      <c r="T180" s="162"/>
      <c r="U180" s="162"/>
      <c r="V180" s="162"/>
      <c r="W180" s="162"/>
      <c r="X180" s="162"/>
      <c r="Y180" s="162"/>
      <c r="Z180" s="162"/>
      <c r="AA180" s="162"/>
    </row>
    <row r="181" spans="1:27" ht="24" hidden="1" customHeight="1" outlineLevel="2">
      <c r="A181" s="16" t="s">
        <v>2136</v>
      </c>
      <c r="B181" s="55" t="s">
        <v>2138</v>
      </c>
      <c r="C181" s="16" t="s">
        <v>2139</v>
      </c>
      <c r="D181" s="16" t="s">
        <v>3694</v>
      </c>
      <c r="E181" s="204">
        <v>44896</v>
      </c>
      <c r="F181" s="16" t="b">
        <v>0</v>
      </c>
      <c r="G181" s="16" t="s">
        <v>3729</v>
      </c>
      <c r="H181" s="16"/>
      <c r="I181" s="16" t="b">
        <v>1</v>
      </c>
      <c r="J181" s="16" t="s">
        <v>3673</v>
      </c>
      <c r="K181" s="205"/>
      <c r="L181" s="16" t="b">
        <v>0</v>
      </c>
      <c r="M181" s="16"/>
      <c r="N181" s="16"/>
      <c r="O181" s="16"/>
      <c r="P181" s="16"/>
      <c r="Q181" s="16"/>
      <c r="R181" s="16"/>
      <c r="S181" s="16"/>
      <c r="T181" s="16"/>
      <c r="U181" s="16"/>
      <c r="V181" s="16"/>
      <c r="W181" s="16"/>
      <c r="X181" s="16"/>
      <c r="Y181" s="16"/>
      <c r="Z181" s="16"/>
      <c r="AA181" s="16"/>
    </row>
    <row r="182" spans="1:27" ht="24" hidden="1" customHeight="1" outlineLevel="2">
      <c r="A182" s="16"/>
      <c r="B182" s="16"/>
      <c r="C182" s="16"/>
      <c r="D182" s="16"/>
      <c r="E182" s="16"/>
      <c r="F182" s="16"/>
      <c r="G182" s="205"/>
      <c r="H182" s="205"/>
      <c r="I182" s="16"/>
      <c r="J182" s="16"/>
      <c r="K182" s="205"/>
      <c r="L182" s="16" t="b">
        <v>0</v>
      </c>
      <c r="M182" s="16"/>
      <c r="N182" s="16"/>
      <c r="O182" s="16"/>
      <c r="P182" s="16"/>
      <c r="Q182" s="16"/>
      <c r="R182" s="16"/>
      <c r="S182" s="16"/>
      <c r="T182" s="16"/>
      <c r="U182" s="16"/>
      <c r="V182" s="16"/>
      <c r="W182" s="16"/>
      <c r="X182" s="16"/>
      <c r="Y182" s="16"/>
      <c r="Z182" s="16"/>
      <c r="AA182" s="16"/>
    </row>
    <row r="183" spans="1:27" ht="24" hidden="1" customHeight="1" outlineLevel="2">
      <c r="A183" s="281" t="s">
        <v>589</v>
      </c>
      <c r="B183" s="282" t="s">
        <v>590</v>
      </c>
      <c r="C183" s="14" t="s">
        <v>591</v>
      </c>
      <c r="D183" s="76" t="s">
        <v>3718</v>
      </c>
      <c r="E183" s="204">
        <v>44900</v>
      </c>
      <c r="F183" s="16" t="b">
        <v>0</v>
      </c>
      <c r="G183" s="205" t="s">
        <v>3730</v>
      </c>
      <c r="H183" s="205"/>
      <c r="I183" s="16" t="b">
        <v>1</v>
      </c>
      <c r="J183" s="16" t="s">
        <v>3621</v>
      </c>
      <c r="K183" s="205"/>
      <c r="L183" s="16" t="b">
        <v>0</v>
      </c>
      <c r="M183" s="16"/>
      <c r="N183" s="16"/>
      <c r="O183" s="16"/>
      <c r="P183" s="16"/>
      <c r="Q183" s="16"/>
      <c r="R183" s="16"/>
      <c r="S183" s="16"/>
      <c r="T183" s="16"/>
      <c r="U183" s="16"/>
      <c r="V183" s="16"/>
      <c r="W183" s="16"/>
      <c r="X183" s="16"/>
      <c r="Y183" s="16"/>
      <c r="Z183" s="16"/>
      <c r="AA183" s="16"/>
    </row>
    <row r="184" spans="1:27" ht="24" hidden="1" customHeight="1" outlineLevel="2">
      <c r="A184" s="76" t="s">
        <v>1013</v>
      </c>
      <c r="B184" s="76" t="s">
        <v>1014</v>
      </c>
      <c r="C184" s="76" t="s">
        <v>1015</v>
      </c>
      <c r="D184" s="76" t="s">
        <v>3692</v>
      </c>
      <c r="E184" s="204">
        <v>44900</v>
      </c>
      <c r="F184" s="16" t="b">
        <v>0</v>
      </c>
      <c r="G184" s="205" t="s">
        <v>3731</v>
      </c>
      <c r="H184" s="205"/>
      <c r="I184" s="16" t="b">
        <v>1</v>
      </c>
      <c r="J184" s="16" t="s">
        <v>140</v>
      </c>
      <c r="K184" s="205"/>
      <c r="L184" s="16" t="b">
        <v>1</v>
      </c>
      <c r="M184" s="16"/>
      <c r="N184" s="16"/>
      <c r="O184" s="16"/>
      <c r="P184" s="16"/>
      <c r="Q184" s="16"/>
      <c r="R184" s="16"/>
      <c r="S184" s="16"/>
      <c r="T184" s="16"/>
      <c r="U184" s="16"/>
      <c r="V184" s="16"/>
      <c r="W184" s="16"/>
      <c r="X184" s="16"/>
      <c r="Y184" s="16"/>
      <c r="Z184" s="16"/>
      <c r="AA184" s="16"/>
    </row>
    <row r="185" spans="1:27" ht="24" hidden="1" customHeight="1" outlineLevel="2">
      <c r="A185" s="76" t="s">
        <v>373</v>
      </c>
      <c r="B185" s="283" t="s">
        <v>375</v>
      </c>
      <c r="C185" s="76" t="s">
        <v>376</v>
      </c>
      <c r="D185" s="16" t="s">
        <v>3732</v>
      </c>
      <c r="E185" s="273">
        <v>44901</v>
      </c>
      <c r="F185" s="16" t="b">
        <v>0</v>
      </c>
      <c r="G185" s="205" t="s">
        <v>3733</v>
      </c>
      <c r="H185" s="205"/>
      <c r="I185" s="16" t="b">
        <v>0</v>
      </c>
      <c r="J185" s="16"/>
      <c r="K185" s="205"/>
      <c r="L185" s="16" t="b">
        <v>0</v>
      </c>
      <c r="M185" s="16"/>
      <c r="N185" s="16"/>
      <c r="O185" s="16"/>
      <c r="P185" s="16"/>
      <c r="Q185" s="16"/>
      <c r="R185" s="16"/>
      <c r="S185" s="16"/>
      <c r="T185" s="16"/>
      <c r="U185" s="16"/>
      <c r="V185" s="16"/>
      <c r="W185" s="16"/>
      <c r="X185" s="16"/>
      <c r="Y185" s="16"/>
      <c r="Z185" s="16"/>
      <c r="AA185" s="16"/>
    </row>
    <row r="186" spans="1:27" ht="24" hidden="1" customHeight="1" outlineLevel="2">
      <c r="A186" s="76" t="s">
        <v>1269</v>
      </c>
      <c r="B186" s="284" t="s">
        <v>3734</v>
      </c>
      <c r="C186" s="76" t="s">
        <v>1271</v>
      </c>
      <c r="D186" s="16" t="s">
        <v>3692</v>
      </c>
      <c r="E186" s="273">
        <v>44901</v>
      </c>
      <c r="F186" s="16" t="b">
        <v>0</v>
      </c>
      <c r="G186" s="205" t="s">
        <v>3735</v>
      </c>
      <c r="H186" s="205"/>
      <c r="I186" s="16" t="b">
        <v>1</v>
      </c>
      <c r="J186" s="16" t="s">
        <v>140</v>
      </c>
      <c r="K186" s="205"/>
      <c r="L186" s="16" t="b">
        <v>1</v>
      </c>
      <c r="M186" s="16"/>
      <c r="N186" s="16"/>
      <c r="O186" s="16"/>
      <c r="P186" s="16"/>
      <c r="Q186" s="16"/>
      <c r="R186" s="16"/>
      <c r="S186" s="16"/>
      <c r="T186" s="16"/>
      <c r="U186" s="16"/>
      <c r="V186" s="16"/>
      <c r="W186" s="16"/>
      <c r="X186" s="16"/>
      <c r="Y186" s="16"/>
      <c r="Z186" s="16"/>
      <c r="AA186" s="16"/>
    </row>
    <row r="187" spans="1:27" ht="24" hidden="1" customHeight="1" outlineLevel="2">
      <c r="A187" s="18" t="s">
        <v>802</v>
      </c>
      <c r="B187" s="17" t="s">
        <v>803</v>
      </c>
      <c r="C187" s="18" t="s">
        <v>804</v>
      </c>
      <c r="D187" s="18" t="s">
        <v>3718</v>
      </c>
      <c r="E187" s="273">
        <v>44902</v>
      </c>
      <c r="F187" s="16" t="b">
        <v>0</v>
      </c>
      <c r="G187" s="205" t="s">
        <v>3736</v>
      </c>
      <c r="H187" s="205"/>
      <c r="I187" s="16" t="b">
        <v>1</v>
      </c>
      <c r="J187" s="16" t="s">
        <v>3737</v>
      </c>
      <c r="K187" s="205"/>
      <c r="L187" s="16" t="b">
        <v>0</v>
      </c>
      <c r="M187" s="16"/>
      <c r="N187" s="16"/>
      <c r="O187" s="16"/>
      <c r="P187" s="16"/>
      <c r="Q187" s="16"/>
      <c r="R187" s="16"/>
      <c r="S187" s="16"/>
      <c r="T187" s="16"/>
      <c r="U187" s="16"/>
      <c r="V187" s="16"/>
      <c r="W187" s="16"/>
      <c r="X187" s="16"/>
      <c r="Y187" s="16"/>
      <c r="Z187" s="16"/>
      <c r="AA187" s="16"/>
    </row>
    <row r="188" spans="1:27" ht="24" hidden="1" customHeight="1" outlineLevel="2">
      <c r="A188" s="76" t="s">
        <v>151</v>
      </c>
      <c r="B188" s="155">
        <v>380978505845</v>
      </c>
      <c r="C188" s="16" t="s">
        <v>153</v>
      </c>
      <c r="D188" s="16" t="s">
        <v>3696</v>
      </c>
      <c r="E188" s="273">
        <v>44904</v>
      </c>
      <c r="F188" s="16" t="b">
        <v>0</v>
      </c>
      <c r="G188" s="205" t="s">
        <v>3738</v>
      </c>
      <c r="H188" s="205"/>
      <c r="I188" s="16" t="b">
        <v>1</v>
      </c>
      <c r="J188" s="16" t="s">
        <v>140</v>
      </c>
      <c r="K188" s="205"/>
      <c r="L188" s="16" t="b">
        <v>1</v>
      </c>
      <c r="M188" s="16"/>
      <c r="N188" s="16"/>
      <c r="O188" s="16"/>
      <c r="P188" s="16"/>
      <c r="Q188" s="16"/>
      <c r="R188" s="16"/>
      <c r="S188" s="16"/>
      <c r="T188" s="16"/>
      <c r="U188" s="16"/>
      <c r="V188" s="16"/>
      <c r="W188" s="16"/>
      <c r="X188" s="16"/>
      <c r="Y188" s="16"/>
      <c r="Z188" s="16"/>
      <c r="AA188" s="16"/>
    </row>
    <row r="189" spans="1:27" ht="24" hidden="1" customHeight="1" outlineLevel="2">
      <c r="A189" s="76" t="s">
        <v>66</v>
      </c>
      <c r="B189" s="55" t="s">
        <v>67</v>
      </c>
      <c r="C189" s="61" t="s">
        <v>68</v>
      </c>
      <c r="D189" s="16" t="s">
        <v>3739</v>
      </c>
      <c r="E189" s="273">
        <v>44907</v>
      </c>
      <c r="F189" s="16" t="b">
        <v>1</v>
      </c>
      <c r="G189" s="205" t="s">
        <v>3740</v>
      </c>
      <c r="H189" s="205"/>
      <c r="I189" s="16" t="b">
        <v>1</v>
      </c>
      <c r="J189" s="16" t="s">
        <v>69</v>
      </c>
      <c r="K189" s="205" t="s">
        <v>3741</v>
      </c>
      <c r="L189" s="16" t="b">
        <v>0</v>
      </c>
      <c r="M189" s="16"/>
      <c r="N189" s="16"/>
      <c r="O189" s="16"/>
      <c r="P189" s="16"/>
      <c r="Q189" s="16"/>
      <c r="R189" s="16"/>
      <c r="S189" s="16"/>
      <c r="T189" s="16"/>
      <c r="U189" s="16"/>
      <c r="V189" s="16"/>
      <c r="W189" s="16"/>
      <c r="X189" s="16"/>
      <c r="Y189" s="16"/>
      <c r="Z189" s="16"/>
      <c r="AA189" s="16"/>
    </row>
    <row r="190" spans="1:27" ht="24" hidden="1" customHeight="1" outlineLevel="2">
      <c r="A190" s="16" t="s">
        <v>304</v>
      </c>
      <c r="B190" s="285" t="s">
        <v>3742</v>
      </c>
      <c r="C190" s="16"/>
      <c r="D190" s="16" t="s">
        <v>3743</v>
      </c>
      <c r="E190" s="273">
        <v>44908</v>
      </c>
      <c r="F190" s="16" t="b">
        <v>1</v>
      </c>
      <c r="G190" s="205" t="s">
        <v>3744</v>
      </c>
      <c r="H190" s="205"/>
      <c r="I190" s="16" t="b">
        <v>1</v>
      </c>
      <c r="J190" s="16" t="s">
        <v>3745</v>
      </c>
      <c r="K190" s="205"/>
      <c r="L190" s="16" t="b">
        <v>0</v>
      </c>
      <c r="M190" s="16"/>
      <c r="N190" s="16"/>
      <c r="O190" s="16"/>
      <c r="P190" s="16"/>
      <c r="Q190" s="16"/>
      <c r="R190" s="16"/>
      <c r="S190" s="16"/>
      <c r="T190" s="16"/>
      <c r="U190" s="16"/>
      <c r="V190" s="16"/>
      <c r="W190" s="16"/>
      <c r="X190" s="16"/>
      <c r="Y190" s="16"/>
      <c r="Z190" s="16"/>
      <c r="AA190" s="16"/>
    </row>
    <row r="191" spans="1:27" ht="24" hidden="1" customHeight="1" outlineLevel="2">
      <c r="A191" s="76" t="s">
        <v>75</v>
      </c>
      <c r="B191" s="61" t="s">
        <v>76</v>
      </c>
      <c r="C191" s="76" t="s">
        <v>77</v>
      </c>
      <c r="D191" s="76" t="s">
        <v>3718</v>
      </c>
      <c r="E191" s="273">
        <v>44908</v>
      </c>
      <c r="F191" s="16" t="b">
        <v>0</v>
      </c>
      <c r="G191" s="205" t="s">
        <v>3746</v>
      </c>
      <c r="H191" s="205"/>
      <c r="I191" s="16" t="b">
        <v>1</v>
      </c>
      <c r="J191" s="16" t="s">
        <v>3747</v>
      </c>
      <c r="K191" s="205"/>
      <c r="L191" s="16" t="b">
        <v>0</v>
      </c>
      <c r="M191" s="16"/>
      <c r="N191" s="16"/>
      <c r="O191" s="16"/>
      <c r="P191" s="16"/>
      <c r="Q191" s="16"/>
      <c r="R191" s="16"/>
      <c r="S191" s="16"/>
      <c r="T191" s="16"/>
      <c r="U191" s="16"/>
      <c r="V191" s="16"/>
      <c r="W191" s="16"/>
      <c r="X191" s="16"/>
      <c r="Y191" s="16"/>
      <c r="Z191" s="16"/>
      <c r="AA191" s="16"/>
    </row>
    <row r="192" spans="1:27" ht="24" hidden="1" customHeight="1" outlineLevel="2">
      <c r="A192" s="76" t="s">
        <v>756</v>
      </c>
      <c r="B192" s="76" t="s">
        <v>758</v>
      </c>
      <c r="C192" s="76" t="s">
        <v>759</v>
      </c>
      <c r="D192" s="76" t="s">
        <v>3718</v>
      </c>
      <c r="E192" s="273">
        <v>44908</v>
      </c>
      <c r="F192" s="16" t="b">
        <v>0</v>
      </c>
      <c r="G192" s="205" t="s">
        <v>3748</v>
      </c>
      <c r="H192" s="205"/>
      <c r="I192" s="16" t="b">
        <v>1</v>
      </c>
      <c r="J192" s="16" t="s">
        <v>3749</v>
      </c>
      <c r="K192" s="205"/>
      <c r="L192" s="16" t="b">
        <v>0</v>
      </c>
      <c r="M192" s="16"/>
      <c r="N192" s="16"/>
      <c r="O192" s="16"/>
      <c r="P192" s="16"/>
      <c r="Q192" s="16"/>
      <c r="R192" s="16"/>
      <c r="S192" s="16"/>
      <c r="T192" s="16"/>
      <c r="U192" s="16"/>
      <c r="V192" s="16"/>
      <c r="W192" s="16"/>
      <c r="X192" s="16"/>
      <c r="Y192" s="16"/>
      <c r="Z192" s="16"/>
      <c r="AA192" s="16"/>
    </row>
    <row r="193" spans="1:27" ht="24" hidden="1" customHeight="1" outlineLevel="2">
      <c r="A193" s="76" t="s">
        <v>83</v>
      </c>
      <c r="B193" s="61" t="s">
        <v>84</v>
      </c>
      <c r="C193" s="76" t="s">
        <v>85</v>
      </c>
      <c r="D193" s="76" t="s">
        <v>3696</v>
      </c>
      <c r="E193" s="273">
        <v>44908</v>
      </c>
      <c r="F193" s="16" t="b">
        <v>0</v>
      </c>
      <c r="G193" s="205" t="s">
        <v>3750</v>
      </c>
      <c r="H193" s="205"/>
      <c r="I193" s="16" t="b">
        <v>1</v>
      </c>
      <c r="J193" s="16" t="s">
        <v>3751</v>
      </c>
      <c r="K193" s="205"/>
      <c r="L193" s="16" t="b">
        <v>0</v>
      </c>
      <c r="M193" s="16"/>
      <c r="N193" s="16"/>
      <c r="O193" s="16"/>
      <c r="P193" s="16"/>
      <c r="Q193" s="16"/>
      <c r="R193" s="16"/>
      <c r="S193" s="16"/>
      <c r="T193" s="16"/>
      <c r="U193" s="16"/>
      <c r="V193" s="16"/>
      <c r="W193" s="16"/>
      <c r="X193" s="16"/>
      <c r="Y193" s="16"/>
      <c r="Z193" s="16"/>
      <c r="AA193" s="16"/>
    </row>
    <row r="194" spans="1:27" ht="24" hidden="1" customHeight="1" outlineLevel="2">
      <c r="A194" s="76" t="s">
        <v>338</v>
      </c>
      <c r="B194" s="76" t="s">
        <v>3752</v>
      </c>
      <c r="C194" s="76" t="s">
        <v>340</v>
      </c>
      <c r="D194" s="76" t="s">
        <v>3692</v>
      </c>
      <c r="E194" s="273">
        <v>44908</v>
      </c>
      <c r="F194" s="16" t="b">
        <v>0</v>
      </c>
      <c r="G194" s="205" t="s">
        <v>3753</v>
      </c>
      <c r="H194" s="205"/>
      <c r="I194" s="16" t="b">
        <v>1</v>
      </c>
      <c r="J194" s="16" t="s">
        <v>3745</v>
      </c>
      <c r="K194" s="205"/>
      <c r="L194" s="16" t="b">
        <v>1</v>
      </c>
      <c r="M194" s="16"/>
      <c r="N194" s="16"/>
      <c r="O194" s="16"/>
      <c r="P194" s="16"/>
      <c r="Q194" s="16"/>
      <c r="R194" s="16"/>
      <c r="S194" s="16"/>
      <c r="T194" s="16"/>
      <c r="U194" s="16"/>
      <c r="V194" s="16"/>
      <c r="W194" s="16"/>
      <c r="X194" s="16"/>
      <c r="Y194" s="16"/>
      <c r="Z194" s="16"/>
      <c r="AA194" s="16"/>
    </row>
    <row r="195" spans="1:27" ht="24" hidden="1" customHeight="1" outlineLevel="2">
      <c r="A195" s="76" t="s">
        <v>738</v>
      </c>
      <c r="B195" s="85" t="s">
        <v>3754</v>
      </c>
      <c r="C195" s="76" t="s">
        <v>740</v>
      </c>
      <c r="D195" s="76" t="s">
        <v>3718</v>
      </c>
      <c r="E195" s="273">
        <v>44908</v>
      </c>
      <c r="F195" s="16" t="b">
        <v>0</v>
      </c>
      <c r="G195" s="205" t="s">
        <v>3755</v>
      </c>
      <c r="H195" s="205"/>
      <c r="I195" s="16" t="b">
        <v>1</v>
      </c>
      <c r="J195" s="16" t="s">
        <v>3756</v>
      </c>
      <c r="K195" s="205"/>
      <c r="L195" s="16" t="b">
        <v>0</v>
      </c>
      <c r="M195" s="16"/>
      <c r="N195" s="16"/>
      <c r="O195" s="16"/>
      <c r="P195" s="16"/>
      <c r="Q195" s="16"/>
      <c r="R195" s="16"/>
      <c r="S195" s="16"/>
      <c r="T195" s="16"/>
      <c r="U195" s="16"/>
      <c r="V195" s="16"/>
      <c r="W195" s="16"/>
      <c r="X195" s="16"/>
      <c r="Y195" s="16"/>
      <c r="Z195" s="16"/>
      <c r="AA195" s="16"/>
    </row>
    <row r="196" spans="1:27" ht="24" hidden="1" customHeight="1" outlineLevel="2">
      <c r="A196" s="76" t="s">
        <v>273</v>
      </c>
      <c r="B196" s="157" t="s">
        <v>274</v>
      </c>
      <c r="C196" s="76" t="s">
        <v>275</v>
      </c>
      <c r="D196" s="16" t="s">
        <v>3757</v>
      </c>
      <c r="E196" s="273">
        <v>44909</v>
      </c>
      <c r="F196" s="16" t="b">
        <v>0</v>
      </c>
      <c r="G196" s="205" t="s">
        <v>3758</v>
      </c>
      <c r="H196" s="205"/>
      <c r="I196" s="16" t="b">
        <v>1</v>
      </c>
      <c r="J196" s="16" t="s">
        <v>3673</v>
      </c>
      <c r="K196" s="205"/>
      <c r="L196" s="16" t="b">
        <v>0</v>
      </c>
      <c r="M196" s="16"/>
      <c r="N196" s="16"/>
      <c r="O196" s="16"/>
      <c r="P196" s="16"/>
      <c r="Q196" s="16"/>
      <c r="R196" s="16"/>
      <c r="S196" s="16"/>
      <c r="T196" s="16"/>
      <c r="U196" s="16"/>
      <c r="V196" s="16"/>
      <c r="W196" s="16"/>
      <c r="X196" s="16"/>
      <c r="Y196" s="16"/>
      <c r="Z196" s="16"/>
      <c r="AA196" s="16"/>
    </row>
    <row r="197" spans="1:27" ht="24" hidden="1" customHeight="1" outlineLevel="2">
      <c r="A197" s="16" t="s">
        <v>97</v>
      </c>
      <c r="B197" s="67" t="s">
        <v>98</v>
      </c>
      <c r="C197" s="16" t="s">
        <v>99</v>
      </c>
      <c r="D197" s="16" t="s">
        <v>3739</v>
      </c>
      <c r="E197" s="273">
        <v>44914</v>
      </c>
      <c r="F197" s="16" t="b">
        <v>1</v>
      </c>
      <c r="G197" s="205" t="s">
        <v>3759</v>
      </c>
      <c r="H197" s="205"/>
      <c r="I197" s="16" t="b">
        <v>1</v>
      </c>
      <c r="J197" s="16" t="s">
        <v>69</v>
      </c>
      <c r="K197" s="205" t="s">
        <v>3760</v>
      </c>
      <c r="L197" s="16" t="b">
        <v>0</v>
      </c>
      <c r="M197" s="16"/>
      <c r="N197" s="16"/>
      <c r="O197" s="16"/>
      <c r="P197" s="16"/>
      <c r="Q197" s="16"/>
      <c r="R197" s="16"/>
      <c r="S197" s="16"/>
      <c r="T197" s="16"/>
      <c r="U197" s="16"/>
      <c r="V197" s="16"/>
      <c r="W197" s="16"/>
      <c r="X197" s="16"/>
      <c r="Y197" s="16"/>
      <c r="Z197" s="16"/>
      <c r="AA197" s="16"/>
    </row>
    <row r="198" spans="1:27" ht="24" hidden="1" customHeight="1" outlineLevel="2">
      <c r="A198" s="16" t="s">
        <v>103</v>
      </c>
      <c r="B198" s="16" t="s">
        <v>105</v>
      </c>
      <c r="C198" s="16" t="s">
        <v>106</v>
      </c>
      <c r="D198" s="16" t="s">
        <v>3696</v>
      </c>
      <c r="E198" s="273">
        <v>44915</v>
      </c>
      <c r="F198" s="16" t="b">
        <v>0</v>
      </c>
      <c r="G198" s="205" t="s">
        <v>3761</v>
      </c>
      <c r="H198" s="205"/>
      <c r="I198" s="16" t="b">
        <v>1</v>
      </c>
      <c r="J198" s="16" t="s">
        <v>3745</v>
      </c>
      <c r="K198" s="205"/>
      <c r="L198" s="16" t="b">
        <v>1</v>
      </c>
      <c r="M198" s="16"/>
      <c r="N198" s="16"/>
      <c r="O198" s="16"/>
      <c r="P198" s="16"/>
      <c r="Q198" s="16"/>
      <c r="R198" s="16"/>
      <c r="S198" s="16"/>
      <c r="T198" s="16"/>
      <c r="U198" s="16"/>
      <c r="V198" s="16"/>
      <c r="W198" s="16"/>
      <c r="X198" s="16"/>
      <c r="Y198" s="16"/>
      <c r="Z198" s="16"/>
      <c r="AA198" s="16"/>
    </row>
    <row r="199" spans="1:27" ht="24" hidden="1" customHeight="1" outlineLevel="2">
      <c r="A199" s="68" t="s">
        <v>1388</v>
      </c>
      <c r="B199" s="17" t="s">
        <v>1390</v>
      </c>
      <c r="C199" s="17" t="s">
        <v>3762</v>
      </c>
      <c r="D199" s="16" t="s">
        <v>3739</v>
      </c>
      <c r="E199" s="273">
        <v>44916</v>
      </c>
      <c r="F199" s="16" t="b">
        <v>0</v>
      </c>
      <c r="G199" s="205" t="s">
        <v>3763</v>
      </c>
      <c r="H199" s="205"/>
      <c r="I199" s="16" t="b">
        <v>1</v>
      </c>
      <c r="J199" s="16" t="s">
        <v>69</v>
      </c>
      <c r="K199" s="205"/>
      <c r="L199" s="16" t="b">
        <v>0</v>
      </c>
      <c r="M199" s="16"/>
      <c r="N199" s="16"/>
      <c r="O199" s="16"/>
      <c r="P199" s="16"/>
      <c r="Q199" s="16"/>
      <c r="R199" s="16"/>
      <c r="S199" s="16"/>
      <c r="T199" s="16"/>
      <c r="U199" s="16"/>
      <c r="V199" s="16"/>
      <c r="W199" s="16"/>
      <c r="X199" s="16"/>
      <c r="Y199" s="16"/>
      <c r="Z199" s="16"/>
      <c r="AA199" s="16"/>
    </row>
    <row r="200" spans="1:27" ht="24" hidden="1" customHeight="1" outlineLevel="2">
      <c r="A200" s="17" t="s">
        <v>1263</v>
      </c>
      <c r="B200" s="286" t="s">
        <v>3764</v>
      </c>
      <c r="C200" s="17" t="s">
        <v>1265</v>
      </c>
      <c r="D200" s="16" t="s">
        <v>3696</v>
      </c>
      <c r="E200" s="273">
        <v>44916</v>
      </c>
      <c r="F200" s="16" t="b">
        <v>0</v>
      </c>
      <c r="G200" s="205" t="s">
        <v>3765</v>
      </c>
      <c r="H200" s="205"/>
      <c r="I200" s="16" t="b">
        <v>1</v>
      </c>
      <c r="J200" s="16" t="s">
        <v>3745</v>
      </c>
      <c r="K200" s="205"/>
      <c r="L200" s="16" t="b">
        <v>1</v>
      </c>
      <c r="M200" s="16"/>
      <c r="N200" s="16"/>
      <c r="O200" s="16"/>
      <c r="P200" s="16"/>
      <c r="Q200" s="16"/>
      <c r="R200" s="16"/>
      <c r="S200" s="16"/>
      <c r="T200" s="16"/>
      <c r="U200" s="16"/>
      <c r="V200" s="16"/>
      <c r="W200" s="16"/>
      <c r="X200" s="16"/>
      <c r="Y200" s="16"/>
      <c r="Z200" s="16"/>
      <c r="AA200" s="16"/>
    </row>
    <row r="201" spans="1:27" ht="24" hidden="1" customHeight="1" outlineLevel="2">
      <c r="A201" s="17" t="s">
        <v>113</v>
      </c>
      <c r="B201" s="17" t="s">
        <v>115</v>
      </c>
      <c r="C201" s="17" t="s">
        <v>116</v>
      </c>
      <c r="D201" s="16" t="s">
        <v>3696</v>
      </c>
      <c r="E201" s="273">
        <v>44916</v>
      </c>
      <c r="F201" s="16" t="b">
        <v>0</v>
      </c>
      <c r="G201" s="205" t="s">
        <v>3766</v>
      </c>
      <c r="H201" s="205"/>
      <c r="I201" s="16" t="b">
        <v>1</v>
      </c>
      <c r="J201" s="16" t="s">
        <v>3751</v>
      </c>
      <c r="K201" s="205"/>
      <c r="L201" s="16" t="b">
        <v>1</v>
      </c>
      <c r="M201" s="16"/>
      <c r="N201" s="16"/>
      <c r="O201" s="16"/>
      <c r="P201" s="16"/>
      <c r="Q201" s="16"/>
      <c r="R201" s="16"/>
      <c r="S201" s="16"/>
      <c r="T201" s="16"/>
      <c r="U201" s="16"/>
      <c r="V201" s="16"/>
      <c r="W201" s="16"/>
      <c r="X201" s="16"/>
      <c r="Y201" s="16"/>
      <c r="Z201" s="16"/>
      <c r="AA201" s="16"/>
    </row>
    <row r="202" spans="1:27" ht="24" hidden="1" customHeight="1" outlineLevel="2">
      <c r="A202" s="17" t="s">
        <v>690</v>
      </c>
      <c r="B202" s="17" t="s">
        <v>3767</v>
      </c>
      <c r="C202" s="17" t="s">
        <v>692</v>
      </c>
      <c r="D202" s="16" t="s">
        <v>3696</v>
      </c>
      <c r="E202" s="273">
        <v>44916</v>
      </c>
      <c r="F202" s="16" t="b">
        <v>0</v>
      </c>
      <c r="G202" s="205" t="s">
        <v>3768</v>
      </c>
      <c r="H202" s="205"/>
      <c r="I202" s="16" t="b">
        <v>1</v>
      </c>
      <c r="J202" s="16" t="s">
        <v>3745</v>
      </c>
      <c r="K202" s="205"/>
      <c r="L202" s="16" t="b">
        <v>1</v>
      </c>
      <c r="M202" s="16"/>
      <c r="N202" s="16"/>
      <c r="O202" s="16"/>
      <c r="P202" s="16"/>
      <c r="Q202" s="16"/>
      <c r="R202" s="16"/>
      <c r="S202" s="16"/>
      <c r="T202" s="16"/>
      <c r="U202" s="16"/>
      <c r="V202" s="16"/>
      <c r="W202" s="16"/>
      <c r="X202" s="16"/>
      <c r="Y202" s="16"/>
      <c r="Z202" s="16"/>
      <c r="AA202" s="16"/>
    </row>
    <row r="203" spans="1:27" ht="24" hidden="1" customHeight="1" outlineLevel="2">
      <c r="A203" s="17" t="s">
        <v>953</v>
      </c>
      <c r="B203" s="100" t="s">
        <v>954</v>
      </c>
      <c r="C203" s="100" t="s">
        <v>955</v>
      </c>
      <c r="D203" s="16" t="s">
        <v>3718</v>
      </c>
      <c r="E203" s="273">
        <v>44916</v>
      </c>
      <c r="F203" s="16" t="b">
        <v>0</v>
      </c>
      <c r="G203" s="205" t="s">
        <v>3769</v>
      </c>
      <c r="H203" s="205"/>
      <c r="I203" s="16" t="b">
        <v>1</v>
      </c>
      <c r="J203" s="16" t="s">
        <v>3756</v>
      </c>
      <c r="K203" s="205"/>
      <c r="L203" s="16" t="b">
        <v>0</v>
      </c>
      <c r="M203" s="16"/>
      <c r="N203" s="16"/>
      <c r="O203" s="16"/>
      <c r="P203" s="16"/>
      <c r="Q203" s="16"/>
      <c r="R203" s="16"/>
      <c r="S203" s="16"/>
      <c r="T203" s="16"/>
      <c r="U203" s="16"/>
      <c r="V203" s="16"/>
      <c r="W203" s="16"/>
      <c r="X203" s="16"/>
      <c r="Y203" s="16"/>
      <c r="Z203" s="16"/>
      <c r="AA203" s="16"/>
    </row>
    <row r="204" spans="1:27" ht="24" hidden="1" customHeight="1" outlineLevel="2">
      <c r="A204" s="76" t="s">
        <v>123</v>
      </c>
      <c r="B204" s="76" t="s">
        <v>125</v>
      </c>
      <c r="C204" s="76" t="s">
        <v>126</v>
      </c>
      <c r="D204" s="16" t="s">
        <v>3696</v>
      </c>
      <c r="E204" s="273">
        <v>44918</v>
      </c>
      <c r="F204" s="16" t="b">
        <v>0</v>
      </c>
      <c r="G204" s="205" t="s">
        <v>3770</v>
      </c>
      <c r="H204" s="205"/>
      <c r="I204" s="16" t="b">
        <v>1</v>
      </c>
      <c r="J204" s="16" t="s">
        <v>3745</v>
      </c>
      <c r="K204" s="205"/>
      <c r="L204" s="16" t="b">
        <v>1</v>
      </c>
      <c r="M204" s="16"/>
      <c r="N204" s="16"/>
      <c r="O204" s="16"/>
      <c r="P204" s="16"/>
      <c r="Q204" s="16"/>
      <c r="R204" s="16"/>
      <c r="S204" s="16"/>
      <c r="T204" s="16"/>
      <c r="U204" s="16"/>
      <c r="V204" s="16"/>
      <c r="W204" s="16"/>
      <c r="X204" s="16"/>
      <c r="Y204" s="16"/>
      <c r="Z204" s="16"/>
      <c r="AA204" s="16"/>
    </row>
    <row r="205" spans="1:27" ht="24" hidden="1" customHeight="1" outlineLevel="2">
      <c r="A205" s="76" t="s">
        <v>127</v>
      </c>
      <c r="B205" s="287" t="s">
        <v>3771</v>
      </c>
      <c r="C205" s="76" t="s">
        <v>129</v>
      </c>
      <c r="D205" s="16" t="s">
        <v>3694</v>
      </c>
      <c r="E205" s="273">
        <v>44918</v>
      </c>
      <c r="F205" s="16" t="b">
        <v>0</v>
      </c>
      <c r="G205" s="205" t="s">
        <v>3772</v>
      </c>
      <c r="H205" s="205"/>
      <c r="I205" s="16" t="b">
        <v>1</v>
      </c>
      <c r="J205" s="16" t="s">
        <v>3773</v>
      </c>
      <c r="K205" s="205"/>
      <c r="L205" s="16" t="b">
        <v>0</v>
      </c>
      <c r="M205" s="16"/>
      <c r="N205" s="16"/>
      <c r="O205" s="16"/>
      <c r="P205" s="16"/>
      <c r="Q205" s="16"/>
      <c r="R205" s="16"/>
      <c r="S205" s="16"/>
      <c r="T205" s="16"/>
      <c r="U205" s="16"/>
      <c r="V205" s="16"/>
      <c r="W205" s="16"/>
      <c r="X205" s="16"/>
      <c r="Y205" s="16"/>
      <c r="Z205" s="16"/>
      <c r="AA205" s="16"/>
    </row>
    <row r="206" spans="1:27" ht="24" hidden="1" customHeight="1" outlineLevel="2">
      <c r="A206" s="76" t="s">
        <v>130</v>
      </c>
      <c r="B206" s="16" t="s">
        <v>132</v>
      </c>
      <c r="C206" s="16" t="s">
        <v>133</v>
      </c>
      <c r="D206" s="16" t="s">
        <v>3696</v>
      </c>
      <c r="E206" s="273">
        <v>44918</v>
      </c>
      <c r="F206" s="16" t="b">
        <v>0</v>
      </c>
      <c r="G206" s="205" t="s">
        <v>3774</v>
      </c>
      <c r="H206" s="205"/>
      <c r="I206" s="16" t="b">
        <v>1</v>
      </c>
      <c r="J206" s="16" t="s">
        <v>3745</v>
      </c>
      <c r="K206" s="205"/>
      <c r="L206" s="16" t="b">
        <v>0</v>
      </c>
      <c r="M206" s="16"/>
      <c r="N206" s="16"/>
      <c r="O206" s="16"/>
      <c r="P206" s="16"/>
      <c r="Q206" s="16"/>
      <c r="R206" s="16"/>
      <c r="S206" s="16"/>
      <c r="T206" s="16"/>
      <c r="U206" s="16"/>
      <c r="V206" s="16"/>
      <c r="W206" s="16"/>
      <c r="X206" s="16"/>
      <c r="Y206" s="16"/>
      <c r="Z206" s="16"/>
      <c r="AA206" s="16"/>
    </row>
    <row r="207" spans="1:27" ht="24" hidden="1" customHeight="1" outlineLevel="2">
      <c r="A207" s="76" t="s">
        <v>87</v>
      </c>
      <c r="B207" s="16" t="s">
        <v>3775</v>
      </c>
      <c r="C207" s="16" t="s">
        <v>90</v>
      </c>
      <c r="D207" s="16" t="s">
        <v>3696</v>
      </c>
      <c r="E207" s="273">
        <v>44921</v>
      </c>
      <c r="F207" s="16" t="b">
        <v>0</v>
      </c>
      <c r="G207" s="205" t="s">
        <v>3776</v>
      </c>
      <c r="H207" s="205"/>
      <c r="I207" s="16" t="b">
        <v>1</v>
      </c>
      <c r="J207" s="16" t="s">
        <v>3745</v>
      </c>
      <c r="K207" s="205"/>
      <c r="L207" s="16" t="b">
        <v>1</v>
      </c>
      <c r="M207" s="16"/>
      <c r="N207" s="16"/>
      <c r="O207" s="16"/>
      <c r="P207" s="16"/>
      <c r="Q207" s="16"/>
      <c r="R207" s="16"/>
      <c r="S207" s="16"/>
      <c r="T207" s="16"/>
      <c r="U207" s="16"/>
      <c r="V207" s="16"/>
      <c r="W207" s="16"/>
      <c r="X207" s="16"/>
      <c r="Y207" s="16"/>
      <c r="Z207" s="16"/>
      <c r="AA207" s="16"/>
    </row>
    <row r="208" spans="1:27" ht="24" hidden="1" customHeight="1" outlineLevel="2">
      <c r="A208" s="16" t="s">
        <v>137</v>
      </c>
      <c r="B208" s="76" t="s">
        <v>138</v>
      </c>
      <c r="C208" s="16" t="s">
        <v>139</v>
      </c>
      <c r="D208" s="16" t="s">
        <v>3692</v>
      </c>
      <c r="E208" s="273">
        <v>44922</v>
      </c>
      <c r="F208" s="16" t="b">
        <v>0</v>
      </c>
      <c r="G208" s="205" t="s">
        <v>3777</v>
      </c>
      <c r="H208" s="205"/>
      <c r="I208" s="16" t="b">
        <v>1</v>
      </c>
      <c r="J208" s="16" t="s">
        <v>3745</v>
      </c>
      <c r="K208" s="205"/>
      <c r="L208" s="16" t="b">
        <v>0</v>
      </c>
      <c r="M208" s="16"/>
      <c r="N208" s="16"/>
      <c r="O208" s="16"/>
      <c r="P208" s="16"/>
      <c r="Q208" s="16"/>
      <c r="R208" s="16"/>
      <c r="S208" s="16"/>
      <c r="T208" s="16"/>
      <c r="U208" s="16"/>
      <c r="V208" s="16"/>
      <c r="W208" s="16"/>
      <c r="X208" s="16"/>
      <c r="Y208" s="16"/>
      <c r="Z208" s="16"/>
      <c r="AA208" s="16"/>
    </row>
    <row r="209" spans="1:27" ht="24" hidden="1" customHeight="1" outlineLevel="2">
      <c r="A209" s="16" t="s">
        <v>573</v>
      </c>
      <c r="B209" s="16" t="s">
        <v>574</v>
      </c>
      <c r="C209" s="16" t="s">
        <v>575</v>
      </c>
      <c r="D209" s="16" t="s">
        <v>3718</v>
      </c>
      <c r="E209" s="273">
        <v>44922</v>
      </c>
      <c r="F209" s="16" t="b">
        <v>0</v>
      </c>
      <c r="G209" s="205" t="s">
        <v>3778</v>
      </c>
      <c r="H209" s="205"/>
      <c r="I209" s="16" t="b">
        <v>1</v>
      </c>
      <c r="J209" s="16" t="s">
        <v>3756</v>
      </c>
      <c r="K209" s="205"/>
      <c r="L209" s="16" t="b">
        <v>0</v>
      </c>
      <c r="M209" s="16"/>
      <c r="N209" s="16"/>
      <c r="O209" s="16"/>
      <c r="P209" s="16"/>
      <c r="Q209" s="16"/>
      <c r="R209" s="16"/>
      <c r="S209" s="16"/>
      <c r="T209" s="16"/>
      <c r="U209" s="16"/>
      <c r="V209" s="16"/>
      <c r="W209" s="16"/>
      <c r="X209" s="16"/>
      <c r="Y209" s="16"/>
      <c r="Z209" s="16"/>
      <c r="AA209" s="16"/>
    </row>
    <row r="210" spans="1:27" ht="24" hidden="1" customHeight="1" outlineLevel="2">
      <c r="A210" s="17" t="s">
        <v>416</v>
      </c>
      <c r="B210" s="100" t="s">
        <v>418</v>
      </c>
      <c r="C210" s="68" t="s">
        <v>419</v>
      </c>
      <c r="D210" s="16" t="s">
        <v>3718</v>
      </c>
      <c r="E210" s="273">
        <v>44923</v>
      </c>
      <c r="F210" s="16" t="b">
        <v>0</v>
      </c>
      <c r="G210" s="205" t="s">
        <v>3779</v>
      </c>
      <c r="H210" s="205"/>
      <c r="I210" s="16" t="b">
        <v>1</v>
      </c>
      <c r="J210" s="16" t="s">
        <v>3756</v>
      </c>
      <c r="K210" s="205"/>
      <c r="L210" s="16" t="b">
        <v>0</v>
      </c>
      <c r="M210" s="16"/>
      <c r="N210" s="16"/>
      <c r="O210" s="16"/>
      <c r="P210" s="16"/>
      <c r="Q210" s="16"/>
      <c r="R210" s="16"/>
      <c r="S210" s="16"/>
      <c r="T210" s="16"/>
      <c r="U210" s="16"/>
      <c r="V210" s="16"/>
      <c r="W210" s="16"/>
      <c r="X210" s="16"/>
      <c r="Y210" s="16"/>
      <c r="Z210" s="16"/>
      <c r="AA210" s="16"/>
    </row>
    <row r="211" spans="1:27" ht="24" hidden="1" customHeight="1" outlineLevel="2">
      <c r="A211" s="17" t="s">
        <v>341</v>
      </c>
      <c r="B211" s="17" t="s">
        <v>3780</v>
      </c>
      <c r="C211" s="68" t="s">
        <v>343</v>
      </c>
      <c r="D211" s="16" t="s">
        <v>3718</v>
      </c>
      <c r="E211" s="273">
        <v>44923</v>
      </c>
      <c r="F211" s="16" t="b">
        <v>0</v>
      </c>
      <c r="G211" s="205" t="s">
        <v>3781</v>
      </c>
      <c r="H211" s="205"/>
      <c r="I211" s="16" t="b">
        <v>1</v>
      </c>
      <c r="J211" s="16" t="s">
        <v>3756</v>
      </c>
      <c r="K211" s="205"/>
      <c r="L211" s="16" t="b">
        <v>0</v>
      </c>
      <c r="M211" s="16"/>
      <c r="N211" s="16"/>
      <c r="O211" s="16"/>
      <c r="P211" s="16"/>
      <c r="Q211" s="16"/>
      <c r="R211" s="16"/>
      <c r="S211" s="16"/>
      <c r="T211" s="16"/>
      <c r="U211" s="16"/>
      <c r="V211" s="16"/>
      <c r="W211" s="16"/>
      <c r="X211" s="16"/>
      <c r="Y211" s="16"/>
      <c r="Z211" s="16"/>
      <c r="AA211" s="16"/>
    </row>
    <row r="212" spans="1:27" ht="24" hidden="1" customHeight="1" outlineLevel="2">
      <c r="A212" s="16" t="s">
        <v>1316</v>
      </c>
      <c r="B212" s="16" t="s">
        <v>1317</v>
      </c>
      <c r="C212" s="16" t="s">
        <v>3782</v>
      </c>
      <c r="D212" s="16" t="s">
        <v>3696</v>
      </c>
      <c r="E212" s="273">
        <v>44924</v>
      </c>
      <c r="F212" s="16" t="b">
        <v>0</v>
      </c>
      <c r="G212" s="205" t="s">
        <v>3783</v>
      </c>
      <c r="H212" s="205"/>
      <c r="I212" s="16" t="b">
        <v>1</v>
      </c>
      <c r="J212" s="16" t="s">
        <v>3745</v>
      </c>
      <c r="K212" s="205"/>
      <c r="L212" s="16" t="b">
        <v>0</v>
      </c>
      <c r="M212" s="16"/>
      <c r="N212" s="16"/>
      <c r="O212" s="16"/>
      <c r="P212" s="16"/>
      <c r="Q212" s="16"/>
      <c r="R212" s="16"/>
      <c r="S212" s="16"/>
      <c r="T212" s="16"/>
      <c r="U212" s="16"/>
      <c r="V212" s="16"/>
      <c r="W212" s="16"/>
      <c r="X212" s="16"/>
      <c r="Y212" s="16"/>
      <c r="Z212" s="16"/>
      <c r="AA212" s="16"/>
    </row>
    <row r="213" spans="1:27" ht="24" hidden="1" customHeight="1" outlineLevel="2">
      <c r="A213" s="16" t="s">
        <v>158</v>
      </c>
      <c r="B213" s="16" t="s">
        <v>159</v>
      </c>
      <c r="C213" s="79" t="s">
        <v>160</v>
      </c>
      <c r="D213" s="16" t="s">
        <v>3696</v>
      </c>
      <c r="E213" s="273">
        <v>44924</v>
      </c>
      <c r="F213" s="16" t="b">
        <v>0</v>
      </c>
      <c r="G213" s="205" t="s">
        <v>3784</v>
      </c>
      <c r="H213" s="205"/>
      <c r="I213" s="16" t="b">
        <v>1</v>
      </c>
      <c r="J213" s="16" t="s">
        <v>3745</v>
      </c>
      <c r="K213" s="205"/>
      <c r="L213" s="16" t="b">
        <v>0</v>
      </c>
      <c r="M213" s="16"/>
      <c r="N213" s="16"/>
      <c r="O213" s="16"/>
      <c r="P213" s="16"/>
      <c r="Q213" s="16"/>
      <c r="R213" s="16"/>
      <c r="S213" s="16"/>
      <c r="T213" s="16"/>
      <c r="U213" s="16"/>
      <c r="V213" s="16"/>
      <c r="W213" s="16"/>
      <c r="X213" s="16"/>
      <c r="Y213" s="16"/>
      <c r="Z213" s="16"/>
      <c r="AA213" s="16"/>
    </row>
    <row r="214" spans="1:27" ht="24" hidden="1" customHeight="1" outlineLevel="2">
      <c r="A214" s="16" t="s">
        <v>161</v>
      </c>
      <c r="B214" s="16" t="s">
        <v>162</v>
      </c>
      <c r="C214" s="16" t="s">
        <v>163</v>
      </c>
      <c r="D214" s="16" t="s">
        <v>3739</v>
      </c>
      <c r="E214" s="273">
        <v>44924</v>
      </c>
      <c r="F214" s="16" t="b">
        <v>0</v>
      </c>
      <c r="G214" s="205" t="s">
        <v>3785</v>
      </c>
      <c r="H214" s="205"/>
      <c r="I214" s="16" t="b">
        <v>1</v>
      </c>
      <c r="J214" s="16" t="s">
        <v>3786</v>
      </c>
      <c r="K214" s="205"/>
      <c r="L214" s="16" t="b">
        <v>0</v>
      </c>
      <c r="M214" s="16"/>
      <c r="N214" s="16"/>
      <c r="O214" s="16"/>
      <c r="P214" s="16"/>
      <c r="Q214" s="16"/>
      <c r="R214" s="16"/>
      <c r="S214" s="16"/>
      <c r="T214" s="16"/>
      <c r="U214" s="16"/>
      <c r="V214" s="16"/>
      <c r="W214" s="16"/>
      <c r="X214" s="16"/>
      <c r="Y214" s="16"/>
      <c r="Z214" s="16"/>
      <c r="AA214" s="16"/>
    </row>
    <row r="215" spans="1:27" ht="24" customHeight="1" collapsed="1">
      <c r="A215" s="203" t="s">
        <v>3787</v>
      </c>
      <c r="B215" s="61"/>
      <c r="C215" s="76"/>
      <c r="D215" s="76"/>
      <c r="E215" s="288"/>
      <c r="F215" s="76"/>
      <c r="G215" s="147"/>
      <c r="H215" s="147"/>
      <c r="I215" s="76"/>
      <c r="J215" s="76"/>
      <c r="K215" s="147"/>
      <c r="L215" s="76"/>
      <c r="M215" s="76"/>
      <c r="N215" s="76"/>
      <c r="O215" s="76"/>
      <c r="P215" s="76"/>
      <c r="Q215" s="76"/>
      <c r="R215" s="76"/>
      <c r="S215" s="76"/>
      <c r="T215" s="76"/>
      <c r="U215" s="76"/>
      <c r="V215" s="76"/>
      <c r="W215" s="76"/>
      <c r="X215" s="76"/>
      <c r="Y215" s="76"/>
      <c r="Z215" s="76"/>
      <c r="AA215" s="76"/>
    </row>
    <row r="216" spans="1:27" ht="24" hidden="1" customHeight="1" outlineLevel="1" collapsed="1">
      <c r="A216" s="278" t="s">
        <v>3788</v>
      </c>
      <c r="B216" s="289">
        <v>16</v>
      </c>
      <c r="C216" s="162"/>
      <c r="D216" s="162"/>
      <c r="E216" s="279"/>
      <c r="F216" s="162"/>
      <c r="G216" s="280"/>
      <c r="H216" s="280"/>
      <c r="I216" s="162"/>
      <c r="J216" s="162"/>
      <c r="K216" s="280"/>
      <c r="L216" s="162"/>
      <c r="M216" s="162"/>
      <c r="N216" s="162"/>
      <c r="O216" s="162"/>
      <c r="P216" s="162"/>
      <c r="Q216" s="162"/>
      <c r="R216" s="162"/>
      <c r="S216" s="162"/>
      <c r="T216" s="162"/>
      <c r="U216" s="162"/>
      <c r="V216" s="162"/>
      <c r="W216" s="162"/>
      <c r="X216" s="162"/>
      <c r="Y216" s="162"/>
      <c r="Z216" s="162"/>
      <c r="AA216" s="162"/>
    </row>
    <row r="217" spans="1:27" ht="24" hidden="1" customHeight="1" outlineLevel="2">
      <c r="A217" s="76" t="s">
        <v>1279</v>
      </c>
      <c r="B217" s="61" t="s">
        <v>3789</v>
      </c>
      <c r="C217" s="76" t="s">
        <v>1281</v>
      </c>
      <c r="D217" s="76" t="s">
        <v>3790</v>
      </c>
      <c r="E217" s="204">
        <v>44936</v>
      </c>
      <c r="F217" s="16" t="b">
        <v>0</v>
      </c>
      <c r="G217" s="205" t="s">
        <v>3791</v>
      </c>
      <c r="H217" s="205"/>
      <c r="I217" s="16" t="b">
        <v>1</v>
      </c>
      <c r="J217" s="16" t="s">
        <v>3792</v>
      </c>
      <c r="K217" s="205"/>
      <c r="L217" s="16" t="b">
        <v>0</v>
      </c>
      <c r="M217" s="16"/>
      <c r="N217" s="16"/>
      <c r="O217" s="16"/>
      <c r="P217" s="16"/>
      <c r="Q217" s="16"/>
      <c r="R217" s="16"/>
      <c r="S217" s="16"/>
      <c r="T217" s="16"/>
      <c r="U217" s="16"/>
      <c r="V217" s="16"/>
      <c r="W217" s="16"/>
      <c r="X217" s="16"/>
      <c r="Y217" s="16"/>
      <c r="Z217" s="16"/>
      <c r="AA217" s="16"/>
    </row>
    <row r="218" spans="1:27" ht="24" hidden="1" customHeight="1" outlineLevel="2">
      <c r="A218" s="76" t="s">
        <v>778</v>
      </c>
      <c r="B218" s="158" t="s">
        <v>3793</v>
      </c>
      <c r="C218" s="76" t="s">
        <v>780</v>
      </c>
      <c r="D218" s="76" t="s">
        <v>3696</v>
      </c>
      <c r="E218" s="204">
        <v>44950</v>
      </c>
      <c r="F218" s="16" t="b">
        <v>0</v>
      </c>
      <c r="G218" s="205" t="s">
        <v>3794</v>
      </c>
      <c r="H218" s="205"/>
      <c r="I218" s="16" t="b">
        <v>1</v>
      </c>
      <c r="J218" s="16"/>
      <c r="K218" s="205"/>
      <c r="L218" s="16" t="b">
        <v>0</v>
      </c>
      <c r="M218" s="16"/>
      <c r="N218" s="16"/>
      <c r="O218" s="16"/>
      <c r="P218" s="16"/>
      <c r="Q218" s="16"/>
      <c r="R218" s="16"/>
      <c r="S218" s="16"/>
      <c r="T218" s="16"/>
      <c r="U218" s="16"/>
      <c r="V218" s="16"/>
      <c r="W218" s="16"/>
      <c r="X218" s="16"/>
      <c r="Y218" s="16"/>
      <c r="Z218" s="16"/>
      <c r="AA218" s="16"/>
    </row>
    <row r="219" spans="1:27" ht="24" hidden="1" customHeight="1" outlineLevel="2">
      <c r="A219" s="76" t="s">
        <v>442</v>
      </c>
      <c r="B219" s="76" t="s">
        <v>443</v>
      </c>
      <c r="C219" s="76" t="s">
        <v>444</v>
      </c>
      <c r="D219" s="76" t="s">
        <v>3696</v>
      </c>
      <c r="E219" s="204">
        <v>44950</v>
      </c>
      <c r="F219" s="16" t="b">
        <v>0</v>
      </c>
      <c r="G219" s="205" t="s">
        <v>3795</v>
      </c>
      <c r="H219" s="205"/>
      <c r="I219" s="16" t="b">
        <v>1</v>
      </c>
      <c r="J219" s="16"/>
      <c r="K219" s="205"/>
      <c r="L219" s="16" t="b">
        <v>1</v>
      </c>
      <c r="M219" s="16"/>
      <c r="N219" s="16"/>
      <c r="O219" s="16"/>
      <c r="P219" s="16"/>
      <c r="Q219" s="16"/>
      <c r="R219" s="16"/>
      <c r="S219" s="16"/>
      <c r="T219" s="16"/>
      <c r="U219" s="16"/>
      <c r="V219" s="16"/>
      <c r="W219" s="16"/>
      <c r="X219" s="16"/>
      <c r="Y219" s="16"/>
      <c r="Z219" s="16"/>
      <c r="AA219" s="16"/>
    </row>
    <row r="220" spans="1:27" ht="24" hidden="1" customHeight="1" outlineLevel="2">
      <c r="A220" s="76" t="s">
        <v>182</v>
      </c>
      <c r="B220" s="76" t="s">
        <v>3796</v>
      </c>
      <c r="C220" s="76" t="s">
        <v>184</v>
      </c>
      <c r="D220" s="76" t="s">
        <v>3739</v>
      </c>
      <c r="E220" s="204">
        <v>44950</v>
      </c>
      <c r="F220" s="16" t="b">
        <v>1</v>
      </c>
      <c r="G220" s="205" t="s">
        <v>3797</v>
      </c>
      <c r="H220" s="205"/>
      <c r="I220" s="16" t="b">
        <v>1</v>
      </c>
      <c r="J220" s="16" t="s">
        <v>3786</v>
      </c>
      <c r="K220" s="205" t="s">
        <v>3798</v>
      </c>
      <c r="L220" s="16" t="b">
        <v>1</v>
      </c>
      <c r="M220" s="16"/>
      <c r="N220" s="16"/>
      <c r="O220" s="16"/>
      <c r="P220" s="16"/>
      <c r="Q220" s="16"/>
      <c r="R220" s="16"/>
      <c r="S220" s="16"/>
      <c r="T220" s="16"/>
      <c r="U220" s="16"/>
      <c r="V220" s="16"/>
      <c r="W220" s="16"/>
      <c r="X220" s="16"/>
      <c r="Y220" s="16"/>
      <c r="Z220" s="16"/>
      <c r="AA220" s="16"/>
    </row>
    <row r="221" spans="1:27" ht="24" hidden="1" customHeight="1" outlineLevel="2">
      <c r="A221" s="226" t="s">
        <v>185</v>
      </c>
      <c r="B221" s="290" t="s">
        <v>186</v>
      </c>
      <c r="C221" s="226" t="s">
        <v>187</v>
      </c>
      <c r="D221" s="226" t="s">
        <v>3694</v>
      </c>
      <c r="E221" s="228">
        <v>44950</v>
      </c>
      <c r="F221" s="227" t="b">
        <v>1</v>
      </c>
      <c r="G221" s="229" t="s">
        <v>3799</v>
      </c>
      <c r="H221" s="229"/>
      <c r="I221" s="227" t="b">
        <v>1</v>
      </c>
      <c r="J221" s="227" t="s">
        <v>3800</v>
      </c>
      <c r="K221" s="229" t="s">
        <v>3801</v>
      </c>
      <c r="L221" s="16" t="b">
        <v>0</v>
      </c>
      <c r="M221" s="16"/>
      <c r="N221" s="16"/>
      <c r="O221" s="16"/>
      <c r="P221" s="16"/>
      <c r="Q221" s="16"/>
      <c r="R221" s="16"/>
      <c r="S221" s="16"/>
      <c r="T221" s="16"/>
      <c r="U221" s="16"/>
      <c r="V221" s="16"/>
      <c r="W221" s="16"/>
      <c r="X221" s="16"/>
      <c r="Y221" s="16"/>
      <c r="Z221" s="16"/>
      <c r="AA221" s="16"/>
    </row>
    <row r="222" spans="1:27" ht="24" hidden="1" customHeight="1" outlineLevel="2">
      <c r="A222" s="76" t="s">
        <v>335</v>
      </c>
      <c r="B222" s="76" t="s">
        <v>336</v>
      </c>
      <c r="C222" s="85" t="s">
        <v>337</v>
      </c>
      <c r="D222" s="76" t="s">
        <v>3718</v>
      </c>
      <c r="E222" s="204">
        <v>44951</v>
      </c>
      <c r="F222" s="16" t="b">
        <v>0</v>
      </c>
      <c r="G222" s="205" t="s">
        <v>3802</v>
      </c>
      <c r="H222" s="205"/>
      <c r="I222" s="16" t="b">
        <v>1</v>
      </c>
      <c r="J222" s="16" t="s">
        <v>3621</v>
      </c>
      <c r="K222" s="205" t="s">
        <v>3803</v>
      </c>
      <c r="L222" s="16" t="b">
        <v>0</v>
      </c>
      <c r="M222" s="16"/>
      <c r="N222" s="16"/>
      <c r="O222" s="16"/>
      <c r="P222" s="16"/>
      <c r="Q222" s="16"/>
      <c r="R222" s="16"/>
      <c r="S222" s="16"/>
      <c r="T222" s="16"/>
      <c r="U222" s="16"/>
      <c r="V222" s="16"/>
      <c r="W222" s="16"/>
      <c r="X222" s="16"/>
      <c r="Y222" s="16"/>
      <c r="Z222" s="16"/>
      <c r="AA222" s="16"/>
    </row>
    <row r="223" spans="1:27" ht="24" hidden="1" customHeight="1" outlineLevel="2">
      <c r="A223" s="147" t="s">
        <v>413</v>
      </c>
      <c r="B223" s="76" t="s">
        <v>414</v>
      </c>
      <c r="C223" s="14" t="s">
        <v>415</v>
      </c>
      <c r="D223" s="76" t="s">
        <v>3718</v>
      </c>
      <c r="E223" s="204">
        <v>44951</v>
      </c>
      <c r="F223" s="16" t="b">
        <v>0</v>
      </c>
      <c r="G223" s="205" t="s">
        <v>3804</v>
      </c>
      <c r="H223" s="205"/>
      <c r="I223" s="16" t="b">
        <v>1</v>
      </c>
      <c r="J223" s="16" t="s">
        <v>3621</v>
      </c>
      <c r="K223" s="205" t="s">
        <v>3803</v>
      </c>
      <c r="L223" s="16" t="b">
        <v>0</v>
      </c>
      <c r="M223" s="16"/>
      <c r="N223" s="16"/>
      <c r="O223" s="16"/>
      <c r="P223" s="16"/>
      <c r="Q223" s="16"/>
      <c r="R223" s="16"/>
      <c r="S223" s="16"/>
      <c r="T223" s="16"/>
      <c r="U223" s="16"/>
      <c r="V223" s="16"/>
      <c r="W223" s="16"/>
      <c r="X223" s="16"/>
      <c r="Y223" s="16"/>
      <c r="Z223" s="16"/>
      <c r="AA223" s="16"/>
    </row>
    <row r="224" spans="1:27" ht="24" hidden="1" customHeight="1" outlineLevel="2">
      <c r="A224" s="76" t="s">
        <v>155</v>
      </c>
      <c r="B224" s="76" t="s">
        <v>3805</v>
      </c>
      <c r="C224" s="76" t="s">
        <v>157</v>
      </c>
      <c r="D224" s="76" t="s">
        <v>3790</v>
      </c>
      <c r="E224" s="204">
        <v>44952</v>
      </c>
      <c r="F224" s="16" t="b">
        <v>0</v>
      </c>
      <c r="G224" s="205" t="s">
        <v>3806</v>
      </c>
      <c r="H224" s="205"/>
      <c r="I224" s="16" t="b">
        <v>1</v>
      </c>
      <c r="J224" s="16" t="s">
        <v>3807</v>
      </c>
      <c r="K224" s="205"/>
      <c r="L224" s="16" t="b">
        <v>1</v>
      </c>
      <c r="M224" s="16"/>
      <c r="N224" s="16"/>
      <c r="O224" s="16"/>
      <c r="P224" s="16"/>
      <c r="Q224" s="16"/>
      <c r="R224" s="16"/>
      <c r="S224" s="16"/>
      <c r="T224" s="16"/>
      <c r="U224" s="16"/>
      <c r="V224" s="16"/>
      <c r="W224" s="16"/>
      <c r="X224" s="16"/>
      <c r="Y224" s="16"/>
      <c r="Z224" s="16"/>
      <c r="AA224" s="16"/>
    </row>
    <row r="225" spans="1:27" ht="24" hidden="1" customHeight="1" outlineLevel="2">
      <c r="A225" s="76" t="s">
        <v>3808</v>
      </c>
      <c r="B225" s="76" t="s">
        <v>2215</v>
      </c>
      <c r="C225" s="76" t="s">
        <v>2216</v>
      </c>
      <c r="D225" s="76" t="s">
        <v>3809</v>
      </c>
      <c r="E225" s="204">
        <v>44954</v>
      </c>
      <c r="F225" s="16" t="b">
        <v>1</v>
      </c>
      <c r="G225" s="205" t="s">
        <v>3810</v>
      </c>
      <c r="H225" s="205"/>
      <c r="I225" s="16" t="b">
        <v>1</v>
      </c>
      <c r="J225" s="16" t="s">
        <v>3800</v>
      </c>
      <c r="K225" s="205" t="s">
        <v>3811</v>
      </c>
      <c r="L225" s="16" t="b">
        <v>0</v>
      </c>
      <c r="M225" s="16"/>
      <c r="N225" s="16"/>
      <c r="O225" s="16"/>
      <c r="P225" s="16"/>
      <c r="Q225" s="16"/>
      <c r="R225" s="16"/>
      <c r="S225" s="16"/>
      <c r="T225" s="16"/>
      <c r="U225" s="16"/>
      <c r="V225" s="16"/>
      <c r="W225" s="16"/>
      <c r="X225" s="16"/>
      <c r="Y225" s="16"/>
      <c r="Z225" s="16"/>
      <c r="AA225" s="16"/>
    </row>
    <row r="226" spans="1:27" ht="24" hidden="1" customHeight="1" outlineLevel="2">
      <c r="A226" s="76" t="s">
        <v>1533</v>
      </c>
      <c r="B226" s="76" t="s">
        <v>1534</v>
      </c>
      <c r="C226" s="76" t="s">
        <v>1535</v>
      </c>
      <c r="D226" s="76" t="s">
        <v>3809</v>
      </c>
      <c r="E226" s="204">
        <v>44954</v>
      </c>
      <c r="F226" s="16" t="b">
        <v>1</v>
      </c>
      <c r="G226" s="205" t="s">
        <v>3812</v>
      </c>
      <c r="H226" s="205"/>
      <c r="I226" s="16" t="b">
        <v>1</v>
      </c>
      <c r="J226" s="16" t="s">
        <v>3800</v>
      </c>
      <c r="K226" s="205" t="s">
        <v>3811</v>
      </c>
      <c r="L226" s="16" t="b">
        <v>0</v>
      </c>
      <c r="M226" s="16"/>
      <c r="N226" s="16"/>
      <c r="O226" s="16"/>
      <c r="P226" s="16"/>
      <c r="Q226" s="16"/>
      <c r="R226" s="16"/>
      <c r="S226" s="16"/>
      <c r="T226" s="16"/>
      <c r="U226" s="16"/>
      <c r="V226" s="16"/>
      <c r="W226" s="16"/>
      <c r="X226" s="16"/>
      <c r="Y226" s="16"/>
      <c r="Z226" s="16"/>
      <c r="AA226" s="16"/>
    </row>
    <row r="227" spans="1:27" ht="24" hidden="1" customHeight="1" outlineLevel="2">
      <c r="A227" s="76" t="s">
        <v>1155</v>
      </c>
      <c r="B227" s="76" t="s">
        <v>1156</v>
      </c>
      <c r="C227" s="61" t="s">
        <v>1157</v>
      </c>
      <c r="D227" s="76" t="s">
        <v>3809</v>
      </c>
      <c r="E227" s="204">
        <v>44954</v>
      </c>
      <c r="F227" s="16" t="b">
        <v>1</v>
      </c>
      <c r="G227" s="205" t="s">
        <v>3813</v>
      </c>
      <c r="H227" s="205"/>
      <c r="I227" s="16" t="b">
        <v>1</v>
      </c>
      <c r="J227" s="16" t="s">
        <v>3800</v>
      </c>
      <c r="K227" s="205" t="s">
        <v>3811</v>
      </c>
      <c r="L227" s="16" t="b">
        <v>0</v>
      </c>
      <c r="M227" s="16"/>
      <c r="N227" s="16"/>
      <c r="O227" s="16"/>
      <c r="P227" s="16"/>
      <c r="Q227" s="16"/>
      <c r="R227" s="16"/>
      <c r="S227" s="16"/>
      <c r="T227" s="16"/>
      <c r="U227" s="16"/>
      <c r="V227" s="16"/>
      <c r="W227" s="16"/>
      <c r="X227" s="16"/>
      <c r="Y227" s="16"/>
      <c r="Z227" s="16"/>
      <c r="AA227" s="16"/>
    </row>
    <row r="228" spans="1:27" ht="24" hidden="1" customHeight="1" outlineLevel="2">
      <c r="A228" s="76" t="s">
        <v>209</v>
      </c>
      <c r="B228" s="86">
        <f>380930222519</f>
        <v>380930222519</v>
      </c>
      <c r="C228" s="14" t="s">
        <v>210</v>
      </c>
      <c r="D228" s="76" t="s">
        <v>3718</v>
      </c>
      <c r="E228" s="204">
        <v>44957</v>
      </c>
      <c r="F228" s="16" t="b">
        <v>0</v>
      </c>
      <c r="G228" s="205" t="s">
        <v>3814</v>
      </c>
      <c r="H228" s="205"/>
      <c r="I228" s="16" t="b">
        <v>1</v>
      </c>
      <c r="J228" s="16" t="s">
        <v>3621</v>
      </c>
      <c r="K228" s="205"/>
      <c r="L228" s="16" t="b">
        <v>0</v>
      </c>
      <c r="M228" s="16"/>
      <c r="N228" s="16"/>
      <c r="O228" s="16"/>
      <c r="P228" s="16"/>
      <c r="Q228" s="16"/>
      <c r="R228" s="16"/>
      <c r="S228" s="16"/>
      <c r="T228" s="16"/>
      <c r="U228" s="16"/>
      <c r="V228" s="16"/>
      <c r="W228" s="16"/>
      <c r="X228" s="16"/>
      <c r="Y228" s="16"/>
      <c r="Z228" s="16"/>
      <c r="AA228" s="16"/>
    </row>
    <row r="229" spans="1:27" ht="24" hidden="1" customHeight="1" outlineLevel="2">
      <c r="A229" s="76" t="s">
        <v>383</v>
      </c>
      <c r="B229" s="76" t="s">
        <v>3815</v>
      </c>
      <c r="C229" s="76" t="s">
        <v>386</v>
      </c>
      <c r="D229" s="76" t="s">
        <v>3692</v>
      </c>
      <c r="E229" s="204">
        <v>44957</v>
      </c>
      <c r="F229" s="16" t="b">
        <v>0</v>
      </c>
      <c r="G229" s="205" t="s">
        <v>3816</v>
      </c>
      <c r="H229" s="205"/>
      <c r="I229" s="16" t="b">
        <v>1</v>
      </c>
      <c r="J229" s="16"/>
      <c r="K229" s="205"/>
      <c r="L229" s="16" t="b">
        <v>0</v>
      </c>
      <c r="M229" s="16"/>
      <c r="N229" s="16"/>
      <c r="O229" s="16"/>
      <c r="P229" s="16"/>
      <c r="Q229" s="16"/>
      <c r="R229" s="16"/>
      <c r="S229" s="16"/>
      <c r="T229" s="16"/>
      <c r="U229" s="16"/>
      <c r="V229" s="16"/>
      <c r="W229" s="16"/>
      <c r="X229" s="16"/>
      <c r="Y229" s="16"/>
      <c r="Z229" s="16"/>
      <c r="AA229" s="16"/>
    </row>
    <row r="230" spans="1:27" ht="24" hidden="1" customHeight="1" outlineLevel="2">
      <c r="A230" s="76" t="s">
        <v>1302</v>
      </c>
      <c r="B230" s="76" t="s">
        <v>1303</v>
      </c>
      <c r="C230" s="76" t="s">
        <v>1304</v>
      </c>
      <c r="D230" s="76" t="s">
        <v>3739</v>
      </c>
      <c r="E230" s="204">
        <v>44957</v>
      </c>
      <c r="F230" s="16" t="b">
        <v>0</v>
      </c>
      <c r="G230" s="205" t="s">
        <v>3817</v>
      </c>
      <c r="H230" s="205"/>
      <c r="I230" s="16" t="b">
        <v>1</v>
      </c>
      <c r="J230" s="16" t="s">
        <v>3786</v>
      </c>
      <c r="K230" s="205"/>
      <c r="L230" s="16" t="b">
        <v>1</v>
      </c>
      <c r="M230" s="16"/>
      <c r="N230" s="16"/>
      <c r="O230" s="16"/>
      <c r="P230" s="16"/>
      <c r="Q230" s="16"/>
      <c r="R230" s="16"/>
      <c r="S230" s="16"/>
      <c r="T230" s="16"/>
      <c r="U230" s="16"/>
      <c r="V230" s="16"/>
      <c r="W230" s="16"/>
      <c r="X230" s="16"/>
      <c r="Y230" s="16"/>
      <c r="Z230" s="16"/>
      <c r="AA230" s="16"/>
    </row>
    <row r="231" spans="1:27" ht="24" hidden="1" customHeight="1" outlineLevel="2">
      <c r="A231" s="76" t="s">
        <v>420</v>
      </c>
      <c r="B231" s="17" t="s">
        <v>421</v>
      </c>
      <c r="C231" s="68" t="s">
        <v>422</v>
      </c>
      <c r="D231" s="76" t="s">
        <v>3739</v>
      </c>
      <c r="E231" s="204">
        <v>44957</v>
      </c>
      <c r="F231" s="16" t="b">
        <v>0</v>
      </c>
      <c r="G231" s="205" t="s">
        <v>3818</v>
      </c>
      <c r="H231" s="205"/>
      <c r="I231" s="16" t="b">
        <v>1</v>
      </c>
      <c r="J231" s="16" t="s">
        <v>3786</v>
      </c>
      <c r="K231" s="205"/>
      <c r="L231" s="16" t="b">
        <v>0</v>
      </c>
      <c r="M231" s="16"/>
      <c r="N231" s="16"/>
      <c r="O231" s="16"/>
      <c r="P231" s="16"/>
      <c r="Q231" s="16"/>
      <c r="R231" s="16"/>
      <c r="S231" s="16"/>
      <c r="T231" s="16"/>
      <c r="U231" s="16"/>
      <c r="V231" s="16"/>
      <c r="W231" s="16"/>
      <c r="X231" s="16"/>
      <c r="Y231" s="16"/>
      <c r="Z231" s="16"/>
      <c r="AA231" s="16"/>
    </row>
    <row r="232" spans="1:27" ht="24" hidden="1" customHeight="1" outlineLevel="2">
      <c r="A232" s="16" t="s">
        <v>3819</v>
      </c>
      <c r="B232" s="16" t="s">
        <v>1525</v>
      </c>
      <c r="C232" s="16" t="s">
        <v>1526</v>
      </c>
      <c r="D232" s="16" t="s">
        <v>3809</v>
      </c>
      <c r="E232" s="204">
        <v>44957</v>
      </c>
      <c r="F232" s="16" t="b">
        <v>0</v>
      </c>
      <c r="G232" s="205" t="s">
        <v>3820</v>
      </c>
      <c r="H232" s="205"/>
      <c r="I232" s="16" t="b">
        <v>1</v>
      </c>
      <c r="J232" s="16" t="s">
        <v>3800</v>
      </c>
      <c r="K232" s="205" t="s">
        <v>3821</v>
      </c>
      <c r="L232" s="16" t="b">
        <v>0</v>
      </c>
      <c r="M232" s="16"/>
      <c r="N232" s="16"/>
      <c r="O232" s="16"/>
      <c r="P232" s="16"/>
      <c r="Q232" s="16"/>
      <c r="R232" s="16"/>
      <c r="S232" s="16"/>
      <c r="T232" s="16"/>
      <c r="U232" s="16"/>
      <c r="V232" s="16"/>
      <c r="W232" s="16"/>
      <c r="X232" s="16"/>
      <c r="Y232" s="16"/>
      <c r="Z232" s="16"/>
      <c r="AA232" s="16"/>
    </row>
    <row r="233" spans="1:27" ht="24" hidden="1" customHeight="1" outlineLevel="1" collapsed="1">
      <c r="A233" s="291" t="s">
        <v>3822</v>
      </c>
      <c r="B233" s="162">
        <v>33</v>
      </c>
      <c r="C233" s="162"/>
      <c r="D233" s="162"/>
      <c r="E233" s="279"/>
      <c r="F233" s="162"/>
      <c r="G233" s="280"/>
      <c r="H233" s="280"/>
      <c r="I233" s="162"/>
      <c r="J233" s="162"/>
      <c r="K233" s="280"/>
      <c r="L233" s="162"/>
      <c r="M233" s="162"/>
      <c r="N233" s="162"/>
      <c r="O233" s="162"/>
      <c r="P233" s="162"/>
      <c r="Q233" s="162"/>
      <c r="R233" s="162"/>
      <c r="S233" s="162"/>
      <c r="T233" s="162"/>
      <c r="U233" s="162"/>
      <c r="V233" s="162"/>
      <c r="W233" s="162"/>
      <c r="X233" s="162"/>
      <c r="Y233" s="162"/>
      <c r="Z233" s="162"/>
      <c r="AA233" s="162"/>
    </row>
    <row r="234" spans="1:27" ht="24" hidden="1" customHeight="1" outlineLevel="2">
      <c r="A234" s="30" t="s">
        <v>94</v>
      </c>
      <c r="B234" s="16" t="s">
        <v>95</v>
      </c>
      <c r="C234" s="16" t="s">
        <v>3823</v>
      </c>
      <c r="D234" s="16" t="s">
        <v>3809</v>
      </c>
      <c r="E234" s="204">
        <v>44958</v>
      </c>
      <c r="F234" s="16" t="b">
        <v>1</v>
      </c>
      <c r="G234" s="205" t="s">
        <v>3824</v>
      </c>
      <c r="H234" s="205"/>
      <c r="I234" s="16" t="b">
        <v>1</v>
      </c>
      <c r="J234" s="16" t="s">
        <v>3800</v>
      </c>
      <c r="K234" s="205"/>
      <c r="L234" s="16" t="b">
        <v>0</v>
      </c>
      <c r="M234" s="16"/>
      <c r="N234" s="16"/>
      <c r="O234" s="16"/>
      <c r="P234" s="16"/>
      <c r="Q234" s="16"/>
      <c r="R234" s="16"/>
      <c r="S234" s="16"/>
      <c r="T234" s="16"/>
      <c r="U234" s="16"/>
      <c r="V234" s="16"/>
      <c r="W234" s="16"/>
      <c r="X234" s="16"/>
      <c r="Y234" s="16"/>
      <c r="Z234" s="16"/>
      <c r="AA234" s="16"/>
    </row>
    <row r="235" spans="1:27" ht="24" hidden="1" customHeight="1" outlineLevel="2">
      <c r="A235" s="76" t="s">
        <v>1096</v>
      </c>
      <c r="B235" s="76" t="s">
        <v>1098</v>
      </c>
      <c r="C235" s="76" t="s">
        <v>3825</v>
      </c>
      <c r="D235" s="16" t="s">
        <v>3739</v>
      </c>
      <c r="E235" s="204">
        <v>44963</v>
      </c>
      <c r="F235" s="16" t="b">
        <v>0</v>
      </c>
      <c r="G235" s="205" t="s">
        <v>3826</v>
      </c>
      <c r="H235" s="205"/>
      <c r="I235" s="16" t="b">
        <v>1</v>
      </c>
      <c r="J235" s="16" t="s">
        <v>3786</v>
      </c>
      <c r="K235" s="205"/>
      <c r="L235" s="16" t="b">
        <v>1</v>
      </c>
      <c r="M235" s="292" t="s">
        <v>3827</v>
      </c>
      <c r="N235" s="16"/>
      <c r="O235" s="16"/>
      <c r="P235" s="16"/>
      <c r="Q235" s="16"/>
      <c r="R235" s="16"/>
      <c r="S235" s="16"/>
      <c r="T235" s="16"/>
      <c r="U235" s="16"/>
      <c r="V235" s="16"/>
      <c r="W235" s="16"/>
      <c r="X235" s="16"/>
      <c r="Y235" s="16"/>
      <c r="Z235" s="16"/>
      <c r="AA235" s="16"/>
    </row>
    <row r="236" spans="1:27" ht="24" hidden="1" customHeight="1" outlineLevel="2">
      <c r="A236" s="16" t="s">
        <v>234</v>
      </c>
      <c r="B236" s="16" t="s">
        <v>235</v>
      </c>
      <c r="C236" s="16"/>
      <c r="D236" s="16" t="s">
        <v>3739</v>
      </c>
      <c r="E236" s="204">
        <v>44963</v>
      </c>
      <c r="F236" s="16" t="b">
        <v>0</v>
      </c>
      <c r="G236" s="205" t="s">
        <v>3828</v>
      </c>
      <c r="H236" s="205"/>
      <c r="I236" s="16" t="b">
        <v>1</v>
      </c>
      <c r="J236" s="16" t="s">
        <v>3786</v>
      </c>
      <c r="K236" s="205" t="s">
        <v>3829</v>
      </c>
      <c r="L236" s="16" t="b">
        <v>0</v>
      </c>
      <c r="M236" s="16"/>
      <c r="N236" s="16"/>
      <c r="O236" s="16"/>
      <c r="P236" s="16"/>
      <c r="Q236" s="16"/>
      <c r="R236" s="16"/>
      <c r="S236" s="16"/>
      <c r="T236" s="16"/>
      <c r="U236" s="16"/>
      <c r="V236" s="16"/>
      <c r="W236" s="16"/>
      <c r="X236" s="16"/>
      <c r="Y236" s="16"/>
      <c r="Z236" s="16"/>
      <c r="AA236" s="16"/>
    </row>
    <row r="237" spans="1:27" ht="24" hidden="1" customHeight="1" outlineLevel="2">
      <c r="A237" s="16" t="s">
        <v>400</v>
      </c>
      <c r="B237" s="16" t="s">
        <v>3830</v>
      </c>
      <c r="C237" s="16" t="s">
        <v>403</v>
      </c>
      <c r="D237" s="16" t="s">
        <v>3692</v>
      </c>
      <c r="E237" s="204">
        <v>44964</v>
      </c>
      <c r="F237" s="16" t="b">
        <v>0</v>
      </c>
      <c r="G237" s="205" t="s">
        <v>3831</v>
      </c>
      <c r="H237" s="205"/>
      <c r="I237" s="16" t="b">
        <v>1</v>
      </c>
      <c r="J237" s="16" t="s">
        <v>3745</v>
      </c>
      <c r="K237" s="205"/>
      <c r="L237" s="16" t="b">
        <v>1</v>
      </c>
      <c r="M237" s="293" t="s">
        <v>3832</v>
      </c>
      <c r="N237" s="16"/>
      <c r="O237" s="16"/>
      <c r="P237" s="16"/>
      <c r="Q237" s="16"/>
      <c r="R237" s="16"/>
      <c r="S237" s="16"/>
      <c r="T237" s="16"/>
      <c r="U237" s="16"/>
      <c r="V237" s="16"/>
      <c r="W237" s="16"/>
      <c r="X237" s="16"/>
      <c r="Y237" s="16"/>
      <c r="Z237" s="16"/>
      <c r="AA237" s="16"/>
    </row>
    <row r="238" spans="1:27" ht="24" hidden="1" customHeight="1" outlineLevel="2">
      <c r="A238" s="16" t="s">
        <v>1037</v>
      </c>
      <c r="B238" s="16" t="s">
        <v>1038</v>
      </c>
      <c r="C238" s="111" t="s">
        <v>1039</v>
      </c>
      <c r="D238" s="16" t="s">
        <v>3833</v>
      </c>
      <c r="E238" s="204">
        <v>44964</v>
      </c>
      <c r="F238" s="16" t="b">
        <v>0</v>
      </c>
      <c r="G238" s="205" t="s">
        <v>3834</v>
      </c>
      <c r="H238" s="205"/>
      <c r="I238" s="16" t="b">
        <v>1</v>
      </c>
      <c r="J238" s="16" t="s">
        <v>3745</v>
      </c>
      <c r="K238" s="205"/>
      <c r="L238" s="16" t="b">
        <v>0</v>
      </c>
      <c r="M238" s="16"/>
      <c r="N238" s="16"/>
      <c r="O238" s="16"/>
      <c r="P238" s="16"/>
      <c r="Q238" s="16"/>
      <c r="R238" s="16"/>
      <c r="S238" s="16"/>
      <c r="T238" s="16"/>
      <c r="U238" s="16"/>
      <c r="V238" s="16"/>
      <c r="W238" s="16"/>
      <c r="X238" s="16"/>
      <c r="Y238" s="16"/>
      <c r="Z238" s="16"/>
      <c r="AA238" s="16"/>
    </row>
    <row r="239" spans="1:27" ht="24" hidden="1" customHeight="1" outlineLevel="2">
      <c r="A239" s="76" t="s">
        <v>244</v>
      </c>
      <c r="B239" s="294" t="s">
        <v>3835</v>
      </c>
      <c r="C239" s="76" t="s">
        <v>247</v>
      </c>
      <c r="D239" s="76" t="s">
        <v>3692</v>
      </c>
      <c r="E239" s="204">
        <v>44965</v>
      </c>
      <c r="F239" s="16" t="b">
        <v>0</v>
      </c>
      <c r="G239" s="205" t="s">
        <v>3836</v>
      </c>
      <c r="H239" s="205"/>
      <c r="I239" s="16" t="b">
        <v>1</v>
      </c>
      <c r="J239" s="16" t="s">
        <v>3745</v>
      </c>
      <c r="K239" s="205"/>
      <c r="L239" s="16" t="b">
        <v>1</v>
      </c>
      <c r="M239" s="285" t="s">
        <v>3837</v>
      </c>
      <c r="N239" s="16"/>
      <c r="O239" s="16"/>
      <c r="P239" s="16"/>
      <c r="Q239" s="16"/>
      <c r="R239" s="16"/>
      <c r="S239" s="16"/>
      <c r="T239" s="16"/>
      <c r="U239" s="16"/>
      <c r="V239" s="16"/>
      <c r="W239" s="16"/>
      <c r="X239" s="16"/>
      <c r="Y239" s="16"/>
      <c r="Z239" s="16"/>
      <c r="AA239" s="16"/>
    </row>
    <row r="240" spans="1:27" ht="24" hidden="1" customHeight="1" outlineLevel="2">
      <c r="A240" s="76" t="s">
        <v>811</v>
      </c>
      <c r="B240" s="295" t="s">
        <v>3838</v>
      </c>
      <c r="C240" s="76" t="s">
        <v>814</v>
      </c>
      <c r="D240" s="76" t="s">
        <v>3692</v>
      </c>
      <c r="E240" s="204">
        <v>44965</v>
      </c>
      <c r="F240" s="16" t="b">
        <v>0</v>
      </c>
      <c r="G240" s="205" t="s">
        <v>3839</v>
      </c>
      <c r="H240" s="205"/>
      <c r="I240" s="16" t="b">
        <v>1</v>
      </c>
      <c r="J240" s="16" t="s">
        <v>3745</v>
      </c>
      <c r="K240" s="205"/>
      <c r="L240" s="16" t="b">
        <v>1</v>
      </c>
      <c r="M240" s="285" t="s">
        <v>3840</v>
      </c>
      <c r="N240" s="16"/>
      <c r="O240" s="16"/>
      <c r="P240" s="16"/>
      <c r="Q240" s="16"/>
      <c r="R240" s="16"/>
      <c r="S240" s="16"/>
      <c r="T240" s="16"/>
      <c r="U240" s="16"/>
      <c r="V240" s="16"/>
      <c r="W240" s="16"/>
      <c r="X240" s="16"/>
      <c r="Y240" s="16"/>
      <c r="Z240" s="16"/>
      <c r="AA240" s="16"/>
    </row>
    <row r="241" spans="1:27" ht="24" hidden="1" customHeight="1" outlineLevel="2">
      <c r="A241" s="76" t="s">
        <v>831</v>
      </c>
      <c r="B241" s="76" t="s">
        <v>3841</v>
      </c>
      <c r="C241" s="76" t="s">
        <v>833</v>
      </c>
      <c r="D241" s="76" t="s">
        <v>3739</v>
      </c>
      <c r="E241" s="204">
        <v>44965</v>
      </c>
      <c r="F241" s="16" t="b">
        <v>0</v>
      </c>
      <c r="G241" s="205" t="s">
        <v>3842</v>
      </c>
      <c r="H241" s="205"/>
      <c r="I241" s="16" t="b">
        <v>1</v>
      </c>
      <c r="J241" s="16" t="s">
        <v>3786</v>
      </c>
      <c r="K241" s="205" t="s">
        <v>3843</v>
      </c>
      <c r="L241" s="16" t="b">
        <v>0</v>
      </c>
      <c r="M241" s="285" t="s">
        <v>3844</v>
      </c>
      <c r="N241" s="16"/>
      <c r="O241" s="16"/>
      <c r="P241" s="16"/>
      <c r="Q241" s="16"/>
      <c r="R241" s="16"/>
      <c r="S241" s="16"/>
      <c r="T241" s="16"/>
      <c r="U241" s="16"/>
      <c r="V241" s="16"/>
      <c r="W241" s="16"/>
      <c r="X241" s="16"/>
      <c r="Y241" s="16"/>
      <c r="Z241" s="16"/>
      <c r="AA241" s="16"/>
    </row>
    <row r="242" spans="1:27" ht="24" hidden="1" customHeight="1" outlineLevel="2">
      <c r="A242" s="76" t="s">
        <v>3845</v>
      </c>
      <c r="B242" s="16" t="s">
        <v>3846</v>
      </c>
      <c r="C242" s="16" t="s">
        <v>553</v>
      </c>
      <c r="D242" s="16" t="s">
        <v>3809</v>
      </c>
      <c r="E242" s="204">
        <v>44970</v>
      </c>
      <c r="F242" s="16" t="b">
        <v>0</v>
      </c>
      <c r="G242" s="205" t="s">
        <v>3847</v>
      </c>
      <c r="H242" s="205"/>
      <c r="I242" s="16" t="b">
        <v>1</v>
      </c>
      <c r="J242" s="16" t="s">
        <v>3800</v>
      </c>
      <c r="K242" s="205" t="s">
        <v>3848</v>
      </c>
      <c r="L242" s="16" t="b">
        <v>0</v>
      </c>
      <c r="M242" s="16"/>
      <c r="N242" s="16"/>
      <c r="O242" s="16"/>
      <c r="P242" s="16"/>
      <c r="Q242" s="16"/>
      <c r="R242" s="16"/>
      <c r="S242" s="16"/>
      <c r="T242" s="16"/>
      <c r="U242" s="16"/>
      <c r="V242" s="16"/>
      <c r="W242" s="16"/>
      <c r="X242" s="16"/>
      <c r="Y242" s="16"/>
      <c r="Z242" s="16"/>
      <c r="AA242" s="16"/>
    </row>
    <row r="243" spans="1:27" ht="24" hidden="1" customHeight="1" outlineLevel="2">
      <c r="A243" s="76" t="s">
        <v>3849</v>
      </c>
      <c r="B243" s="76" t="s">
        <v>267</v>
      </c>
      <c r="C243" s="76" t="s">
        <v>268</v>
      </c>
      <c r="D243" s="16" t="s">
        <v>3739</v>
      </c>
      <c r="E243" s="204">
        <v>44971</v>
      </c>
      <c r="F243" s="16" t="b">
        <v>0</v>
      </c>
      <c r="G243" s="205" t="s">
        <v>3850</v>
      </c>
      <c r="H243" s="205"/>
      <c r="I243" s="16" t="b">
        <v>1</v>
      </c>
      <c r="J243" s="16" t="s">
        <v>3786</v>
      </c>
      <c r="K243" s="205" t="s">
        <v>3843</v>
      </c>
      <c r="L243" s="16" t="b">
        <v>0</v>
      </c>
      <c r="M243" s="285" t="s">
        <v>3851</v>
      </c>
      <c r="N243" s="16"/>
      <c r="O243" s="16"/>
      <c r="P243" s="16"/>
      <c r="Q243" s="16"/>
      <c r="R243" s="16"/>
      <c r="S243" s="16"/>
      <c r="T243" s="16"/>
      <c r="U243" s="16"/>
      <c r="V243" s="16"/>
      <c r="W243" s="16"/>
      <c r="X243" s="16"/>
      <c r="Y243" s="16"/>
      <c r="Z243" s="16"/>
      <c r="AA243" s="16"/>
    </row>
    <row r="244" spans="1:27" ht="24" hidden="1" customHeight="1" outlineLevel="2">
      <c r="A244" s="76" t="s">
        <v>1972</v>
      </c>
      <c r="B244" s="76" t="s">
        <v>3852</v>
      </c>
      <c r="C244" s="76" t="s">
        <v>1974</v>
      </c>
      <c r="D244" s="16" t="s">
        <v>3809</v>
      </c>
      <c r="E244" s="204">
        <v>44971</v>
      </c>
      <c r="F244" s="16" t="b">
        <v>1</v>
      </c>
      <c r="G244" s="16" t="s">
        <v>3853</v>
      </c>
      <c r="H244" s="16"/>
      <c r="I244" s="16" t="b">
        <v>1</v>
      </c>
      <c r="J244" s="16" t="s">
        <v>3800</v>
      </c>
      <c r="K244" s="205" t="s">
        <v>3854</v>
      </c>
      <c r="L244" s="16" t="b">
        <v>0</v>
      </c>
      <c r="M244" s="16"/>
      <c r="N244" s="16"/>
      <c r="O244" s="16"/>
      <c r="P244" s="16"/>
      <c r="Q244" s="16"/>
      <c r="R244" s="16"/>
      <c r="S244" s="16"/>
      <c r="T244" s="16"/>
      <c r="U244" s="16"/>
      <c r="V244" s="16"/>
      <c r="W244" s="16"/>
      <c r="X244" s="16"/>
      <c r="Y244" s="16"/>
      <c r="Z244" s="16"/>
      <c r="AA244" s="16"/>
    </row>
    <row r="245" spans="1:27" ht="24" hidden="1" customHeight="1" outlineLevel="2">
      <c r="A245" s="76" t="s">
        <v>744</v>
      </c>
      <c r="B245" s="76" t="s">
        <v>3855</v>
      </c>
      <c r="C245" s="76" t="s">
        <v>746</v>
      </c>
      <c r="D245" s="16" t="s">
        <v>3739</v>
      </c>
      <c r="E245" s="204">
        <v>44971</v>
      </c>
      <c r="F245" s="16" t="b">
        <v>0</v>
      </c>
      <c r="G245" s="205" t="s">
        <v>3856</v>
      </c>
      <c r="H245" s="205"/>
      <c r="I245" s="16" t="b">
        <v>1</v>
      </c>
      <c r="J245" s="16" t="s">
        <v>3786</v>
      </c>
      <c r="K245" s="205" t="s">
        <v>3843</v>
      </c>
      <c r="L245" s="16" t="b">
        <v>0</v>
      </c>
      <c r="M245" s="285" t="s">
        <v>3857</v>
      </c>
      <c r="N245" s="16"/>
      <c r="O245" s="16"/>
      <c r="P245" s="16"/>
      <c r="Q245" s="16"/>
      <c r="R245" s="16"/>
      <c r="S245" s="16"/>
      <c r="T245" s="16"/>
      <c r="U245" s="16"/>
      <c r="V245" s="16"/>
      <c r="W245" s="16"/>
      <c r="X245" s="16"/>
      <c r="Y245" s="16"/>
      <c r="Z245" s="16"/>
      <c r="AA245" s="16"/>
    </row>
    <row r="246" spans="1:27" ht="24" hidden="1" customHeight="1" outlineLevel="2">
      <c r="A246" s="76" t="s">
        <v>276</v>
      </c>
      <c r="B246" s="76" t="s">
        <v>278</v>
      </c>
      <c r="C246" s="76" t="s">
        <v>279</v>
      </c>
      <c r="D246" s="16" t="s">
        <v>3696</v>
      </c>
      <c r="E246" s="204">
        <v>44972</v>
      </c>
      <c r="F246" s="16" t="b">
        <v>0</v>
      </c>
      <c r="G246" s="205" t="s">
        <v>3858</v>
      </c>
      <c r="H246" s="205"/>
      <c r="I246" s="16" t="b">
        <v>1</v>
      </c>
      <c r="J246" s="16" t="s">
        <v>3745</v>
      </c>
      <c r="K246" s="205" t="s">
        <v>3859</v>
      </c>
      <c r="L246" s="16" t="b">
        <v>0</v>
      </c>
      <c r="M246" s="16"/>
      <c r="N246" s="16"/>
      <c r="O246" s="16"/>
      <c r="P246" s="16"/>
      <c r="Q246" s="16"/>
      <c r="R246" s="16"/>
      <c r="S246" s="16"/>
      <c r="T246" s="16"/>
      <c r="U246" s="16"/>
      <c r="V246" s="16"/>
      <c r="W246" s="16"/>
      <c r="X246" s="16"/>
      <c r="Y246" s="16"/>
      <c r="Z246" s="16"/>
      <c r="AA246" s="16"/>
    </row>
    <row r="247" spans="1:27" ht="24" hidden="1" customHeight="1" outlineLevel="2">
      <c r="A247" s="76" t="s">
        <v>280</v>
      </c>
      <c r="B247" s="76" t="s">
        <v>281</v>
      </c>
      <c r="C247" s="76" t="s">
        <v>3860</v>
      </c>
      <c r="D247" s="16" t="s">
        <v>3696</v>
      </c>
      <c r="E247" s="204">
        <v>44972</v>
      </c>
      <c r="F247" s="16" t="b">
        <v>0</v>
      </c>
      <c r="G247" s="205" t="s">
        <v>3861</v>
      </c>
      <c r="H247" s="205"/>
      <c r="I247" s="16" t="b">
        <v>1</v>
      </c>
      <c r="J247" s="16" t="s">
        <v>3745</v>
      </c>
      <c r="K247" s="205"/>
      <c r="L247" s="16" t="b">
        <v>0</v>
      </c>
      <c r="M247" s="16"/>
      <c r="N247" s="16"/>
      <c r="O247" s="16"/>
      <c r="P247" s="16"/>
      <c r="Q247" s="16"/>
      <c r="R247" s="16"/>
      <c r="S247" s="16"/>
      <c r="T247" s="16"/>
      <c r="U247" s="16"/>
      <c r="V247" s="16"/>
      <c r="W247" s="16"/>
      <c r="X247" s="16"/>
      <c r="Y247" s="16"/>
      <c r="Z247" s="16"/>
      <c r="AA247" s="16"/>
    </row>
    <row r="248" spans="1:27" ht="24" hidden="1" customHeight="1" outlineLevel="2">
      <c r="A248" s="76" t="s">
        <v>1504</v>
      </c>
      <c r="B248" s="76" t="s">
        <v>1506</v>
      </c>
      <c r="C248" s="76" t="s">
        <v>1507</v>
      </c>
      <c r="D248" s="16" t="s">
        <v>3739</v>
      </c>
      <c r="E248" s="204">
        <v>44972</v>
      </c>
      <c r="F248" s="16" t="b">
        <v>0</v>
      </c>
      <c r="G248" s="205" t="s">
        <v>3862</v>
      </c>
      <c r="H248" s="205"/>
      <c r="I248" s="16" t="b">
        <v>1</v>
      </c>
      <c r="J248" s="16" t="s">
        <v>3786</v>
      </c>
      <c r="K248" s="205" t="s">
        <v>3843</v>
      </c>
      <c r="L248" s="16" t="b">
        <v>0</v>
      </c>
      <c r="M248" s="285" t="s">
        <v>3863</v>
      </c>
      <c r="N248" s="16"/>
      <c r="O248" s="16"/>
      <c r="P248" s="16"/>
      <c r="Q248" s="16"/>
      <c r="R248" s="16"/>
      <c r="S248" s="16"/>
      <c r="T248" s="16"/>
      <c r="U248" s="16"/>
      <c r="V248" s="16"/>
      <c r="W248" s="16"/>
      <c r="X248" s="16"/>
      <c r="Y248" s="16"/>
      <c r="Z248" s="16"/>
      <c r="AA248" s="16"/>
    </row>
    <row r="249" spans="1:27" ht="24" hidden="1" customHeight="1" outlineLevel="2">
      <c r="A249" s="30" t="s">
        <v>1222</v>
      </c>
      <c r="B249" s="296">
        <v>380957227192</v>
      </c>
      <c r="C249" s="30" t="s">
        <v>1224</v>
      </c>
      <c r="D249" s="16" t="s">
        <v>3809</v>
      </c>
      <c r="E249" s="204">
        <v>44972</v>
      </c>
      <c r="F249" s="16" t="b">
        <v>1</v>
      </c>
      <c r="G249" s="205" t="s">
        <v>3864</v>
      </c>
      <c r="H249" s="205"/>
      <c r="I249" s="16" t="b">
        <v>1</v>
      </c>
      <c r="J249" s="16" t="s">
        <v>3800</v>
      </c>
      <c r="K249" s="205" t="s">
        <v>3843</v>
      </c>
      <c r="L249" s="16" t="b">
        <v>0</v>
      </c>
      <c r="M249" s="16"/>
      <c r="N249" s="16"/>
      <c r="O249" s="16"/>
      <c r="P249" s="16"/>
      <c r="Q249" s="16"/>
      <c r="R249" s="16"/>
      <c r="S249" s="16"/>
      <c r="T249" s="16"/>
      <c r="U249" s="16"/>
      <c r="V249" s="16"/>
      <c r="W249" s="16"/>
      <c r="X249" s="16"/>
      <c r="Y249" s="16"/>
      <c r="Z249" s="16"/>
      <c r="AA249" s="16"/>
    </row>
    <row r="250" spans="1:27" ht="24" hidden="1" customHeight="1" outlineLevel="2">
      <c r="A250" s="16" t="s">
        <v>863</v>
      </c>
      <c r="B250" s="16" t="s">
        <v>865</v>
      </c>
      <c r="C250" s="16"/>
      <c r="D250" s="16" t="s">
        <v>3809</v>
      </c>
      <c r="E250" s="204">
        <v>44973</v>
      </c>
      <c r="F250" s="16" t="b">
        <v>0</v>
      </c>
      <c r="G250" s="205" t="s">
        <v>3865</v>
      </c>
      <c r="H250" s="205"/>
      <c r="I250" s="16" t="b">
        <v>1</v>
      </c>
      <c r="J250" s="16" t="s">
        <v>3800</v>
      </c>
      <c r="K250" s="205" t="s">
        <v>3866</v>
      </c>
      <c r="L250" s="16" t="b">
        <v>0</v>
      </c>
      <c r="M250" s="16"/>
      <c r="N250" s="16"/>
      <c r="O250" s="16"/>
      <c r="P250" s="16"/>
      <c r="Q250" s="16"/>
      <c r="R250" s="16"/>
      <c r="S250" s="16"/>
      <c r="T250" s="16"/>
      <c r="U250" s="16"/>
      <c r="V250" s="16"/>
      <c r="W250" s="16"/>
      <c r="X250" s="16"/>
      <c r="Y250" s="16"/>
      <c r="Z250" s="16"/>
      <c r="AA250" s="16"/>
    </row>
    <row r="251" spans="1:27" ht="24" hidden="1" customHeight="1" outlineLevel="2">
      <c r="A251" s="18" t="s">
        <v>164</v>
      </c>
      <c r="B251" s="68" t="s">
        <v>3867</v>
      </c>
      <c r="C251" s="68" t="s">
        <v>166</v>
      </c>
      <c r="D251" s="16" t="s">
        <v>3696</v>
      </c>
      <c r="E251" s="204">
        <v>44977</v>
      </c>
      <c r="F251" s="16" t="b">
        <v>0</v>
      </c>
      <c r="G251" s="205" t="s">
        <v>3868</v>
      </c>
      <c r="H251" s="205"/>
      <c r="I251" s="16" t="b">
        <v>1</v>
      </c>
      <c r="J251" s="16" t="s">
        <v>3745</v>
      </c>
      <c r="K251" s="205"/>
      <c r="L251" s="16" t="b">
        <v>0</v>
      </c>
      <c r="M251" s="16"/>
      <c r="N251" s="16"/>
      <c r="O251" s="16"/>
      <c r="P251" s="16"/>
      <c r="Q251" s="16"/>
      <c r="R251" s="16"/>
      <c r="S251" s="16"/>
      <c r="T251" s="16"/>
      <c r="U251" s="16"/>
      <c r="V251" s="16"/>
      <c r="W251" s="16"/>
      <c r="X251" s="16"/>
      <c r="Y251" s="16"/>
      <c r="Z251" s="16"/>
      <c r="AA251" s="16"/>
    </row>
    <row r="252" spans="1:27" ht="24" hidden="1" customHeight="1" outlineLevel="2">
      <c r="A252" s="18" t="s">
        <v>1964</v>
      </c>
      <c r="B252" s="18" t="s">
        <v>3869</v>
      </c>
      <c r="C252" s="18" t="s">
        <v>3870</v>
      </c>
      <c r="D252" s="16" t="s">
        <v>3809</v>
      </c>
      <c r="E252" s="204">
        <v>44977</v>
      </c>
      <c r="F252" s="16" t="b">
        <v>0</v>
      </c>
      <c r="G252" s="205" t="s">
        <v>3871</v>
      </c>
      <c r="H252" s="205"/>
      <c r="I252" s="16" t="b">
        <v>1</v>
      </c>
      <c r="J252" s="16" t="s">
        <v>3800</v>
      </c>
      <c r="K252" s="205" t="s">
        <v>3872</v>
      </c>
      <c r="L252" s="16" t="b">
        <v>0</v>
      </c>
      <c r="M252" s="16"/>
      <c r="N252" s="16"/>
      <c r="O252" s="16"/>
      <c r="P252" s="16"/>
      <c r="Q252" s="16"/>
      <c r="R252" s="16"/>
      <c r="S252" s="16"/>
      <c r="T252" s="16"/>
      <c r="U252" s="16"/>
      <c r="V252" s="16"/>
      <c r="W252" s="16"/>
      <c r="X252" s="16"/>
      <c r="Y252" s="16"/>
      <c r="Z252" s="16"/>
      <c r="AA252" s="16"/>
    </row>
    <row r="253" spans="1:27" ht="24" hidden="1" customHeight="1" outlineLevel="2">
      <c r="A253" s="18" t="s">
        <v>781</v>
      </c>
      <c r="B253" s="17" t="s">
        <v>782</v>
      </c>
      <c r="C253" s="68" t="s">
        <v>783</v>
      </c>
      <c r="D253" s="16" t="s">
        <v>3696</v>
      </c>
      <c r="E253" s="204">
        <v>44978</v>
      </c>
      <c r="F253" s="16" t="b">
        <v>0</v>
      </c>
      <c r="G253" s="205" t="s">
        <v>3873</v>
      </c>
      <c r="H253" s="205"/>
      <c r="I253" s="16" t="b">
        <v>1</v>
      </c>
      <c r="J253" s="16" t="s">
        <v>3745</v>
      </c>
      <c r="K253" s="205"/>
      <c r="L253" s="16" t="b">
        <v>0</v>
      </c>
      <c r="M253" s="16"/>
      <c r="N253" s="16"/>
      <c r="O253" s="16"/>
      <c r="P253" s="16"/>
      <c r="Q253" s="16"/>
      <c r="R253" s="16"/>
      <c r="S253" s="16"/>
      <c r="T253" s="16"/>
      <c r="U253" s="16"/>
      <c r="V253" s="16"/>
      <c r="W253" s="16"/>
      <c r="X253" s="16"/>
      <c r="Y253" s="16"/>
      <c r="Z253" s="16"/>
      <c r="AA253" s="16"/>
    </row>
    <row r="254" spans="1:27" ht="24" hidden="1" customHeight="1" outlineLevel="2">
      <c r="A254" s="18" t="s">
        <v>2168</v>
      </c>
      <c r="B254" s="17" t="s">
        <v>2170</v>
      </c>
      <c r="C254" s="18" t="s">
        <v>2171</v>
      </c>
      <c r="D254" s="16" t="s">
        <v>3809</v>
      </c>
      <c r="E254" s="204">
        <v>44978</v>
      </c>
      <c r="F254" s="16" t="b">
        <v>0</v>
      </c>
      <c r="G254" s="205" t="s">
        <v>3874</v>
      </c>
      <c r="H254" s="205"/>
      <c r="I254" s="16" t="b">
        <v>1</v>
      </c>
      <c r="J254" s="16" t="s">
        <v>3800</v>
      </c>
      <c r="K254" s="205" t="s">
        <v>3875</v>
      </c>
      <c r="L254" s="16" t="b">
        <v>0</v>
      </c>
      <c r="M254" s="16"/>
      <c r="N254" s="16"/>
      <c r="O254" s="16"/>
      <c r="P254" s="16"/>
      <c r="Q254" s="16"/>
      <c r="R254" s="16"/>
      <c r="S254" s="16"/>
      <c r="T254" s="16"/>
      <c r="U254" s="16"/>
      <c r="V254" s="16"/>
      <c r="W254" s="16"/>
      <c r="X254" s="16"/>
      <c r="Y254" s="16"/>
      <c r="Z254" s="16"/>
      <c r="AA254" s="16"/>
    </row>
    <row r="255" spans="1:27" ht="24" hidden="1" customHeight="1" outlineLevel="2">
      <c r="A255" s="68" t="s">
        <v>3876</v>
      </c>
      <c r="B255" s="18" t="s">
        <v>3877</v>
      </c>
      <c r="C255" s="68" t="s">
        <v>1460</v>
      </c>
      <c r="D255" s="16" t="s">
        <v>3809</v>
      </c>
      <c r="E255" s="204">
        <v>44978</v>
      </c>
      <c r="F255" s="16" t="b">
        <v>1</v>
      </c>
      <c r="G255" s="205" t="s">
        <v>3878</v>
      </c>
      <c r="H255" s="205"/>
      <c r="I255" s="16" t="b">
        <v>1</v>
      </c>
      <c r="J255" s="16" t="s">
        <v>3800</v>
      </c>
      <c r="K255" s="205" t="s">
        <v>3879</v>
      </c>
      <c r="L255" s="16" t="b">
        <v>0</v>
      </c>
      <c r="M255" s="16"/>
      <c r="N255" s="16"/>
      <c r="O255" s="16"/>
      <c r="P255" s="16"/>
      <c r="Q255" s="16"/>
      <c r="R255" s="16"/>
      <c r="S255" s="16"/>
      <c r="T255" s="16"/>
      <c r="U255" s="16"/>
      <c r="V255" s="16"/>
      <c r="W255" s="16"/>
      <c r="X255" s="16"/>
      <c r="Y255" s="16"/>
      <c r="Z255" s="16"/>
      <c r="AA255" s="16"/>
    </row>
    <row r="256" spans="1:27" ht="24" hidden="1" customHeight="1" outlineLevel="2">
      <c r="A256" s="76" t="s">
        <v>1461</v>
      </c>
      <c r="B256" s="16" t="s">
        <v>1462</v>
      </c>
      <c r="C256" s="16" t="s">
        <v>1463</v>
      </c>
      <c r="D256" s="16" t="s">
        <v>3696</v>
      </c>
      <c r="E256" s="204">
        <v>44979</v>
      </c>
      <c r="F256" s="16" t="b">
        <v>0</v>
      </c>
      <c r="G256" s="205" t="s">
        <v>3880</v>
      </c>
      <c r="H256" s="205"/>
      <c r="I256" s="16" t="b">
        <v>1</v>
      </c>
      <c r="J256" s="16" t="s">
        <v>3745</v>
      </c>
      <c r="K256" s="205"/>
      <c r="L256" s="16" t="b">
        <v>0</v>
      </c>
      <c r="M256" s="16"/>
      <c r="N256" s="16"/>
      <c r="O256" s="16"/>
      <c r="P256" s="16"/>
      <c r="Q256" s="16"/>
      <c r="R256" s="16"/>
      <c r="S256" s="16"/>
      <c r="T256" s="16"/>
      <c r="U256" s="16"/>
      <c r="V256" s="16"/>
      <c r="W256" s="16"/>
      <c r="X256" s="16"/>
      <c r="Y256" s="16"/>
      <c r="Z256" s="16"/>
      <c r="AA256" s="16"/>
    </row>
    <row r="257" spans="1:27" ht="24" hidden="1" customHeight="1" outlineLevel="2">
      <c r="A257" s="76" t="s">
        <v>3881</v>
      </c>
      <c r="B257" s="76" t="s">
        <v>3882</v>
      </c>
      <c r="C257" s="76" t="s">
        <v>452</v>
      </c>
      <c r="D257" s="16" t="s">
        <v>3696</v>
      </c>
      <c r="E257" s="204">
        <v>44984</v>
      </c>
      <c r="F257" s="16" t="b">
        <v>0</v>
      </c>
      <c r="G257" s="205" t="s">
        <v>3883</v>
      </c>
      <c r="H257" s="205"/>
      <c r="I257" s="16" t="b">
        <v>1</v>
      </c>
      <c r="J257" s="16" t="s">
        <v>3745</v>
      </c>
      <c r="K257" s="205"/>
      <c r="L257" s="16" t="b">
        <v>0</v>
      </c>
      <c r="M257" s="16"/>
      <c r="N257" s="16"/>
      <c r="O257" s="16"/>
      <c r="P257" s="16"/>
      <c r="Q257" s="16"/>
      <c r="R257" s="16"/>
      <c r="S257" s="16"/>
      <c r="T257" s="16"/>
      <c r="U257" s="16"/>
      <c r="V257" s="16"/>
      <c r="W257" s="16"/>
      <c r="X257" s="16"/>
      <c r="Y257" s="16"/>
      <c r="Z257" s="16"/>
      <c r="AA257" s="16"/>
    </row>
    <row r="258" spans="1:27" ht="24" hidden="1" customHeight="1" outlineLevel="2">
      <c r="A258" s="76" t="s">
        <v>3884</v>
      </c>
      <c r="B258" s="76" t="s">
        <v>3885</v>
      </c>
      <c r="C258" s="76" t="s">
        <v>319</v>
      </c>
      <c r="D258" s="16" t="s">
        <v>3692</v>
      </c>
      <c r="E258" s="204">
        <v>44984</v>
      </c>
      <c r="F258" s="16" t="b">
        <v>0</v>
      </c>
      <c r="G258" s="205" t="s">
        <v>3886</v>
      </c>
      <c r="H258" s="205"/>
      <c r="I258" s="16" t="b">
        <v>1</v>
      </c>
      <c r="J258" s="16" t="s">
        <v>3807</v>
      </c>
      <c r="K258" s="205" t="s">
        <v>3887</v>
      </c>
      <c r="L258" s="16" t="b">
        <v>0</v>
      </c>
      <c r="M258" s="16"/>
      <c r="N258" s="16"/>
      <c r="O258" s="16"/>
      <c r="P258" s="16"/>
      <c r="Q258" s="16"/>
      <c r="R258" s="16"/>
      <c r="S258" s="16"/>
      <c r="T258" s="16"/>
      <c r="U258" s="16"/>
      <c r="V258" s="16"/>
      <c r="W258" s="16"/>
      <c r="X258" s="16"/>
      <c r="Y258" s="16"/>
      <c r="Z258" s="16"/>
      <c r="AA258" s="16"/>
    </row>
    <row r="259" spans="1:27" ht="24" hidden="1" customHeight="1" outlineLevel="2">
      <c r="A259" s="76" t="s">
        <v>3888</v>
      </c>
      <c r="B259" s="76" t="s">
        <v>3889</v>
      </c>
      <c r="C259" s="76" t="s">
        <v>886</v>
      </c>
      <c r="D259" s="16" t="s">
        <v>3809</v>
      </c>
      <c r="E259" s="204">
        <v>44984</v>
      </c>
      <c r="F259" s="16" t="b">
        <v>1</v>
      </c>
      <c r="G259" s="205" t="s">
        <v>3890</v>
      </c>
      <c r="H259" s="205"/>
      <c r="I259" s="16" t="b">
        <v>1</v>
      </c>
      <c r="J259" s="16" t="s">
        <v>3800</v>
      </c>
      <c r="K259" s="205" t="s">
        <v>3891</v>
      </c>
      <c r="L259" s="16" t="b">
        <v>0</v>
      </c>
      <c r="M259" s="16"/>
      <c r="N259" s="16"/>
      <c r="O259" s="16"/>
      <c r="P259" s="16"/>
      <c r="Q259" s="16"/>
      <c r="R259" s="16"/>
      <c r="S259" s="16"/>
      <c r="T259" s="16"/>
      <c r="U259" s="16"/>
      <c r="V259" s="16"/>
      <c r="W259" s="16"/>
      <c r="X259" s="16"/>
      <c r="Y259" s="16"/>
      <c r="Z259" s="16"/>
      <c r="AA259" s="16"/>
    </row>
    <row r="260" spans="1:27" ht="24" hidden="1" customHeight="1" outlineLevel="2">
      <c r="A260" s="76" t="s">
        <v>3892</v>
      </c>
      <c r="B260" s="76" t="s">
        <v>325</v>
      </c>
      <c r="C260" s="76" t="s">
        <v>326</v>
      </c>
      <c r="D260" s="16" t="s">
        <v>3696</v>
      </c>
      <c r="E260" s="204">
        <v>44984</v>
      </c>
      <c r="F260" s="16" t="b">
        <v>0</v>
      </c>
      <c r="G260" s="205" t="s">
        <v>3893</v>
      </c>
      <c r="H260" s="205"/>
      <c r="I260" s="16" t="b">
        <v>1</v>
      </c>
      <c r="J260" s="16" t="s">
        <v>3745</v>
      </c>
      <c r="K260" s="205"/>
      <c r="L260" s="16" t="b">
        <v>0</v>
      </c>
      <c r="M260" s="16"/>
      <c r="N260" s="16"/>
      <c r="O260" s="16"/>
      <c r="P260" s="16"/>
      <c r="Q260" s="16"/>
      <c r="R260" s="16"/>
      <c r="S260" s="16"/>
      <c r="T260" s="16"/>
      <c r="U260" s="16"/>
      <c r="V260" s="16"/>
      <c r="W260" s="16"/>
      <c r="X260" s="16"/>
      <c r="Y260" s="16"/>
      <c r="Z260" s="16"/>
      <c r="AA260" s="16"/>
    </row>
    <row r="261" spans="1:27" ht="24" hidden="1" customHeight="1" outlineLevel="2">
      <c r="A261" s="55" t="s">
        <v>426</v>
      </c>
      <c r="B261" s="55" t="s">
        <v>428</v>
      </c>
      <c r="C261" s="14" t="s">
        <v>429</v>
      </c>
      <c r="D261" s="16" t="s">
        <v>3718</v>
      </c>
      <c r="E261" s="204">
        <v>44984</v>
      </c>
      <c r="F261" s="16" t="b">
        <v>0</v>
      </c>
      <c r="G261" s="205" t="s">
        <v>3894</v>
      </c>
      <c r="H261" s="205"/>
      <c r="I261" s="16" t="b">
        <v>1</v>
      </c>
      <c r="J261" s="16" t="s">
        <v>3621</v>
      </c>
      <c r="K261" s="205"/>
      <c r="L261" s="16" t="b">
        <v>0</v>
      </c>
      <c r="M261" s="16"/>
      <c r="N261" s="16"/>
      <c r="O261" s="16"/>
      <c r="P261" s="16"/>
      <c r="Q261" s="16"/>
      <c r="R261" s="16"/>
      <c r="S261" s="16"/>
      <c r="T261" s="16"/>
      <c r="U261" s="16"/>
      <c r="V261" s="16"/>
      <c r="W261" s="16"/>
      <c r="X261" s="16"/>
      <c r="Y261" s="16"/>
      <c r="Z261" s="16"/>
      <c r="AA261" s="16"/>
    </row>
    <row r="262" spans="1:27" ht="24" hidden="1" customHeight="1" outlineLevel="2">
      <c r="A262" s="76" t="s">
        <v>330</v>
      </c>
      <c r="B262" s="76" t="s">
        <v>331</v>
      </c>
      <c r="C262" s="76" t="s">
        <v>332</v>
      </c>
      <c r="D262" s="16" t="s">
        <v>3696</v>
      </c>
      <c r="E262" s="204">
        <v>44985</v>
      </c>
      <c r="F262" s="16" t="b">
        <v>0</v>
      </c>
      <c r="G262" s="205" t="s">
        <v>3895</v>
      </c>
      <c r="H262" s="205"/>
      <c r="I262" s="16" t="b">
        <v>1</v>
      </c>
      <c r="J262" s="16" t="s">
        <v>3745</v>
      </c>
      <c r="K262" s="205"/>
      <c r="L262" s="16" t="b">
        <v>0</v>
      </c>
      <c r="M262" s="285" t="s">
        <v>3896</v>
      </c>
      <c r="N262" s="16"/>
      <c r="O262" s="16"/>
      <c r="P262" s="16"/>
      <c r="Q262" s="16"/>
      <c r="R262" s="16"/>
      <c r="S262" s="16"/>
      <c r="T262" s="16"/>
      <c r="U262" s="16"/>
      <c r="V262" s="16"/>
      <c r="W262" s="16"/>
      <c r="X262" s="16"/>
      <c r="Y262" s="16"/>
      <c r="Z262" s="16"/>
      <c r="AA262" s="16"/>
    </row>
    <row r="263" spans="1:27" ht="24" hidden="1" customHeight="1" outlineLevel="2">
      <c r="A263" s="281" t="s">
        <v>100</v>
      </c>
      <c r="B263" s="282" t="s">
        <v>101</v>
      </c>
      <c r="C263" s="281" t="s">
        <v>102</v>
      </c>
      <c r="D263" s="16" t="s">
        <v>3696</v>
      </c>
      <c r="E263" s="204">
        <v>44985</v>
      </c>
      <c r="F263" s="16" t="b">
        <v>0</v>
      </c>
      <c r="G263" s="205" t="s">
        <v>3897</v>
      </c>
      <c r="H263" s="205"/>
      <c r="I263" s="16" t="b">
        <v>1</v>
      </c>
      <c r="J263" s="16" t="s">
        <v>3745</v>
      </c>
      <c r="K263" s="205"/>
      <c r="L263" s="16" t="b">
        <v>0</v>
      </c>
      <c r="M263" s="16"/>
      <c r="N263" s="16"/>
      <c r="O263" s="16"/>
      <c r="P263" s="16"/>
      <c r="Q263" s="16"/>
      <c r="R263" s="16"/>
      <c r="S263" s="16"/>
      <c r="T263" s="16"/>
      <c r="U263" s="16"/>
      <c r="V263" s="16"/>
      <c r="W263" s="16"/>
      <c r="X263" s="16"/>
      <c r="Y263" s="16"/>
      <c r="Z263" s="16"/>
      <c r="AA263" s="16"/>
    </row>
    <row r="264" spans="1:27" ht="24" hidden="1" customHeight="1" outlineLevel="2">
      <c r="A264" s="76" t="s">
        <v>934</v>
      </c>
      <c r="B264" s="61" t="s">
        <v>936</v>
      </c>
      <c r="C264" s="14" t="s">
        <v>937</v>
      </c>
      <c r="D264" s="16" t="s">
        <v>3696</v>
      </c>
      <c r="E264" s="204">
        <v>44985</v>
      </c>
      <c r="F264" s="16" t="b">
        <v>0</v>
      </c>
      <c r="G264" s="205" t="s">
        <v>3898</v>
      </c>
      <c r="H264" s="205"/>
      <c r="I264" s="16" t="b">
        <v>1</v>
      </c>
      <c r="J264" s="16" t="s">
        <v>3745</v>
      </c>
      <c r="K264" s="205"/>
      <c r="L264" s="16" t="b">
        <v>0</v>
      </c>
      <c r="M264" s="16"/>
      <c r="N264" s="16"/>
      <c r="O264" s="16"/>
      <c r="P264" s="16"/>
      <c r="Q264" s="16"/>
      <c r="R264" s="16"/>
      <c r="S264" s="16"/>
      <c r="T264" s="16"/>
      <c r="U264" s="16"/>
      <c r="V264" s="16"/>
      <c r="W264" s="16"/>
      <c r="X264" s="16"/>
      <c r="Y264" s="16"/>
      <c r="Z264" s="16"/>
      <c r="AA264" s="16"/>
    </row>
    <row r="265" spans="1:27" ht="24" hidden="1" customHeight="1" outlineLevel="2">
      <c r="A265" s="76" t="s">
        <v>179</v>
      </c>
      <c r="B265" s="61" t="s">
        <v>3899</v>
      </c>
      <c r="C265" s="14" t="s">
        <v>181</v>
      </c>
      <c r="D265" s="16" t="s">
        <v>3696</v>
      </c>
      <c r="E265" s="204">
        <v>44985</v>
      </c>
      <c r="F265" s="16" t="b">
        <v>0</v>
      </c>
      <c r="G265" s="205" t="s">
        <v>3900</v>
      </c>
      <c r="H265" s="205"/>
      <c r="I265" s="16" t="b">
        <v>1</v>
      </c>
      <c r="J265" s="16" t="s">
        <v>3745</v>
      </c>
      <c r="K265" s="205"/>
      <c r="L265" s="16" t="b">
        <v>0</v>
      </c>
      <c r="M265" s="16"/>
      <c r="N265" s="16"/>
      <c r="O265" s="16"/>
      <c r="P265" s="16"/>
      <c r="Q265" s="16"/>
      <c r="R265" s="16"/>
      <c r="S265" s="16"/>
      <c r="T265" s="16"/>
      <c r="U265" s="16"/>
      <c r="V265" s="16"/>
      <c r="W265" s="16"/>
      <c r="X265" s="16"/>
      <c r="Y265" s="16"/>
      <c r="Z265" s="16"/>
      <c r="AA265" s="16"/>
    </row>
    <row r="266" spans="1:27" ht="24" hidden="1" customHeight="1" outlineLevel="2">
      <c r="A266" s="76" t="s">
        <v>564</v>
      </c>
      <c r="B266" s="76" t="s">
        <v>565</v>
      </c>
      <c r="C266" s="76" t="s">
        <v>566</v>
      </c>
      <c r="D266" s="16" t="s">
        <v>3809</v>
      </c>
      <c r="E266" s="204">
        <v>44985</v>
      </c>
      <c r="F266" s="16" t="b">
        <v>0</v>
      </c>
      <c r="G266" s="205" t="s">
        <v>3901</v>
      </c>
      <c r="H266" s="205"/>
      <c r="I266" s="16" t="b">
        <v>1</v>
      </c>
      <c r="J266" s="16" t="s">
        <v>3800</v>
      </c>
      <c r="K266" s="205" t="s">
        <v>3902</v>
      </c>
      <c r="L266" s="16" t="b">
        <v>0</v>
      </c>
      <c r="M266" s="285" t="s">
        <v>3903</v>
      </c>
      <c r="N266" s="16"/>
      <c r="O266" s="16"/>
      <c r="P266" s="16"/>
      <c r="Q266" s="16"/>
      <c r="R266" s="16"/>
      <c r="S266" s="16"/>
      <c r="T266" s="16"/>
      <c r="U266" s="16"/>
      <c r="V266" s="16"/>
      <c r="W266" s="16"/>
      <c r="X266" s="16"/>
      <c r="Y266" s="16"/>
      <c r="Z266" s="16"/>
      <c r="AA266" s="16"/>
    </row>
    <row r="267" spans="1:27" ht="24" hidden="1" customHeight="1" outlineLevel="1" collapsed="1">
      <c r="A267" s="297" t="s">
        <v>3904</v>
      </c>
      <c r="B267" s="178">
        <v>43</v>
      </c>
      <c r="C267" s="178"/>
      <c r="D267" s="178"/>
      <c r="E267" s="178"/>
      <c r="F267" s="178"/>
      <c r="G267" s="208"/>
      <c r="H267" s="208"/>
      <c r="I267" s="178"/>
      <c r="J267" s="178"/>
      <c r="K267" s="208"/>
      <c r="L267" s="178"/>
      <c r="M267" s="178"/>
      <c r="N267" s="178"/>
      <c r="O267" s="178"/>
      <c r="P267" s="178"/>
      <c r="Q267" s="178"/>
      <c r="R267" s="178"/>
      <c r="S267" s="178"/>
      <c r="T267" s="178"/>
      <c r="U267" s="178"/>
      <c r="V267" s="178"/>
      <c r="W267" s="178"/>
      <c r="X267" s="178"/>
      <c r="Y267" s="178"/>
      <c r="Z267" s="178"/>
      <c r="AA267" s="178"/>
    </row>
    <row r="268" spans="1:27" ht="24" hidden="1" customHeight="1" outlineLevel="2">
      <c r="A268" s="76" t="s">
        <v>459</v>
      </c>
      <c r="B268" s="76" t="s">
        <v>3905</v>
      </c>
      <c r="C268" s="76" t="s">
        <v>461</v>
      </c>
      <c r="D268" s="76" t="s">
        <v>3739</v>
      </c>
      <c r="E268" s="204">
        <v>44986</v>
      </c>
      <c r="F268" s="16" t="b">
        <v>0</v>
      </c>
      <c r="G268" s="205" t="s">
        <v>3906</v>
      </c>
      <c r="H268" s="205"/>
      <c r="I268" s="16" t="b">
        <v>1</v>
      </c>
      <c r="J268" s="16" t="s">
        <v>3786</v>
      </c>
      <c r="K268" s="205"/>
      <c r="L268" s="16" t="b">
        <v>0</v>
      </c>
      <c r="M268" s="16"/>
      <c r="N268" s="16"/>
      <c r="O268" s="16"/>
      <c r="P268" s="16"/>
      <c r="Q268" s="16"/>
      <c r="R268" s="16"/>
      <c r="S268" s="16"/>
      <c r="T268" s="16"/>
      <c r="U268" s="16"/>
      <c r="V268" s="16"/>
      <c r="W268" s="16"/>
      <c r="X268" s="16"/>
      <c r="Y268" s="16"/>
      <c r="Z268" s="16"/>
      <c r="AA268" s="16"/>
    </row>
    <row r="269" spans="1:27" ht="24" hidden="1" customHeight="1" outlineLevel="2">
      <c r="A269" s="76" t="s">
        <v>1401</v>
      </c>
      <c r="B269" s="76" t="s">
        <v>3907</v>
      </c>
      <c r="C269" s="274" t="s">
        <v>1403</v>
      </c>
      <c r="D269" s="76" t="s">
        <v>3739</v>
      </c>
      <c r="E269" s="204">
        <v>44986</v>
      </c>
      <c r="F269" s="16" t="b">
        <v>0</v>
      </c>
      <c r="G269" s="205" t="s">
        <v>3908</v>
      </c>
      <c r="H269" s="205"/>
      <c r="I269" s="16" t="b">
        <v>1</v>
      </c>
      <c r="J269" s="16" t="s">
        <v>3786</v>
      </c>
      <c r="K269" s="205"/>
      <c r="L269" s="16" t="b">
        <v>0</v>
      </c>
      <c r="M269" s="16"/>
      <c r="N269" s="16"/>
      <c r="O269" s="16"/>
      <c r="P269" s="16"/>
      <c r="Q269" s="16"/>
      <c r="R269" s="16"/>
      <c r="S269" s="16"/>
      <c r="T269" s="16"/>
      <c r="U269" s="16"/>
      <c r="V269" s="16"/>
      <c r="W269" s="16"/>
      <c r="X269" s="16"/>
      <c r="Y269" s="16"/>
      <c r="Z269" s="16"/>
      <c r="AA269" s="16"/>
    </row>
    <row r="270" spans="1:27" ht="24" hidden="1" customHeight="1" outlineLevel="2">
      <c r="A270" s="76" t="s">
        <v>1486</v>
      </c>
      <c r="B270" s="76" t="s">
        <v>1488</v>
      </c>
      <c r="C270" s="76" t="s">
        <v>1489</v>
      </c>
      <c r="D270" s="76" t="s">
        <v>3809</v>
      </c>
      <c r="E270" s="204">
        <v>44986</v>
      </c>
      <c r="F270" s="16" t="b">
        <v>0</v>
      </c>
      <c r="G270" s="205" t="s">
        <v>3909</v>
      </c>
      <c r="H270" s="205"/>
      <c r="I270" s="16" t="b">
        <v>1</v>
      </c>
      <c r="J270" s="16" t="s">
        <v>3800</v>
      </c>
      <c r="K270" s="205" t="s">
        <v>3910</v>
      </c>
      <c r="L270" s="16" t="b">
        <v>0</v>
      </c>
      <c r="M270" s="16"/>
      <c r="N270" s="16"/>
      <c r="O270" s="16"/>
      <c r="P270" s="16"/>
      <c r="Q270" s="16"/>
      <c r="R270" s="16"/>
      <c r="S270" s="16"/>
      <c r="T270" s="16"/>
      <c r="U270" s="16"/>
      <c r="V270" s="16"/>
      <c r="W270" s="16"/>
      <c r="X270" s="16"/>
      <c r="Y270" s="16"/>
      <c r="Z270" s="16"/>
      <c r="AA270" s="16"/>
    </row>
    <row r="271" spans="1:27" ht="24" hidden="1" customHeight="1" outlineLevel="2">
      <c r="A271" s="76" t="s">
        <v>545</v>
      </c>
      <c r="B271" s="76" t="s">
        <v>3911</v>
      </c>
      <c r="C271" s="274" t="s">
        <v>3912</v>
      </c>
      <c r="D271" s="76" t="s">
        <v>3696</v>
      </c>
      <c r="E271" s="204">
        <v>44986</v>
      </c>
      <c r="F271" s="16" t="b">
        <v>0</v>
      </c>
      <c r="G271" s="205" t="s">
        <v>3913</v>
      </c>
      <c r="H271" s="205"/>
      <c r="I271" s="16" t="b">
        <v>1</v>
      </c>
      <c r="J271" s="16" t="s">
        <v>3751</v>
      </c>
      <c r="K271" s="205"/>
      <c r="L271" s="16" t="b">
        <v>0</v>
      </c>
      <c r="M271" s="16"/>
      <c r="N271" s="16"/>
      <c r="O271" s="16"/>
      <c r="P271" s="16"/>
      <c r="Q271" s="16"/>
      <c r="R271" s="16"/>
      <c r="S271" s="16"/>
      <c r="T271" s="16"/>
      <c r="U271" s="16"/>
      <c r="V271" s="16"/>
      <c r="W271" s="16"/>
      <c r="X271" s="16"/>
      <c r="Y271" s="16"/>
      <c r="Z271" s="16"/>
      <c r="AA271" s="16"/>
    </row>
    <row r="272" spans="1:27" ht="24" hidden="1" customHeight="1" outlineLevel="2">
      <c r="A272" s="76" t="s">
        <v>456</v>
      </c>
      <c r="B272" s="76" t="s">
        <v>3914</v>
      </c>
      <c r="C272" s="274" t="s">
        <v>3915</v>
      </c>
      <c r="D272" s="76" t="s">
        <v>3696</v>
      </c>
      <c r="E272" s="204">
        <v>44986</v>
      </c>
      <c r="F272" s="16" t="b">
        <v>0</v>
      </c>
      <c r="G272" s="205" t="s">
        <v>3916</v>
      </c>
      <c r="H272" s="205"/>
      <c r="I272" s="16" t="b">
        <v>1</v>
      </c>
      <c r="J272" s="16" t="s">
        <v>3751</v>
      </c>
      <c r="K272" s="205"/>
      <c r="L272" s="16" t="b">
        <v>0</v>
      </c>
      <c r="M272" s="16"/>
      <c r="N272" s="16"/>
      <c r="O272" s="16"/>
      <c r="P272" s="16"/>
      <c r="Q272" s="16"/>
      <c r="R272" s="16"/>
      <c r="S272" s="16"/>
      <c r="T272" s="16"/>
      <c r="U272" s="16"/>
      <c r="V272" s="16"/>
      <c r="W272" s="16"/>
      <c r="X272" s="16"/>
      <c r="Y272" s="16"/>
      <c r="Z272" s="16"/>
      <c r="AA272" s="16"/>
    </row>
    <row r="273" spans="1:27" ht="24" hidden="1" customHeight="1" outlineLevel="2">
      <c r="A273" s="76" t="s">
        <v>361</v>
      </c>
      <c r="B273" s="76" t="s">
        <v>362</v>
      </c>
      <c r="C273" s="76" t="s">
        <v>363</v>
      </c>
      <c r="D273" s="76" t="s">
        <v>3696</v>
      </c>
      <c r="E273" s="204">
        <v>44986</v>
      </c>
      <c r="F273" s="16" t="b">
        <v>0</v>
      </c>
      <c r="G273" s="205" t="s">
        <v>3917</v>
      </c>
      <c r="H273" s="205"/>
      <c r="I273" s="16" t="b">
        <v>1</v>
      </c>
      <c r="J273" s="16" t="s">
        <v>3751</v>
      </c>
      <c r="K273" s="205"/>
      <c r="L273" s="16" t="b">
        <v>0</v>
      </c>
      <c r="M273" s="16"/>
      <c r="N273" s="16"/>
      <c r="O273" s="16"/>
      <c r="P273" s="16"/>
      <c r="Q273" s="16"/>
      <c r="R273" s="16"/>
      <c r="S273" s="16"/>
      <c r="T273" s="16"/>
      <c r="U273" s="16"/>
      <c r="V273" s="16"/>
      <c r="W273" s="16"/>
      <c r="X273" s="16"/>
      <c r="Y273" s="16"/>
      <c r="Z273" s="16"/>
      <c r="AA273" s="16"/>
    </row>
    <row r="274" spans="1:27" ht="24" hidden="1" customHeight="1" outlineLevel="2">
      <c r="A274" s="76" t="s">
        <v>1350</v>
      </c>
      <c r="B274" s="76" t="s">
        <v>1351</v>
      </c>
      <c r="C274" s="281" t="s">
        <v>1352</v>
      </c>
      <c r="D274" s="76" t="s">
        <v>3918</v>
      </c>
      <c r="E274" s="204">
        <v>44991</v>
      </c>
      <c r="F274" s="16" t="b">
        <v>0</v>
      </c>
      <c r="G274" s="205" t="s">
        <v>3919</v>
      </c>
      <c r="H274" s="205"/>
      <c r="I274" s="16" t="b">
        <v>1</v>
      </c>
      <c r="J274" s="16" t="s">
        <v>3751</v>
      </c>
      <c r="K274" s="205"/>
      <c r="L274" s="16" t="b">
        <v>0</v>
      </c>
      <c r="M274" s="16"/>
      <c r="N274" s="16"/>
      <c r="O274" s="16"/>
      <c r="P274" s="16"/>
      <c r="Q274" s="16"/>
      <c r="R274" s="16"/>
      <c r="S274" s="16"/>
      <c r="T274" s="16"/>
      <c r="U274" s="16"/>
      <c r="V274" s="16"/>
      <c r="W274" s="16"/>
      <c r="X274" s="16"/>
      <c r="Y274" s="16"/>
      <c r="Z274" s="16"/>
      <c r="AA274" s="16"/>
    </row>
    <row r="275" spans="1:27" ht="24" hidden="1" customHeight="1" outlineLevel="2">
      <c r="A275" s="76" t="s">
        <v>370</v>
      </c>
      <c r="B275" s="282" t="s">
        <v>371</v>
      </c>
      <c r="C275" s="281" t="s">
        <v>372</v>
      </c>
      <c r="D275" s="76" t="s">
        <v>3696</v>
      </c>
      <c r="E275" s="204">
        <v>44991</v>
      </c>
      <c r="F275" s="16" t="b">
        <v>0</v>
      </c>
      <c r="G275" s="205" t="s">
        <v>3920</v>
      </c>
      <c r="H275" s="205"/>
      <c r="I275" s="16" t="b">
        <v>1</v>
      </c>
      <c r="J275" s="16" t="s">
        <v>3751</v>
      </c>
      <c r="K275" s="205"/>
      <c r="L275" s="16" t="b">
        <v>0</v>
      </c>
      <c r="M275" s="16"/>
      <c r="N275" s="16"/>
      <c r="O275" s="16"/>
      <c r="P275" s="16"/>
      <c r="Q275" s="16"/>
      <c r="R275" s="16"/>
      <c r="S275" s="16"/>
      <c r="T275" s="16"/>
      <c r="U275" s="16"/>
      <c r="V275" s="16"/>
      <c r="W275" s="16"/>
      <c r="X275" s="16"/>
      <c r="Y275" s="16"/>
      <c r="Z275" s="16"/>
      <c r="AA275" s="16"/>
    </row>
    <row r="276" spans="1:27" ht="24" hidden="1" customHeight="1" outlineLevel="2">
      <c r="A276" s="76" t="s">
        <v>1376</v>
      </c>
      <c r="B276" s="76" t="s">
        <v>3921</v>
      </c>
      <c r="C276" s="298" t="s">
        <v>1378</v>
      </c>
      <c r="D276" s="76" t="s">
        <v>3809</v>
      </c>
      <c r="E276" s="204">
        <v>44991</v>
      </c>
      <c r="F276" s="16"/>
      <c r="G276" s="205" t="s">
        <v>3922</v>
      </c>
      <c r="H276" s="205"/>
      <c r="I276" s="16" t="b">
        <v>1</v>
      </c>
      <c r="J276" s="16" t="s">
        <v>3800</v>
      </c>
      <c r="K276" s="299" t="s">
        <v>3923</v>
      </c>
      <c r="L276" s="16" t="b">
        <v>0</v>
      </c>
      <c r="M276" s="16"/>
      <c r="N276" s="16"/>
      <c r="O276" s="16"/>
      <c r="P276" s="16"/>
      <c r="Q276" s="16"/>
      <c r="R276" s="16"/>
      <c r="S276" s="16"/>
      <c r="T276" s="16"/>
      <c r="U276" s="16"/>
      <c r="V276" s="16"/>
      <c r="W276" s="16"/>
      <c r="X276" s="16"/>
      <c r="Y276" s="16"/>
      <c r="Z276" s="16"/>
      <c r="AA276" s="16"/>
    </row>
    <row r="277" spans="1:27" ht="24" hidden="1" customHeight="1" outlineLevel="2">
      <c r="A277" s="76" t="s">
        <v>966</v>
      </c>
      <c r="B277" s="55" t="s">
        <v>967</v>
      </c>
      <c r="C277" s="14" t="s">
        <v>968</v>
      </c>
      <c r="D277" s="76" t="s">
        <v>3718</v>
      </c>
      <c r="E277" s="204">
        <v>44991</v>
      </c>
      <c r="F277" s="16" t="b">
        <v>0</v>
      </c>
      <c r="G277" s="205" t="s">
        <v>3924</v>
      </c>
      <c r="H277" s="205"/>
      <c r="I277" s="16" t="b">
        <v>1</v>
      </c>
      <c r="J277" s="16" t="s">
        <v>3621</v>
      </c>
      <c r="K277" s="205" t="s">
        <v>3925</v>
      </c>
      <c r="L277" s="16" t="b">
        <v>0</v>
      </c>
      <c r="M277" s="16"/>
      <c r="N277" s="16"/>
      <c r="O277" s="16"/>
      <c r="P277" s="16"/>
      <c r="Q277" s="16"/>
      <c r="R277" s="16"/>
      <c r="S277" s="16"/>
      <c r="T277" s="16"/>
      <c r="U277" s="16"/>
      <c r="V277" s="16"/>
      <c r="W277" s="16"/>
      <c r="X277" s="16"/>
      <c r="Y277" s="16"/>
      <c r="Z277" s="16"/>
      <c r="AA277" s="16"/>
    </row>
    <row r="278" spans="1:27" ht="24" hidden="1" customHeight="1" outlineLevel="2">
      <c r="A278" s="76" t="s">
        <v>734</v>
      </c>
      <c r="B278" s="76" t="s">
        <v>736</v>
      </c>
      <c r="C278" s="281" t="s">
        <v>737</v>
      </c>
      <c r="D278" s="76" t="s">
        <v>3692</v>
      </c>
      <c r="E278" s="204">
        <v>44991</v>
      </c>
      <c r="F278" s="16" t="b">
        <v>0</v>
      </c>
      <c r="G278" s="205" t="s">
        <v>3926</v>
      </c>
      <c r="H278" s="205"/>
      <c r="I278" s="16" t="b">
        <v>1</v>
      </c>
      <c r="J278" s="16" t="s">
        <v>3807</v>
      </c>
      <c r="K278" s="205" t="s">
        <v>3927</v>
      </c>
      <c r="L278" s="16" t="b">
        <v>0</v>
      </c>
      <c r="M278" s="300" t="s">
        <v>3928</v>
      </c>
      <c r="N278" s="16"/>
      <c r="O278" s="16"/>
      <c r="P278" s="16"/>
      <c r="Q278" s="16"/>
      <c r="R278" s="16"/>
      <c r="S278" s="16"/>
      <c r="T278" s="16"/>
      <c r="U278" s="16"/>
      <c r="V278" s="16"/>
      <c r="W278" s="16"/>
      <c r="X278" s="16"/>
      <c r="Y278" s="16"/>
      <c r="Z278" s="16"/>
      <c r="AA278" s="16"/>
    </row>
    <row r="279" spans="1:27" ht="24" hidden="1" customHeight="1" outlineLevel="2">
      <c r="A279" s="76" t="s">
        <v>472</v>
      </c>
      <c r="B279" s="76" t="s">
        <v>473</v>
      </c>
      <c r="C279" s="61" t="s">
        <v>3929</v>
      </c>
      <c r="D279" s="76" t="s">
        <v>3930</v>
      </c>
      <c r="E279" s="204">
        <v>44992</v>
      </c>
      <c r="F279" s="16" t="b">
        <v>0</v>
      </c>
      <c r="G279" s="205" t="s">
        <v>3931</v>
      </c>
      <c r="H279" s="205"/>
      <c r="I279" s="16" t="b">
        <v>1</v>
      </c>
      <c r="J279" s="16" t="s">
        <v>3932</v>
      </c>
      <c r="K279" s="205" t="s">
        <v>3925</v>
      </c>
      <c r="L279" s="16" t="b">
        <v>0</v>
      </c>
      <c r="M279" s="16"/>
      <c r="N279" s="16"/>
      <c r="O279" s="16"/>
      <c r="P279" s="16"/>
      <c r="Q279" s="16"/>
      <c r="R279" s="16"/>
      <c r="S279" s="16"/>
      <c r="T279" s="16"/>
      <c r="U279" s="16"/>
      <c r="V279" s="16"/>
      <c r="W279" s="16"/>
      <c r="X279" s="16"/>
      <c r="Y279" s="16"/>
      <c r="Z279" s="16"/>
      <c r="AA279" s="16"/>
    </row>
    <row r="280" spans="1:27" ht="24" hidden="1" customHeight="1" outlineLevel="2">
      <c r="A280" s="76" t="s">
        <v>677</v>
      </c>
      <c r="B280" s="90" t="s">
        <v>678</v>
      </c>
      <c r="C280" s="76" t="s">
        <v>679</v>
      </c>
      <c r="D280" s="76" t="s">
        <v>3692</v>
      </c>
      <c r="E280" s="204">
        <v>44992</v>
      </c>
      <c r="F280" s="16" t="b">
        <v>1</v>
      </c>
      <c r="G280" s="205" t="s">
        <v>3933</v>
      </c>
      <c r="H280" s="205"/>
      <c r="I280" s="16" t="b">
        <v>1</v>
      </c>
      <c r="J280" s="16" t="s">
        <v>3807</v>
      </c>
      <c r="K280" s="205"/>
      <c r="L280" s="16" t="b">
        <v>0</v>
      </c>
      <c r="M280" s="16"/>
      <c r="N280" s="16"/>
      <c r="O280" s="16"/>
      <c r="P280" s="16"/>
      <c r="Q280" s="16"/>
      <c r="R280" s="16"/>
      <c r="S280" s="16"/>
      <c r="T280" s="16"/>
      <c r="U280" s="16"/>
      <c r="V280" s="16"/>
      <c r="W280" s="16"/>
      <c r="X280" s="16"/>
      <c r="Y280" s="16"/>
      <c r="Z280" s="16"/>
      <c r="AA280" s="16"/>
    </row>
    <row r="281" spans="1:27" ht="24" hidden="1" customHeight="1" outlineLevel="2">
      <c r="A281" s="76" t="s">
        <v>391</v>
      </c>
      <c r="B281" s="76" t="s">
        <v>3934</v>
      </c>
      <c r="C281" s="61" t="s">
        <v>393</v>
      </c>
      <c r="D281" s="76" t="s">
        <v>3692</v>
      </c>
      <c r="E281" s="204">
        <v>44992</v>
      </c>
      <c r="F281" s="16" t="b">
        <v>1</v>
      </c>
      <c r="G281" s="205" t="s">
        <v>3935</v>
      </c>
      <c r="H281" s="205"/>
      <c r="I281" s="16" t="b">
        <v>1</v>
      </c>
      <c r="J281" s="16" t="s">
        <v>3807</v>
      </c>
      <c r="K281" s="205"/>
      <c r="L281" s="16" t="b">
        <v>0</v>
      </c>
      <c r="M281" s="16"/>
      <c r="N281" s="16"/>
      <c r="O281" s="16"/>
      <c r="P281" s="16"/>
      <c r="Q281" s="16"/>
      <c r="R281" s="16"/>
      <c r="S281" s="16"/>
      <c r="T281" s="16"/>
      <c r="U281" s="16"/>
      <c r="V281" s="16"/>
      <c r="W281" s="16"/>
      <c r="X281" s="16"/>
      <c r="Y281" s="16"/>
      <c r="Z281" s="16"/>
      <c r="AA281" s="16"/>
    </row>
    <row r="282" spans="1:27" ht="24" hidden="1" customHeight="1" outlineLevel="2">
      <c r="A282" s="281" t="s">
        <v>747</v>
      </c>
      <c r="B282" s="16" t="s">
        <v>748</v>
      </c>
      <c r="C282" s="281" t="s">
        <v>749</v>
      </c>
      <c r="D282" s="16" t="s">
        <v>3692</v>
      </c>
      <c r="E282" s="204">
        <v>44993</v>
      </c>
      <c r="F282" s="16" t="b">
        <v>1</v>
      </c>
      <c r="G282" s="205" t="s">
        <v>3936</v>
      </c>
      <c r="H282" s="205"/>
      <c r="I282" s="16" t="b">
        <v>1</v>
      </c>
      <c r="J282" s="16" t="s">
        <v>3807</v>
      </c>
      <c r="K282" s="205"/>
      <c r="L282" s="16" t="b">
        <v>0</v>
      </c>
      <c r="M282" s="16"/>
      <c r="N282" s="16"/>
      <c r="O282" s="16"/>
      <c r="P282" s="16"/>
      <c r="Q282" s="16"/>
      <c r="R282" s="16"/>
      <c r="S282" s="16"/>
      <c r="T282" s="16"/>
      <c r="U282" s="16"/>
      <c r="V282" s="16"/>
      <c r="W282" s="16"/>
      <c r="X282" s="16"/>
      <c r="Y282" s="16"/>
      <c r="Z282" s="16"/>
      <c r="AA282" s="16"/>
    </row>
    <row r="283" spans="1:27" ht="24" hidden="1" customHeight="1" outlineLevel="2">
      <c r="A283" s="16" t="s">
        <v>659</v>
      </c>
      <c r="B283" s="16" t="s">
        <v>661</v>
      </c>
      <c r="C283" s="281" t="s">
        <v>662</v>
      </c>
      <c r="D283" s="76" t="s">
        <v>3930</v>
      </c>
      <c r="E283" s="204">
        <v>44993</v>
      </c>
      <c r="F283" s="16" t="b">
        <v>0</v>
      </c>
      <c r="G283" s="205" t="s">
        <v>3937</v>
      </c>
      <c r="H283" s="205"/>
      <c r="I283" s="16" t="b">
        <v>1</v>
      </c>
      <c r="J283" s="16" t="s">
        <v>3621</v>
      </c>
      <c r="K283" s="205" t="s">
        <v>3938</v>
      </c>
      <c r="L283" s="16" t="b">
        <v>0</v>
      </c>
      <c r="M283" s="16"/>
      <c r="N283" s="16"/>
      <c r="O283" s="16"/>
      <c r="P283" s="16"/>
      <c r="Q283" s="16"/>
      <c r="R283" s="16"/>
      <c r="S283" s="16"/>
      <c r="T283" s="16"/>
      <c r="U283" s="16"/>
      <c r="V283" s="16"/>
      <c r="W283" s="16"/>
      <c r="X283" s="16"/>
      <c r="Y283" s="16"/>
      <c r="Z283" s="16"/>
      <c r="AA283" s="16"/>
    </row>
    <row r="284" spans="1:27" ht="24" hidden="1" customHeight="1" outlineLevel="2">
      <c r="A284" s="281" t="s">
        <v>1361</v>
      </c>
      <c r="B284" s="16" t="s">
        <v>1362</v>
      </c>
      <c r="C284" s="14" t="s">
        <v>1363</v>
      </c>
      <c r="D284" s="76" t="s">
        <v>3930</v>
      </c>
      <c r="E284" s="204">
        <v>44993</v>
      </c>
      <c r="F284" s="16" t="b">
        <v>0</v>
      </c>
      <c r="G284" s="205" t="s">
        <v>3939</v>
      </c>
      <c r="H284" s="205"/>
      <c r="I284" s="16" t="b">
        <v>1</v>
      </c>
      <c r="J284" s="16" t="s">
        <v>3621</v>
      </c>
      <c r="K284" s="205" t="s">
        <v>3940</v>
      </c>
      <c r="L284" s="16" t="b">
        <v>0</v>
      </c>
      <c r="M284" s="16"/>
      <c r="N284" s="16"/>
      <c r="O284" s="16"/>
      <c r="P284" s="16"/>
      <c r="Q284" s="16"/>
      <c r="R284" s="16"/>
      <c r="S284" s="16"/>
      <c r="T284" s="16"/>
      <c r="U284" s="16"/>
      <c r="V284" s="16"/>
      <c r="W284" s="16"/>
      <c r="X284" s="16"/>
      <c r="Y284" s="16"/>
      <c r="Z284" s="16"/>
      <c r="AA284" s="16"/>
    </row>
    <row r="285" spans="1:27" ht="24" hidden="1" customHeight="1" outlineLevel="2">
      <c r="A285" s="76" t="s">
        <v>3941</v>
      </c>
      <c r="B285" s="76" t="s">
        <v>3942</v>
      </c>
      <c r="C285" s="76" t="s">
        <v>496</v>
      </c>
      <c r="D285" s="76" t="s">
        <v>3809</v>
      </c>
      <c r="E285" s="204">
        <v>44999</v>
      </c>
      <c r="F285" s="16"/>
      <c r="G285" s="205" t="s">
        <v>3943</v>
      </c>
      <c r="H285" s="205"/>
      <c r="I285" s="16" t="b">
        <v>1</v>
      </c>
      <c r="J285" s="16" t="s">
        <v>3800</v>
      </c>
      <c r="K285" s="76" t="s">
        <v>497</v>
      </c>
      <c r="L285" s="16" t="b">
        <v>0</v>
      </c>
      <c r="M285" s="16"/>
      <c r="N285" s="16"/>
      <c r="O285" s="16"/>
      <c r="P285" s="16"/>
      <c r="Q285" s="16"/>
      <c r="R285" s="16"/>
      <c r="S285" s="16"/>
      <c r="T285" s="16"/>
      <c r="U285" s="16"/>
      <c r="V285" s="16"/>
      <c r="W285" s="16"/>
      <c r="X285" s="16"/>
      <c r="Y285" s="16"/>
      <c r="Z285" s="16"/>
      <c r="AA285" s="16"/>
    </row>
    <row r="286" spans="1:27" ht="24" hidden="1" customHeight="1" outlineLevel="2">
      <c r="A286" s="76" t="s">
        <v>407</v>
      </c>
      <c r="B286" s="76" t="s">
        <v>408</v>
      </c>
      <c r="C286" s="76" t="s">
        <v>409</v>
      </c>
      <c r="D286" s="76" t="s">
        <v>3944</v>
      </c>
      <c r="E286" s="204">
        <v>44999</v>
      </c>
      <c r="F286" s="16"/>
      <c r="G286" s="205" t="s">
        <v>3945</v>
      </c>
      <c r="H286" s="205"/>
      <c r="I286" s="16" t="b">
        <v>1</v>
      </c>
      <c r="J286" s="16" t="s">
        <v>3800</v>
      </c>
      <c r="K286" s="147" t="s">
        <v>3946</v>
      </c>
      <c r="L286" s="16" t="b">
        <v>0</v>
      </c>
      <c r="M286" s="16"/>
      <c r="N286" s="16"/>
      <c r="O286" s="16"/>
      <c r="P286" s="16"/>
      <c r="Q286" s="16"/>
      <c r="R286" s="16"/>
      <c r="S286" s="16"/>
      <c r="T286" s="16"/>
      <c r="U286" s="16"/>
      <c r="V286" s="16"/>
      <c r="W286" s="16"/>
      <c r="X286" s="16"/>
      <c r="Y286" s="16"/>
      <c r="Z286" s="16"/>
      <c r="AA286" s="16"/>
    </row>
    <row r="287" spans="1:27" ht="24" hidden="1" customHeight="1" outlineLevel="2">
      <c r="A287" s="76" t="s">
        <v>906</v>
      </c>
      <c r="B287" s="76" t="s">
        <v>3947</v>
      </c>
      <c r="C287" s="281" t="s">
        <v>908</v>
      </c>
      <c r="D287" s="16" t="s">
        <v>3948</v>
      </c>
      <c r="E287" s="204">
        <v>44999</v>
      </c>
      <c r="F287" s="16" t="b">
        <v>0</v>
      </c>
      <c r="G287" s="205" t="s">
        <v>3949</v>
      </c>
      <c r="H287" s="205"/>
      <c r="I287" s="16" t="b">
        <v>1</v>
      </c>
      <c r="J287" s="16" t="s">
        <v>3621</v>
      </c>
      <c r="K287" s="205" t="s">
        <v>3950</v>
      </c>
      <c r="L287" s="16" t="b">
        <v>0</v>
      </c>
      <c r="M287" s="16"/>
      <c r="N287" s="16"/>
      <c r="O287" s="16"/>
      <c r="P287" s="16"/>
      <c r="Q287" s="16"/>
      <c r="R287" s="16"/>
      <c r="S287" s="16"/>
      <c r="T287" s="16"/>
      <c r="U287" s="16"/>
      <c r="V287" s="16"/>
      <c r="W287" s="16"/>
      <c r="X287" s="16"/>
      <c r="Y287" s="16"/>
      <c r="Z287" s="16"/>
      <c r="AA287" s="16"/>
    </row>
    <row r="288" spans="1:27" ht="24" hidden="1" customHeight="1" outlineLevel="2">
      <c r="A288" s="76" t="s">
        <v>3951</v>
      </c>
      <c r="B288" s="158" t="s">
        <v>1220</v>
      </c>
      <c r="C288" s="76" t="s">
        <v>1221</v>
      </c>
      <c r="D288" s="16" t="s">
        <v>3930</v>
      </c>
      <c r="E288" s="204">
        <v>44999</v>
      </c>
      <c r="F288" s="16" t="b">
        <v>0</v>
      </c>
      <c r="G288" s="205" t="s">
        <v>3952</v>
      </c>
      <c r="H288" s="205"/>
      <c r="I288" s="16" t="b">
        <v>1</v>
      </c>
      <c r="J288" s="16" t="s">
        <v>3621</v>
      </c>
      <c r="K288" s="205" t="s">
        <v>3953</v>
      </c>
      <c r="L288" s="16" t="b">
        <v>0</v>
      </c>
      <c r="M288" s="16"/>
      <c r="N288" s="16"/>
      <c r="O288" s="16"/>
      <c r="P288" s="16"/>
      <c r="Q288" s="16"/>
      <c r="R288" s="16"/>
      <c r="S288" s="16"/>
      <c r="T288" s="16"/>
      <c r="U288" s="16"/>
      <c r="V288" s="16"/>
      <c r="W288" s="16"/>
      <c r="X288" s="16"/>
      <c r="Y288" s="16"/>
      <c r="Z288" s="16"/>
      <c r="AA288" s="16"/>
    </row>
    <row r="289" spans="1:27" ht="24" hidden="1" customHeight="1" outlineLevel="2">
      <c r="A289" s="76" t="s">
        <v>3954</v>
      </c>
      <c r="B289" s="283" t="s">
        <v>1509</v>
      </c>
      <c r="C289" s="76" t="s">
        <v>1510</v>
      </c>
      <c r="D289" s="76" t="s">
        <v>3948</v>
      </c>
      <c r="E289" s="204">
        <v>44999</v>
      </c>
      <c r="F289" s="16" t="b">
        <v>1</v>
      </c>
      <c r="G289" s="205" t="s">
        <v>3955</v>
      </c>
      <c r="H289" s="205"/>
      <c r="I289" s="16" t="b">
        <v>1</v>
      </c>
      <c r="J289" s="16" t="s">
        <v>3621</v>
      </c>
      <c r="K289" s="205" t="s">
        <v>3956</v>
      </c>
      <c r="L289" s="16" t="b">
        <v>0</v>
      </c>
      <c r="M289" s="16"/>
      <c r="N289" s="16"/>
      <c r="O289" s="16"/>
      <c r="P289" s="16"/>
      <c r="Q289" s="16"/>
      <c r="R289" s="16"/>
      <c r="S289" s="16"/>
      <c r="T289" s="16"/>
      <c r="U289" s="16"/>
      <c r="V289" s="16"/>
      <c r="W289" s="16"/>
      <c r="X289" s="16"/>
      <c r="Y289" s="16"/>
      <c r="Z289" s="16"/>
      <c r="AA289" s="16"/>
    </row>
    <row r="290" spans="1:27" ht="24" hidden="1" customHeight="1" outlineLevel="2">
      <c r="A290" s="76" t="s">
        <v>613</v>
      </c>
      <c r="B290" s="76" t="s">
        <v>3957</v>
      </c>
      <c r="C290" s="76" t="s">
        <v>615</v>
      </c>
      <c r="D290" s="76" t="s">
        <v>3696</v>
      </c>
      <c r="E290" s="204">
        <v>44999</v>
      </c>
      <c r="F290" s="16" t="b">
        <v>1</v>
      </c>
      <c r="G290" s="205" t="s">
        <v>3958</v>
      </c>
      <c r="H290" s="205"/>
      <c r="I290" s="16" t="b">
        <v>1</v>
      </c>
      <c r="J290" s="16" t="s">
        <v>3751</v>
      </c>
      <c r="K290" s="205"/>
      <c r="L290" s="16" t="b">
        <v>0</v>
      </c>
      <c r="M290" s="16"/>
      <c r="N290" s="16"/>
      <c r="O290" s="16"/>
      <c r="P290" s="16"/>
      <c r="Q290" s="16"/>
      <c r="R290" s="16"/>
      <c r="S290" s="16"/>
      <c r="T290" s="16"/>
      <c r="U290" s="16"/>
      <c r="V290" s="16"/>
      <c r="W290" s="16"/>
      <c r="X290" s="16"/>
      <c r="Y290" s="16"/>
      <c r="Z290" s="16"/>
      <c r="AA290" s="16"/>
    </row>
    <row r="291" spans="1:27" ht="24" hidden="1" customHeight="1" outlineLevel="2">
      <c r="A291" s="76" t="s">
        <v>1031</v>
      </c>
      <c r="B291" s="76" t="s">
        <v>3959</v>
      </c>
      <c r="C291" s="76" t="s">
        <v>1033</v>
      </c>
      <c r="D291" s="16" t="s">
        <v>3809</v>
      </c>
      <c r="E291" s="204">
        <v>44999</v>
      </c>
      <c r="F291" s="16" t="b">
        <v>0</v>
      </c>
      <c r="G291" s="205" t="s">
        <v>3960</v>
      </c>
      <c r="H291" s="205"/>
      <c r="I291" s="16" t="b">
        <v>1</v>
      </c>
      <c r="J291" s="16" t="s">
        <v>3800</v>
      </c>
      <c r="K291" s="205" t="s">
        <v>3961</v>
      </c>
      <c r="L291" s="16" t="b">
        <v>0</v>
      </c>
      <c r="M291" s="16"/>
      <c r="N291" s="16"/>
      <c r="O291" s="16"/>
      <c r="P291" s="16"/>
      <c r="Q291" s="16"/>
      <c r="R291" s="16"/>
      <c r="S291" s="16"/>
      <c r="T291" s="16"/>
      <c r="U291" s="16"/>
      <c r="V291" s="16"/>
      <c r="W291" s="16"/>
      <c r="X291" s="16"/>
      <c r="Y291" s="16"/>
      <c r="Z291" s="16"/>
      <c r="AA291" s="16"/>
    </row>
    <row r="292" spans="1:27" ht="24" hidden="1" customHeight="1" outlineLevel="2">
      <c r="A292" s="30" t="s">
        <v>674</v>
      </c>
      <c r="B292" s="76" t="s">
        <v>675</v>
      </c>
      <c r="C292" s="76" t="s">
        <v>676</v>
      </c>
      <c r="D292" s="16" t="s">
        <v>3790</v>
      </c>
      <c r="E292" s="204">
        <v>45000</v>
      </c>
      <c r="F292" s="16" t="b">
        <v>1</v>
      </c>
      <c r="G292" s="205" t="s">
        <v>3962</v>
      </c>
      <c r="H292" s="205"/>
      <c r="I292" s="16" t="b">
        <v>1</v>
      </c>
      <c r="J292" s="16" t="s">
        <v>3807</v>
      </c>
      <c r="K292" s="205" t="s">
        <v>3741</v>
      </c>
      <c r="L292" s="16" t="b">
        <v>0</v>
      </c>
      <c r="M292" s="16"/>
      <c r="N292" s="16"/>
      <c r="O292" s="16"/>
      <c r="P292" s="16"/>
      <c r="Q292" s="16"/>
      <c r="R292" s="16"/>
      <c r="S292" s="16"/>
      <c r="T292" s="16"/>
      <c r="U292" s="16"/>
      <c r="V292" s="16"/>
      <c r="W292" s="16"/>
      <c r="X292" s="16"/>
      <c r="Y292" s="16"/>
      <c r="Z292" s="16"/>
      <c r="AA292" s="16"/>
    </row>
    <row r="293" spans="1:27" ht="24" hidden="1" customHeight="1" outlineLevel="2">
      <c r="A293" s="76" t="s">
        <v>430</v>
      </c>
      <c r="B293" s="76" t="s">
        <v>431</v>
      </c>
      <c r="C293" s="76" t="s">
        <v>432</v>
      </c>
      <c r="D293" s="76" t="s">
        <v>3696</v>
      </c>
      <c r="E293" s="204">
        <v>45000</v>
      </c>
      <c r="F293" s="16" t="b">
        <v>1</v>
      </c>
      <c r="G293" s="205" t="s">
        <v>3963</v>
      </c>
      <c r="H293" s="205"/>
      <c r="I293" s="16" t="b">
        <v>1</v>
      </c>
      <c r="J293" s="16" t="s">
        <v>3751</v>
      </c>
      <c r="K293" s="205"/>
      <c r="L293" s="16" t="b">
        <v>0</v>
      </c>
      <c r="M293" s="16"/>
      <c r="N293" s="16"/>
      <c r="O293" s="16"/>
      <c r="P293" s="16"/>
      <c r="Q293" s="16"/>
      <c r="R293" s="16"/>
      <c r="S293" s="16"/>
      <c r="T293" s="16"/>
      <c r="U293" s="16"/>
      <c r="V293" s="16"/>
      <c r="W293" s="16"/>
      <c r="X293" s="16"/>
      <c r="Y293" s="16"/>
      <c r="Z293" s="16"/>
      <c r="AA293" s="16"/>
    </row>
    <row r="294" spans="1:27" ht="24" hidden="1" customHeight="1" outlineLevel="2">
      <c r="A294" s="76" t="s">
        <v>524</v>
      </c>
      <c r="B294" s="76" t="s">
        <v>3964</v>
      </c>
      <c r="C294" s="76" t="s">
        <v>526</v>
      </c>
      <c r="D294" s="76" t="s">
        <v>3696</v>
      </c>
      <c r="E294" s="204">
        <v>45000</v>
      </c>
      <c r="F294" s="16" t="b">
        <v>1</v>
      </c>
      <c r="G294" s="205" t="s">
        <v>3965</v>
      </c>
      <c r="H294" s="205"/>
      <c r="I294" s="16" t="b">
        <v>1</v>
      </c>
      <c r="J294" s="16" t="s">
        <v>3751</v>
      </c>
      <c r="K294" s="205"/>
      <c r="L294" s="16" t="b">
        <v>0</v>
      </c>
      <c r="M294" s="16"/>
      <c r="N294" s="16"/>
      <c r="O294" s="16"/>
      <c r="P294" s="16"/>
      <c r="Q294" s="16"/>
      <c r="R294" s="16"/>
      <c r="S294" s="16"/>
      <c r="T294" s="16"/>
      <c r="U294" s="16"/>
      <c r="V294" s="16"/>
      <c r="W294" s="16"/>
      <c r="X294" s="16"/>
      <c r="Y294" s="16"/>
      <c r="Z294" s="16"/>
      <c r="AA294" s="16"/>
    </row>
    <row r="295" spans="1:27" ht="24" hidden="1" customHeight="1" outlineLevel="2">
      <c r="A295" s="76" t="s">
        <v>3966</v>
      </c>
      <c r="B295" s="76" t="s">
        <v>3967</v>
      </c>
      <c r="C295" s="76" t="s">
        <v>544</v>
      </c>
      <c r="D295" s="76" t="s">
        <v>3696</v>
      </c>
      <c r="E295" s="204">
        <v>45000</v>
      </c>
      <c r="F295" s="16" t="b">
        <v>1</v>
      </c>
      <c r="G295" s="205" t="s">
        <v>3968</v>
      </c>
      <c r="H295" s="205"/>
      <c r="I295" s="16" t="b">
        <v>1</v>
      </c>
      <c r="J295" s="16" t="s">
        <v>3751</v>
      </c>
      <c r="K295" s="205"/>
      <c r="L295" s="16" t="b">
        <v>0</v>
      </c>
      <c r="M295" s="16"/>
      <c r="N295" s="16"/>
      <c r="O295" s="16"/>
      <c r="P295" s="16"/>
      <c r="Q295" s="16"/>
      <c r="R295" s="16"/>
      <c r="S295" s="16"/>
      <c r="T295" s="16"/>
      <c r="U295" s="16"/>
      <c r="V295" s="16"/>
      <c r="W295" s="16"/>
      <c r="X295" s="16"/>
      <c r="Y295" s="16"/>
      <c r="Z295" s="16"/>
      <c r="AA295" s="16"/>
    </row>
    <row r="296" spans="1:27" ht="24" hidden="1" customHeight="1" outlineLevel="2">
      <c r="A296" s="16" t="s">
        <v>440</v>
      </c>
      <c r="B296" s="16" t="s">
        <v>441</v>
      </c>
      <c r="C296" s="16"/>
      <c r="D296" s="16" t="s">
        <v>3833</v>
      </c>
      <c r="E296" s="204">
        <v>45000</v>
      </c>
      <c r="F296" s="16" t="b">
        <v>1</v>
      </c>
      <c r="G296" s="205" t="s">
        <v>3969</v>
      </c>
      <c r="H296" s="205"/>
      <c r="I296" s="16" t="b">
        <v>1</v>
      </c>
      <c r="J296" s="16" t="s">
        <v>3751</v>
      </c>
      <c r="K296" s="205"/>
      <c r="L296" s="16" t="b">
        <v>0</v>
      </c>
      <c r="M296" s="16"/>
      <c r="N296" s="16"/>
      <c r="O296" s="16"/>
      <c r="P296" s="16"/>
      <c r="Q296" s="16"/>
      <c r="R296" s="16"/>
      <c r="S296" s="16"/>
      <c r="T296" s="16"/>
      <c r="U296" s="16"/>
      <c r="V296" s="16"/>
      <c r="W296" s="16"/>
      <c r="X296" s="16"/>
      <c r="Y296" s="16"/>
      <c r="Z296" s="16"/>
      <c r="AA296" s="16"/>
    </row>
    <row r="297" spans="1:27" ht="24" hidden="1" customHeight="1" outlineLevel="2">
      <c r="A297" s="116" t="s">
        <v>1449</v>
      </c>
      <c r="B297" s="301" t="s">
        <v>1450</v>
      </c>
      <c r="C297" s="116" t="s">
        <v>1451</v>
      </c>
      <c r="D297" s="116" t="s">
        <v>3944</v>
      </c>
      <c r="E297" s="204">
        <v>45006</v>
      </c>
      <c r="F297" s="16"/>
      <c r="G297" s="205" t="s">
        <v>3970</v>
      </c>
      <c r="H297" s="205"/>
      <c r="I297" s="16" t="b">
        <v>1</v>
      </c>
      <c r="J297" s="16" t="s">
        <v>3800</v>
      </c>
      <c r="K297" s="299" t="s">
        <v>3971</v>
      </c>
      <c r="L297" s="16" t="b">
        <v>0</v>
      </c>
      <c r="M297" s="16"/>
      <c r="N297" s="16"/>
      <c r="O297" s="16"/>
      <c r="P297" s="16"/>
      <c r="Q297" s="16"/>
      <c r="R297" s="16"/>
      <c r="S297" s="16"/>
      <c r="T297" s="16"/>
      <c r="U297" s="16"/>
      <c r="V297" s="16"/>
      <c r="W297" s="16"/>
      <c r="X297" s="16"/>
      <c r="Y297" s="16"/>
      <c r="Z297" s="16"/>
      <c r="AA297" s="16"/>
    </row>
    <row r="298" spans="1:27" ht="24" hidden="1" customHeight="1" outlineLevel="2">
      <c r="A298" s="117" t="s">
        <v>996</v>
      </c>
      <c r="B298" s="117" t="s">
        <v>997</v>
      </c>
      <c r="C298" s="302" t="s">
        <v>998</v>
      </c>
      <c r="D298" s="116" t="s">
        <v>3809</v>
      </c>
      <c r="E298" s="204">
        <v>45006</v>
      </c>
      <c r="F298" s="16"/>
      <c r="G298" s="205" t="s">
        <v>3972</v>
      </c>
      <c r="H298" s="205"/>
      <c r="I298" s="16" t="b">
        <v>1</v>
      </c>
      <c r="J298" s="16" t="s">
        <v>3800</v>
      </c>
      <c r="K298" s="303" t="s">
        <v>3973</v>
      </c>
      <c r="L298" s="16" t="b">
        <v>0</v>
      </c>
      <c r="M298" s="16"/>
      <c r="N298" s="16"/>
      <c r="O298" s="16"/>
      <c r="P298" s="16"/>
      <c r="Q298" s="16"/>
      <c r="R298" s="16"/>
      <c r="S298" s="16"/>
      <c r="T298" s="16"/>
      <c r="U298" s="16"/>
      <c r="V298" s="16"/>
      <c r="W298" s="16"/>
      <c r="X298" s="16"/>
      <c r="Y298" s="16"/>
      <c r="Z298" s="16"/>
      <c r="AA298" s="16"/>
    </row>
    <row r="299" spans="1:27" ht="24" hidden="1" customHeight="1" outlineLevel="2">
      <c r="A299" s="117" t="s">
        <v>616</v>
      </c>
      <c r="B299" s="304" t="s">
        <v>617</v>
      </c>
      <c r="C299" s="305" t="s">
        <v>618</v>
      </c>
      <c r="D299" s="116" t="s">
        <v>3948</v>
      </c>
      <c r="E299" s="204">
        <v>45006</v>
      </c>
      <c r="F299" s="16" t="b">
        <v>1</v>
      </c>
      <c r="G299" s="205" t="s">
        <v>3974</v>
      </c>
      <c r="H299" s="205"/>
      <c r="I299" s="16" t="b">
        <v>1</v>
      </c>
      <c r="J299" s="16" t="s">
        <v>3621</v>
      </c>
      <c r="K299" s="205" t="s">
        <v>3975</v>
      </c>
      <c r="L299" s="16" t="b">
        <v>0</v>
      </c>
      <c r="M299" s="16"/>
      <c r="N299" s="16"/>
      <c r="O299" s="16"/>
      <c r="P299" s="16"/>
      <c r="Q299" s="16"/>
      <c r="R299" s="16"/>
      <c r="S299" s="16"/>
      <c r="T299" s="16"/>
      <c r="U299" s="16"/>
      <c r="V299" s="16"/>
      <c r="W299" s="16"/>
      <c r="X299" s="16"/>
      <c r="Y299" s="16"/>
      <c r="Z299" s="16"/>
      <c r="AA299" s="16"/>
    </row>
    <row r="300" spans="1:27" ht="24" hidden="1" customHeight="1" outlineLevel="2">
      <c r="A300" s="16" t="s">
        <v>1138</v>
      </c>
      <c r="B300" s="16" t="s">
        <v>1139</v>
      </c>
      <c r="C300" s="16" t="s">
        <v>1140</v>
      </c>
      <c r="D300" s="16" t="s">
        <v>3809</v>
      </c>
      <c r="E300" s="204">
        <v>45006</v>
      </c>
      <c r="F300" s="16"/>
      <c r="G300" s="205" t="s">
        <v>3976</v>
      </c>
      <c r="H300" s="205"/>
      <c r="I300" s="16" t="b">
        <v>1</v>
      </c>
      <c r="J300" s="16" t="s">
        <v>3800</v>
      </c>
      <c r="K300" s="299" t="s">
        <v>344</v>
      </c>
      <c r="L300" s="16" t="b">
        <v>0</v>
      </c>
      <c r="M300" s="16"/>
      <c r="N300" s="16"/>
      <c r="O300" s="16"/>
      <c r="P300" s="16"/>
      <c r="Q300" s="16"/>
      <c r="R300" s="16"/>
      <c r="S300" s="16"/>
      <c r="T300" s="16"/>
      <c r="U300" s="16"/>
      <c r="V300" s="16"/>
      <c r="W300" s="16"/>
      <c r="X300" s="16"/>
      <c r="Y300" s="16"/>
      <c r="Z300" s="16"/>
      <c r="AA300" s="16"/>
    </row>
    <row r="301" spans="1:27" ht="24" hidden="1" customHeight="1" outlineLevel="2">
      <c r="A301" s="16" t="s">
        <v>3977</v>
      </c>
      <c r="B301" s="16" t="s">
        <v>3978</v>
      </c>
      <c r="C301" s="16" t="s">
        <v>701</v>
      </c>
      <c r="D301" s="16" t="s">
        <v>3979</v>
      </c>
      <c r="E301" s="204">
        <v>45006</v>
      </c>
      <c r="F301" s="16" t="b">
        <v>1</v>
      </c>
      <c r="G301" s="205" t="s">
        <v>3980</v>
      </c>
      <c r="H301" s="205"/>
      <c r="I301" s="16" t="b">
        <v>1</v>
      </c>
      <c r="J301" s="16" t="s">
        <v>3981</v>
      </c>
      <c r="K301" s="205"/>
      <c r="L301" s="16" t="b">
        <v>0</v>
      </c>
      <c r="M301" s="16"/>
      <c r="N301" s="16"/>
      <c r="O301" s="16"/>
      <c r="P301" s="16"/>
      <c r="Q301" s="16"/>
      <c r="R301" s="16"/>
      <c r="S301" s="16"/>
      <c r="T301" s="16"/>
      <c r="U301" s="16"/>
      <c r="V301" s="16"/>
      <c r="W301" s="16"/>
      <c r="X301" s="16"/>
      <c r="Y301" s="16"/>
      <c r="Z301" s="16"/>
      <c r="AA301" s="16"/>
    </row>
    <row r="302" spans="1:27" ht="24" hidden="1" customHeight="1" outlineLevel="2">
      <c r="A302" s="16" t="s">
        <v>199</v>
      </c>
      <c r="B302" s="16" t="s">
        <v>200</v>
      </c>
      <c r="C302" s="16" t="s">
        <v>201</v>
      </c>
      <c r="D302" s="16" t="s">
        <v>3692</v>
      </c>
      <c r="E302" s="204">
        <v>45009</v>
      </c>
      <c r="F302" s="16" t="b">
        <v>0</v>
      </c>
      <c r="G302" s="205" t="s">
        <v>3982</v>
      </c>
      <c r="H302" s="205"/>
      <c r="I302" s="16" t="b">
        <v>1</v>
      </c>
      <c r="J302" s="16" t="s">
        <v>3807</v>
      </c>
      <c r="K302" s="205"/>
      <c r="L302" s="16" t="b">
        <v>0</v>
      </c>
      <c r="M302" s="16"/>
      <c r="N302" s="16"/>
      <c r="O302" s="16"/>
      <c r="P302" s="16"/>
      <c r="Q302" s="16"/>
      <c r="R302" s="16"/>
      <c r="S302" s="16"/>
      <c r="T302" s="16"/>
      <c r="U302" s="16"/>
      <c r="V302" s="16"/>
      <c r="W302" s="16"/>
      <c r="X302" s="16"/>
      <c r="Y302" s="16"/>
      <c r="Z302" s="16"/>
      <c r="AA302" s="16"/>
    </row>
    <row r="303" spans="1:27" ht="24" hidden="1" customHeight="1" outlineLevel="2">
      <c r="A303" s="16" t="s">
        <v>984</v>
      </c>
      <c r="B303" s="16" t="s">
        <v>985</v>
      </c>
      <c r="C303" s="16" t="s">
        <v>986</v>
      </c>
      <c r="D303" s="16" t="s">
        <v>3809</v>
      </c>
      <c r="E303" s="204">
        <v>45013</v>
      </c>
      <c r="F303" s="16"/>
      <c r="G303" s="205" t="s">
        <v>3983</v>
      </c>
      <c r="H303" s="205"/>
      <c r="I303" s="16" t="b">
        <v>1</v>
      </c>
      <c r="J303" s="16" t="s">
        <v>3800</v>
      </c>
      <c r="K303" s="303" t="s">
        <v>3984</v>
      </c>
      <c r="L303" s="16" t="b">
        <v>0</v>
      </c>
      <c r="M303" s="16"/>
      <c r="N303" s="16"/>
      <c r="O303" s="16"/>
      <c r="P303" s="16"/>
      <c r="Q303" s="16"/>
      <c r="R303" s="16"/>
      <c r="S303" s="16"/>
      <c r="T303" s="16"/>
      <c r="U303" s="16"/>
      <c r="V303" s="16"/>
      <c r="W303" s="16"/>
      <c r="X303" s="16"/>
      <c r="Y303" s="16"/>
      <c r="Z303" s="16"/>
      <c r="AA303" s="16"/>
    </row>
    <row r="304" spans="1:27" ht="24" hidden="1" customHeight="1" outlineLevel="2">
      <c r="A304" s="16" t="s">
        <v>3985</v>
      </c>
      <c r="B304" s="16" t="s">
        <v>3986</v>
      </c>
      <c r="C304" s="16" t="s">
        <v>1373</v>
      </c>
      <c r="D304" s="16" t="s">
        <v>3809</v>
      </c>
      <c r="E304" s="204">
        <v>45013</v>
      </c>
      <c r="F304" s="16"/>
      <c r="G304" s="205" t="s">
        <v>3987</v>
      </c>
      <c r="H304" s="205"/>
      <c r="I304" s="16" t="b">
        <v>1</v>
      </c>
      <c r="J304" s="16" t="s">
        <v>3800</v>
      </c>
      <c r="K304" s="299" t="s">
        <v>1374</v>
      </c>
      <c r="L304" s="16" t="b">
        <v>0</v>
      </c>
      <c r="M304" s="16"/>
      <c r="N304" s="16"/>
      <c r="O304" s="16"/>
      <c r="P304" s="16"/>
      <c r="Q304" s="16"/>
      <c r="R304" s="16"/>
      <c r="S304" s="16"/>
      <c r="T304" s="16"/>
      <c r="U304" s="16"/>
      <c r="V304" s="16"/>
      <c r="W304" s="16"/>
      <c r="X304" s="16"/>
      <c r="Y304" s="16"/>
      <c r="Z304" s="16"/>
      <c r="AA304" s="16"/>
    </row>
    <row r="305" spans="1:27" ht="24" hidden="1" customHeight="1" outlineLevel="2">
      <c r="A305" s="16" t="s">
        <v>3988</v>
      </c>
      <c r="B305" s="16" t="s">
        <v>596</v>
      </c>
      <c r="C305" s="16" t="s">
        <v>597</v>
      </c>
      <c r="D305" s="16" t="s">
        <v>3833</v>
      </c>
      <c r="E305" s="204">
        <v>45013</v>
      </c>
      <c r="F305" s="16" t="b">
        <v>1</v>
      </c>
      <c r="G305" s="205" t="s">
        <v>3989</v>
      </c>
      <c r="H305" s="205"/>
      <c r="I305" s="16" t="b">
        <v>0</v>
      </c>
      <c r="J305" s="16" t="s">
        <v>3751</v>
      </c>
      <c r="K305" s="205"/>
      <c r="L305" s="16" t="b">
        <v>0</v>
      </c>
      <c r="M305" s="16"/>
      <c r="N305" s="16"/>
      <c r="O305" s="16"/>
      <c r="P305" s="16"/>
      <c r="Q305" s="16"/>
      <c r="R305" s="16"/>
      <c r="S305" s="16"/>
      <c r="T305" s="16"/>
      <c r="U305" s="16"/>
      <c r="V305" s="16"/>
      <c r="W305" s="16"/>
      <c r="X305" s="16"/>
      <c r="Y305" s="16"/>
      <c r="Z305" s="16"/>
      <c r="AA305" s="16"/>
    </row>
    <row r="306" spans="1:27" ht="24" hidden="1" customHeight="1" outlineLevel="2">
      <c r="A306" s="16" t="s">
        <v>3990</v>
      </c>
      <c r="B306" s="16" t="s">
        <v>540</v>
      </c>
      <c r="C306" s="16" t="s">
        <v>541</v>
      </c>
      <c r="D306" s="16" t="s">
        <v>3833</v>
      </c>
      <c r="E306" s="204">
        <v>45013</v>
      </c>
      <c r="F306" s="16" t="b">
        <v>1</v>
      </c>
      <c r="G306" s="205" t="s">
        <v>3991</v>
      </c>
      <c r="H306" s="205"/>
      <c r="I306" s="16" t="b">
        <v>0</v>
      </c>
      <c r="J306" s="16" t="s">
        <v>3751</v>
      </c>
      <c r="K306" s="205"/>
      <c r="L306" s="16" t="b">
        <v>0</v>
      </c>
      <c r="M306" s="16"/>
      <c r="N306" s="16"/>
      <c r="O306" s="16"/>
      <c r="P306" s="16"/>
      <c r="Q306" s="16"/>
      <c r="R306" s="16"/>
      <c r="S306" s="16"/>
      <c r="T306" s="16"/>
      <c r="U306" s="16"/>
      <c r="V306" s="16"/>
      <c r="W306" s="16"/>
      <c r="X306" s="16"/>
      <c r="Y306" s="16"/>
      <c r="Z306" s="16"/>
      <c r="AA306" s="16"/>
    </row>
    <row r="307" spans="1:27" ht="24" hidden="1" customHeight="1" outlineLevel="2">
      <c r="A307" s="117" t="s">
        <v>478</v>
      </c>
      <c r="B307" s="116" t="s">
        <v>479</v>
      </c>
      <c r="C307" s="117" t="s">
        <v>480</v>
      </c>
      <c r="D307" s="116" t="s">
        <v>3790</v>
      </c>
      <c r="E307" s="204">
        <v>45013</v>
      </c>
      <c r="F307" s="16" t="b">
        <v>1</v>
      </c>
      <c r="G307" s="205" t="s">
        <v>3992</v>
      </c>
      <c r="H307" s="205"/>
      <c r="I307" s="16" t="b">
        <v>1</v>
      </c>
      <c r="J307" s="16" t="s">
        <v>3807</v>
      </c>
      <c r="K307" s="205"/>
      <c r="L307" s="16" t="b">
        <v>0</v>
      </c>
      <c r="M307" s="16"/>
      <c r="N307" s="16"/>
      <c r="O307" s="16"/>
      <c r="P307" s="16"/>
      <c r="Q307" s="16"/>
      <c r="R307" s="16"/>
      <c r="S307" s="16"/>
      <c r="T307" s="16"/>
      <c r="U307" s="16"/>
      <c r="V307" s="16"/>
      <c r="W307" s="16"/>
      <c r="X307" s="16"/>
      <c r="Y307" s="16"/>
      <c r="Z307" s="16"/>
      <c r="AA307" s="16"/>
    </row>
    <row r="308" spans="1:27" ht="24" hidden="1" customHeight="1" outlineLevel="2">
      <c r="A308" s="16" t="s">
        <v>481</v>
      </c>
      <c r="B308" s="16" t="s">
        <v>482</v>
      </c>
      <c r="C308" s="16" t="s">
        <v>483</v>
      </c>
      <c r="D308" s="16" t="s">
        <v>3692</v>
      </c>
      <c r="E308" s="204">
        <v>45014</v>
      </c>
      <c r="F308" s="16" t="b">
        <v>1</v>
      </c>
      <c r="G308" s="205" t="s">
        <v>3993</v>
      </c>
      <c r="H308" s="205"/>
      <c r="I308" s="16" t="b">
        <v>1</v>
      </c>
      <c r="J308" s="16" t="s">
        <v>3807</v>
      </c>
      <c r="K308" s="205"/>
      <c r="L308" s="16" t="b">
        <v>0</v>
      </c>
      <c r="M308" s="16"/>
      <c r="N308" s="16"/>
      <c r="O308" s="16"/>
      <c r="P308" s="16"/>
      <c r="Q308" s="16"/>
      <c r="R308" s="16"/>
      <c r="S308" s="16"/>
      <c r="T308" s="16"/>
      <c r="U308" s="16"/>
      <c r="V308" s="16"/>
      <c r="W308" s="16"/>
      <c r="X308" s="16"/>
      <c r="Y308" s="16"/>
      <c r="Z308" s="16"/>
      <c r="AA308" s="16"/>
    </row>
    <row r="309" spans="1:27" ht="24" hidden="1" customHeight="1" outlineLevel="2">
      <c r="A309" s="16" t="s">
        <v>1061</v>
      </c>
      <c r="B309" s="16" t="s">
        <v>3994</v>
      </c>
      <c r="C309" s="16" t="s">
        <v>1062</v>
      </c>
      <c r="D309" s="16" t="s">
        <v>3809</v>
      </c>
      <c r="E309" s="204">
        <v>45014</v>
      </c>
      <c r="F309" s="16"/>
      <c r="G309" s="205" t="s">
        <v>3995</v>
      </c>
      <c r="H309" s="205"/>
      <c r="I309" s="16" t="b">
        <v>1</v>
      </c>
      <c r="J309" s="16" t="s">
        <v>3800</v>
      </c>
      <c r="K309" s="299" t="s">
        <v>3996</v>
      </c>
      <c r="L309" s="16" t="b">
        <v>0</v>
      </c>
      <c r="M309" s="16"/>
      <c r="N309" s="16"/>
      <c r="O309" s="16"/>
      <c r="P309" s="16"/>
      <c r="Q309" s="16"/>
      <c r="R309" s="16"/>
      <c r="S309" s="16"/>
      <c r="T309" s="16"/>
      <c r="U309" s="16"/>
      <c r="V309" s="16"/>
      <c r="W309" s="16"/>
      <c r="X309" s="16"/>
      <c r="Y309" s="16"/>
      <c r="Z309" s="16"/>
      <c r="AA309" s="16"/>
    </row>
    <row r="310" spans="1:27" ht="24" hidden="1" customHeight="1" outlineLevel="2">
      <c r="A310" s="16" t="s">
        <v>922</v>
      </c>
      <c r="B310" s="16" t="s">
        <v>923</v>
      </c>
      <c r="C310" s="16" t="s">
        <v>924</v>
      </c>
      <c r="D310" s="16" t="s">
        <v>3692</v>
      </c>
      <c r="E310" s="204">
        <v>44957</v>
      </c>
      <c r="F310" s="16" t="b">
        <v>0</v>
      </c>
      <c r="G310" s="205" t="s">
        <v>3997</v>
      </c>
      <c r="H310" s="205"/>
      <c r="I310" s="16" t="b">
        <v>1</v>
      </c>
      <c r="J310" s="16" t="s">
        <v>3807</v>
      </c>
      <c r="K310" s="205"/>
      <c r="L310" s="16" t="b">
        <v>0</v>
      </c>
      <c r="M310" s="16"/>
      <c r="N310" s="16"/>
      <c r="O310" s="16"/>
      <c r="P310" s="16"/>
      <c r="Q310" s="16"/>
      <c r="R310" s="16"/>
      <c r="S310" s="16"/>
      <c r="T310" s="16"/>
      <c r="U310" s="16"/>
      <c r="V310" s="16"/>
      <c r="W310" s="16"/>
      <c r="X310" s="16"/>
      <c r="Y310" s="16"/>
      <c r="Z310" s="16"/>
      <c r="AA310" s="16"/>
    </row>
    <row r="311" spans="1:27" ht="24" hidden="1" customHeight="1" outlineLevel="1" collapsed="1">
      <c r="A311" s="297" t="s">
        <v>3998</v>
      </c>
      <c r="B311" s="178">
        <v>46</v>
      </c>
      <c r="C311" s="178"/>
      <c r="D311" s="178"/>
      <c r="E311" s="178"/>
      <c r="F311" s="178"/>
      <c r="G311" s="208"/>
      <c r="H311" s="208"/>
      <c r="I311" s="178"/>
      <c r="J311" s="178"/>
      <c r="K311" s="208"/>
      <c r="L311" s="208"/>
      <c r="M311" s="178"/>
      <c r="N311" s="178"/>
      <c r="O311" s="178"/>
      <c r="P311" s="178"/>
      <c r="Q311" s="178"/>
      <c r="R311" s="178"/>
      <c r="S311" s="178"/>
      <c r="T311" s="178"/>
      <c r="U311" s="178"/>
      <c r="V311" s="178"/>
      <c r="W311" s="178"/>
      <c r="X311" s="178"/>
      <c r="Y311" s="178"/>
      <c r="Z311" s="178"/>
      <c r="AA311" s="178"/>
    </row>
    <row r="312" spans="1:27" ht="24" hidden="1" customHeight="1" outlineLevel="2">
      <c r="A312" s="16" t="s">
        <v>491</v>
      </c>
      <c r="B312" s="16" t="s">
        <v>492</v>
      </c>
      <c r="C312" s="16" t="s">
        <v>493</v>
      </c>
      <c r="D312" s="16" t="s">
        <v>3732</v>
      </c>
      <c r="E312" s="204">
        <v>45019</v>
      </c>
      <c r="F312" s="16" t="b">
        <v>1</v>
      </c>
      <c r="G312" s="205" t="s">
        <v>3999</v>
      </c>
      <c r="H312" s="205"/>
      <c r="I312" s="16" t="b">
        <v>1</v>
      </c>
      <c r="J312" s="16" t="s">
        <v>3981</v>
      </c>
      <c r="K312" s="205" t="s">
        <v>2151</v>
      </c>
      <c r="L312" s="16" t="b">
        <v>0</v>
      </c>
      <c r="M312" s="16"/>
      <c r="N312" s="16"/>
      <c r="O312" s="16"/>
      <c r="P312" s="16"/>
      <c r="Q312" s="16"/>
      <c r="R312" s="16"/>
      <c r="S312" s="16"/>
      <c r="T312" s="16"/>
      <c r="U312" s="16"/>
      <c r="V312" s="16"/>
      <c r="W312" s="16"/>
      <c r="X312" s="16"/>
      <c r="Y312" s="16"/>
      <c r="Z312" s="16"/>
      <c r="AA312" s="16"/>
    </row>
    <row r="313" spans="1:27" ht="24" hidden="1" customHeight="1" outlineLevel="2">
      <c r="A313" s="16" t="s">
        <v>4000</v>
      </c>
      <c r="B313" s="16" t="s">
        <v>1120</v>
      </c>
      <c r="C313" s="16" t="s">
        <v>1121</v>
      </c>
      <c r="D313" s="16" t="s">
        <v>3809</v>
      </c>
      <c r="E313" s="204">
        <v>45019</v>
      </c>
      <c r="F313" s="16"/>
      <c r="G313" s="205" t="s">
        <v>4001</v>
      </c>
      <c r="H313" s="205"/>
      <c r="I313" s="16" t="b">
        <v>1</v>
      </c>
      <c r="J313" s="16" t="s">
        <v>3800</v>
      </c>
      <c r="K313" s="205"/>
      <c r="L313" s="16" t="b">
        <v>0</v>
      </c>
      <c r="M313" s="16"/>
      <c r="N313" s="16"/>
      <c r="O313" s="16"/>
      <c r="P313" s="16"/>
      <c r="Q313" s="16"/>
      <c r="R313" s="16"/>
      <c r="S313" s="16"/>
      <c r="T313" s="16"/>
      <c r="U313" s="16"/>
      <c r="V313" s="16"/>
      <c r="W313" s="16"/>
      <c r="X313" s="16"/>
      <c r="Y313" s="16"/>
      <c r="Z313" s="16"/>
      <c r="AA313" s="16"/>
    </row>
    <row r="314" spans="1:27" ht="24" hidden="1" customHeight="1" outlineLevel="2">
      <c r="A314" s="16" t="s">
        <v>1257</v>
      </c>
      <c r="B314" s="16" t="s">
        <v>1258</v>
      </c>
      <c r="C314" s="16" t="s">
        <v>1259</v>
      </c>
      <c r="D314" s="16" t="s">
        <v>3809</v>
      </c>
      <c r="E314" s="204">
        <v>45019</v>
      </c>
      <c r="F314" s="16"/>
      <c r="G314" s="306" t="s">
        <v>4002</v>
      </c>
      <c r="H314" s="306"/>
      <c r="I314" s="16" t="b">
        <v>1</v>
      </c>
      <c r="J314" s="16" t="s">
        <v>3800</v>
      </c>
      <c r="K314" s="205" t="s">
        <v>4003</v>
      </c>
      <c r="L314" s="16" t="b">
        <v>0</v>
      </c>
      <c r="M314" s="16"/>
      <c r="N314" s="16"/>
      <c r="O314" s="16"/>
      <c r="P314" s="16"/>
      <c r="Q314" s="16"/>
      <c r="R314" s="16"/>
      <c r="S314" s="16"/>
      <c r="T314" s="16"/>
      <c r="U314" s="16"/>
      <c r="V314" s="16"/>
      <c r="W314" s="16"/>
      <c r="X314" s="16"/>
      <c r="Y314" s="16"/>
      <c r="Z314" s="16"/>
      <c r="AA314" s="16"/>
    </row>
    <row r="315" spans="1:27" ht="24" hidden="1" customHeight="1" outlineLevel="2">
      <c r="A315" s="16" t="s">
        <v>1063</v>
      </c>
      <c r="B315" s="16" t="s">
        <v>1064</v>
      </c>
      <c r="C315" s="16" t="s">
        <v>1065</v>
      </c>
      <c r="D315" s="16" t="s">
        <v>3696</v>
      </c>
      <c r="E315" s="204">
        <v>45019</v>
      </c>
      <c r="F315" s="16" t="b">
        <v>1</v>
      </c>
      <c r="G315" s="205" t="s">
        <v>4004</v>
      </c>
      <c r="H315" s="205"/>
      <c r="I315" s="16" t="b">
        <v>1</v>
      </c>
      <c r="J315" s="16" t="s">
        <v>3751</v>
      </c>
      <c r="K315" s="205"/>
      <c r="L315" s="16" t="b">
        <v>0</v>
      </c>
      <c r="M315" s="16"/>
      <c r="N315" s="16"/>
      <c r="O315" s="16"/>
      <c r="P315" s="16"/>
      <c r="Q315" s="16"/>
      <c r="R315" s="16"/>
      <c r="S315" s="16"/>
      <c r="T315" s="16"/>
      <c r="U315" s="16"/>
      <c r="V315" s="16"/>
      <c r="W315" s="16"/>
      <c r="X315" s="16"/>
      <c r="Y315" s="16"/>
      <c r="Z315" s="16"/>
      <c r="AA315" s="16"/>
    </row>
    <row r="316" spans="1:27" ht="24" hidden="1" customHeight="1" outlineLevel="2">
      <c r="A316" s="16" t="s">
        <v>4005</v>
      </c>
      <c r="B316" s="16" t="s">
        <v>505</v>
      </c>
      <c r="C316" s="16" t="s">
        <v>506</v>
      </c>
      <c r="D316" s="16" t="s">
        <v>3833</v>
      </c>
      <c r="E316" s="204">
        <v>45019</v>
      </c>
      <c r="F316" s="16" t="b">
        <v>1</v>
      </c>
      <c r="G316" s="205" t="s">
        <v>4006</v>
      </c>
      <c r="H316" s="205"/>
      <c r="I316" s="16" t="b">
        <v>1</v>
      </c>
      <c r="J316" s="16" t="s">
        <v>3751</v>
      </c>
      <c r="K316" s="205"/>
      <c r="L316" s="16" t="b">
        <v>0</v>
      </c>
      <c r="M316" s="16"/>
      <c r="N316" s="16"/>
      <c r="O316" s="16"/>
      <c r="P316" s="16"/>
      <c r="Q316" s="16"/>
      <c r="R316" s="16"/>
      <c r="S316" s="16"/>
      <c r="T316" s="16"/>
      <c r="U316" s="16"/>
      <c r="V316" s="16"/>
      <c r="W316" s="16"/>
      <c r="X316" s="16"/>
      <c r="Y316" s="16"/>
      <c r="Z316" s="16"/>
      <c r="AA316" s="16"/>
    </row>
    <row r="317" spans="1:27" ht="24" hidden="1" customHeight="1" outlineLevel="2">
      <c r="A317" s="16" t="s">
        <v>4007</v>
      </c>
      <c r="B317" s="16" t="s">
        <v>4008</v>
      </c>
      <c r="C317" s="16" t="s">
        <v>1024</v>
      </c>
      <c r="D317" s="16" t="s">
        <v>3696</v>
      </c>
      <c r="E317" s="204">
        <v>45019</v>
      </c>
      <c r="F317" s="16" t="b">
        <v>1</v>
      </c>
      <c r="G317" s="205" t="s">
        <v>4009</v>
      </c>
      <c r="H317" s="205"/>
      <c r="I317" s="16" t="b">
        <v>1</v>
      </c>
      <c r="J317" s="16" t="s">
        <v>3751</v>
      </c>
      <c r="K317" s="205"/>
      <c r="L317" s="16" t="b">
        <v>0</v>
      </c>
      <c r="M317" s="16"/>
      <c r="N317" s="16"/>
      <c r="O317" s="16"/>
      <c r="P317" s="16"/>
      <c r="Q317" s="16"/>
      <c r="R317" s="16"/>
      <c r="S317" s="16"/>
      <c r="T317" s="16"/>
      <c r="U317" s="16"/>
      <c r="V317" s="16"/>
      <c r="W317" s="16"/>
      <c r="X317" s="16"/>
      <c r="Y317" s="16"/>
      <c r="Z317" s="16"/>
      <c r="AA317" s="16"/>
    </row>
    <row r="318" spans="1:27" ht="24" hidden="1" customHeight="1" outlineLevel="2">
      <c r="A318" s="16" t="s">
        <v>1951</v>
      </c>
      <c r="B318" s="16" t="s">
        <v>1953</v>
      </c>
      <c r="C318" s="16" t="s">
        <v>1954</v>
      </c>
      <c r="D318" s="16" t="s">
        <v>3809</v>
      </c>
      <c r="E318" s="204">
        <v>45020</v>
      </c>
      <c r="F318" s="16"/>
      <c r="G318" s="205" t="s">
        <v>4010</v>
      </c>
      <c r="H318" s="205"/>
      <c r="I318" s="16" t="b">
        <v>1</v>
      </c>
      <c r="J318" s="16" t="s">
        <v>3800</v>
      </c>
      <c r="K318" s="205"/>
      <c r="L318" s="16" t="b">
        <v>0</v>
      </c>
      <c r="M318" s="16"/>
      <c r="N318" s="16"/>
      <c r="O318" s="16"/>
      <c r="P318" s="16"/>
      <c r="Q318" s="16"/>
      <c r="R318" s="16"/>
      <c r="S318" s="16"/>
      <c r="T318" s="16"/>
      <c r="U318" s="16"/>
      <c r="V318" s="16"/>
      <c r="W318" s="16"/>
      <c r="X318" s="16"/>
      <c r="Y318" s="16"/>
      <c r="Z318" s="16"/>
      <c r="AA318" s="16"/>
    </row>
    <row r="319" spans="1:27" ht="24" hidden="1" customHeight="1" outlineLevel="2">
      <c r="A319" s="16" t="s">
        <v>514</v>
      </c>
      <c r="B319" s="16" t="s">
        <v>515</v>
      </c>
      <c r="C319" s="16" t="s">
        <v>516</v>
      </c>
      <c r="D319" s="16" t="s">
        <v>3692</v>
      </c>
      <c r="E319" s="204">
        <v>45020</v>
      </c>
      <c r="F319" s="16" t="b">
        <v>1</v>
      </c>
      <c r="G319" s="205" t="s">
        <v>4011</v>
      </c>
      <c r="H319" s="205"/>
      <c r="I319" s="16" t="b">
        <v>1</v>
      </c>
      <c r="J319" s="16" t="s">
        <v>3807</v>
      </c>
      <c r="K319" s="205"/>
      <c r="L319" s="16" t="b">
        <v>0</v>
      </c>
      <c r="M319" s="16"/>
      <c r="N319" s="16"/>
      <c r="O319" s="16"/>
      <c r="P319" s="16"/>
      <c r="Q319" s="16"/>
      <c r="R319" s="16"/>
      <c r="S319" s="16"/>
      <c r="T319" s="16"/>
      <c r="U319" s="16"/>
      <c r="V319" s="16"/>
      <c r="W319" s="16"/>
      <c r="X319" s="16"/>
      <c r="Y319" s="16"/>
      <c r="Z319" s="16"/>
      <c r="AA319" s="16"/>
    </row>
    <row r="320" spans="1:27" ht="24" hidden="1" customHeight="1" outlineLevel="2">
      <c r="A320" s="16" t="s">
        <v>4012</v>
      </c>
      <c r="B320" s="16" t="s">
        <v>4013</v>
      </c>
      <c r="C320" s="16" t="s">
        <v>1078</v>
      </c>
      <c r="D320" s="16" t="s">
        <v>3692</v>
      </c>
      <c r="E320" s="204">
        <v>45020</v>
      </c>
      <c r="F320" s="16" t="b">
        <v>1</v>
      </c>
      <c r="G320" s="205" t="s">
        <v>4014</v>
      </c>
      <c r="H320" s="205"/>
      <c r="I320" s="16" t="b">
        <v>1</v>
      </c>
      <c r="J320" s="16" t="s">
        <v>3807</v>
      </c>
      <c r="K320" s="205"/>
      <c r="L320" s="16" t="b">
        <v>0</v>
      </c>
      <c r="M320" s="16"/>
      <c r="N320" s="16"/>
      <c r="O320" s="16"/>
      <c r="P320" s="16"/>
      <c r="Q320" s="16"/>
      <c r="R320" s="16"/>
      <c r="S320" s="16"/>
      <c r="T320" s="16"/>
      <c r="U320" s="16"/>
      <c r="V320" s="16"/>
      <c r="W320" s="16"/>
      <c r="X320" s="16"/>
      <c r="Y320" s="16"/>
      <c r="Z320" s="16"/>
      <c r="AA320" s="16"/>
    </row>
    <row r="321" spans="1:27" ht="24" hidden="1" customHeight="1" outlineLevel="2">
      <c r="A321" s="16" t="s">
        <v>712</v>
      </c>
      <c r="B321" s="16" t="s">
        <v>713</v>
      </c>
      <c r="C321" s="16" t="s">
        <v>714</v>
      </c>
      <c r="D321" s="16" t="s">
        <v>3833</v>
      </c>
      <c r="E321" s="204">
        <v>45020</v>
      </c>
      <c r="F321" s="16" t="b">
        <v>1</v>
      </c>
      <c r="G321" s="205" t="s">
        <v>4015</v>
      </c>
      <c r="H321" s="205"/>
      <c r="I321" s="16" t="b">
        <v>1</v>
      </c>
      <c r="J321" s="16" t="s">
        <v>3751</v>
      </c>
      <c r="K321" s="205"/>
      <c r="L321" s="16" t="b">
        <v>0</v>
      </c>
      <c r="M321" s="16"/>
      <c r="N321" s="16"/>
      <c r="O321" s="16"/>
      <c r="P321" s="16"/>
      <c r="Q321" s="16"/>
      <c r="R321" s="16"/>
      <c r="S321" s="16"/>
      <c r="T321" s="16"/>
      <c r="U321" s="16"/>
      <c r="V321" s="16"/>
      <c r="W321" s="16"/>
      <c r="X321" s="16"/>
      <c r="Y321" s="16"/>
      <c r="Z321" s="16"/>
      <c r="AA321" s="16"/>
    </row>
    <row r="322" spans="1:27" ht="24" hidden="1" customHeight="1" outlineLevel="2">
      <c r="A322" s="16" t="s">
        <v>348</v>
      </c>
      <c r="B322" s="16" t="s">
        <v>349</v>
      </c>
      <c r="C322" s="16" t="s">
        <v>350</v>
      </c>
      <c r="D322" s="16" t="s">
        <v>3732</v>
      </c>
      <c r="E322" s="204">
        <v>45020</v>
      </c>
      <c r="F322" s="16" t="b">
        <v>0</v>
      </c>
      <c r="G322" s="205" t="s">
        <v>4016</v>
      </c>
      <c r="H322" s="205"/>
      <c r="I322" s="16" t="b">
        <v>1</v>
      </c>
      <c r="J322" s="16" t="s">
        <v>3981</v>
      </c>
      <c r="K322" s="205"/>
      <c r="L322" s="16" t="b">
        <v>0</v>
      </c>
      <c r="M322" s="16"/>
      <c r="N322" s="16"/>
      <c r="O322" s="16"/>
      <c r="P322" s="16"/>
      <c r="Q322" s="16"/>
      <c r="R322" s="16"/>
      <c r="S322" s="16"/>
      <c r="T322" s="16"/>
      <c r="U322" s="16"/>
      <c r="V322" s="16"/>
      <c r="W322" s="16"/>
      <c r="X322" s="16"/>
      <c r="Y322" s="16"/>
      <c r="Z322" s="16"/>
      <c r="AA322" s="16"/>
    </row>
    <row r="323" spans="1:27" ht="24" hidden="1" customHeight="1" outlineLevel="2">
      <c r="A323" s="16" t="s">
        <v>987</v>
      </c>
      <c r="B323" s="16" t="s">
        <v>4017</v>
      </c>
      <c r="C323" s="16" t="s">
        <v>989</v>
      </c>
      <c r="D323" s="16" t="s">
        <v>3718</v>
      </c>
      <c r="E323" s="204">
        <v>45021</v>
      </c>
      <c r="F323" s="16" t="b">
        <v>1</v>
      </c>
      <c r="G323" s="205" t="s">
        <v>4018</v>
      </c>
      <c r="H323" s="205"/>
      <c r="I323" s="16" t="b">
        <v>1</v>
      </c>
      <c r="J323" s="16" t="s">
        <v>3621</v>
      </c>
      <c r="K323" s="205" t="s">
        <v>4019</v>
      </c>
      <c r="L323" s="16" t="b">
        <v>0</v>
      </c>
      <c r="M323" s="16"/>
      <c r="N323" s="16"/>
      <c r="O323" s="16"/>
      <c r="P323" s="16"/>
      <c r="Q323" s="16"/>
      <c r="R323" s="16"/>
      <c r="S323" s="16"/>
      <c r="T323" s="16"/>
      <c r="U323" s="16"/>
      <c r="V323" s="16"/>
      <c r="W323" s="16"/>
      <c r="X323" s="16"/>
      <c r="Y323" s="16"/>
      <c r="Z323" s="16"/>
      <c r="AA323" s="16"/>
    </row>
    <row r="324" spans="1:27" ht="24" hidden="1" customHeight="1" outlineLevel="2">
      <c r="A324" s="16" t="s">
        <v>1344</v>
      </c>
      <c r="B324" s="16" t="s">
        <v>1345</v>
      </c>
      <c r="C324" s="16" t="s">
        <v>1346</v>
      </c>
      <c r="D324" s="16" t="s">
        <v>4020</v>
      </c>
      <c r="E324" s="204">
        <v>45021</v>
      </c>
      <c r="F324" s="16" t="b">
        <v>1</v>
      </c>
      <c r="G324" s="205" t="s">
        <v>4021</v>
      </c>
      <c r="H324" s="205"/>
      <c r="I324" s="16" t="b">
        <v>1</v>
      </c>
      <c r="J324" s="16" t="s">
        <v>3621</v>
      </c>
      <c r="K324" s="205"/>
      <c r="L324" s="16" t="b">
        <v>0</v>
      </c>
      <c r="M324" s="16"/>
      <c r="N324" s="16"/>
      <c r="O324" s="16"/>
      <c r="P324" s="16"/>
      <c r="Q324" s="16"/>
      <c r="R324" s="16"/>
      <c r="S324" s="16"/>
      <c r="T324" s="16"/>
      <c r="U324" s="16"/>
      <c r="V324" s="16"/>
      <c r="W324" s="16"/>
      <c r="X324" s="16"/>
      <c r="Y324" s="16"/>
      <c r="Z324" s="16"/>
      <c r="AA324" s="16"/>
    </row>
    <row r="325" spans="1:27" ht="24" hidden="1" customHeight="1" outlineLevel="2">
      <c r="A325" s="16" t="s">
        <v>1103</v>
      </c>
      <c r="B325" s="16" t="s">
        <v>1104</v>
      </c>
      <c r="C325" s="16" t="s">
        <v>1105</v>
      </c>
      <c r="D325" s="16" t="s">
        <v>4020</v>
      </c>
      <c r="E325" s="204">
        <v>45021</v>
      </c>
      <c r="F325" s="16" t="b">
        <v>1</v>
      </c>
      <c r="G325" s="205" t="s">
        <v>4022</v>
      </c>
      <c r="H325" s="205"/>
      <c r="I325" s="16" t="b">
        <v>1</v>
      </c>
      <c r="J325" s="16" t="s">
        <v>3621</v>
      </c>
      <c r="K325" s="205"/>
      <c r="L325" s="16" t="b">
        <v>0</v>
      </c>
      <c r="M325" s="16"/>
      <c r="N325" s="16"/>
      <c r="O325" s="16"/>
      <c r="P325" s="16"/>
      <c r="Q325" s="16"/>
      <c r="R325" s="16"/>
      <c r="S325" s="16"/>
      <c r="T325" s="16"/>
      <c r="U325" s="16"/>
      <c r="V325" s="16"/>
      <c r="W325" s="16"/>
      <c r="X325" s="16"/>
      <c r="Y325" s="16"/>
      <c r="Z325" s="16"/>
      <c r="AA325" s="16"/>
    </row>
    <row r="326" spans="1:27" ht="24" hidden="1" customHeight="1" outlineLevel="2">
      <c r="A326" s="16" t="s">
        <v>4023</v>
      </c>
      <c r="B326" s="16" t="s">
        <v>4024</v>
      </c>
      <c r="C326" s="16" t="s">
        <v>1227</v>
      </c>
      <c r="D326" s="16" t="s">
        <v>3692</v>
      </c>
      <c r="E326" s="204">
        <v>45026</v>
      </c>
      <c r="F326" s="16" t="b">
        <v>1</v>
      </c>
      <c r="G326" s="205" t="s">
        <v>4025</v>
      </c>
      <c r="H326" s="205"/>
      <c r="I326" s="16" t="b">
        <v>1</v>
      </c>
      <c r="J326" s="16" t="s">
        <v>3807</v>
      </c>
      <c r="K326" s="205"/>
      <c r="L326" s="16" t="b">
        <v>0</v>
      </c>
      <c r="M326" s="16"/>
      <c r="N326" s="16"/>
      <c r="O326" s="16"/>
      <c r="P326" s="16"/>
      <c r="Q326" s="16"/>
      <c r="R326" s="16"/>
      <c r="S326" s="16"/>
      <c r="T326" s="16"/>
      <c r="U326" s="16"/>
      <c r="V326" s="16"/>
      <c r="W326" s="16"/>
      <c r="X326" s="16"/>
      <c r="Y326" s="16"/>
      <c r="Z326" s="16"/>
      <c r="AA326" s="16"/>
    </row>
    <row r="327" spans="1:27" ht="24" hidden="1" customHeight="1" outlineLevel="2">
      <c r="A327" s="16" t="s">
        <v>4026</v>
      </c>
      <c r="B327" s="16" t="s">
        <v>4027</v>
      </c>
      <c r="C327" s="16" t="s">
        <v>503</v>
      </c>
      <c r="D327" s="16" t="s">
        <v>3979</v>
      </c>
      <c r="E327" s="204">
        <v>45026</v>
      </c>
      <c r="F327" s="16" t="b">
        <v>1</v>
      </c>
      <c r="G327" s="205" t="s">
        <v>4028</v>
      </c>
      <c r="H327" s="205"/>
      <c r="I327" s="16" t="b">
        <v>1</v>
      </c>
      <c r="J327" s="16" t="s">
        <v>3981</v>
      </c>
      <c r="K327" s="205"/>
      <c r="L327" s="16" t="b">
        <v>0</v>
      </c>
      <c r="M327" s="16"/>
      <c r="N327" s="16"/>
      <c r="O327" s="16"/>
      <c r="P327" s="16"/>
      <c r="Q327" s="16"/>
      <c r="R327" s="16"/>
      <c r="S327" s="16"/>
      <c r="T327" s="16"/>
      <c r="U327" s="16"/>
      <c r="V327" s="16"/>
      <c r="W327" s="16"/>
      <c r="X327" s="16"/>
      <c r="Y327" s="16"/>
      <c r="Z327" s="16"/>
      <c r="AA327" s="16"/>
    </row>
    <row r="328" spans="1:27" ht="24" hidden="1" customHeight="1" outlineLevel="2">
      <c r="A328" s="16" t="s">
        <v>4029</v>
      </c>
      <c r="B328" s="16" t="s">
        <v>647</v>
      </c>
      <c r="C328" s="16" t="s">
        <v>648</v>
      </c>
      <c r="D328" s="16" t="s">
        <v>3833</v>
      </c>
      <c r="E328" s="204">
        <v>45027</v>
      </c>
      <c r="F328" s="16" t="b">
        <v>1</v>
      </c>
      <c r="G328" s="205" t="s">
        <v>4030</v>
      </c>
      <c r="H328" s="205"/>
      <c r="I328" s="16" t="b">
        <v>1</v>
      </c>
      <c r="J328" s="16" t="s">
        <v>3751</v>
      </c>
      <c r="K328" s="205"/>
      <c r="L328" s="16" t="b">
        <v>0</v>
      </c>
      <c r="M328" s="16"/>
      <c r="N328" s="16"/>
      <c r="O328" s="16"/>
      <c r="P328" s="16"/>
      <c r="Q328" s="16"/>
      <c r="R328" s="16"/>
      <c r="S328" s="16"/>
      <c r="T328" s="16"/>
      <c r="U328" s="16"/>
      <c r="V328" s="16"/>
      <c r="W328" s="16"/>
      <c r="X328" s="16"/>
      <c r="Y328" s="16"/>
      <c r="Z328" s="16"/>
      <c r="AA328" s="16"/>
    </row>
    <row r="329" spans="1:27" ht="24" hidden="1" customHeight="1" outlineLevel="2">
      <c r="A329" s="16" t="s">
        <v>367</v>
      </c>
      <c r="B329" s="16" t="s">
        <v>368</v>
      </c>
      <c r="C329" s="16" t="s">
        <v>369</v>
      </c>
      <c r="D329" s="16" t="s">
        <v>3718</v>
      </c>
      <c r="E329" s="204">
        <v>45027</v>
      </c>
      <c r="F329" s="16" t="b">
        <v>1</v>
      </c>
      <c r="G329" s="205" t="s">
        <v>4031</v>
      </c>
      <c r="H329" s="205"/>
      <c r="I329" s="16" t="b">
        <v>1</v>
      </c>
      <c r="J329" s="16" t="s">
        <v>3621</v>
      </c>
      <c r="K329" s="205" t="s">
        <v>4032</v>
      </c>
      <c r="L329" s="16" t="b">
        <v>0</v>
      </c>
      <c r="M329" s="16"/>
      <c r="N329" s="16"/>
      <c r="O329" s="16"/>
      <c r="P329" s="16"/>
      <c r="Q329" s="16"/>
      <c r="R329" s="16"/>
      <c r="S329" s="16"/>
      <c r="T329" s="16"/>
      <c r="U329" s="16"/>
      <c r="V329" s="16"/>
      <c r="W329" s="16"/>
      <c r="X329" s="16"/>
      <c r="Y329" s="16"/>
      <c r="Z329" s="16"/>
      <c r="AA329" s="16"/>
    </row>
    <row r="330" spans="1:27" ht="24" hidden="1" customHeight="1" outlineLevel="2">
      <c r="A330" s="16" t="s">
        <v>1319</v>
      </c>
      <c r="B330" s="16" t="s">
        <v>1320</v>
      </c>
      <c r="C330" s="16" t="s">
        <v>1321</v>
      </c>
      <c r="D330" s="16" t="s">
        <v>3694</v>
      </c>
      <c r="E330" s="204">
        <v>45027</v>
      </c>
      <c r="F330" s="16"/>
      <c r="G330" s="205" t="s">
        <v>4033</v>
      </c>
      <c r="H330" s="205"/>
      <c r="I330" s="16" t="b">
        <v>1</v>
      </c>
      <c r="J330" s="16" t="s">
        <v>3800</v>
      </c>
      <c r="K330" s="205" t="s">
        <v>4034</v>
      </c>
      <c r="L330" s="16" t="b">
        <v>0</v>
      </c>
      <c r="M330" s="16"/>
      <c r="N330" s="16"/>
      <c r="O330" s="16"/>
      <c r="P330" s="16"/>
      <c r="Q330" s="16"/>
      <c r="R330" s="16"/>
      <c r="S330" s="16"/>
      <c r="T330" s="16"/>
      <c r="U330" s="16"/>
      <c r="V330" s="16"/>
      <c r="W330" s="16"/>
      <c r="X330" s="16"/>
      <c r="Y330" s="16"/>
      <c r="Z330" s="16"/>
      <c r="AA330" s="16"/>
    </row>
    <row r="331" spans="1:27" ht="24" hidden="1" customHeight="1" outlineLevel="2">
      <c r="A331" s="16" t="s">
        <v>468</v>
      </c>
      <c r="B331" s="16" t="s">
        <v>469</v>
      </c>
      <c r="C331" s="16" t="s">
        <v>470</v>
      </c>
      <c r="D331" s="16" t="s">
        <v>3694</v>
      </c>
      <c r="E331" s="204">
        <v>45027</v>
      </c>
      <c r="F331" s="16"/>
      <c r="G331" s="205" t="s">
        <v>4035</v>
      </c>
      <c r="H331" s="205"/>
      <c r="I331" s="16" t="b">
        <v>1</v>
      </c>
      <c r="J331" s="16" t="s">
        <v>3800</v>
      </c>
      <c r="K331" s="205" t="s">
        <v>4034</v>
      </c>
      <c r="L331" s="16" t="b">
        <v>0</v>
      </c>
      <c r="M331" s="16"/>
      <c r="N331" s="16"/>
      <c r="O331" s="16"/>
      <c r="P331" s="16"/>
      <c r="Q331" s="16"/>
      <c r="R331" s="16"/>
      <c r="S331" s="16"/>
      <c r="T331" s="16"/>
      <c r="U331" s="16"/>
      <c r="V331" s="16"/>
      <c r="W331" s="16"/>
      <c r="X331" s="16"/>
      <c r="Y331" s="16"/>
      <c r="Z331" s="16"/>
      <c r="AA331" s="16"/>
    </row>
    <row r="332" spans="1:27" ht="24" hidden="1" customHeight="1" outlineLevel="2">
      <c r="A332" s="16" t="s">
        <v>4036</v>
      </c>
      <c r="B332" s="16" t="s">
        <v>4037</v>
      </c>
      <c r="C332" s="16" t="s">
        <v>730</v>
      </c>
      <c r="D332" s="16" t="s">
        <v>3718</v>
      </c>
      <c r="E332" s="204">
        <v>45027</v>
      </c>
      <c r="F332" s="16" t="b">
        <v>1</v>
      </c>
      <c r="G332" s="205" t="s">
        <v>4038</v>
      </c>
      <c r="H332" s="205"/>
      <c r="I332" s="16" t="b">
        <v>1</v>
      </c>
      <c r="J332" s="16" t="s">
        <v>3621</v>
      </c>
      <c r="K332" s="205" t="s">
        <v>4032</v>
      </c>
      <c r="L332" s="16" t="b">
        <v>0</v>
      </c>
      <c r="M332" s="16"/>
      <c r="N332" s="16"/>
      <c r="O332" s="16"/>
      <c r="P332" s="16"/>
      <c r="Q332" s="16"/>
      <c r="R332" s="16"/>
      <c r="S332" s="16"/>
      <c r="T332" s="16"/>
      <c r="U332" s="16"/>
      <c r="V332" s="16"/>
      <c r="W332" s="16"/>
      <c r="X332" s="16"/>
      <c r="Y332" s="16"/>
      <c r="Z332" s="16"/>
      <c r="AA332" s="16"/>
    </row>
    <row r="333" spans="1:27" ht="24" hidden="1" customHeight="1" outlineLevel="2">
      <c r="A333" s="16" t="s">
        <v>4039</v>
      </c>
      <c r="B333" s="16" t="s">
        <v>4040</v>
      </c>
      <c r="C333" s="16" t="s">
        <v>4041</v>
      </c>
      <c r="D333" s="16" t="s">
        <v>4042</v>
      </c>
      <c r="E333" s="204">
        <v>45027</v>
      </c>
      <c r="F333" s="16" t="b">
        <v>1</v>
      </c>
      <c r="G333" s="205" t="s">
        <v>4043</v>
      </c>
      <c r="H333" s="205"/>
      <c r="I333" s="16" t="b">
        <v>1</v>
      </c>
      <c r="J333" s="16" t="s">
        <v>3981</v>
      </c>
      <c r="K333" s="205"/>
      <c r="L333" s="16" t="b">
        <v>0</v>
      </c>
      <c r="M333" s="16"/>
      <c r="N333" s="16"/>
      <c r="O333" s="16"/>
      <c r="P333" s="16"/>
      <c r="Q333" s="16"/>
      <c r="R333" s="16"/>
      <c r="S333" s="16"/>
      <c r="T333" s="16"/>
      <c r="U333" s="16"/>
      <c r="V333" s="16"/>
      <c r="W333" s="16"/>
      <c r="X333" s="16"/>
      <c r="Y333" s="16"/>
      <c r="Z333" s="16"/>
      <c r="AA333" s="16"/>
    </row>
    <row r="334" spans="1:27" ht="24" hidden="1" customHeight="1" outlineLevel="2">
      <c r="A334" s="16" t="s">
        <v>4044</v>
      </c>
      <c r="B334" s="16" t="s">
        <v>1283</v>
      </c>
      <c r="C334" s="16" t="s">
        <v>1284</v>
      </c>
      <c r="D334" s="16" t="s">
        <v>3930</v>
      </c>
      <c r="E334" s="204">
        <v>45028</v>
      </c>
      <c r="F334" s="16" t="b">
        <v>1</v>
      </c>
      <c r="G334" s="205" t="s">
        <v>4045</v>
      </c>
      <c r="H334" s="205"/>
      <c r="I334" s="16" t="b">
        <v>1</v>
      </c>
      <c r="J334" s="16" t="s">
        <v>3621</v>
      </c>
      <c r="K334" s="205" t="s">
        <v>4032</v>
      </c>
      <c r="L334" s="16" t="b">
        <v>0</v>
      </c>
      <c r="M334" s="16"/>
      <c r="N334" s="16"/>
      <c r="O334" s="16"/>
      <c r="P334" s="16"/>
      <c r="Q334" s="16"/>
      <c r="R334" s="16"/>
      <c r="S334" s="16"/>
      <c r="T334" s="16"/>
      <c r="U334" s="16"/>
      <c r="V334" s="16"/>
      <c r="W334" s="16"/>
      <c r="X334" s="16"/>
      <c r="Y334" s="16"/>
      <c r="Z334" s="16"/>
      <c r="AA334" s="16"/>
    </row>
    <row r="335" spans="1:27" ht="24" hidden="1" customHeight="1" outlineLevel="2">
      <c r="A335" s="16" t="s">
        <v>4046</v>
      </c>
      <c r="B335" s="16" t="s">
        <v>800</v>
      </c>
      <c r="C335" s="16"/>
      <c r="D335" s="16" t="s">
        <v>3694</v>
      </c>
      <c r="E335" s="204">
        <v>45028</v>
      </c>
      <c r="F335" s="16"/>
      <c r="G335" s="205" t="s">
        <v>4047</v>
      </c>
      <c r="H335" s="205"/>
      <c r="I335" s="16" t="b">
        <v>1</v>
      </c>
      <c r="J335" s="16" t="s">
        <v>3800</v>
      </c>
      <c r="K335" s="205" t="s">
        <v>4048</v>
      </c>
      <c r="L335" s="16" t="b">
        <v>0</v>
      </c>
      <c r="M335" s="16"/>
      <c r="N335" s="16"/>
      <c r="O335" s="16"/>
      <c r="P335" s="16"/>
      <c r="Q335" s="16"/>
      <c r="R335" s="16"/>
      <c r="S335" s="16"/>
      <c r="T335" s="16"/>
      <c r="U335" s="16"/>
      <c r="V335" s="16"/>
      <c r="W335" s="16"/>
      <c r="X335" s="16"/>
      <c r="Y335" s="16"/>
      <c r="Z335" s="16"/>
      <c r="AA335" s="16"/>
    </row>
    <row r="336" spans="1:27" ht="24" hidden="1" customHeight="1" outlineLevel="2">
      <c r="A336" s="16" t="s">
        <v>4049</v>
      </c>
      <c r="B336" s="16" t="s">
        <v>1307</v>
      </c>
      <c r="C336" s="16" t="s">
        <v>1308</v>
      </c>
      <c r="D336" s="16" t="s">
        <v>3694</v>
      </c>
      <c r="E336" s="204">
        <v>45029</v>
      </c>
      <c r="F336" s="16"/>
      <c r="G336" s="205" t="s">
        <v>4050</v>
      </c>
      <c r="H336" s="205"/>
      <c r="I336" s="16" t="b">
        <v>1</v>
      </c>
      <c r="J336" s="16" t="s">
        <v>3800</v>
      </c>
      <c r="K336" s="205"/>
      <c r="L336" s="16" t="b">
        <v>0</v>
      </c>
      <c r="M336" s="16"/>
      <c r="N336" s="16"/>
      <c r="O336" s="16"/>
      <c r="P336" s="16"/>
      <c r="Q336" s="16"/>
      <c r="R336" s="16"/>
      <c r="S336" s="16"/>
      <c r="T336" s="16"/>
      <c r="U336" s="16"/>
      <c r="V336" s="16"/>
      <c r="W336" s="16"/>
      <c r="X336" s="16"/>
      <c r="Y336" s="16"/>
      <c r="Z336" s="16"/>
      <c r="AA336" s="16"/>
    </row>
    <row r="337" spans="1:27" ht="24" hidden="1" customHeight="1" outlineLevel="2">
      <c r="A337" s="16" t="s">
        <v>4051</v>
      </c>
      <c r="B337" s="16" t="s">
        <v>4052</v>
      </c>
      <c r="C337" s="16" t="s">
        <v>1268</v>
      </c>
      <c r="D337" s="16" t="s">
        <v>3809</v>
      </c>
      <c r="E337" s="204">
        <v>45033</v>
      </c>
      <c r="F337" s="16"/>
      <c r="G337" s="205" t="s">
        <v>4053</v>
      </c>
      <c r="H337" s="205"/>
      <c r="I337" s="16" t="b">
        <v>1</v>
      </c>
      <c r="J337" s="16" t="s">
        <v>3800</v>
      </c>
      <c r="K337" s="205"/>
      <c r="L337" s="16" t="b">
        <v>0</v>
      </c>
      <c r="M337" s="16"/>
      <c r="N337" s="16"/>
      <c r="O337" s="16"/>
      <c r="P337" s="16"/>
      <c r="Q337" s="16"/>
      <c r="R337" s="16"/>
      <c r="S337" s="16"/>
      <c r="T337" s="16"/>
      <c r="U337" s="16"/>
      <c r="V337" s="16"/>
      <c r="W337" s="16"/>
      <c r="X337" s="16"/>
      <c r="Y337" s="16"/>
      <c r="Z337" s="16"/>
      <c r="AA337" s="16"/>
    </row>
    <row r="338" spans="1:27" ht="24" hidden="1" customHeight="1" outlineLevel="2">
      <c r="A338" s="16" t="s">
        <v>4054</v>
      </c>
      <c r="B338" s="16" t="s">
        <v>4055</v>
      </c>
      <c r="C338" s="16" t="s">
        <v>1516</v>
      </c>
      <c r="D338" s="16" t="s">
        <v>4042</v>
      </c>
      <c r="E338" s="204">
        <v>45033</v>
      </c>
      <c r="F338" s="16" t="b">
        <v>1</v>
      </c>
      <c r="G338" s="205" t="s">
        <v>4056</v>
      </c>
      <c r="H338" s="205"/>
      <c r="I338" s="16" t="b">
        <v>1</v>
      </c>
      <c r="J338" s="16" t="s">
        <v>3981</v>
      </c>
      <c r="K338" s="205"/>
      <c r="L338" s="16" t="b">
        <v>0</v>
      </c>
      <c r="M338" s="16"/>
      <c r="N338" s="16"/>
      <c r="O338" s="16"/>
      <c r="P338" s="16"/>
      <c r="Q338" s="16"/>
      <c r="R338" s="16"/>
      <c r="S338" s="16"/>
      <c r="T338" s="16"/>
      <c r="U338" s="16"/>
      <c r="V338" s="16"/>
      <c r="W338" s="16"/>
      <c r="X338" s="16"/>
      <c r="Y338" s="16"/>
      <c r="Z338" s="16"/>
      <c r="AA338" s="16"/>
    </row>
    <row r="339" spans="1:27" ht="24" hidden="1" customHeight="1" outlineLevel="2">
      <c r="A339" s="16" t="s">
        <v>567</v>
      </c>
      <c r="B339" s="16" t="s">
        <v>568</v>
      </c>
      <c r="C339" s="16" t="s">
        <v>569</v>
      </c>
      <c r="D339" s="16" t="s">
        <v>3718</v>
      </c>
      <c r="E339" s="204">
        <v>45033</v>
      </c>
      <c r="F339" s="16" t="b">
        <v>1</v>
      </c>
      <c r="G339" s="205" t="s">
        <v>4057</v>
      </c>
      <c r="H339" s="205"/>
      <c r="I339" s="16" t="b">
        <v>1</v>
      </c>
      <c r="J339" s="16" t="s">
        <v>3621</v>
      </c>
      <c r="K339" s="205"/>
      <c r="L339" s="16" t="b">
        <v>0</v>
      </c>
      <c r="M339" s="16"/>
      <c r="N339" s="16"/>
      <c r="O339" s="16"/>
      <c r="P339" s="16"/>
      <c r="Q339" s="16"/>
      <c r="R339" s="16"/>
      <c r="S339" s="16"/>
      <c r="T339" s="16"/>
      <c r="U339" s="16"/>
      <c r="V339" s="16"/>
      <c r="W339" s="16"/>
      <c r="X339" s="16"/>
      <c r="Y339" s="16"/>
      <c r="Z339" s="16"/>
      <c r="AA339" s="16"/>
    </row>
    <row r="340" spans="1:27" ht="24" hidden="1" customHeight="1" outlineLevel="2">
      <c r="A340" s="16" t="s">
        <v>772</v>
      </c>
      <c r="B340" s="16" t="s">
        <v>773</v>
      </c>
      <c r="C340" s="16" t="s">
        <v>774</v>
      </c>
      <c r="D340" s="16" t="s">
        <v>4058</v>
      </c>
      <c r="E340" s="204">
        <v>45033</v>
      </c>
      <c r="F340" s="16" t="b">
        <v>1</v>
      </c>
      <c r="G340" s="205" t="s">
        <v>4059</v>
      </c>
      <c r="H340" s="205"/>
      <c r="I340" s="16" t="b">
        <v>1</v>
      </c>
      <c r="J340" s="16" t="s">
        <v>3621</v>
      </c>
      <c r="K340" s="205"/>
      <c r="L340" s="16" t="b">
        <v>0</v>
      </c>
      <c r="M340" s="16"/>
      <c r="N340" s="16"/>
      <c r="O340" s="16"/>
      <c r="P340" s="16"/>
      <c r="Q340" s="16"/>
      <c r="R340" s="16"/>
      <c r="S340" s="16"/>
      <c r="T340" s="16"/>
      <c r="U340" s="16"/>
      <c r="V340" s="16"/>
      <c r="W340" s="16"/>
      <c r="X340" s="16"/>
      <c r="Y340" s="16"/>
      <c r="Z340" s="16"/>
      <c r="AA340" s="16"/>
    </row>
    <row r="341" spans="1:27" ht="24" hidden="1" customHeight="1" outlineLevel="2">
      <c r="A341" s="16" t="s">
        <v>4060</v>
      </c>
      <c r="B341" s="16" t="s">
        <v>829</v>
      </c>
      <c r="C341" s="16" t="s">
        <v>830</v>
      </c>
      <c r="D341" s="16" t="s">
        <v>3930</v>
      </c>
      <c r="E341" s="204">
        <v>45034</v>
      </c>
      <c r="F341" s="16" t="b">
        <v>0</v>
      </c>
      <c r="G341" s="205" t="s">
        <v>4061</v>
      </c>
      <c r="H341" s="205"/>
      <c r="I341" s="16" t="b">
        <v>1</v>
      </c>
      <c r="J341" s="16" t="s">
        <v>3621</v>
      </c>
      <c r="K341" s="205"/>
      <c r="L341" s="16" t="b">
        <v>0</v>
      </c>
      <c r="M341" s="16"/>
      <c r="N341" s="16"/>
      <c r="O341" s="16"/>
      <c r="P341" s="16"/>
      <c r="Q341" s="16"/>
      <c r="R341" s="16"/>
      <c r="S341" s="16"/>
      <c r="T341" s="16"/>
      <c r="U341" s="16"/>
      <c r="V341" s="16"/>
      <c r="W341" s="16"/>
      <c r="X341" s="16"/>
      <c r="Y341" s="16"/>
      <c r="Z341" s="16"/>
      <c r="AA341" s="16"/>
    </row>
    <row r="342" spans="1:27" ht="24" hidden="1" customHeight="1" outlineLevel="2">
      <c r="A342" s="16" t="s">
        <v>4062</v>
      </c>
      <c r="B342" s="16" t="s">
        <v>4063</v>
      </c>
      <c r="C342" s="16" t="s">
        <v>587</v>
      </c>
      <c r="D342" s="16" t="s">
        <v>3692</v>
      </c>
      <c r="E342" s="204">
        <v>45034</v>
      </c>
      <c r="F342" s="16" t="b">
        <v>1</v>
      </c>
      <c r="G342" s="205" t="s">
        <v>4064</v>
      </c>
      <c r="H342" s="205"/>
      <c r="I342" s="16" t="b">
        <v>1</v>
      </c>
      <c r="J342" s="16" t="s">
        <v>3807</v>
      </c>
      <c r="K342" s="205"/>
      <c r="L342" s="16" t="b">
        <v>0</v>
      </c>
      <c r="M342" s="16"/>
      <c r="N342" s="16"/>
      <c r="O342" s="16"/>
      <c r="P342" s="16"/>
      <c r="Q342" s="16"/>
      <c r="R342" s="16"/>
      <c r="S342" s="16"/>
      <c r="T342" s="16"/>
      <c r="U342" s="16"/>
      <c r="V342" s="16"/>
      <c r="W342" s="16"/>
      <c r="X342" s="16"/>
      <c r="Y342" s="16"/>
      <c r="Z342" s="16"/>
      <c r="AA342" s="16"/>
    </row>
    <row r="343" spans="1:27" ht="24" hidden="1" customHeight="1" outlineLevel="2">
      <c r="A343" s="16" t="s">
        <v>117</v>
      </c>
      <c r="B343" s="16" t="s">
        <v>118</v>
      </c>
      <c r="C343" s="16" t="s">
        <v>119</v>
      </c>
      <c r="D343" s="16" t="s">
        <v>3790</v>
      </c>
      <c r="E343" s="204">
        <v>45035</v>
      </c>
      <c r="F343" s="16" t="b">
        <v>1</v>
      </c>
      <c r="G343" s="205" t="s">
        <v>4065</v>
      </c>
      <c r="H343" s="205"/>
      <c r="I343" s="16" t="b">
        <v>1</v>
      </c>
      <c r="J343" s="16" t="s">
        <v>3807</v>
      </c>
      <c r="K343" s="205"/>
      <c r="L343" s="16" t="b">
        <v>0</v>
      </c>
      <c r="M343" s="16"/>
      <c r="N343" s="16"/>
      <c r="O343" s="16"/>
      <c r="P343" s="16"/>
      <c r="Q343" s="16"/>
      <c r="R343" s="16"/>
      <c r="S343" s="16"/>
      <c r="T343" s="16"/>
      <c r="U343" s="16"/>
      <c r="V343" s="16"/>
      <c r="W343" s="16"/>
      <c r="X343" s="16"/>
      <c r="Y343" s="16"/>
      <c r="Z343" s="16"/>
      <c r="AA343" s="16"/>
    </row>
    <row r="344" spans="1:27" ht="24" hidden="1" customHeight="1" outlineLevel="2">
      <c r="A344" s="16" t="s">
        <v>1251</v>
      </c>
      <c r="B344" s="16" t="s">
        <v>4066</v>
      </c>
      <c r="C344" s="16" t="s">
        <v>1253</v>
      </c>
      <c r="D344" s="16" t="s">
        <v>3694</v>
      </c>
      <c r="E344" s="204">
        <v>45036</v>
      </c>
      <c r="F344" s="16"/>
      <c r="G344" s="205" t="s">
        <v>4067</v>
      </c>
      <c r="H344" s="205"/>
      <c r="I344" s="16" t="b">
        <v>1</v>
      </c>
      <c r="J344" s="16" t="s">
        <v>3800</v>
      </c>
      <c r="K344" s="205"/>
      <c r="L344" s="16" t="b">
        <v>0</v>
      </c>
      <c r="M344" s="16"/>
      <c r="N344" s="16"/>
      <c r="O344" s="16"/>
      <c r="P344" s="16"/>
      <c r="Q344" s="16"/>
      <c r="R344" s="16"/>
      <c r="S344" s="16"/>
      <c r="T344" s="16"/>
      <c r="U344" s="16"/>
      <c r="V344" s="16"/>
      <c r="W344" s="16"/>
      <c r="X344" s="16"/>
      <c r="Y344" s="16"/>
      <c r="Z344" s="16"/>
      <c r="AA344" s="16"/>
    </row>
    <row r="345" spans="1:27" ht="24" hidden="1" customHeight="1" outlineLevel="2">
      <c r="A345" s="16" t="s">
        <v>217</v>
      </c>
      <c r="B345" s="16" t="s">
        <v>218</v>
      </c>
      <c r="C345" s="16" t="s">
        <v>219</v>
      </c>
      <c r="D345" s="16" t="s">
        <v>3718</v>
      </c>
      <c r="E345" s="204">
        <v>45040</v>
      </c>
      <c r="F345" s="16" t="b">
        <v>1</v>
      </c>
      <c r="G345" s="205" t="s">
        <v>4068</v>
      </c>
      <c r="H345" s="205"/>
      <c r="I345" s="16" t="b">
        <v>1</v>
      </c>
      <c r="J345" s="16" t="s">
        <v>3621</v>
      </c>
      <c r="K345" s="205"/>
      <c r="L345" s="16" t="b">
        <v>0</v>
      </c>
      <c r="M345" s="16"/>
      <c r="N345" s="16"/>
      <c r="O345" s="16"/>
      <c r="P345" s="16"/>
      <c r="Q345" s="16"/>
      <c r="R345" s="16"/>
      <c r="S345" s="16"/>
      <c r="T345" s="16"/>
      <c r="U345" s="16"/>
      <c r="V345" s="16"/>
      <c r="W345" s="16"/>
      <c r="X345" s="16"/>
      <c r="Y345" s="16"/>
      <c r="Z345" s="16"/>
      <c r="AA345" s="16"/>
    </row>
    <row r="346" spans="1:27" ht="24" hidden="1" customHeight="1" outlineLevel="2">
      <c r="A346" s="16" t="s">
        <v>1275</v>
      </c>
      <c r="B346" s="16" t="s">
        <v>1277</v>
      </c>
      <c r="C346" s="16" t="s">
        <v>1278</v>
      </c>
      <c r="D346" s="16" t="s">
        <v>4069</v>
      </c>
      <c r="E346" s="204">
        <v>45040</v>
      </c>
      <c r="F346" s="16"/>
      <c r="G346" s="205" t="s">
        <v>4070</v>
      </c>
      <c r="H346" s="205"/>
      <c r="I346" s="16" t="b">
        <v>1</v>
      </c>
      <c r="J346" s="16" t="s">
        <v>3800</v>
      </c>
      <c r="K346" s="205"/>
      <c r="L346" s="16" t="b">
        <v>0</v>
      </c>
      <c r="M346" s="16"/>
      <c r="N346" s="16"/>
      <c r="O346" s="16"/>
      <c r="P346" s="16"/>
      <c r="Q346" s="16"/>
      <c r="R346" s="16"/>
      <c r="S346" s="16"/>
      <c r="T346" s="16"/>
      <c r="U346" s="16"/>
      <c r="V346" s="16"/>
      <c r="W346" s="16"/>
      <c r="X346" s="16"/>
      <c r="Y346" s="16"/>
      <c r="Z346" s="16"/>
      <c r="AA346" s="16"/>
    </row>
    <row r="347" spans="1:27" ht="24" hidden="1" customHeight="1" outlineLevel="2">
      <c r="A347" s="16" t="s">
        <v>959</v>
      </c>
      <c r="B347" s="16" t="s">
        <v>960</v>
      </c>
      <c r="C347" s="16" t="s">
        <v>961</v>
      </c>
      <c r="D347" s="16" t="s">
        <v>3694</v>
      </c>
      <c r="E347" s="204">
        <v>45040</v>
      </c>
      <c r="F347" s="16"/>
      <c r="G347" s="205" t="s">
        <v>4071</v>
      </c>
      <c r="H347" s="205"/>
      <c r="I347" s="16" t="b">
        <v>1</v>
      </c>
      <c r="J347" s="16" t="s">
        <v>3800</v>
      </c>
      <c r="K347" s="205"/>
      <c r="L347" s="16" t="b">
        <v>0</v>
      </c>
      <c r="M347" s="16"/>
      <c r="N347" s="16"/>
      <c r="O347" s="16"/>
      <c r="P347" s="16"/>
      <c r="Q347" s="16"/>
      <c r="R347" s="16"/>
      <c r="S347" s="16"/>
      <c r="T347" s="16"/>
      <c r="U347" s="16"/>
      <c r="V347" s="16"/>
      <c r="W347" s="16"/>
      <c r="X347" s="16"/>
      <c r="Y347" s="16"/>
      <c r="Z347" s="16"/>
      <c r="AA347" s="16"/>
    </row>
    <row r="348" spans="1:27" ht="24" hidden="1" customHeight="1" outlineLevel="2">
      <c r="A348" s="16" t="s">
        <v>604</v>
      </c>
      <c r="B348" s="16" t="s">
        <v>605</v>
      </c>
      <c r="C348" s="16" t="s">
        <v>606</v>
      </c>
      <c r="D348" s="16" t="s">
        <v>3692</v>
      </c>
      <c r="E348" s="204">
        <v>45040</v>
      </c>
      <c r="F348" s="16" t="b">
        <v>0</v>
      </c>
      <c r="G348" s="205" t="s">
        <v>4072</v>
      </c>
      <c r="H348" s="205"/>
      <c r="I348" s="16" t="b">
        <v>1</v>
      </c>
      <c r="J348" s="16" t="s">
        <v>3807</v>
      </c>
      <c r="K348" s="205"/>
      <c r="L348" s="16" t="b">
        <v>0</v>
      </c>
      <c r="M348" s="16"/>
      <c r="N348" s="16"/>
      <c r="O348" s="16"/>
      <c r="P348" s="16"/>
      <c r="Q348" s="16"/>
      <c r="R348" s="16"/>
      <c r="S348" s="16"/>
      <c r="T348" s="16"/>
      <c r="U348" s="16"/>
      <c r="V348" s="16"/>
      <c r="W348" s="16"/>
      <c r="X348" s="16"/>
      <c r="Y348" s="16"/>
      <c r="Z348" s="16"/>
      <c r="AA348" s="16"/>
    </row>
    <row r="349" spans="1:27" ht="24" hidden="1" customHeight="1" outlineLevel="2">
      <c r="A349" s="16" t="s">
        <v>1145</v>
      </c>
      <c r="B349" s="16" t="s">
        <v>1147</v>
      </c>
      <c r="C349" s="16" t="s">
        <v>1148</v>
      </c>
      <c r="D349" s="16" t="s">
        <v>3692</v>
      </c>
      <c r="E349" s="204">
        <v>45040</v>
      </c>
      <c r="F349" s="16" t="b">
        <v>1</v>
      </c>
      <c r="G349" s="205" t="s">
        <v>4073</v>
      </c>
      <c r="H349" s="205"/>
      <c r="I349" s="16" t="b">
        <v>1</v>
      </c>
      <c r="J349" s="16" t="s">
        <v>3807</v>
      </c>
      <c r="K349" s="36" t="s">
        <v>4074</v>
      </c>
      <c r="L349" s="16" t="b">
        <v>0</v>
      </c>
      <c r="M349" s="16"/>
      <c r="N349" s="16"/>
      <c r="O349" s="16"/>
      <c r="P349" s="16"/>
      <c r="Q349" s="16"/>
      <c r="R349" s="16"/>
      <c r="S349" s="16"/>
      <c r="T349" s="16"/>
      <c r="U349" s="16"/>
      <c r="V349" s="16"/>
      <c r="W349" s="16"/>
      <c r="X349" s="16"/>
      <c r="Y349" s="16"/>
      <c r="Z349" s="16"/>
      <c r="AA349" s="16"/>
    </row>
    <row r="350" spans="1:27" ht="24" hidden="1" customHeight="1" outlineLevel="2">
      <c r="A350" s="16" t="s">
        <v>609</v>
      </c>
      <c r="B350" s="16" t="s">
        <v>4075</v>
      </c>
      <c r="C350" s="16" t="s">
        <v>611</v>
      </c>
      <c r="D350" s="16" t="s">
        <v>3790</v>
      </c>
      <c r="E350" s="204">
        <v>45040</v>
      </c>
      <c r="F350" s="16" t="b">
        <v>1</v>
      </c>
      <c r="G350" s="205" t="s">
        <v>4076</v>
      </c>
      <c r="H350" s="205"/>
      <c r="I350" s="16" t="b">
        <v>1</v>
      </c>
      <c r="J350" s="16" t="s">
        <v>3807</v>
      </c>
      <c r="K350" s="205"/>
      <c r="L350" s="16" t="b">
        <v>0</v>
      </c>
      <c r="M350" s="16"/>
      <c r="N350" s="16"/>
      <c r="O350" s="16"/>
      <c r="P350" s="16"/>
      <c r="Q350" s="16"/>
      <c r="R350" s="16"/>
      <c r="S350" s="16"/>
      <c r="T350" s="16"/>
      <c r="U350" s="16"/>
      <c r="V350" s="16"/>
      <c r="W350" s="16"/>
      <c r="X350" s="16"/>
      <c r="Y350" s="16"/>
      <c r="Z350" s="16"/>
      <c r="AA350" s="16"/>
    </row>
    <row r="351" spans="1:27" ht="24" hidden="1" customHeight="1" outlineLevel="2">
      <c r="A351" s="16" t="s">
        <v>731</v>
      </c>
      <c r="B351" s="16" t="s">
        <v>4077</v>
      </c>
      <c r="C351" s="16" t="s">
        <v>733</v>
      </c>
      <c r="D351" s="16" t="s">
        <v>3692</v>
      </c>
      <c r="E351" s="204">
        <v>45040</v>
      </c>
      <c r="F351" s="16" t="b">
        <v>1</v>
      </c>
      <c r="G351" s="205" t="s">
        <v>4078</v>
      </c>
      <c r="H351" s="205"/>
      <c r="I351" s="16" t="b">
        <v>1</v>
      </c>
      <c r="J351" s="16" t="s">
        <v>3807</v>
      </c>
      <c r="K351" s="205"/>
      <c r="L351" s="16" t="b">
        <v>0</v>
      </c>
      <c r="M351" s="16"/>
      <c r="N351" s="16"/>
      <c r="O351" s="16"/>
      <c r="P351" s="16"/>
      <c r="Q351" s="16"/>
      <c r="R351" s="16"/>
      <c r="S351" s="16"/>
      <c r="T351" s="16"/>
      <c r="U351" s="16"/>
      <c r="V351" s="16"/>
      <c r="W351" s="16"/>
      <c r="X351" s="16"/>
      <c r="Y351" s="16"/>
      <c r="Z351" s="16"/>
      <c r="AA351" s="16"/>
    </row>
    <row r="352" spans="1:27" ht="24" hidden="1" customHeight="1" outlineLevel="2">
      <c r="A352" s="16" t="s">
        <v>1660</v>
      </c>
      <c r="B352" s="153" t="s">
        <v>1661</v>
      </c>
      <c r="C352" s="16" t="s">
        <v>1662</v>
      </c>
      <c r="D352" s="16" t="s">
        <v>3694</v>
      </c>
      <c r="E352" s="204">
        <v>45041</v>
      </c>
      <c r="F352" s="16"/>
      <c r="G352" s="205" t="s">
        <v>4079</v>
      </c>
      <c r="H352" s="205"/>
      <c r="I352" s="16" t="b">
        <v>1</v>
      </c>
      <c r="J352" s="16" t="s">
        <v>3800</v>
      </c>
      <c r="K352" s="205"/>
      <c r="L352" s="16" t="b">
        <v>0</v>
      </c>
      <c r="M352" s="16"/>
      <c r="N352" s="16"/>
      <c r="O352" s="16"/>
      <c r="P352" s="16"/>
      <c r="Q352" s="16"/>
      <c r="R352" s="16"/>
      <c r="S352" s="16"/>
      <c r="T352" s="16"/>
      <c r="U352" s="16"/>
      <c r="V352" s="16"/>
      <c r="W352" s="16"/>
      <c r="X352" s="16"/>
      <c r="Y352" s="16"/>
      <c r="Z352" s="16"/>
      <c r="AA352" s="16"/>
    </row>
    <row r="353" spans="1:27" ht="24" hidden="1" customHeight="1" outlineLevel="2">
      <c r="A353" s="16" t="s">
        <v>527</v>
      </c>
      <c r="B353" s="16" t="s">
        <v>4080</v>
      </c>
      <c r="C353" s="16" t="s">
        <v>529</v>
      </c>
      <c r="D353" s="16" t="s">
        <v>3739</v>
      </c>
      <c r="E353" s="204">
        <v>45041</v>
      </c>
      <c r="F353" s="16" t="b">
        <v>1</v>
      </c>
      <c r="G353" s="205" t="s">
        <v>4081</v>
      </c>
      <c r="H353" s="205"/>
      <c r="I353" s="16" t="b">
        <v>1</v>
      </c>
      <c r="J353" s="16" t="s">
        <v>3786</v>
      </c>
      <c r="K353" s="205"/>
      <c r="L353" s="16" t="b">
        <v>0</v>
      </c>
      <c r="M353" s="16"/>
      <c r="N353" s="16"/>
      <c r="O353" s="16"/>
      <c r="P353" s="16"/>
      <c r="Q353" s="16"/>
      <c r="R353" s="16"/>
      <c r="S353" s="16"/>
      <c r="T353" s="16"/>
      <c r="U353" s="16"/>
      <c r="V353" s="16"/>
      <c r="W353" s="16"/>
      <c r="X353" s="16"/>
      <c r="Y353" s="16"/>
      <c r="Z353" s="16"/>
      <c r="AA353" s="16"/>
    </row>
    <row r="354" spans="1:27" ht="24" hidden="1" customHeight="1" outlineLevel="2">
      <c r="A354" s="16" t="s">
        <v>1446</v>
      </c>
      <c r="B354" s="16" t="s">
        <v>4082</v>
      </c>
      <c r="C354" s="16" t="s">
        <v>1448</v>
      </c>
      <c r="D354" s="16" t="s">
        <v>3696</v>
      </c>
      <c r="E354" s="204">
        <v>45041</v>
      </c>
      <c r="F354" s="16" t="b">
        <v>0</v>
      </c>
      <c r="G354" s="205" t="s">
        <v>4083</v>
      </c>
      <c r="H354" s="205"/>
      <c r="I354" s="16" t="b">
        <v>1</v>
      </c>
      <c r="J354" s="116" t="s">
        <v>4084</v>
      </c>
      <c r="K354" s="205"/>
      <c r="L354" s="16" t="b">
        <v>0</v>
      </c>
      <c r="M354" s="16"/>
      <c r="N354" s="16"/>
      <c r="O354" s="16"/>
      <c r="P354" s="16"/>
      <c r="Q354" s="16"/>
      <c r="R354" s="16"/>
      <c r="S354" s="16"/>
      <c r="T354" s="16"/>
      <c r="U354" s="16"/>
      <c r="V354" s="16"/>
      <c r="W354" s="16"/>
      <c r="X354" s="16"/>
      <c r="Y354" s="16"/>
      <c r="Z354" s="16"/>
      <c r="AA354" s="16"/>
    </row>
    <row r="355" spans="1:27" ht="24" hidden="1" customHeight="1" outlineLevel="2">
      <c r="A355" s="16" t="s">
        <v>981</v>
      </c>
      <c r="B355" s="16" t="s">
        <v>982</v>
      </c>
      <c r="C355" s="16" t="s">
        <v>983</v>
      </c>
      <c r="D355" s="16" t="s">
        <v>3694</v>
      </c>
      <c r="E355" s="204">
        <v>45042</v>
      </c>
      <c r="F355" s="16"/>
      <c r="G355" s="205" t="s">
        <v>4085</v>
      </c>
      <c r="H355" s="205"/>
      <c r="I355" s="16" t="b">
        <v>1</v>
      </c>
      <c r="J355" s="16" t="s">
        <v>3800</v>
      </c>
      <c r="K355" s="205"/>
      <c r="L355" s="16" t="b">
        <v>0</v>
      </c>
      <c r="M355" s="16"/>
      <c r="N355" s="16"/>
      <c r="O355" s="16"/>
      <c r="P355" s="16"/>
      <c r="Q355" s="16"/>
      <c r="R355" s="16"/>
      <c r="S355" s="16"/>
      <c r="T355" s="16"/>
      <c r="U355" s="16"/>
      <c r="V355" s="16"/>
      <c r="W355" s="16"/>
      <c r="X355" s="16"/>
      <c r="Y355" s="16"/>
      <c r="Z355" s="16"/>
      <c r="AA355" s="16"/>
    </row>
    <row r="356" spans="1:27" ht="24" hidden="1" customHeight="1" outlineLevel="2">
      <c r="A356" s="16" t="s">
        <v>1158</v>
      </c>
      <c r="B356" s="16" t="s">
        <v>1160</v>
      </c>
      <c r="C356" s="16" t="s">
        <v>1161</v>
      </c>
      <c r="D356" s="16" t="s">
        <v>3694</v>
      </c>
      <c r="E356" s="204">
        <v>45042</v>
      </c>
      <c r="F356" s="16"/>
      <c r="G356" s="205" t="s">
        <v>4086</v>
      </c>
      <c r="H356" s="205"/>
      <c r="I356" s="16" t="b">
        <v>1</v>
      </c>
      <c r="J356" s="16" t="s">
        <v>3800</v>
      </c>
      <c r="K356" s="205"/>
      <c r="L356" s="16" t="b">
        <v>0</v>
      </c>
      <c r="M356" s="16"/>
      <c r="N356" s="16"/>
      <c r="O356" s="16"/>
      <c r="P356" s="16"/>
      <c r="Q356" s="16"/>
      <c r="R356" s="16"/>
      <c r="S356" s="16"/>
      <c r="T356" s="16"/>
      <c r="U356" s="16"/>
      <c r="V356" s="16"/>
      <c r="W356" s="16"/>
      <c r="X356" s="16"/>
      <c r="Y356" s="16"/>
      <c r="Z356" s="16"/>
      <c r="AA356" s="16"/>
    </row>
    <row r="357" spans="1:27" ht="24" hidden="1" customHeight="1" outlineLevel="2">
      <c r="A357" s="16" t="s">
        <v>286</v>
      </c>
      <c r="B357" s="16" t="s">
        <v>4087</v>
      </c>
      <c r="C357" s="16" t="s">
        <v>288</v>
      </c>
      <c r="D357" s="16" t="s">
        <v>3696</v>
      </c>
      <c r="E357" s="204">
        <v>45042</v>
      </c>
      <c r="F357" s="16" t="b">
        <v>0</v>
      </c>
      <c r="G357" s="205" t="s">
        <v>4088</v>
      </c>
      <c r="H357" s="205"/>
      <c r="I357" s="16" t="b">
        <v>1</v>
      </c>
      <c r="J357" s="16" t="s">
        <v>4084</v>
      </c>
      <c r="K357" s="205"/>
      <c r="L357" s="16" t="b">
        <v>0</v>
      </c>
      <c r="M357" s="16"/>
      <c r="N357" s="16"/>
      <c r="O357" s="16"/>
      <c r="P357" s="16"/>
      <c r="Q357" s="16"/>
      <c r="R357" s="16"/>
      <c r="S357" s="16"/>
      <c r="T357" s="16"/>
      <c r="U357" s="16"/>
      <c r="V357" s="16"/>
      <c r="W357" s="16"/>
      <c r="X357" s="16"/>
      <c r="Y357" s="16"/>
      <c r="Z357" s="16"/>
      <c r="AA357" s="16"/>
    </row>
    <row r="358" spans="1:27" ht="24" hidden="1" customHeight="1" outlineLevel="1" collapsed="1">
      <c r="A358" s="206" t="s">
        <v>4089</v>
      </c>
      <c r="B358" s="307">
        <v>73</v>
      </c>
      <c r="C358" s="307"/>
      <c r="D358" s="307"/>
      <c r="E358" s="308"/>
      <c r="F358" s="307"/>
      <c r="G358" s="307"/>
      <c r="H358" s="307"/>
      <c r="I358" s="307"/>
      <c r="J358" s="307"/>
      <c r="K358" s="307"/>
      <c r="L358" s="307"/>
      <c r="M358" s="307"/>
      <c r="N358" s="307"/>
      <c r="O358" s="307"/>
      <c r="P358" s="307"/>
      <c r="Q358" s="307"/>
      <c r="R358" s="307"/>
      <c r="S358" s="307"/>
      <c r="T358" s="307"/>
      <c r="U358" s="307"/>
      <c r="V358" s="307"/>
      <c r="W358" s="307"/>
      <c r="X358" s="307"/>
      <c r="Y358" s="307"/>
      <c r="Z358" s="307"/>
      <c r="AA358" s="307"/>
    </row>
    <row r="359" spans="1:27" ht="24" hidden="1" customHeight="1" outlineLevel="2">
      <c r="A359" s="116" t="s">
        <v>4090</v>
      </c>
      <c r="B359" s="116" t="s">
        <v>1203</v>
      </c>
      <c r="C359" s="116" t="s">
        <v>1204</v>
      </c>
      <c r="D359" s="116" t="s">
        <v>3809</v>
      </c>
      <c r="E359" s="309">
        <v>45047</v>
      </c>
      <c r="F359" s="116"/>
      <c r="G359" s="116" t="s">
        <v>4091</v>
      </c>
      <c r="H359" s="116"/>
      <c r="I359" s="116" t="b">
        <v>1</v>
      </c>
      <c r="J359" s="116" t="s">
        <v>4092</v>
      </c>
      <c r="K359" s="116"/>
      <c r="L359" s="116"/>
      <c r="M359" s="116"/>
      <c r="N359" s="116"/>
      <c r="O359" s="116"/>
      <c r="P359" s="116"/>
      <c r="Q359" s="116"/>
      <c r="R359" s="116"/>
      <c r="S359" s="116"/>
      <c r="T359" s="116"/>
      <c r="U359" s="116"/>
      <c r="V359" s="116"/>
      <c r="W359" s="116"/>
      <c r="X359" s="116"/>
      <c r="Y359" s="116"/>
      <c r="Z359" s="116"/>
      <c r="AA359" s="116"/>
    </row>
    <row r="360" spans="1:27" ht="24" hidden="1" customHeight="1" outlineLevel="2">
      <c r="A360" s="116" t="s">
        <v>314</v>
      </c>
      <c r="B360" s="116" t="s">
        <v>315</v>
      </c>
      <c r="C360" s="116" t="s">
        <v>316</v>
      </c>
      <c r="D360" s="116" t="s">
        <v>3833</v>
      </c>
      <c r="E360" s="309">
        <v>45047</v>
      </c>
      <c r="F360" s="116" t="b">
        <v>1</v>
      </c>
      <c r="G360" s="116" t="s">
        <v>4093</v>
      </c>
      <c r="H360" s="116"/>
      <c r="I360" s="116" t="b">
        <v>1</v>
      </c>
      <c r="J360" s="116" t="s">
        <v>3751</v>
      </c>
      <c r="K360" s="116"/>
      <c r="L360" s="116"/>
      <c r="M360" s="116"/>
      <c r="N360" s="116"/>
      <c r="O360" s="116"/>
      <c r="P360" s="116"/>
      <c r="Q360" s="116"/>
      <c r="R360" s="116"/>
      <c r="S360" s="116"/>
      <c r="T360" s="116"/>
      <c r="U360" s="116"/>
      <c r="V360" s="116"/>
      <c r="W360" s="116"/>
      <c r="X360" s="116"/>
      <c r="Y360" s="116"/>
      <c r="Z360" s="116"/>
      <c r="AA360" s="116"/>
    </row>
    <row r="361" spans="1:27" ht="24" hidden="1" customHeight="1" outlineLevel="2">
      <c r="A361" s="116" t="s">
        <v>637</v>
      </c>
      <c r="B361" s="116" t="s">
        <v>638</v>
      </c>
      <c r="C361" s="116" t="s">
        <v>639</v>
      </c>
      <c r="D361" s="116" t="s">
        <v>3694</v>
      </c>
      <c r="E361" s="309">
        <v>45047</v>
      </c>
      <c r="F361" s="116"/>
      <c r="G361" s="116" t="s">
        <v>4094</v>
      </c>
      <c r="H361" s="116"/>
      <c r="I361" s="116" t="b">
        <v>1</v>
      </c>
      <c r="J361" s="116" t="s">
        <v>4092</v>
      </c>
      <c r="K361" s="116"/>
      <c r="L361" s="116"/>
      <c r="M361" s="116"/>
      <c r="N361" s="116"/>
      <c r="O361" s="116"/>
      <c r="P361" s="116"/>
      <c r="Q361" s="116"/>
      <c r="R361" s="116"/>
      <c r="S361" s="116"/>
      <c r="T361" s="116"/>
      <c r="U361" s="116"/>
      <c r="V361" s="116"/>
      <c r="W361" s="116"/>
      <c r="X361" s="116"/>
      <c r="Y361" s="116"/>
      <c r="Z361" s="116"/>
      <c r="AA361" s="116"/>
    </row>
    <row r="362" spans="1:27" ht="24" hidden="1" customHeight="1" outlineLevel="2">
      <c r="A362" s="116" t="s">
        <v>220</v>
      </c>
      <c r="B362" s="116" t="s">
        <v>4095</v>
      </c>
      <c r="C362" s="116" t="s">
        <v>222</v>
      </c>
      <c r="D362" s="116" t="s">
        <v>3718</v>
      </c>
      <c r="E362" s="309">
        <v>45047</v>
      </c>
      <c r="F362" s="116" t="b">
        <v>1</v>
      </c>
      <c r="G362" s="116" t="s">
        <v>4096</v>
      </c>
      <c r="H362" s="116"/>
      <c r="I362" s="116" t="b">
        <v>1</v>
      </c>
      <c r="J362" s="116" t="s">
        <v>3621</v>
      </c>
      <c r="K362" s="116"/>
      <c r="L362" s="116"/>
      <c r="M362" s="116"/>
      <c r="N362" s="116"/>
      <c r="O362" s="116"/>
      <c r="P362" s="116"/>
      <c r="Q362" s="116"/>
      <c r="R362" s="116"/>
      <c r="S362" s="116"/>
      <c r="T362" s="116"/>
      <c r="U362" s="116"/>
      <c r="V362" s="116"/>
      <c r="W362" s="116"/>
      <c r="X362" s="116"/>
      <c r="Y362" s="116"/>
      <c r="Z362" s="116"/>
      <c r="AA362" s="116"/>
    </row>
    <row r="363" spans="1:27" ht="24" hidden="1" customHeight="1" outlineLevel="2">
      <c r="A363" s="116" t="s">
        <v>1175</v>
      </c>
      <c r="B363" s="116" t="s">
        <v>1177</v>
      </c>
      <c r="C363" s="116" t="s">
        <v>1178</v>
      </c>
      <c r="D363" s="116" t="s">
        <v>3694</v>
      </c>
      <c r="E363" s="309">
        <v>45047</v>
      </c>
      <c r="F363" s="116"/>
      <c r="G363" s="116" t="s">
        <v>4097</v>
      </c>
      <c r="H363" s="116"/>
      <c r="I363" s="116" t="b">
        <v>1</v>
      </c>
      <c r="J363" s="116" t="s">
        <v>4092</v>
      </c>
      <c r="K363" s="116"/>
      <c r="L363" s="116"/>
      <c r="M363" s="116"/>
      <c r="N363" s="116"/>
      <c r="O363" s="116"/>
      <c r="P363" s="116"/>
      <c r="Q363" s="116"/>
      <c r="R363" s="116"/>
      <c r="S363" s="116"/>
      <c r="T363" s="116"/>
      <c r="U363" s="116"/>
      <c r="V363" s="116"/>
      <c r="W363" s="116"/>
      <c r="X363" s="116"/>
      <c r="Y363" s="116"/>
      <c r="Z363" s="116"/>
      <c r="AA363" s="116"/>
    </row>
    <row r="364" spans="1:27" ht="24" hidden="1" customHeight="1" outlineLevel="2">
      <c r="A364" s="16" t="s">
        <v>196</v>
      </c>
      <c r="B364" s="16" t="s">
        <v>197</v>
      </c>
      <c r="C364" s="16" t="s">
        <v>198</v>
      </c>
      <c r="D364" s="16" t="s">
        <v>3696</v>
      </c>
      <c r="E364" s="204">
        <v>45048</v>
      </c>
      <c r="F364" s="116" t="b">
        <v>1</v>
      </c>
      <c r="G364" s="205" t="s">
        <v>4098</v>
      </c>
      <c r="H364" s="205"/>
      <c r="I364" s="116" t="b">
        <v>1</v>
      </c>
      <c r="J364" s="16" t="s">
        <v>4084</v>
      </c>
      <c r="K364" s="205"/>
      <c r="L364" s="16"/>
      <c r="M364" s="16"/>
      <c r="N364" s="16"/>
      <c r="O364" s="16"/>
      <c r="P364" s="16"/>
      <c r="Q364" s="16"/>
      <c r="R364" s="16"/>
      <c r="S364" s="16"/>
      <c r="T364" s="16"/>
      <c r="U364" s="16"/>
      <c r="V364" s="16"/>
      <c r="W364" s="16"/>
      <c r="X364" s="16"/>
      <c r="Y364" s="16"/>
      <c r="Z364" s="16"/>
      <c r="AA364" s="16"/>
    </row>
    <row r="365" spans="1:27" ht="24" hidden="1" customHeight="1" outlineLevel="2">
      <c r="A365" s="16" t="s">
        <v>787</v>
      </c>
      <c r="B365" s="16" t="s">
        <v>789</v>
      </c>
      <c r="C365" s="16" t="s">
        <v>790</v>
      </c>
      <c r="D365" s="16" t="s">
        <v>3694</v>
      </c>
      <c r="E365" s="204">
        <v>45048</v>
      </c>
      <c r="F365" s="116" t="b">
        <v>1</v>
      </c>
      <c r="G365" s="205" t="s">
        <v>4099</v>
      </c>
      <c r="H365" s="205"/>
      <c r="I365" s="116" t="b">
        <v>1</v>
      </c>
      <c r="J365" s="116" t="s">
        <v>4092</v>
      </c>
      <c r="K365" s="205"/>
      <c r="L365" s="16"/>
      <c r="M365" s="16"/>
      <c r="N365" s="16"/>
      <c r="O365" s="16"/>
      <c r="P365" s="16"/>
      <c r="Q365" s="16"/>
      <c r="R365" s="16"/>
      <c r="S365" s="16"/>
      <c r="T365" s="16"/>
      <c r="U365" s="16"/>
      <c r="V365" s="16"/>
      <c r="W365" s="16"/>
      <c r="X365" s="16"/>
      <c r="Y365" s="16"/>
      <c r="Z365" s="16"/>
      <c r="AA365" s="16"/>
    </row>
    <row r="366" spans="1:27" ht="24" hidden="1" customHeight="1" outlineLevel="2">
      <c r="A366" s="16" t="s">
        <v>1966</v>
      </c>
      <c r="B366" s="16" t="s">
        <v>1967</v>
      </c>
      <c r="C366" s="16" t="s">
        <v>1968</v>
      </c>
      <c r="D366" s="16" t="s">
        <v>3692</v>
      </c>
      <c r="E366" s="204">
        <v>45048</v>
      </c>
      <c r="F366" s="116" t="b">
        <v>1</v>
      </c>
      <c r="G366" s="205" t="s">
        <v>4100</v>
      </c>
      <c r="H366" s="205"/>
      <c r="I366" s="16" t="b">
        <v>1</v>
      </c>
      <c r="J366" s="16" t="s">
        <v>3807</v>
      </c>
      <c r="K366" s="205"/>
      <c r="L366" s="16"/>
      <c r="M366" s="16"/>
      <c r="N366" s="16"/>
      <c r="O366" s="16"/>
      <c r="P366" s="16"/>
      <c r="Q366" s="16"/>
      <c r="R366" s="16"/>
      <c r="S366" s="16"/>
      <c r="T366" s="16"/>
      <c r="U366" s="16"/>
      <c r="V366" s="16"/>
      <c r="W366" s="16"/>
      <c r="X366" s="16"/>
      <c r="Y366" s="16"/>
      <c r="Z366" s="16"/>
      <c r="AA366" s="16"/>
    </row>
    <row r="367" spans="1:27" ht="24" hidden="1" customHeight="1" outlineLevel="2">
      <c r="A367" s="16" t="s">
        <v>653</v>
      </c>
      <c r="B367" s="16" t="s">
        <v>654</v>
      </c>
      <c r="C367" s="16" t="s">
        <v>655</v>
      </c>
      <c r="D367" s="16" t="s">
        <v>3696</v>
      </c>
      <c r="E367" s="204">
        <v>45048</v>
      </c>
      <c r="F367" s="116" t="b">
        <v>1</v>
      </c>
      <c r="G367" s="205" t="s">
        <v>4101</v>
      </c>
      <c r="H367" s="205"/>
      <c r="I367" s="16" t="b">
        <v>1</v>
      </c>
      <c r="J367" s="16" t="s">
        <v>4084</v>
      </c>
      <c r="K367" s="205"/>
      <c r="L367" s="16"/>
      <c r="M367" s="16"/>
      <c r="N367" s="16"/>
      <c r="O367" s="16"/>
      <c r="P367" s="16"/>
      <c r="Q367" s="16"/>
      <c r="R367" s="16"/>
      <c r="S367" s="16"/>
      <c r="T367" s="16"/>
      <c r="U367" s="16"/>
      <c r="V367" s="16"/>
      <c r="W367" s="16"/>
      <c r="X367" s="16"/>
      <c r="Y367" s="16"/>
      <c r="Z367" s="16"/>
      <c r="AA367" s="16"/>
    </row>
    <row r="368" spans="1:27" ht="24" hidden="1" customHeight="1" outlineLevel="2">
      <c r="A368" s="16" t="s">
        <v>1517</v>
      </c>
      <c r="B368" s="16" t="s">
        <v>1518</v>
      </c>
      <c r="C368" s="16" t="s">
        <v>1519</v>
      </c>
      <c r="D368" s="16" t="s">
        <v>3696</v>
      </c>
      <c r="E368" s="204">
        <v>45048</v>
      </c>
      <c r="F368" s="116" t="b">
        <v>1</v>
      </c>
      <c r="G368" s="205" t="s">
        <v>4102</v>
      </c>
      <c r="H368" s="205"/>
      <c r="I368" s="16" t="b">
        <v>1</v>
      </c>
      <c r="J368" s="16" t="s">
        <v>4084</v>
      </c>
      <c r="K368" s="205"/>
      <c r="L368" s="16"/>
      <c r="M368" s="16"/>
      <c r="N368" s="16"/>
      <c r="O368" s="16"/>
      <c r="P368" s="16"/>
      <c r="Q368" s="16"/>
      <c r="R368" s="16"/>
      <c r="S368" s="16"/>
      <c r="T368" s="16"/>
      <c r="U368" s="16"/>
      <c r="V368" s="16"/>
      <c r="W368" s="16"/>
      <c r="X368" s="16"/>
      <c r="Y368" s="16"/>
      <c r="Z368" s="16"/>
      <c r="AA368" s="16"/>
    </row>
    <row r="369" spans="1:27" ht="24" hidden="1" customHeight="1" outlineLevel="2">
      <c r="A369" s="16" t="s">
        <v>1248</v>
      </c>
      <c r="B369" s="16" t="s">
        <v>1249</v>
      </c>
      <c r="C369" s="16" t="s">
        <v>1250</v>
      </c>
      <c r="D369" s="16" t="s">
        <v>4069</v>
      </c>
      <c r="E369" s="204">
        <v>45049</v>
      </c>
      <c r="F369" s="116" t="b">
        <v>1</v>
      </c>
      <c r="G369" s="205" t="s">
        <v>4103</v>
      </c>
      <c r="H369" s="205"/>
      <c r="I369" s="116" t="b">
        <v>1</v>
      </c>
      <c r="J369" s="116" t="s">
        <v>4092</v>
      </c>
      <c r="K369" s="205"/>
      <c r="L369" s="16"/>
      <c r="M369" s="16"/>
      <c r="N369" s="16"/>
      <c r="O369" s="16"/>
      <c r="P369" s="16"/>
      <c r="Q369" s="16"/>
      <c r="R369" s="16"/>
      <c r="S369" s="16"/>
      <c r="T369" s="16"/>
      <c r="U369" s="16"/>
      <c r="V369" s="16"/>
      <c r="W369" s="16"/>
      <c r="X369" s="16"/>
      <c r="Y369" s="16"/>
      <c r="Z369" s="16"/>
      <c r="AA369" s="16"/>
    </row>
    <row r="370" spans="1:27" ht="24" hidden="1" customHeight="1" outlineLevel="2">
      <c r="A370" s="16" t="s">
        <v>667</v>
      </c>
      <c r="B370" s="16" t="s">
        <v>669</v>
      </c>
      <c r="C370" s="16" t="s">
        <v>670</v>
      </c>
      <c r="D370" s="16" t="s">
        <v>4104</v>
      </c>
      <c r="E370" s="204">
        <v>45050</v>
      </c>
      <c r="F370" s="116" t="b">
        <v>1</v>
      </c>
      <c r="G370" s="205" t="s">
        <v>4105</v>
      </c>
      <c r="H370" s="205"/>
      <c r="I370" s="16" t="b">
        <v>1</v>
      </c>
      <c r="J370" s="16" t="s">
        <v>4106</v>
      </c>
      <c r="K370" s="205"/>
      <c r="L370" s="16"/>
      <c r="M370" s="16"/>
      <c r="N370" s="16"/>
      <c r="O370" s="16"/>
      <c r="P370" s="16"/>
      <c r="Q370" s="16"/>
      <c r="R370" s="16"/>
      <c r="S370" s="16"/>
      <c r="T370" s="16"/>
      <c r="U370" s="16"/>
      <c r="V370" s="16"/>
      <c r="W370" s="16"/>
      <c r="X370" s="16"/>
      <c r="Y370" s="16"/>
      <c r="Z370" s="16"/>
      <c r="AA370" s="16"/>
    </row>
    <row r="371" spans="1:27" ht="24" hidden="1" customHeight="1" outlineLevel="2">
      <c r="A371" s="16" t="s">
        <v>4107</v>
      </c>
      <c r="B371" s="16" t="s">
        <v>904</v>
      </c>
      <c r="C371" s="16" t="s">
        <v>905</v>
      </c>
      <c r="D371" s="16" t="s">
        <v>3809</v>
      </c>
      <c r="E371" s="204">
        <v>45051</v>
      </c>
      <c r="F371" s="116" t="b">
        <v>1</v>
      </c>
      <c r="G371" s="205"/>
      <c r="H371" s="205"/>
      <c r="I371" s="16" t="b">
        <v>1</v>
      </c>
      <c r="J371" s="116" t="s">
        <v>4092</v>
      </c>
      <c r="K371" s="205"/>
      <c r="L371" s="16"/>
      <c r="M371" s="16"/>
      <c r="N371" s="16"/>
      <c r="O371" s="16"/>
      <c r="P371" s="16"/>
      <c r="Q371" s="16"/>
      <c r="R371" s="16"/>
      <c r="S371" s="16"/>
      <c r="T371" s="16"/>
      <c r="U371" s="16"/>
      <c r="V371" s="16"/>
      <c r="W371" s="16"/>
      <c r="X371" s="16"/>
      <c r="Y371" s="16"/>
      <c r="Z371" s="16"/>
      <c r="AA371" s="16"/>
    </row>
    <row r="372" spans="1:27" ht="24" hidden="1" customHeight="1" outlineLevel="2">
      <c r="A372" s="16" t="s">
        <v>4108</v>
      </c>
      <c r="B372" s="16" t="s">
        <v>1043</v>
      </c>
      <c r="C372" s="16" t="s">
        <v>1044</v>
      </c>
      <c r="D372" s="16" t="s">
        <v>3809</v>
      </c>
      <c r="E372" s="204">
        <v>45054</v>
      </c>
      <c r="F372" s="116" t="b">
        <v>1</v>
      </c>
      <c r="G372" s="205" t="s">
        <v>4109</v>
      </c>
      <c r="H372" s="205"/>
      <c r="I372" s="116" t="b">
        <v>1</v>
      </c>
      <c r="J372" s="116" t="s">
        <v>4092</v>
      </c>
      <c r="K372" s="205"/>
      <c r="L372" s="16"/>
      <c r="M372" s="16"/>
      <c r="N372" s="16"/>
      <c r="O372" s="16"/>
      <c r="P372" s="16"/>
      <c r="Q372" s="16"/>
      <c r="R372" s="16"/>
      <c r="S372" s="16"/>
      <c r="T372" s="16"/>
      <c r="U372" s="16"/>
      <c r="V372" s="16"/>
      <c r="W372" s="16"/>
      <c r="X372" s="16"/>
      <c r="Y372" s="16"/>
      <c r="Z372" s="16"/>
      <c r="AA372" s="16"/>
    </row>
    <row r="373" spans="1:27" ht="24" hidden="1" customHeight="1" outlineLevel="2">
      <c r="A373" s="16" t="s">
        <v>4110</v>
      </c>
      <c r="B373" s="16" t="s">
        <v>1273</v>
      </c>
      <c r="C373" s="16" t="s">
        <v>1274</v>
      </c>
      <c r="D373" s="16" t="s">
        <v>3696</v>
      </c>
      <c r="E373" s="204">
        <v>45054</v>
      </c>
      <c r="F373" s="116" t="b">
        <v>1</v>
      </c>
      <c r="G373" s="205" t="s">
        <v>4111</v>
      </c>
      <c r="H373" s="205"/>
      <c r="I373" s="16" t="b">
        <v>1</v>
      </c>
      <c r="J373" s="16" t="s">
        <v>4084</v>
      </c>
      <c r="K373" s="205"/>
      <c r="L373" s="16"/>
      <c r="M373" s="16"/>
      <c r="N373" s="16"/>
      <c r="O373" s="16"/>
      <c r="P373" s="16"/>
      <c r="Q373" s="16"/>
      <c r="R373" s="16"/>
      <c r="S373" s="16"/>
      <c r="T373" s="16"/>
      <c r="U373" s="16"/>
      <c r="V373" s="16"/>
      <c r="W373" s="16"/>
      <c r="X373" s="16"/>
      <c r="Y373" s="16"/>
      <c r="Z373" s="16"/>
      <c r="AA373" s="16"/>
    </row>
    <row r="374" spans="1:27" ht="24" hidden="1" customHeight="1" outlineLevel="2">
      <c r="A374" s="16" t="s">
        <v>410</v>
      </c>
      <c r="B374" s="16" t="s">
        <v>411</v>
      </c>
      <c r="C374" s="16" t="s">
        <v>412</v>
      </c>
      <c r="D374" s="16" t="s">
        <v>3692</v>
      </c>
      <c r="E374" s="204">
        <v>45054</v>
      </c>
      <c r="F374" s="116" t="b">
        <v>1</v>
      </c>
      <c r="G374" s="205" t="s">
        <v>4112</v>
      </c>
      <c r="H374" s="205"/>
      <c r="I374" s="116" t="b">
        <v>1</v>
      </c>
      <c r="J374" s="16" t="s">
        <v>3807</v>
      </c>
      <c r="K374" s="205"/>
      <c r="L374" s="16"/>
      <c r="M374" s="16"/>
      <c r="N374" s="16"/>
      <c r="O374" s="16"/>
      <c r="P374" s="16"/>
      <c r="Q374" s="16"/>
      <c r="R374" s="16"/>
      <c r="S374" s="16"/>
      <c r="T374" s="16"/>
      <c r="U374" s="16"/>
      <c r="V374" s="16"/>
      <c r="W374" s="16"/>
      <c r="X374" s="16"/>
      <c r="Y374" s="16"/>
      <c r="Z374" s="16"/>
      <c r="AA374" s="16"/>
    </row>
    <row r="375" spans="1:27" ht="24" hidden="1" customHeight="1" outlineLevel="2">
      <c r="A375" s="16" t="s">
        <v>686</v>
      </c>
      <c r="B375" s="16" t="s">
        <v>688</v>
      </c>
      <c r="C375" s="16" t="s">
        <v>689</v>
      </c>
      <c r="D375" s="16" t="s">
        <v>3692</v>
      </c>
      <c r="E375" s="204">
        <v>45054</v>
      </c>
      <c r="F375" s="116" t="b">
        <v>1</v>
      </c>
      <c r="G375" s="187" t="s">
        <v>4113</v>
      </c>
      <c r="H375" s="187"/>
      <c r="I375" s="116" t="b">
        <v>1</v>
      </c>
      <c r="J375" s="16" t="s">
        <v>3807</v>
      </c>
      <c r="K375" s="205"/>
      <c r="L375" s="16"/>
      <c r="M375" s="16"/>
      <c r="N375" s="16"/>
      <c r="O375" s="16"/>
      <c r="P375" s="16"/>
      <c r="Q375" s="16"/>
      <c r="R375" s="16"/>
      <c r="S375" s="16"/>
      <c r="T375" s="16"/>
      <c r="U375" s="16"/>
      <c r="V375" s="16"/>
      <c r="W375" s="16"/>
      <c r="X375" s="16"/>
      <c r="Y375" s="16"/>
      <c r="Z375" s="16"/>
      <c r="AA375" s="16"/>
    </row>
    <row r="376" spans="1:27" ht="24" hidden="1" customHeight="1" outlineLevel="2">
      <c r="A376" s="16" t="s">
        <v>4114</v>
      </c>
      <c r="B376" s="16" t="s">
        <v>1396</v>
      </c>
      <c r="C376" s="16" t="s">
        <v>1397</v>
      </c>
      <c r="D376" s="16" t="s">
        <v>3809</v>
      </c>
      <c r="E376" s="204">
        <v>45054</v>
      </c>
      <c r="F376" s="116" t="b">
        <v>1</v>
      </c>
      <c r="G376" s="205" t="s">
        <v>4115</v>
      </c>
      <c r="H376" s="205"/>
      <c r="I376" s="116" t="b">
        <v>1</v>
      </c>
      <c r="J376" s="116" t="s">
        <v>4092</v>
      </c>
      <c r="K376" s="205"/>
      <c r="L376" s="16"/>
      <c r="M376" s="16"/>
      <c r="N376" s="16"/>
      <c r="O376" s="16"/>
      <c r="P376" s="16"/>
      <c r="Q376" s="16"/>
      <c r="R376" s="16"/>
      <c r="S376" s="16"/>
      <c r="T376" s="16"/>
      <c r="U376" s="16"/>
      <c r="V376" s="16"/>
      <c r="W376" s="16"/>
      <c r="X376" s="16"/>
      <c r="Y376" s="16"/>
      <c r="Z376" s="16"/>
      <c r="AA376" s="16"/>
    </row>
    <row r="377" spans="1:27" ht="24" hidden="1" customHeight="1" outlineLevel="2">
      <c r="A377" s="16" t="s">
        <v>4116</v>
      </c>
      <c r="B377" s="16" t="s">
        <v>694</v>
      </c>
      <c r="C377" s="16" t="s">
        <v>695</v>
      </c>
      <c r="D377" s="16" t="s">
        <v>3696</v>
      </c>
      <c r="E377" s="204">
        <v>45055</v>
      </c>
      <c r="F377" s="116" t="b">
        <v>1</v>
      </c>
      <c r="G377" s="187" t="s">
        <v>4117</v>
      </c>
      <c r="H377" s="187"/>
      <c r="I377" s="116" t="b">
        <v>1</v>
      </c>
      <c r="J377" s="16" t="s">
        <v>4084</v>
      </c>
      <c r="K377" s="205"/>
      <c r="L377" s="16"/>
      <c r="M377" s="16"/>
      <c r="N377" s="16"/>
      <c r="O377" s="16"/>
      <c r="P377" s="16"/>
      <c r="Q377" s="16"/>
      <c r="R377" s="16"/>
      <c r="S377" s="16"/>
      <c r="T377" s="16"/>
      <c r="U377" s="16"/>
      <c r="V377" s="16"/>
      <c r="W377" s="16"/>
      <c r="X377" s="16"/>
      <c r="Y377" s="16"/>
      <c r="Z377" s="16"/>
      <c r="AA377" s="16"/>
    </row>
    <row r="378" spans="1:27" ht="24" hidden="1" customHeight="1" outlineLevel="2">
      <c r="A378" s="16" t="s">
        <v>1216</v>
      </c>
      <c r="B378" s="16" t="s">
        <v>1217</v>
      </c>
      <c r="C378" s="16" t="s">
        <v>1218</v>
      </c>
      <c r="D378" s="16" t="s">
        <v>3718</v>
      </c>
      <c r="E378" s="204">
        <v>45055</v>
      </c>
      <c r="F378" s="116" t="b">
        <v>1</v>
      </c>
      <c r="G378" s="205" t="s">
        <v>4118</v>
      </c>
      <c r="H378" s="205"/>
      <c r="I378" s="116" t="b">
        <v>1</v>
      </c>
      <c r="J378" s="116" t="s">
        <v>3621</v>
      </c>
      <c r="K378" s="205" t="s">
        <v>3953</v>
      </c>
      <c r="L378" s="16"/>
      <c r="M378" s="16"/>
      <c r="N378" s="16"/>
      <c r="O378" s="16"/>
      <c r="P378" s="16"/>
      <c r="Q378" s="16"/>
      <c r="R378" s="16"/>
      <c r="S378" s="16"/>
      <c r="T378" s="16"/>
      <c r="U378" s="16"/>
      <c r="V378" s="16"/>
      <c r="W378" s="16"/>
      <c r="X378" s="16"/>
      <c r="Y378" s="16"/>
      <c r="Z378" s="16"/>
      <c r="AA378" s="16"/>
    </row>
    <row r="379" spans="1:27" ht="24" hidden="1" customHeight="1" outlineLevel="2">
      <c r="A379" s="16" t="s">
        <v>993</v>
      </c>
      <c r="B379" s="16" t="s">
        <v>994</v>
      </c>
      <c r="C379" s="16" t="s">
        <v>4119</v>
      </c>
      <c r="D379" s="16" t="s">
        <v>3694</v>
      </c>
      <c r="E379" s="204">
        <v>45056</v>
      </c>
      <c r="F379" s="116" t="b">
        <v>1</v>
      </c>
      <c r="G379" s="205" t="s">
        <v>4120</v>
      </c>
      <c r="H379" s="205"/>
      <c r="I379" s="116" t="b">
        <v>1</v>
      </c>
      <c r="J379" s="116" t="s">
        <v>4092</v>
      </c>
      <c r="K379" s="205"/>
      <c r="L379" s="16"/>
      <c r="M379" s="16"/>
      <c r="N379" s="16"/>
      <c r="O379" s="16"/>
      <c r="P379" s="16"/>
      <c r="Q379" s="16"/>
      <c r="R379" s="16"/>
      <c r="S379" s="16"/>
      <c r="T379" s="16"/>
      <c r="U379" s="16"/>
      <c r="V379" s="16"/>
      <c r="W379" s="16"/>
      <c r="X379" s="16"/>
      <c r="Y379" s="16"/>
      <c r="Z379" s="16"/>
      <c r="AA379" s="16"/>
    </row>
    <row r="380" spans="1:27" ht="24" hidden="1" customHeight="1" outlineLevel="2">
      <c r="A380" s="16" t="s">
        <v>4121</v>
      </c>
      <c r="B380" s="16" t="s">
        <v>1101</v>
      </c>
      <c r="C380" s="16" t="s">
        <v>4122</v>
      </c>
      <c r="D380" s="16" t="s">
        <v>3696</v>
      </c>
      <c r="E380" s="204">
        <v>45056</v>
      </c>
      <c r="F380" s="116" t="b">
        <v>0</v>
      </c>
      <c r="G380" s="205" t="s">
        <v>4123</v>
      </c>
      <c r="H380" s="205"/>
      <c r="I380" s="116" t="b">
        <v>1</v>
      </c>
      <c r="J380" s="16" t="s">
        <v>4084</v>
      </c>
      <c r="K380" s="205"/>
      <c r="L380" s="16"/>
      <c r="M380" s="16"/>
      <c r="N380" s="16"/>
      <c r="O380" s="16"/>
      <c r="P380" s="16"/>
      <c r="Q380" s="16"/>
      <c r="R380" s="16"/>
      <c r="S380" s="16"/>
      <c r="T380" s="16"/>
      <c r="U380" s="16"/>
      <c r="V380" s="16"/>
      <c r="W380" s="16"/>
      <c r="X380" s="16"/>
      <c r="Y380" s="16"/>
      <c r="Z380" s="16"/>
      <c r="AA380" s="16"/>
    </row>
    <row r="381" spans="1:27" ht="24" hidden="1" customHeight="1" outlineLevel="2">
      <c r="A381" s="16" t="s">
        <v>4124</v>
      </c>
      <c r="B381" s="16" t="s">
        <v>706</v>
      </c>
      <c r="C381" s="16" t="s">
        <v>707</v>
      </c>
      <c r="D381" s="16" t="s">
        <v>3696</v>
      </c>
      <c r="E381" s="204">
        <v>45056</v>
      </c>
      <c r="F381" s="116" t="b">
        <v>1</v>
      </c>
      <c r="G381" s="205" t="s">
        <v>4125</v>
      </c>
      <c r="H381" s="205"/>
      <c r="I381" s="116" t="b">
        <v>1</v>
      </c>
      <c r="J381" s="16" t="s">
        <v>4084</v>
      </c>
      <c r="K381" s="205"/>
      <c r="L381" s="16"/>
      <c r="M381" s="16"/>
      <c r="N381" s="16"/>
      <c r="O381" s="16"/>
      <c r="P381" s="16"/>
      <c r="Q381" s="16"/>
      <c r="R381" s="16"/>
      <c r="S381" s="16"/>
      <c r="T381" s="16"/>
      <c r="U381" s="16"/>
      <c r="V381" s="16"/>
      <c r="W381" s="16"/>
      <c r="X381" s="16"/>
      <c r="Y381" s="16"/>
      <c r="Z381" s="16"/>
      <c r="AA381" s="16"/>
    </row>
    <row r="382" spans="1:27" ht="24" hidden="1" customHeight="1" outlineLevel="2">
      <c r="A382" s="16" t="s">
        <v>530</v>
      </c>
      <c r="B382" s="16" t="s">
        <v>531</v>
      </c>
      <c r="C382" s="16" t="s">
        <v>4126</v>
      </c>
      <c r="D382" s="16" t="s">
        <v>3692</v>
      </c>
      <c r="E382" s="204">
        <v>45056</v>
      </c>
      <c r="F382" s="116" t="b">
        <v>1</v>
      </c>
      <c r="G382" s="205" t="s">
        <v>4127</v>
      </c>
      <c r="H382" s="205"/>
      <c r="I382" s="116" t="b">
        <v>1</v>
      </c>
      <c r="J382" s="16" t="s">
        <v>3807</v>
      </c>
      <c r="K382" s="205" t="s">
        <v>4128</v>
      </c>
      <c r="L382" s="16"/>
      <c r="M382" s="16"/>
      <c r="N382" s="16"/>
      <c r="O382" s="16"/>
      <c r="P382" s="16"/>
      <c r="Q382" s="16"/>
      <c r="R382" s="16"/>
      <c r="S382" s="16"/>
      <c r="T382" s="16"/>
      <c r="U382" s="16"/>
      <c r="V382" s="16"/>
      <c r="W382" s="16"/>
      <c r="X382" s="16"/>
      <c r="Y382" s="16"/>
      <c r="Z382" s="16"/>
      <c r="AA382" s="16"/>
    </row>
    <row r="383" spans="1:27" ht="24" hidden="1" customHeight="1" outlineLevel="2">
      <c r="A383" s="16" t="s">
        <v>4129</v>
      </c>
      <c r="B383" s="16" t="s">
        <v>4130</v>
      </c>
      <c r="C383" s="16" t="s">
        <v>4131</v>
      </c>
      <c r="D383" s="16" t="s">
        <v>3790</v>
      </c>
      <c r="E383" s="204">
        <v>45056</v>
      </c>
      <c r="F383" s="116" t="b">
        <v>1</v>
      </c>
      <c r="G383" s="205" t="s">
        <v>4132</v>
      </c>
      <c r="H383" s="205"/>
      <c r="I383" s="116" t="b">
        <v>1</v>
      </c>
      <c r="J383" s="16" t="s">
        <v>3807</v>
      </c>
      <c r="K383" s="205"/>
      <c r="L383" s="16"/>
      <c r="M383" s="16"/>
      <c r="N383" s="16"/>
      <c r="O383" s="16"/>
      <c r="P383" s="16"/>
      <c r="Q383" s="16"/>
      <c r="R383" s="16"/>
      <c r="S383" s="16"/>
      <c r="T383" s="16"/>
      <c r="U383" s="16"/>
      <c r="V383" s="16"/>
      <c r="W383" s="16"/>
      <c r="X383" s="16"/>
      <c r="Y383" s="16"/>
      <c r="Z383" s="16"/>
      <c r="AA383" s="16"/>
    </row>
    <row r="384" spans="1:27" ht="24" hidden="1" customHeight="1" outlineLevel="2">
      <c r="A384" s="16" t="s">
        <v>4133</v>
      </c>
      <c r="B384" s="16" t="s">
        <v>1232</v>
      </c>
      <c r="C384" s="16" t="s">
        <v>1233</v>
      </c>
      <c r="D384" s="16" t="s">
        <v>3696</v>
      </c>
      <c r="E384" s="204">
        <v>45057</v>
      </c>
      <c r="F384" s="116" t="b">
        <v>1</v>
      </c>
      <c r="G384" s="205" t="s">
        <v>4134</v>
      </c>
      <c r="H384" s="205"/>
      <c r="I384" s="116" t="b">
        <v>1</v>
      </c>
      <c r="J384" s="16" t="s">
        <v>4084</v>
      </c>
      <c r="K384" s="205"/>
      <c r="L384" s="16"/>
      <c r="M384" s="16"/>
      <c r="N384" s="16"/>
      <c r="O384" s="16"/>
      <c r="P384" s="16"/>
      <c r="Q384" s="16"/>
      <c r="R384" s="16"/>
      <c r="S384" s="16"/>
      <c r="T384" s="16"/>
      <c r="U384" s="16"/>
      <c r="V384" s="16"/>
      <c r="W384" s="16"/>
      <c r="X384" s="16"/>
      <c r="Y384" s="16"/>
      <c r="Z384" s="16"/>
      <c r="AA384" s="16"/>
    </row>
    <row r="385" spans="1:27" ht="24" hidden="1" customHeight="1" outlineLevel="2">
      <c r="A385" s="16" t="s">
        <v>721</v>
      </c>
      <c r="B385" s="16" t="s">
        <v>723</v>
      </c>
      <c r="C385" s="16" t="s">
        <v>724</v>
      </c>
      <c r="D385" s="16" t="s">
        <v>3696</v>
      </c>
      <c r="E385" s="204">
        <v>45057</v>
      </c>
      <c r="F385" s="116" t="b">
        <v>1</v>
      </c>
      <c r="G385" s="205" t="s">
        <v>4135</v>
      </c>
      <c r="H385" s="205"/>
      <c r="I385" s="116" t="b">
        <v>1</v>
      </c>
      <c r="J385" s="16" t="s">
        <v>4084</v>
      </c>
      <c r="K385" s="205"/>
      <c r="L385" s="16"/>
      <c r="M385" s="16"/>
      <c r="N385" s="16"/>
      <c r="O385" s="16"/>
      <c r="P385" s="16"/>
      <c r="Q385" s="16"/>
      <c r="R385" s="16"/>
      <c r="S385" s="16"/>
      <c r="T385" s="16"/>
      <c r="U385" s="16"/>
      <c r="V385" s="16"/>
      <c r="W385" s="16"/>
      <c r="X385" s="16"/>
      <c r="Y385" s="16"/>
      <c r="Z385" s="16"/>
      <c r="AA385" s="16"/>
    </row>
    <row r="386" spans="1:27" ht="24" hidden="1" customHeight="1" outlineLevel="2">
      <c r="A386" s="16" t="s">
        <v>4136</v>
      </c>
      <c r="B386" s="16" t="s">
        <v>4137</v>
      </c>
      <c r="C386" s="16" t="s">
        <v>122</v>
      </c>
      <c r="D386" s="16" t="s">
        <v>3790</v>
      </c>
      <c r="E386" s="204">
        <v>45057</v>
      </c>
      <c r="F386" s="116" t="b">
        <v>1</v>
      </c>
      <c r="G386" s="205" t="s">
        <v>4138</v>
      </c>
      <c r="H386" s="205"/>
      <c r="I386" s="116" t="b">
        <v>1</v>
      </c>
      <c r="J386" s="16" t="s">
        <v>3807</v>
      </c>
      <c r="K386" s="205"/>
      <c r="L386" s="16"/>
      <c r="M386" s="16"/>
      <c r="N386" s="16"/>
      <c r="O386" s="16"/>
      <c r="P386" s="16"/>
      <c r="Q386" s="16"/>
      <c r="R386" s="16"/>
      <c r="S386" s="16"/>
      <c r="T386" s="16"/>
      <c r="U386" s="16"/>
      <c r="V386" s="16"/>
      <c r="W386" s="16"/>
      <c r="X386" s="16"/>
      <c r="Y386" s="16"/>
      <c r="Z386" s="16"/>
      <c r="AA386" s="16"/>
    </row>
    <row r="387" spans="1:27" ht="24" hidden="1" customHeight="1" outlineLevel="2">
      <c r="A387" s="16" t="s">
        <v>4139</v>
      </c>
      <c r="B387" s="16" t="s">
        <v>1229</v>
      </c>
      <c r="C387" s="16" t="s">
        <v>1230</v>
      </c>
      <c r="D387" s="16" t="s">
        <v>3809</v>
      </c>
      <c r="E387" s="204">
        <v>45058</v>
      </c>
      <c r="F387" s="116" t="b">
        <v>1</v>
      </c>
      <c r="G387" s="205" t="s">
        <v>4140</v>
      </c>
      <c r="H387" s="205"/>
      <c r="I387" s="116" t="b">
        <v>1</v>
      </c>
      <c r="J387" s="116" t="s">
        <v>4092</v>
      </c>
      <c r="K387" s="205"/>
      <c r="L387" s="16"/>
      <c r="M387" s="16"/>
      <c r="N387" s="16"/>
      <c r="O387" s="16"/>
      <c r="P387" s="16"/>
      <c r="Q387" s="16"/>
      <c r="R387" s="16"/>
      <c r="S387" s="16"/>
      <c r="T387" s="16"/>
      <c r="U387" s="16"/>
      <c r="V387" s="16"/>
      <c r="W387" s="16"/>
      <c r="X387" s="16"/>
      <c r="Y387" s="16"/>
      <c r="Z387" s="16"/>
      <c r="AA387" s="16"/>
    </row>
    <row r="388" spans="1:27" ht="24" hidden="1" customHeight="1" outlineLevel="2">
      <c r="A388" s="16" t="s">
        <v>4141</v>
      </c>
      <c r="B388" s="16" t="s">
        <v>135</v>
      </c>
      <c r="C388" s="16"/>
      <c r="D388" s="16" t="s">
        <v>3833</v>
      </c>
      <c r="E388" s="204">
        <v>45058</v>
      </c>
      <c r="F388" s="116" t="b">
        <v>1</v>
      </c>
      <c r="G388" s="205" t="s">
        <v>4142</v>
      </c>
      <c r="H388" s="205"/>
      <c r="I388" s="116" t="b">
        <v>1</v>
      </c>
      <c r="J388" s="116" t="s">
        <v>3751</v>
      </c>
      <c r="K388" s="205"/>
      <c r="L388" s="16"/>
      <c r="M388" s="16"/>
      <c r="N388" s="16"/>
      <c r="O388" s="16"/>
      <c r="P388" s="16"/>
      <c r="Q388" s="16"/>
      <c r="R388" s="16"/>
      <c r="S388" s="16"/>
      <c r="T388" s="16"/>
      <c r="U388" s="16"/>
      <c r="V388" s="16"/>
      <c r="W388" s="16"/>
      <c r="X388" s="16"/>
      <c r="Y388" s="16"/>
      <c r="Z388" s="16"/>
      <c r="AA388" s="16"/>
    </row>
    <row r="389" spans="1:27" ht="24" hidden="1" customHeight="1" outlineLevel="2">
      <c r="A389" s="16" t="s">
        <v>4143</v>
      </c>
      <c r="B389" s="16" t="s">
        <v>1238</v>
      </c>
      <c r="C389" s="16" t="s">
        <v>1239</v>
      </c>
      <c r="D389" s="16" t="s">
        <v>3809</v>
      </c>
      <c r="E389" s="204">
        <v>45058</v>
      </c>
      <c r="F389" s="116" t="b">
        <v>1</v>
      </c>
      <c r="G389" s="205" t="s">
        <v>4144</v>
      </c>
      <c r="H389" s="205"/>
      <c r="I389" s="116" t="b">
        <v>1</v>
      </c>
      <c r="J389" s="116" t="s">
        <v>4092</v>
      </c>
      <c r="K389" s="205"/>
      <c r="L389" s="16"/>
      <c r="M389" s="16"/>
      <c r="N389" s="16"/>
      <c r="O389" s="16"/>
      <c r="P389" s="16"/>
      <c r="Q389" s="16"/>
      <c r="R389" s="16"/>
      <c r="S389" s="16"/>
      <c r="T389" s="16"/>
      <c r="U389" s="16"/>
      <c r="V389" s="16"/>
      <c r="W389" s="16"/>
      <c r="X389" s="16"/>
      <c r="Y389" s="16"/>
      <c r="Z389" s="16"/>
      <c r="AA389" s="16"/>
    </row>
    <row r="390" spans="1:27" ht="24" hidden="1" customHeight="1" outlineLevel="2">
      <c r="A390" s="16" t="s">
        <v>857</v>
      </c>
      <c r="B390" s="16" t="s">
        <v>858</v>
      </c>
      <c r="C390" s="16" t="s">
        <v>859</v>
      </c>
      <c r="D390" s="16" t="s">
        <v>3833</v>
      </c>
      <c r="E390" s="204">
        <v>45058</v>
      </c>
      <c r="F390" s="116" t="b">
        <v>1</v>
      </c>
      <c r="G390" s="205" t="s">
        <v>4145</v>
      </c>
      <c r="H390" s="205"/>
      <c r="I390" s="116" t="b">
        <v>1</v>
      </c>
      <c r="J390" s="116" t="s">
        <v>3751</v>
      </c>
      <c r="K390" s="205"/>
      <c r="L390" s="16"/>
      <c r="M390" s="16"/>
      <c r="N390" s="16"/>
      <c r="O390" s="16"/>
      <c r="P390" s="16"/>
      <c r="Q390" s="16"/>
      <c r="R390" s="16"/>
      <c r="S390" s="16"/>
      <c r="T390" s="16"/>
      <c r="U390" s="16"/>
      <c r="V390" s="16"/>
      <c r="W390" s="16"/>
      <c r="X390" s="16"/>
      <c r="Y390" s="16"/>
      <c r="Z390" s="16"/>
      <c r="AA390" s="16"/>
    </row>
    <row r="391" spans="1:27" ht="24" hidden="1" customHeight="1" outlineLevel="2">
      <c r="A391" s="16" t="s">
        <v>141</v>
      </c>
      <c r="B391" s="16" t="s">
        <v>143</v>
      </c>
      <c r="C391" s="16" t="s">
        <v>144</v>
      </c>
      <c r="D391" s="16" t="s">
        <v>4146</v>
      </c>
      <c r="E391" s="204">
        <v>45058</v>
      </c>
      <c r="F391" s="116" t="b">
        <v>1</v>
      </c>
      <c r="G391" s="205" t="s">
        <v>4147</v>
      </c>
      <c r="H391" s="205"/>
      <c r="I391" s="116" t="b">
        <v>1</v>
      </c>
      <c r="J391" s="116" t="s">
        <v>3751</v>
      </c>
      <c r="K391" s="205"/>
      <c r="L391" s="16"/>
      <c r="M391" s="16"/>
      <c r="N391" s="16"/>
      <c r="O391" s="16"/>
      <c r="P391" s="16"/>
      <c r="Q391" s="16"/>
      <c r="R391" s="16"/>
      <c r="S391" s="16"/>
      <c r="T391" s="16"/>
      <c r="U391" s="16"/>
      <c r="V391" s="16"/>
      <c r="W391" s="16"/>
      <c r="X391" s="16"/>
      <c r="Y391" s="16"/>
      <c r="Z391" s="16"/>
      <c r="AA391" s="16"/>
    </row>
    <row r="392" spans="1:27" ht="24" hidden="1" customHeight="1" outlineLevel="2">
      <c r="A392" s="16" t="s">
        <v>4148</v>
      </c>
      <c r="B392" s="16" t="s">
        <v>146</v>
      </c>
      <c r="C392" s="16"/>
      <c r="D392" s="16" t="s">
        <v>3833</v>
      </c>
      <c r="E392" s="204">
        <v>45061</v>
      </c>
      <c r="F392" s="116" t="b">
        <v>1</v>
      </c>
      <c r="G392" s="205" t="s">
        <v>4149</v>
      </c>
      <c r="H392" s="205"/>
      <c r="I392" s="116" t="b">
        <v>1</v>
      </c>
      <c r="J392" s="116" t="s">
        <v>3751</v>
      </c>
      <c r="K392" s="205"/>
      <c r="L392" s="16"/>
      <c r="M392" s="16"/>
      <c r="N392" s="16"/>
      <c r="O392" s="16"/>
      <c r="P392" s="16"/>
      <c r="Q392" s="16"/>
      <c r="R392" s="16"/>
      <c r="S392" s="16"/>
      <c r="T392" s="16"/>
      <c r="U392" s="16"/>
      <c r="V392" s="16"/>
      <c r="W392" s="16"/>
      <c r="X392" s="16"/>
      <c r="Y392" s="16"/>
      <c r="Z392" s="16"/>
      <c r="AA392" s="16"/>
    </row>
    <row r="393" spans="1:27" ht="24" hidden="1" customHeight="1" outlineLevel="2">
      <c r="A393" s="16" t="s">
        <v>656</v>
      </c>
      <c r="B393" s="16" t="s">
        <v>657</v>
      </c>
      <c r="C393" s="16" t="s">
        <v>658</v>
      </c>
      <c r="D393" s="16" t="s">
        <v>3732</v>
      </c>
      <c r="E393" s="204">
        <v>45061</v>
      </c>
      <c r="F393" s="116" t="b">
        <v>1</v>
      </c>
      <c r="G393" s="205" t="s">
        <v>4150</v>
      </c>
      <c r="H393" s="205"/>
      <c r="I393" s="116" t="b">
        <v>1</v>
      </c>
      <c r="J393" s="16" t="s">
        <v>3981</v>
      </c>
      <c r="K393" s="205"/>
      <c r="L393" s="16"/>
      <c r="M393" s="16"/>
      <c r="N393" s="16"/>
      <c r="O393" s="16"/>
      <c r="P393" s="16"/>
      <c r="Q393" s="16"/>
      <c r="R393" s="16"/>
      <c r="S393" s="16"/>
      <c r="T393" s="16"/>
      <c r="U393" s="16"/>
      <c r="V393" s="16"/>
      <c r="W393" s="16"/>
      <c r="X393" s="16"/>
      <c r="Y393" s="16"/>
      <c r="Z393" s="16"/>
      <c r="AA393" s="16"/>
    </row>
    <row r="394" spans="1:27" ht="24" hidden="1" customHeight="1" outlineLevel="2">
      <c r="A394" s="16" t="s">
        <v>750</v>
      </c>
      <c r="B394" s="16" t="s">
        <v>751</v>
      </c>
      <c r="C394" s="16" t="s">
        <v>752</v>
      </c>
      <c r="D394" s="16" t="s">
        <v>3732</v>
      </c>
      <c r="E394" s="204">
        <v>45061</v>
      </c>
      <c r="F394" s="116" t="b">
        <v>1</v>
      </c>
      <c r="G394" s="205" t="s">
        <v>4151</v>
      </c>
      <c r="H394" s="205"/>
      <c r="I394" s="116" t="b">
        <v>1</v>
      </c>
      <c r="J394" s="16" t="s">
        <v>3981</v>
      </c>
      <c r="K394" s="205"/>
      <c r="L394" s="16"/>
      <c r="M394" s="16"/>
      <c r="N394" s="16"/>
      <c r="O394" s="16"/>
      <c r="P394" s="16"/>
      <c r="Q394" s="16"/>
      <c r="R394" s="16"/>
      <c r="S394" s="16"/>
      <c r="T394" s="16"/>
      <c r="U394" s="16"/>
      <c r="V394" s="16"/>
      <c r="W394" s="16"/>
      <c r="X394" s="16"/>
      <c r="Y394" s="16"/>
      <c r="Z394" s="16"/>
      <c r="AA394" s="16"/>
    </row>
    <row r="395" spans="1:27" ht="24" hidden="1" customHeight="1" outlineLevel="2">
      <c r="A395" s="16" t="s">
        <v>753</v>
      </c>
      <c r="B395" s="16" t="s">
        <v>754</v>
      </c>
      <c r="C395" s="16" t="s">
        <v>755</v>
      </c>
      <c r="D395" s="16" t="s">
        <v>3732</v>
      </c>
      <c r="E395" s="204">
        <v>45061</v>
      </c>
      <c r="F395" s="116" t="b">
        <v>1</v>
      </c>
      <c r="G395" s="205" t="s">
        <v>4152</v>
      </c>
      <c r="H395" s="205"/>
      <c r="I395" s="116" t="b">
        <v>1</v>
      </c>
      <c r="J395" s="16" t="s">
        <v>3981</v>
      </c>
      <c r="K395" s="205"/>
      <c r="L395" s="16"/>
      <c r="M395" s="16"/>
      <c r="N395" s="16"/>
      <c r="O395" s="16"/>
      <c r="P395" s="16"/>
      <c r="Q395" s="16"/>
      <c r="R395" s="16"/>
      <c r="S395" s="16"/>
      <c r="T395" s="16"/>
      <c r="U395" s="16"/>
      <c r="V395" s="16"/>
      <c r="W395" s="16"/>
      <c r="X395" s="16"/>
      <c r="Y395" s="16"/>
      <c r="Z395" s="16"/>
      <c r="AA395" s="16"/>
    </row>
    <row r="396" spans="1:27" ht="24" hidden="1" customHeight="1" outlineLevel="2">
      <c r="A396" s="16" t="s">
        <v>521</v>
      </c>
      <c r="B396" s="116" t="s">
        <v>522</v>
      </c>
      <c r="C396" s="16" t="s">
        <v>523</v>
      </c>
      <c r="D396" s="16" t="s">
        <v>3833</v>
      </c>
      <c r="E396" s="204">
        <v>45061</v>
      </c>
      <c r="F396" s="116" t="b">
        <v>1</v>
      </c>
      <c r="G396" s="205" t="s">
        <v>4153</v>
      </c>
      <c r="H396" s="205"/>
      <c r="I396" s="116" t="b">
        <v>1</v>
      </c>
      <c r="J396" s="116" t="s">
        <v>3751</v>
      </c>
      <c r="K396" s="205"/>
      <c r="L396" s="16"/>
      <c r="M396" s="16"/>
      <c r="N396" s="16"/>
      <c r="O396" s="16"/>
      <c r="P396" s="16"/>
      <c r="Q396" s="16"/>
      <c r="R396" s="16"/>
      <c r="S396" s="16"/>
      <c r="T396" s="16"/>
      <c r="U396" s="16"/>
      <c r="V396" s="16"/>
      <c r="W396" s="16"/>
      <c r="X396" s="16"/>
      <c r="Y396" s="16"/>
      <c r="Z396" s="16"/>
      <c r="AA396" s="16"/>
    </row>
    <row r="397" spans="1:27" ht="24" hidden="1" customHeight="1" outlineLevel="2">
      <c r="A397" s="16" t="s">
        <v>4154</v>
      </c>
      <c r="B397" s="16" t="s">
        <v>1167</v>
      </c>
      <c r="C397" s="16" t="s">
        <v>4155</v>
      </c>
      <c r="D397" s="16" t="s">
        <v>3809</v>
      </c>
      <c r="E397" s="204">
        <v>45061</v>
      </c>
      <c r="F397" s="116" t="b">
        <v>1</v>
      </c>
      <c r="G397" s="205" t="s">
        <v>4156</v>
      </c>
      <c r="H397" s="205"/>
      <c r="I397" s="116" t="b">
        <v>1</v>
      </c>
      <c r="J397" s="116" t="s">
        <v>4092</v>
      </c>
      <c r="K397" s="205"/>
      <c r="L397" s="16"/>
      <c r="M397" s="16"/>
      <c r="N397" s="16"/>
      <c r="O397" s="16"/>
      <c r="P397" s="16"/>
      <c r="Q397" s="16"/>
      <c r="R397" s="16"/>
      <c r="S397" s="16"/>
      <c r="T397" s="16"/>
      <c r="U397" s="16"/>
      <c r="V397" s="16"/>
      <c r="W397" s="16"/>
      <c r="X397" s="16"/>
      <c r="Y397" s="16"/>
      <c r="Z397" s="16"/>
      <c r="AA397" s="16"/>
    </row>
    <row r="398" spans="1:27" ht="24" hidden="1" customHeight="1" outlineLevel="2">
      <c r="A398" s="16" t="s">
        <v>763</v>
      </c>
      <c r="B398" s="16" t="s">
        <v>764</v>
      </c>
      <c r="C398" s="16" t="s">
        <v>765</v>
      </c>
      <c r="D398" s="16" t="s">
        <v>3809</v>
      </c>
      <c r="E398" s="204">
        <v>45061</v>
      </c>
      <c r="F398" s="116" t="b">
        <v>1</v>
      </c>
      <c r="G398" s="205" t="s">
        <v>4157</v>
      </c>
      <c r="H398" s="205"/>
      <c r="I398" s="116" t="b">
        <v>1</v>
      </c>
      <c r="J398" s="116" t="s">
        <v>4092</v>
      </c>
      <c r="K398" s="205"/>
      <c r="L398" s="16"/>
      <c r="M398" s="16"/>
      <c r="N398" s="16"/>
      <c r="O398" s="16"/>
      <c r="P398" s="16"/>
      <c r="Q398" s="16"/>
      <c r="R398" s="16"/>
      <c r="S398" s="16"/>
      <c r="T398" s="16"/>
      <c r="U398" s="16"/>
      <c r="V398" s="16"/>
      <c r="W398" s="16"/>
      <c r="X398" s="16"/>
      <c r="Y398" s="16"/>
      <c r="Z398" s="16"/>
      <c r="AA398" s="16"/>
    </row>
    <row r="399" spans="1:27" ht="24" hidden="1" customHeight="1" outlineLevel="2">
      <c r="A399" s="16" t="s">
        <v>206</v>
      </c>
      <c r="B399" s="16" t="s">
        <v>207</v>
      </c>
      <c r="C399" s="16" t="s">
        <v>208</v>
      </c>
      <c r="D399" s="16" t="s">
        <v>3696</v>
      </c>
      <c r="E399" s="204">
        <v>45062</v>
      </c>
      <c r="F399" s="116" t="b">
        <v>1</v>
      </c>
      <c r="G399" s="205" t="s">
        <v>4158</v>
      </c>
      <c r="H399" s="205"/>
      <c r="I399" s="116" t="b">
        <v>1</v>
      </c>
      <c r="J399" s="16" t="s">
        <v>4084</v>
      </c>
      <c r="K399" s="205"/>
      <c r="L399" s="16"/>
      <c r="M399" s="16"/>
      <c r="N399" s="16"/>
      <c r="O399" s="16"/>
      <c r="P399" s="16"/>
      <c r="Q399" s="16"/>
      <c r="R399" s="16"/>
      <c r="S399" s="16"/>
      <c r="T399" s="16"/>
      <c r="U399" s="16"/>
      <c r="V399" s="16"/>
      <c r="W399" s="16"/>
      <c r="X399" s="16"/>
      <c r="Y399" s="16"/>
      <c r="Z399" s="16"/>
      <c r="AA399" s="16"/>
    </row>
    <row r="400" spans="1:27" ht="24" hidden="1" customHeight="1" outlineLevel="2">
      <c r="A400" s="16" t="s">
        <v>4159</v>
      </c>
      <c r="B400" s="16" t="s">
        <v>1314</v>
      </c>
      <c r="C400" s="16" t="s">
        <v>1315</v>
      </c>
      <c r="D400" s="16" t="s">
        <v>3809</v>
      </c>
      <c r="E400" s="204">
        <v>45062</v>
      </c>
      <c r="F400" s="116" t="b">
        <v>1</v>
      </c>
      <c r="G400" s="205" t="s">
        <v>4160</v>
      </c>
      <c r="H400" s="205"/>
      <c r="I400" s="116" t="b">
        <v>1</v>
      </c>
      <c r="J400" s="116" t="s">
        <v>4092</v>
      </c>
      <c r="K400" s="205"/>
      <c r="L400" s="16"/>
      <c r="M400" s="16"/>
      <c r="N400" s="16"/>
      <c r="O400" s="16"/>
      <c r="P400" s="16"/>
      <c r="Q400" s="16"/>
      <c r="R400" s="16"/>
      <c r="S400" s="16"/>
      <c r="T400" s="16"/>
      <c r="U400" s="16"/>
      <c r="V400" s="16"/>
      <c r="W400" s="16"/>
      <c r="X400" s="16"/>
      <c r="Y400" s="16"/>
      <c r="Z400" s="16"/>
      <c r="AA400" s="16"/>
    </row>
    <row r="401" spans="1:27" ht="24" hidden="1" customHeight="1" outlineLevel="2">
      <c r="A401" s="16" t="s">
        <v>1240</v>
      </c>
      <c r="B401" s="16" t="s">
        <v>1241</v>
      </c>
      <c r="C401" s="16" t="s">
        <v>1242</v>
      </c>
      <c r="D401" s="16" t="s">
        <v>3809</v>
      </c>
      <c r="E401" s="204">
        <v>45062</v>
      </c>
      <c r="F401" s="116" t="b">
        <v>0</v>
      </c>
      <c r="G401" s="205" t="s">
        <v>4161</v>
      </c>
      <c r="H401" s="205"/>
      <c r="I401" s="116" t="b">
        <v>1</v>
      </c>
      <c r="J401" s="116" t="s">
        <v>4092</v>
      </c>
      <c r="K401" s="205"/>
      <c r="L401" s="16"/>
      <c r="M401" s="16"/>
      <c r="N401" s="16"/>
      <c r="O401" s="16"/>
      <c r="P401" s="16"/>
      <c r="Q401" s="16"/>
      <c r="R401" s="16"/>
      <c r="S401" s="16"/>
      <c r="T401" s="16"/>
      <c r="U401" s="16"/>
      <c r="V401" s="16"/>
      <c r="W401" s="16"/>
      <c r="X401" s="16"/>
      <c r="Y401" s="16"/>
      <c r="Z401" s="16"/>
      <c r="AA401" s="16"/>
    </row>
    <row r="402" spans="1:27" ht="24" hidden="1" customHeight="1" outlineLevel="2">
      <c r="A402" s="16" t="s">
        <v>775</v>
      </c>
      <c r="B402" s="16" t="s">
        <v>776</v>
      </c>
      <c r="C402" s="16" t="s">
        <v>777</v>
      </c>
      <c r="D402" s="16" t="s">
        <v>3692</v>
      </c>
      <c r="E402" s="204">
        <v>45062</v>
      </c>
      <c r="F402" s="116" t="b">
        <v>0</v>
      </c>
      <c r="G402" s="205" t="s">
        <v>4162</v>
      </c>
      <c r="H402" s="205"/>
      <c r="I402" s="116" t="b">
        <v>1</v>
      </c>
      <c r="J402" s="16" t="s">
        <v>3807</v>
      </c>
      <c r="K402" s="205"/>
      <c r="L402" s="16"/>
      <c r="M402" s="16"/>
      <c r="N402" s="16"/>
      <c r="O402" s="16"/>
      <c r="P402" s="16"/>
      <c r="Q402" s="16"/>
      <c r="R402" s="16"/>
      <c r="S402" s="16"/>
      <c r="T402" s="16"/>
      <c r="U402" s="16"/>
      <c r="V402" s="16"/>
      <c r="W402" s="16"/>
      <c r="X402" s="16"/>
      <c r="Y402" s="16"/>
      <c r="Z402" s="16"/>
      <c r="AA402" s="16"/>
    </row>
    <row r="403" spans="1:27" ht="24" hidden="1" customHeight="1" outlineLevel="2">
      <c r="A403" s="16" t="s">
        <v>1340</v>
      </c>
      <c r="B403" s="16" t="s">
        <v>1342</v>
      </c>
      <c r="C403" s="16" t="s">
        <v>1343</v>
      </c>
      <c r="D403" s="16" t="s">
        <v>3696</v>
      </c>
      <c r="E403" s="204">
        <v>45063</v>
      </c>
      <c r="F403" s="116" t="b">
        <v>0</v>
      </c>
      <c r="G403" s="205" t="s">
        <v>4163</v>
      </c>
      <c r="H403" s="205"/>
      <c r="I403" s="116" t="b">
        <v>1</v>
      </c>
      <c r="J403" s="16" t="s">
        <v>4084</v>
      </c>
      <c r="K403" s="205"/>
      <c r="L403" s="16"/>
      <c r="M403" s="16"/>
      <c r="N403" s="16"/>
      <c r="O403" s="16"/>
      <c r="P403" s="16"/>
      <c r="Q403" s="16"/>
      <c r="R403" s="16"/>
      <c r="S403" s="16"/>
      <c r="T403" s="16"/>
      <c r="U403" s="16"/>
      <c r="V403" s="16"/>
      <c r="W403" s="16"/>
      <c r="X403" s="16"/>
      <c r="Y403" s="16"/>
      <c r="Z403" s="16"/>
      <c r="AA403" s="16"/>
    </row>
    <row r="404" spans="1:27" ht="24" hidden="1" customHeight="1" outlineLevel="2">
      <c r="A404" s="16" t="s">
        <v>1347</v>
      </c>
      <c r="B404" s="16" t="s">
        <v>1348</v>
      </c>
      <c r="C404" s="16" t="s">
        <v>1349</v>
      </c>
      <c r="D404" s="16" t="s">
        <v>3718</v>
      </c>
      <c r="E404" s="204">
        <v>45063</v>
      </c>
      <c r="F404" s="116" t="b">
        <v>1</v>
      </c>
      <c r="G404" s="205" t="s">
        <v>4164</v>
      </c>
      <c r="H404" s="205"/>
      <c r="I404" s="116" t="b">
        <v>1</v>
      </c>
      <c r="J404" s="116" t="s">
        <v>3621</v>
      </c>
      <c r="K404" s="205" t="s">
        <v>4165</v>
      </c>
      <c r="L404" s="16"/>
      <c r="M404" s="16"/>
      <c r="N404" s="16"/>
      <c r="O404" s="16"/>
      <c r="P404" s="16"/>
      <c r="Q404" s="16"/>
      <c r="R404" s="16"/>
      <c r="S404" s="16"/>
      <c r="T404" s="16"/>
      <c r="U404" s="16"/>
      <c r="V404" s="16"/>
      <c r="W404" s="16"/>
      <c r="X404" s="16"/>
      <c r="Y404" s="16"/>
      <c r="Z404" s="16"/>
      <c r="AA404" s="16"/>
    </row>
    <row r="405" spans="1:27" ht="24" hidden="1" customHeight="1" outlineLevel="2">
      <c r="A405" s="16" t="s">
        <v>797</v>
      </c>
      <c r="B405" s="16" t="s">
        <v>798</v>
      </c>
      <c r="C405" s="16" t="s">
        <v>799</v>
      </c>
      <c r="D405" s="16" t="s">
        <v>3718</v>
      </c>
      <c r="E405" s="204">
        <v>45063</v>
      </c>
      <c r="F405" s="116" t="b">
        <v>1</v>
      </c>
      <c r="G405" s="205" t="s">
        <v>4166</v>
      </c>
      <c r="H405" s="205"/>
      <c r="I405" s="116" t="b">
        <v>1</v>
      </c>
      <c r="J405" s="116" t="s">
        <v>3621</v>
      </c>
      <c r="K405" s="205" t="s">
        <v>4165</v>
      </c>
      <c r="L405" s="16"/>
      <c r="M405" s="16"/>
      <c r="N405" s="16"/>
      <c r="O405" s="16"/>
      <c r="P405" s="16"/>
      <c r="Q405" s="16"/>
      <c r="R405" s="16"/>
      <c r="S405" s="16"/>
      <c r="T405" s="16"/>
      <c r="U405" s="16"/>
      <c r="V405" s="16"/>
      <c r="W405" s="16"/>
      <c r="X405" s="16"/>
      <c r="Y405" s="16"/>
      <c r="Z405" s="16"/>
      <c r="AA405" s="16"/>
    </row>
    <row r="406" spans="1:27" ht="24" hidden="1" customHeight="1" outlineLevel="2">
      <c r="A406" s="16" t="s">
        <v>582</v>
      </c>
      <c r="B406" s="16" t="s">
        <v>583</v>
      </c>
      <c r="C406" s="16" t="s">
        <v>4167</v>
      </c>
      <c r="D406" s="16" t="s">
        <v>3696</v>
      </c>
      <c r="E406" s="204">
        <v>45063</v>
      </c>
      <c r="F406" s="116" t="b">
        <v>1</v>
      </c>
      <c r="G406" s="205" t="s">
        <v>4168</v>
      </c>
      <c r="H406" s="205"/>
      <c r="I406" s="116" t="b">
        <v>1</v>
      </c>
      <c r="J406" s="16" t="s">
        <v>4084</v>
      </c>
      <c r="K406" s="205"/>
      <c r="L406" s="16"/>
      <c r="M406" s="16"/>
      <c r="N406" s="16"/>
      <c r="O406" s="16"/>
      <c r="P406" s="16"/>
      <c r="Q406" s="16"/>
      <c r="R406" s="16"/>
      <c r="S406" s="16"/>
      <c r="T406" s="16"/>
      <c r="U406" s="16"/>
      <c r="V406" s="16"/>
      <c r="W406" s="16"/>
      <c r="X406" s="16"/>
      <c r="Y406" s="16"/>
      <c r="Z406" s="16"/>
      <c r="AA406" s="16"/>
    </row>
    <row r="407" spans="1:27" ht="24" hidden="1" customHeight="1" outlineLevel="2">
      <c r="A407" s="16" t="s">
        <v>791</v>
      </c>
      <c r="B407" s="16" t="s">
        <v>792</v>
      </c>
      <c r="C407" s="16" t="s">
        <v>793</v>
      </c>
      <c r="D407" s="16" t="s">
        <v>3809</v>
      </c>
      <c r="E407" s="204">
        <v>45063</v>
      </c>
      <c r="F407" s="116" t="b">
        <v>1</v>
      </c>
      <c r="G407" s="205" t="s">
        <v>4169</v>
      </c>
      <c r="H407" s="205"/>
      <c r="I407" s="116" t="b">
        <v>1</v>
      </c>
      <c r="J407" s="116" t="s">
        <v>4092</v>
      </c>
      <c r="K407" s="205"/>
      <c r="L407" s="16"/>
      <c r="M407" s="16"/>
      <c r="N407" s="16"/>
      <c r="O407" s="16"/>
      <c r="P407" s="16"/>
      <c r="Q407" s="16"/>
      <c r="R407" s="16"/>
      <c r="S407" s="16"/>
      <c r="T407" s="16"/>
      <c r="U407" s="16"/>
      <c r="V407" s="16"/>
      <c r="W407" s="16"/>
      <c r="X407" s="16"/>
      <c r="Y407" s="16"/>
      <c r="Z407" s="16"/>
      <c r="AA407" s="16"/>
    </row>
    <row r="408" spans="1:27" ht="24" hidden="1" customHeight="1" outlineLevel="2">
      <c r="A408" s="16" t="s">
        <v>4170</v>
      </c>
      <c r="B408" s="16" t="s">
        <v>4171</v>
      </c>
      <c r="C408" s="16" t="s">
        <v>4172</v>
      </c>
      <c r="D408" s="16" t="s">
        <v>3790</v>
      </c>
      <c r="E408" s="204">
        <v>45063</v>
      </c>
      <c r="F408" s="116" t="b">
        <v>0</v>
      </c>
      <c r="G408" s="205" t="s">
        <v>4173</v>
      </c>
      <c r="H408" s="205"/>
      <c r="I408" s="116" t="b">
        <v>1</v>
      </c>
      <c r="J408" s="16" t="s">
        <v>3807</v>
      </c>
      <c r="K408" s="205"/>
      <c r="L408" s="16"/>
      <c r="M408" s="16"/>
      <c r="N408" s="16"/>
      <c r="O408" s="16"/>
      <c r="P408" s="16"/>
      <c r="Q408" s="16"/>
      <c r="R408" s="16"/>
      <c r="S408" s="16"/>
      <c r="T408" s="16"/>
      <c r="U408" s="16"/>
      <c r="V408" s="16"/>
      <c r="W408" s="16"/>
      <c r="X408" s="16"/>
      <c r="Y408" s="16"/>
      <c r="Z408" s="16"/>
      <c r="AA408" s="16"/>
    </row>
    <row r="409" spans="1:27" ht="24" hidden="1" customHeight="1" outlineLevel="2">
      <c r="A409" s="16" t="s">
        <v>4174</v>
      </c>
      <c r="B409" s="16" t="s">
        <v>672</v>
      </c>
      <c r="C409" s="16"/>
      <c r="D409" s="16" t="s">
        <v>3833</v>
      </c>
      <c r="E409" s="204">
        <v>45063</v>
      </c>
      <c r="F409" s="116" t="b">
        <v>1</v>
      </c>
      <c r="G409" s="205" t="s">
        <v>4175</v>
      </c>
      <c r="H409" s="205"/>
      <c r="I409" s="116" t="b">
        <v>1</v>
      </c>
      <c r="J409" s="116" t="s">
        <v>3751</v>
      </c>
      <c r="K409" s="205"/>
      <c r="L409" s="16"/>
      <c r="M409" s="16"/>
      <c r="N409" s="16"/>
      <c r="O409" s="16"/>
      <c r="P409" s="16"/>
      <c r="Q409" s="16"/>
      <c r="R409" s="16"/>
      <c r="S409" s="16"/>
      <c r="T409" s="16"/>
      <c r="U409" s="16"/>
      <c r="V409" s="16"/>
      <c r="W409" s="16"/>
      <c r="X409" s="16"/>
      <c r="Y409" s="16"/>
      <c r="Z409" s="16"/>
      <c r="AA409" s="16"/>
    </row>
    <row r="410" spans="1:27" ht="24" hidden="1" customHeight="1" outlineLevel="2">
      <c r="A410" s="16" t="s">
        <v>947</v>
      </c>
      <c r="B410" s="16" t="s">
        <v>948</v>
      </c>
      <c r="C410" s="16" t="s">
        <v>949</v>
      </c>
      <c r="D410" s="16" t="s">
        <v>3809</v>
      </c>
      <c r="E410" s="204">
        <v>45064</v>
      </c>
      <c r="F410" s="116" t="b">
        <v>1</v>
      </c>
      <c r="G410" s="205" t="s">
        <v>4176</v>
      </c>
      <c r="H410" s="205"/>
      <c r="I410" s="116" t="b">
        <v>1</v>
      </c>
      <c r="J410" s="116" t="s">
        <v>4092</v>
      </c>
      <c r="K410" s="205"/>
      <c r="L410" s="16"/>
      <c r="M410" s="16"/>
      <c r="N410" s="16"/>
      <c r="O410" s="16"/>
      <c r="P410" s="16"/>
      <c r="Q410" s="16"/>
      <c r="R410" s="16"/>
      <c r="S410" s="16"/>
      <c r="T410" s="16"/>
      <c r="U410" s="16"/>
      <c r="V410" s="16"/>
      <c r="W410" s="16"/>
      <c r="X410" s="16"/>
      <c r="Y410" s="16"/>
      <c r="Z410" s="16"/>
      <c r="AA410" s="16"/>
    </row>
    <row r="411" spans="1:27" ht="24" hidden="1" customHeight="1" outlineLevel="2">
      <c r="A411" s="16" t="s">
        <v>4177</v>
      </c>
      <c r="B411" s="16" t="s">
        <v>476</v>
      </c>
      <c r="C411" s="16" t="s">
        <v>477</v>
      </c>
      <c r="D411" s="16" t="s">
        <v>3809</v>
      </c>
      <c r="E411" s="204">
        <v>45064</v>
      </c>
      <c r="F411" s="116" t="b">
        <v>1</v>
      </c>
      <c r="G411" s="205" t="s">
        <v>4178</v>
      </c>
      <c r="H411" s="205"/>
      <c r="I411" s="116" t="b">
        <v>1</v>
      </c>
      <c r="J411" s="116" t="s">
        <v>4092</v>
      </c>
      <c r="K411" s="205"/>
      <c r="L411" s="16"/>
      <c r="M411" s="16"/>
      <c r="N411" s="16"/>
      <c r="O411" s="16"/>
      <c r="P411" s="16"/>
      <c r="Q411" s="16"/>
      <c r="R411" s="16"/>
      <c r="S411" s="16"/>
      <c r="T411" s="16"/>
      <c r="U411" s="16"/>
      <c r="V411" s="16"/>
      <c r="W411" s="16"/>
      <c r="X411" s="16"/>
      <c r="Y411" s="16"/>
      <c r="Z411" s="16"/>
      <c r="AA411" s="16"/>
    </row>
    <row r="412" spans="1:27" ht="24" hidden="1" customHeight="1" outlineLevel="2">
      <c r="A412" s="16" t="s">
        <v>4179</v>
      </c>
      <c r="B412" s="16" t="s">
        <v>635</v>
      </c>
      <c r="C412" s="16" t="s">
        <v>636</v>
      </c>
      <c r="D412" s="16" t="s">
        <v>3809</v>
      </c>
      <c r="E412" s="204">
        <v>45064</v>
      </c>
      <c r="F412" s="116" t="b">
        <v>1</v>
      </c>
      <c r="G412" s="205" t="s">
        <v>4180</v>
      </c>
      <c r="H412" s="205"/>
      <c r="I412" s="116" t="b">
        <v>1</v>
      </c>
      <c r="J412" s="16" t="s">
        <v>4092</v>
      </c>
      <c r="K412" s="205"/>
      <c r="L412" s="16"/>
      <c r="M412" s="16"/>
      <c r="N412" s="16"/>
      <c r="O412" s="16"/>
      <c r="P412" s="16"/>
      <c r="Q412" s="16"/>
      <c r="R412" s="16"/>
      <c r="S412" s="16"/>
      <c r="T412" s="16"/>
      <c r="U412" s="16"/>
      <c r="V412" s="16"/>
      <c r="W412" s="16"/>
      <c r="X412" s="16"/>
      <c r="Y412" s="16"/>
      <c r="Z412" s="16"/>
      <c r="AA412" s="16"/>
    </row>
    <row r="413" spans="1:27" ht="24" hidden="1" customHeight="1" outlineLevel="2">
      <c r="A413" s="16" t="s">
        <v>4181</v>
      </c>
      <c r="B413" s="285" t="s">
        <v>4182</v>
      </c>
      <c r="C413" s="16"/>
      <c r="D413" s="16" t="s">
        <v>3790</v>
      </c>
      <c r="E413" s="204">
        <v>45065</v>
      </c>
      <c r="F413" s="116" t="b">
        <v>1</v>
      </c>
      <c r="G413" s="205" t="s">
        <v>4183</v>
      </c>
      <c r="H413" s="205"/>
      <c r="I413" s="116" t="b">
        <v>1</v>
      </c>
      <c r="J413" s="16" t="s">
        <v>3807</v>
      </c>
      <c r="K413" s="205"/>
      <c r="L413" s="16"/>
      <c r="M413" s="16"/>
      <c r="N413" s="16"/>
      <c r="O413" s="16"/>
      <c r="P413" s="16"/>
      <c r="Q413" s="16"/>
      <c r="R413" s="16"/>
      <c r="S413" s="16"/>
      <c r="T413" s="16"/>
      <c r="U413" s="16"/>
      <c r="V413" s="16"/>
      <c r="W413" s="16"/>
      <c r="X413" s="16"/>
      <c r="Y413" s="16"/>
      <c r="Z413" s="16"/>
      <c r="AA413" s="16"/>
    </row>
    <row r="414" spans="1:27" ht="24" hidden="1" customHeight="1" outlineLevel="2">
      <c r="A414" s="16" t="s">
        <v>327</v>
      </c>
      <c r="B414" s="16" t="s">
        <v>4184</v>
      </c>
      <c r="C414" s="16" t="s">
        <v>329</v>
      </c>
      <c r="D414" s="16" t="s">
        <v>3696</v>
      </c>
      <c r="E414" s="204">
        <v>45068</v>
      </c>
      <c r="F414" s="116" t="b">
        <v>1</v>
      </c>
      <c r="G414" s="205" t="s">
        <v>4185</v>
      </c>
      <c r="H414" s="205"/>
      <c r="I414" s="116" t="b">
        <v>1</v>
      </c>
      <c r="J414" s="16" t="s">
        <v>4186</v>
      </c>
      <c r="K414" s="205"/>
      <c r="L414" s="16"/>
      <c r="M414" s="16"/>
      <c r="N414" s="16"/>
      <c r="O414" s="16"/>
      <c r="P414" s="16"/>
      <c r="Q414" s="16"/>
      <c r="R414" s="16"/>
      <c r="S414" s="16"/>
      <c r="T414" s="16"/>
      <c r="U414" s="16"/>
      <c r="V414" s="16"/>
      <c r="W414" s="16"/>
      <c r="X414" s="16"/>
      <c r="Y414" s="16"/>
      <c r="Z414" s="16"/>
      <c r="AA414" s="16"/>
    </row>
    <row r="415" spans="1:27" ht="24" hidden="1" customHeight="1" outlineLevel="2">
      <c r="A415" s="16" t="s">
        <v>928</v>
      </c>
      <c r="B415" s="16" t="s">
        <v>929</v>
      </c>
      <c r="C415" s="16" t="s">
        <v>930</v>
      </c>
      <c r="D415" s="16" t="s">
        <v>3696</v>
      </c>
      <c r="E415" s="204">
        <v>45068</v>
      </c>
      <c r="F415" s="116" t="b">
        <v>1</v>
      </c>
      <c r="G415" s="205" t="s">
        <v>4187</v>
      </c>
      <c r="H415" s="205"/>
      <c r="I415" s="116" t="b">
        <v>1</v>
      </c>
      <c r="J415" s="16" t="s">
        <v>4084</v>
      </c>
      <c r="K415" s="205"/>
      <c r="L415" s="16"/>
      <c r="M415" s="16"/>
      <c r="N415" s="16"/>
      <c r="O415" s="16"/>
      <c r="P415" s="16"/>
      <c r="Q415" s="16"/>
      <c r="R415" s="16"/>
      <c r="S415" s="16"/>
      <c r="T415" s="16"/>
      <c r="U415" s="16"/>
      <c r="V415" s="16"/>
      <c r="W415" s="16"/>
      <c r="X415" s="16"/>
      <c r="Y415" s="16"/>
      <c r="Z415" s="16"/>
      <c r="AA415" s="16"/>
    </row>
    <row r="416" spans="1:27" ht="24" hidden="1" customHeight="1" outlineLevel="2">
      <c r="A416" s="16" t="s">
        <v>358</v>
      </c>
      <c r="B416" s="16" t="s">
        <v>359</v>
      </c>
      <c r="C416" s="16" t="s">
        <v>360</v>
      </c>
      <c r="D416" s="16" t="s">
        <v>3696</v>
      </c>
      <c r="E416" s="204">
        <v>45068</v>
      </c>
      <c r="F416" s="116" t="b">
        <v>1</v>
      </c>
      <c r="G416" s="205" t="s">
        <v>4188</v>
      </c>
      <c r="H416" s="205"/>
      <c r="I416" s="116" t="b">
        <v>1</v>
      </c>
      <c r="J416" s="16" t="s">
        <v>4084</v>
      </c>
      <c r="K416" s="205"/>
      <c r="L416" s="16"/>
      <c r="M416" s="16"/>
      <c r="N416" s="16"/>
      <c r="O416" s="16"/>
      <c r="P416" s="16"/>
      <c r="Q416" s="16"/>
      <c r="R416" s="16"/>
      <c r="S416" s="16"/>
      <c r="T416" s="16"/>
      <c r="U416" s="16"/>
      <c r="V416" s="16"/>
      <c r="W416" s="16"/>
      <c r="X416" s="16"/>
      <c r="Y416" s="16"/>
      <c r="Z416" s="16"/>
      <c r="AA416" s="16"/>
    </row>
    <row r="417" spans="1:27" ht="24" hidden="1" customHeight="1" outlineLevel="2">
      <c r="A417" s="16" t="s">
        <v>1477</v>
      </c>
      <c r="B417" s="16" t="s">
        <v>1478</v>
      </c>
      <c r="C417" s="16" t="s">
        <v>1479</v>
      </c>
      <c r="D417" s="16" t="s">
        <v>3718</v>
      </c>
      <c r="E417" s="204">
        <v>45068</v>
      </c>
      <c r="F417" s="116" t="b">
        <v>1</v>
      </c>
      <c r="G417" s="205" t="s">
        <v>4189</v>
      </c>
      <c r="H417" s="205"/>
      <c r="I417" s="116" t="b">
        <v>1</v>
      </c>
      <c r="J417" s="116" t="s">
        <v>3621</v>
      </c>
      <c r="K417" s="205"/>
      <c r="L417" s="16"/>
      <c r="M417" s="16"/>
      <c r="N417" s="16"/>
      <c r="O417" s="16"/>
      <c r="P417" s="16"/>
      <c r="Q417" s="16"/>
      <c r="R417" s="16"/>
      <c r="S417" s="16"/>
      <c r="T417" s="16"/>
      <c r="U417" s="16"/>
      <c r="V417" s="16"/>
      <c r="W417" s="16"/>
      <c r="X417" s="16"/>
      <c r="Y417" s="16"/>
      <c r="Z417" s="16"/>
      <c r="AA417" s="16"/>
    </row>
    <row r="418" spans="1:27" ht="24" hidden="1" customHeight="1" outlineLevel="2">
      <c r="A418" s="16" t="s">
        <v>4190</v>
      </c>
      <c r="B418" s="16" t="s">
        <v>849</v>
      </c>
      <c r="C418" s="16" t="s">
        <v>850</v>
      </c>
      <c r="D418" s="16" t="s">
        <v>3833</v>
      </c>
      <c r="E418" s="204">
        <v>45069</v>
      </c>
      <c r="F418" s="116" t="b">
        <v>1</v>
      </c>
      <c r="G418" s="205" t="s">
        <v>4191</v>
      </c>
      <c r="H418" s="205"/>
      <c r="I418" s="116" t="b">
        <v>1</v>
      </c>
      <c r="J418" s="116" t="s">
        <v>3751</v>
      </c>
      <c r="K418" s="205"/>
      <c r="L418" s="16"/>
      <c r="M418" s="16"/>
      <c r="N418" s="16"/>
      <c r="O418" s="16"/>
      <c r="P418" s="16"/>
      <c r="Q418" s="16"/>
      <c r="R418" s="16"/>
      <c r="S418" s="16"/>
      <c r="T418" s="16"/>
      <c r="U418" s="16"/>
      <c r="V418" s="16"/>
      <c r="W418" s="16"/>
      <c r="X418" s="16"/>
      <c r="Y418" s="16"/>
      <c r="Z418" s="16"/>
      <c r="AA418" s="16"/>
    </row>
    <row r="419" spans="1:27" ht="24" hidden="1" customHeight="1" outlineLevel="2">
      <c r="A419" s="16" t="s">
        <v>938</v>
      </c>
      <c r="B419" s="16" t="s">
        <v>939</v>
      </c>
      <c r="C419" s="16" t="s">
        <v>940</v>
      </c>
      <c r="D419" s="16" t="s">
        <v>3696</v>
      </c>
      <c r="E419" s="204">
        <v>45069</v>
      </c>
      <c r="F419" s="116" t="b">
        <v>1</v>
      </c>
      <c r="G419" s="205" t="s">
        <v>4192</v>
      </c>
      <c r="H419" s="205"/>
      <c r="I419" s="116" t="b">
        <v>1</v>
      </c>
      <c r="J419" s="16" t="s">
        <v>4084</v>
      </c>
      <c r="K419" s="205"/>
      <c r="L419" s="16"/>
      <c r="M419" s="16"/>
      <c r="N419" s="16"/>
      <c r="O419" s="16"/>
      <c r="P419" s="16"/>
      <c r="Q419" s="16"/>
      <c r="R419" s="16"/>
      <c r="S419" s="16"/>
      <c r="T419" s="16"/>
      <c r="U419" s="16"/>
      <c r="V419" s="16"/>
      <c r="W419" s="16"/>
      <c r="X419" s="16"/>
      <c r="Y419" s="16"/>
      <c r="Z419" s="16"/>
      <c r="AA419" s="16"/>
    </row>
    <row r="420" spans="1:27" ht="24" hidden="1" customHeight="1" outlineLevel="2">
      <c r="A420" s="16" t="s">
        <v>1125</v>
      </c>
      <c r="B420" s="16" t="s">
        <v>1126</v>
      </c>
      <c r="C420" s="16" t="s">
        <v>1127</v>
      </c>
      <c r="D420" s="16" t="s">
        <v>4193</v>
      </c>
      <c r="E420" s="204">
        <v>45072</v>
      </c>
      <c r="F420" s="116" t="b">
        <v>1</v>
      </c>
      <c r="G420" s="205" t="s">
        <v>4194</v>
      </c>
      <c r="H420" s="205"/>
      <c r="I420" s="116" t="b">
        <v>1</v>
      </c>
      <c r="J420" s="16" t="s">
        <v>3981</v>
      </c>
      <c r="K420" s="205"/>
      <c r="L420" s="16"/>
      <c r="M420" s="16"/>
      <c r="N420" s="16"/>
      <c r="O420" s="16"/>
      <c r="P420" s="16"/>
      <c r="Q420" s="16"/>
      <c r="R420" s="16"/>
      <c r="S420" s="16"/>
      <c r="T420" s="16"/>
      <c r="U420" s="16"/>
      <c r="V420" s="16"/>
      <c r="W420" s="16"/>
      <c r="X420" s="16"/>
      <c r="Y420" s="16"/>
      <c r="Z420" s="16"/>
      <c r="AA420" s="16"/>
    </row>
    <row r="421" spans="1:27" ht="24" hidden="1" customHeight="1" outlineLevel="2">
      <c r="A421" s="16" t="s">
        <v>1152</v>
      </c>
      <c r="B421" s="16" t="s">
        <v>1153</v>
      </c>
      <c r="C421" s="16" t="s">
        <v>1154</v>
      </c>
      <c r="D421" s="16" t="s">
        <v>3809</v>
      </c>
      <c r="E421" s="204">
        <v>45075</v>
      </c>
      <c r="F421" s="116" t="b">
        <v>1</v>
      </c>
      <c r="G421" s="205" t="s">
        <v>4195</v>
      </c>
      <c r="H421" s="205"/>
      <c r="I421" s="116" t="b">
        <v>1</v>
      </c>
      <c r="J421" s="116" t="s">
        <v>4092</v>
      </c>
      <c r="K421" s="205"/>
      <c r="L421" s="16"/>
      <c r="M421" s="16"/>
      <c r="N421" s="16"/>
      <c r="O421" s="16"/>
      <c r="P421" s="16"/>
      <c r="Q421" s="16"/>
      <c r="R421" s="16"/>
      <c r="S421" s="16"/>
      <c r="T421" s="16"/>
      <c r="U421" s="16"/>
      <c r="V421" s="16"/>
      <c r="W421" s="16"/>
      <c r="X421" s="16"/>
      <c r="Y421" s="16"/>
      <c r="Z421" s="16"/>
      <c r="AA421" s="16"/>
    </row>
    <row r="422" spans="1:27" ht="24" hidden="1" customHeight="1" outlineLevel="2">
      <c r="A422" s="16" t="s">
        <v>283</v>
      </c>
      <c r="B422" s="16" t="s">
        <v>284</v>
      </c>
      <c r="C422" s="16" t="s">
        <v>4196</v>
      </c>
      <c r="D422" s="16" t="s">
        <v>3696</v>
      </c>
      <c r="E422" s="204">
        <v>45075</v>
      </c>
      <c r="F422" s="116" t="b">
        <v>0</v>
      </c>
      <c r="G422" s="310" t="s">
        <v>4197</v>
      </c>
      <c r="H422" s="310"/>
      <c r="I422" s="116" t="b">
        <v>1</v>
      </c>
      <c r="J422" s="16" t="s">
        <v>4084</v>
      </c>
      <c r="K422" s="205"/>
      <c r="L422" s="16"/>
      <c r="M422" s="16"/>
      <c r="N422" s="16"/>
      <c r="O422" s="16"/>
      <c r="P422" s="16"/>
      <c r="Q422" s="16"/>
      <c r="R422" s="16"/>
      <c r="S422" s="16"/>
      <c r="T422" s="16"/>
      <c r="U422" s="16"/>
      <c r="V422" s="16"/>
      <c r="W422" s="16"/>
      <c r="X422" s="16"/>
      <c r="Y422" s="16"/>
      <c r="Z422" s="16"/>
      <c r="AA422" s="16"/>
    </row>
    <row r="423" spans="1:27" ht="24" hidden="1" customHeight="1" outlineLevel="2">
      <c r="A423" s="16" t="s">
        <v>1090</v>
      </c>
      <c r="B423" s="16" t="s">
        <v>1091</v>
      </c>
      <c r="C423" s="16" t="s">
        <v>1092</v>
      </c>
      <c r="D423" s="16" t="s">
        <v>3809</v>
      </c>
      <c r="E423" s="204">
        <v>45075</v>
      </c>
      <c r="F423" s="116" t="b">
        <v>1</v>
      </c>
      <c r="G423" s="205" t="s">
        <v>4198</v>
      </c>
      <c r="H423" s="205"/>
      <c r="I423" s="116" t="b">
        <v>1</v>
      </c>
      <c r="J423" s="116" t="s">
        <v>4092</v>
      </c>
      <c r="K423" s="205"/>
      <c r="L423" s="16"/>
      <c r="M423" s="16"/>
      <c r="N423" s="16"/>
      <c r="O423" s="16"/>
      <c r="P423" s="16"/>
      <c r="Q423" s="16"/>
      <c r="R423" s="16"/>
      <c r="S423" s="16"/>
      <c r="T423" s="16"/>
      <c r="U423" s="16"/>
      <c r="V423" s="16"/>
      <c r="W423" s="16"/>
      <c r="X423" s="16"/>
      <c r="Y423" s="16"/>
      <c r="Z423" s="16"/>
      <c r="AA423" s="16"/>
    </row>
    <row r="424" spans="1:27" ht="24" hidden="1" customHeight="1" outlineLevel="2">
      <c r="A424" s="16" t="s">
        <v>851</v>
      </c>
      <c r="B424" s="16" t="s">
        <v>852</v>
      </c>
      <c r="C424" s="16" t="s">
        <v>853</v>
      </c>
      <c r="D424" s="16" t="s">
        <v>3809</v>
      </c>
      <c r="E424" s="204">
        <v>45075</v>
      </c>
      <c r="F424" s="116" t="b">
        <v>1</v>
      </c>
      <c r="G424" s="205" t="s">
        <v>4199</v>
      </c>
      <c r="H424" s="205"/>
      <c r="I424" s="116" t="b">
        <v>1</v>
      </c>
      <c r="J424" s="116" t="s">
        <v>4092</v>
      </c>
      <c r="K424" s="205"/>
      <c r="L424" s="16"/>
      <c r="M424" s="16"/>
      <c r="N424" s="16"/>
      <c r="O424" s="16"/>
      <c r="P424" s="16"/>
      <c r="Q424" s="16"/>
      <c r="R424" s="16"/>
      <c r="S424" s="16"/>
      <c r="T424" s="16"/>
      <c r="U424" s="16"/>
      <c r="V424" s="16"/>
      <c r="W424" s="16"/>
      <c r="X424" s="16"/>
      <c r="Y424" s="16"/>
      <c r="Z424" s="16"/>
      <c r="AA424" s="16"/>
    </row>
    <row r="425" spans="1:27" ht="24" hidden="1" customHeight="1" outlineLevel="2">
      <c r="A425" s="16" t="s">
        <v>881</v>
      </c>
      <c r="B425" s="16" t="s">
        <v>882</v>
      </c>
      <c r="C425" s="16" t="s">
        <v>883</v>
      </c>
      <c r="D425" s="16" t="s">
        <v>3809</v>
      </c>
      <c r="E425" s="204">
        <v>45075</v>
      </c>
      <c r="F425" s="116" t="b">
        <v>1</v>
      </c>
      <c r="G425" s="205" t="s">
        <v>4200</v>
      </c>
      <c r="H425" s="205"/>
      <c r="I425" s="116" t="b">
        <v>1</v>
      </c>
      <c r="J425" s="116" t="s">
        <v>4092</v>
      </c>
      <c r="K425" s="205"/>
      <c r="L425" s="16"/>
      <c r="M425" s="16"/>
      <c r="N425" s="16"/>
      <c r="O425" s="16"/>
      <c r="P425" s="16"/>
      <c r="Q425" s="16"/>
      <c r="R425" s="16"/>
      <c r="S425" s="16"/>
      <c r="T425" s="16"/>
      <c r="U425" s="16"/>
      <c r="V425" s="16"/>
      <c r="W425" s="16"/>
      <c r="X425" s="16"/>
      <c r="Y425" s="16"/>
      <c r="Z425" s="16"/>
      <c r="AA425" s="16"/>
    </row>
    <row r="426" spans="1:27" ht="24" hidden="1" customHeight="1" outlineLevel="2">
      <c r="A426" s="16" t="s">
        <v>844</v>
      </c>
      <c r="B426" s="16" t="s">
        <v>845</v>
      </c>
      <c r="C426" s="16" t="s">
        <v>846</v>
      </c>
      <c r="D426" s="16" t="s">
        <v>3809</v>
      </c>
      <c r="E426" s="204">
        <v>45075</v>
      </c>
      <c r="F426" s="116" t="b">
        <v>1</v>
      </c>
      <c r="G426" s="205" t="s">
        <v>4201</v>
      </c>
      <c r="H426" s="205"/>
      <c r="I426" s="116" t="b">
        <v>1</v>
      </c>
      <c r="J426" s="116" t="s">
        <v>4092</v>
      </c>
      <c r="K426" s="205"/>
      <c r="L426" s="16"/>
      <c r="M426" s="16"/>
      <c r="N426" s="16"/>
      <c r="O426" s="16"/>
      <c r="P426" s="16"/>
      <c r="Q426" s="16"/>
      <c r="R426" s="16"/>
      <c r="S426" s="16"/>
      <c r="T426" s="16"/>
      <c r="U426" s="16"/>
      <c r="V426" s="16"/>
      <c r="W426" s="16"/>
      <c r="X426" s="16"/>
      <c r="Y426" s="16"/>
      <c r="Z426" s="16"/>
      <c r="AA426" s="16"/>
    </row>
    <row r="427" spans="1:27" ht="24" hidden="1" customHeight="1" outlineLevel="2">
      <c r="A427" s="16" t="s">
        <v>1243</v>
      </c>
      <c r="B427" s="16" t="s">
        <v>1245</v>
      </c>
      <c r="C427" s="16" t="s">
        <v>1246</v>
      </c>
      <c r="D427" s="16" t="s">
        <v>3696</v>
      </c>
      <c r="E427" s="204">
        <v>45075</v>
      </c>
      <c r="F427" s="116" t="b">
        <v>1</v>
      </c>
      <c r="G427" s="205" t="s">
        <v>4202</v>
      </c>
      <c r="H427" s="205"/>
      <c r="I427" s="116" t="b">
        <v>1</v>
      </c>
      <c r="J427" s="16" t="s">
        <v>4084</v>
      </c>
      <c r="K427" s="205"/>
      <c r="L427" s="16"/>
      <c r="M427" s="16"/>
      <c r="N427" s="16"/>
      <c r="O427" s="16"/>
      <c r="P427" s="16"/>
      <c r="Q427" s="16"/>
      <c r="R427" s="16"/>
      <c r="S427" s="16"/>
      <c r="T427" s="16"/>
      <c r="U427" s="16"/>
      <c r="V427" s="16"/>
      <c r="W427" s="16"/>
      <c r="X427" s="16"/>
      <c r="Y427" s="16"/>
      <c r="Z427" s="16"/>
      <c r="AA427" s="16"/>
    </row>
    <row r="428" spans="1:27" ht="24" hidden="1" customHeight="1" outlineLevel="2">
      <c r="A428" s="16" t="s">
        <v>815</v>
      </c>
      <c r="B428" s="16" t="s">
        <v>816</v>
      </c>
      <c r="C428" s="16" t="s">
        <v>817</v>
      </c>
      <c r="D428" s="16" t="s">
        <v>3809</v>
      </c>
      <c r="E428" s="204">
        <v>45075</v>
      </c>
      <c r="F428" s="116" t="b">
        <v>1</v>
      </c>
      <c r="G428" s="205" t="s">
        <v>4203</v>
      </c>
      <c r="H428" s="205"/>
      <c r="I428" s="116" t="b">
        <v>1</v>
      </c>
      <c r="J428" s="116" t="s">
        <v>4092</v>
      </c>
      <c r="K428" s="205"/>
      <c r="L428" s="16"/>
      <c r="M428" s="16"/>
      <c r="N428" s="16"/>
      <c r="O428" s="16"/>
      <c r="P428" s="16"/>
      <c r="Q428" s="16"/>
      <c r="R428" s="16"/>
      <c r="S428" s="16"/>
      <c r="T428" s="16"/>
      <c r="U428" s="16"/>
      <c r="V428" s="16"/>
      <c r="W428" s="16"/>
      <c r="X428" s="16"/>
      <c r="Y428" s="16"/>
      <c r="Z428" s="16"/>
      <c r="AA428" s="16"/>
    </row>
    <row r="429" spans="1:27" ht="24" hidden="1" customHeight="1" outlineLevel="2">
      <c r="A429" s="16" t="s">
        <v>1439</v>
      </c>
      <c r="B429" s="16" t="s">
        <v>1440</v>
      </c>
      <c r="C429" s="16" t="s">
        <v>1441</v>
      </c>
      <c r="D429" s="16" t="s">
        <v>3809</v>
      </c>
      <c r="E429" s="204">
        <v>45076</v>
      </c>
      <c r="F429" s="116" t="b">
        <v>1</v>
      </c>
      <c r="G429" s="205" t="s">
        <v>4204</v>
      </c>
      <c r="H429" s="205"/>
      <c r="I429" s="116" t="b">
        <v>1</v>
      </c>
      <c r="J429" s="116" t="s">
        <v>4092</v>
      </c>
      <c r="K429" s="205"/>
      <c r="L429" s="16"/>
      <c r="M429" s="16"/>
      <c r="N429" s="16"/>
      <c r="O429" s="16"/>
      <c r="P429" s="16"/>
      <c r="Q429" s="16"/>
      <c r="R429" s="16"/>
      <c r="S429" s="16"/>
      <c r="T429" s="16"/>
      <c r="U429" s="16"/>
      <c r="V429" s="16"/>
      <c r="W429" s="16"/>
      <c r="X429" s="16"/>
      <c r="Y429" s="16"/>
      <c r="Z429" s="16"/>
      <c r="AA429" s="16"/>
    </row>
    <row r="430" spans="1:27" ht="24" hidden="1" customHeight="1" outlineLevel="2">
      <c r="A430" s="16" t="s">
        <v>871</v>
      </c>
      <c r="B430" s="16" t="s">
        <v>872</v>
      </c>
      <c r="C430" s="16" t="s">
        <v>873</v>
      </c>
      <c r="D430" s="16" t="s">
        <v>3809</v>
      </c>
      <c r="E430" s="204">
        <v>45076</v>
      </c>
      <c r="F430" s="116" t="b">
        <v>1</v>
      </c>
      <c r="G430" s="205" t="s">
        <v>4205</v>
      </c>
      <c r="H430" s="205"/>
      <c r="I430" s="116" t="b">
        <v>1</v>
      </c>
      <c r="J430" s="116" t="s">
        <v>4092</v>
      </c>
      <c r="K430" s="205"/>
      <c r="L430" s="16"/>
      <c r="M430" s="16"/>
      <c r="N430" s="16"/>
      <c r="O430" s="16"/>
      <c r="P430" s="16"/>
      <c r="Q430" s="16"/>
      <c r="R430" s="16"/>
      <c r="S430" s="16"/>
      <c r="T430" s="16"/>
      <c r="U430" s="16"/>
      <c r="V430" s="16"/>
      <c r="W430" s="16"/>
      <c r="X430" s="16"/>
      <c r="Y430" s="16"/>
      <c r="Z430" s="16"/>
      <c r="AA430" s="16"/>
    </row>
    <row r="431" spans="1:27" ht="24" hidden="1" customHeight="1" outlineLevel="2">
      <c r="A431" s="16" t="s">
        <v>1412</v>
      </c>
      <c r="B431" s="16" t="s">
        <v>1413</v>
      </c>
      <c r="C431" s="16" t="s">
        <v>1414</v>
      </c>
      <c r="D431" s="16" t="s">
        <v>3809</v>
      </c>
      <c r="E431" s="204">
        <v>45076</v>
      </c>
      <c r="F431" s="116" t="b">
        <v>1</v>
      </c>
      <c r="G431" s="205" t="s">
        <v>4206</v>
      </c>
      <c r="H431" s="205"/>
      <c r="I431" s="116" t="b">
        <v>1</v>
      </c>
      <c r="J431" s="116" t="s">
        <v>4092</v>
      </c>
      <c r="K431" s="205"/>
      <c r="L431" s="16"/>
      <c r="M431" s="16"/>
      <c r="N431" s="16"/>
      <c r="O431" s="16"/>
      <c r="P431" s="16"/>
      <c r="Q431" s="16"/>
      <c r="R431" s="16"/>
      <c r="S431" s="16"/>
      <c r="T431" s="16"/>
      <c r="U431" s="16"/>
      <c r="V431" s="16"/>
      <c r="W431" s="16"/>
      <c r="X431" s="16"/>
      <c r="Y431" s="16"/>
      <c r="Z431" s="16"/>
      <c r="AA431" s="16"/>
    </row>
    <row r="432" spans="1:27" ht="22.5" hidden="1" customHeight="1" outlineLevel="1" collapsed="1">
      <c r="A432" s="311" t="s">
        <v>4207</v>
      </c>
      <c r="B432" s="312">
        <v>51</v>
      </c>
      <c r="C432" s="312"/>
      <c r="D432" s="312"/>
      <c r="E432" s="313"/>
      <c r="F432" s="312"/>
      <c r="G432" s="312"/>
      <c r="H432" s="312"/>
      <c r="I432" s="312"/>
      <c r="J432" s="312"/>
      <c r="K432" s="312"/>
      <c r="L432" s="312"/>
      <c r="M432" s="312"/>
      <c r="N432" s="312"/>
      <c r="O432" s="312"/>
      <c r="P432" s="312"/>
      <c r="Q432" s="312"/>
      <c r="R432" s="312"/>
      <c r="S432" s="312"/>
      <c r="T432" s="312"/>
      <c r="U432" s="312"/>
      <c r="V432" s="312"/>
      <c r="W432" s="312"/>
      <c r="X432" s="312"/>
      <c r="Y432" s="312"/>
      <c r="Z432" s="312"/>
      <c r="AA432" s="312"/>
    </row>
    <row r="433" spans="1:27" ht="24" hidden="1" customHeight="1" outlineLevel="2">
      <c r="A433" s="314" t="s">
        <v>4208</v>
      </c>
      <c r="B433" s="314" t="s">
        <v>991</v>
      </c>
      <c r="C433" s="314"/>
      <c r="D433" s="314" t="s">
        <v>3809</v>
      </c>
      <c r="E433" s="315">
        <v>45078</v>
      </c>
      <c r="F433" s="312" t="b">
        <v>1</v>
      </c>
      <c r="G433" s="316" t="s">
        <v>4209</v>
      </c>
      <c r="H433" s="316"/>
      <c r="I433" s="312" t="b">
        <v>1</v>
      </c>
      <c r="J433" s="312" t="s">
        <v>4092</v>
      </c>
      <c r="K433" s="316"/>
      <c r="L433" s="314"/>
      <c r="M433" s="314"/>
      <c r="N433" s="314"/>
      <c r="O433" s="314"/>
      <c r="P433" s="314"/>
      <c r="Q433" s="314"/>
      <c r="R433" s="314"/>
      <c r="S433" s="314"/>
      <c r="T433" s="314"/>
      <c r="U433" s="314"/>
      <c r="V433" s="314"/>
      <c r="W433" s="314"/>
      <c r="X433" s="314"/>
      <c r="Y433" s="314"/>
      <c r="Z433" s="314"/>
      <c r="AA433" s="314"/>
    </row>
    <row r="434" spans="1:27" ht="24" hidden="1" customHeight="1" outlineLevel="2">
      <c r="A434" s="314" t="s">
        <v>4210</v>
      </c>
      <c r="B434" s="314" t="s">
        <v>1326</v>
      </c>
      <c r="C434" s="314" t="s">
        <v>1327</v>
      </c>
      <c r="D434" s="314" t="s">
        <v>3809</v>
      </c>
      <c r="E434" s="315">
        <v>45078</v>
      </c>
      <c r="F434" s="312" t="b">
        <v>1</v>
      </c>
      <c r="G434" s="316" t="s">
        <v>4211</v>
      </c>
      <c r="H434" s="316"/>
      <c r="I434" s="312" t="b">
        <v>1</v>
      </c>
      <c r="J434" s="312" t="s">
        <v>4092</v>
      </c>
      <c r="K434" s="316"/>
      <c r="L434" s="314"/>
      <c r="M434" s="314"/>
      <c r="N434" s="314"/>
      <c r="O434" s="314"/>
      <c r="P434" s="314"/>
      <c r="Q434" s="314"/>
      <c r="R434" s="314"/>
      <c r="S434" s="314"/>
      <c r="T434" s="314"/>
      <c r="U434" s="314"/>
      <c r="V434" s="314"/>
      <c r="W434" s="314"/>
      <c r="X434" s="314"/>
      <c r="Y434" s="314"/>
      <c r="Z434" s="314"/>
      <c r="AA434" s="314"/>
    </row>
    <row r="435" spans="1:27" ht="24" hidden="1" customHeight="1" outlineLevel="2">
      <c r="A435" s="314" t="s">
        <v>808</v>
      </c>
      <c r="B435" s="314" t="s">
        <v>809</v>
      </c>
      <c r="C435" s="314" t="s">
        <v>810</v>
      </c>
      <c r="D435" s="314" t="s">
        <v>3809</v>
      </c>
      <c r="E435" s="315">
        <v>45078</v>
      </c>
      <c r="F435" s="312" t="b">
        <v>0</v>
      </c>
      <c r="G435" s="316" t="s">
        <v>4212</v>
      </c>
      <c r="H435" s="316"/>
      <c r="I435" s="312" t="b">
        <v>1</v>
      </c>
      <c r="J435" s="312" t="s">
        <v>4092</v>
      </c>
      <c r="K435" s="316"/>
      <c r="L435" s="314"/>
      <c r="M435" s="314"/>
      <c r="N435" s="314"/>
      <c r="O435" s="314"/>
      <c r="P435" s="314"/>
      <c r="Q435" s="314"/>
      <c r="R435" s="314"/>
      <c r="S435" s="314"/>
      <c r="T435" s="314"/>
      <c r="U435" s="314"/>
      <c r="V435" s="314"/>
      <c r="W435" s="314"/>
      <c r="X435" s="314"/>
      <c r="Y435" s="314"/>
      <c r="Z435" s="314"/>
      <c r="AA435" s="314"/>
    </row>
    <row r="436" spans="1:27" ht="24" hidden="1" customHeight="1" outlineLevel="2">
      <c r="A436" s="314" t="s">
        <v>1382</v>
      </c>
      <c r="B436" s="314" t="s">
        <v>1383</v>
      </c>
      <c r="C436" s="314" t="s">
        <v>1384</v>
      </c>
      <c r="D436" s="314" t="s">
        <v>3696</v>
      </c>
      <c r="E436" s="315">
        <v>45079</v>
      </c>
      <c r="F436" s="312" t="b">
        <v>1</v>
      </c>
      <c r="G436" s="316" t="s">
        <v>4213</v>
      </c>
      <c r="H436" s="316"/>
      <c r="I436" s="312" t="b">
        <v>1</v>
      </c>
      <c r="J436" s="314" t="s">
        <v>4084</v>
      </c>
      <c r="K436" s="316"/>
      <c r="L436" s="314"/>
      <c r="M436" s="314"/>
      <c r="N436" s="314"/>
      <c r="O436" s="314"/>
      <c r="P436" s="314"/>
      <c r="Q436" s="314"/>
      <c r="R436" s="314"/>
      <c r="S436" s="314"/>
      <c r="T436" s="314"/>
      <c r="U436" s="314"/>
      <c r="V436" s="314"/>
      <c r="W436" s="314"/>
      <c r="X436" s="314"/>
      <c r="Y436" s="314"/>
      <c r="Z436" s="314"/>
      <c r="AA436" s="314"/>
    </row>
    <row r="437" spans="1:27" ht="24" hidden="1" customHeight="1" outlineLevel="2">
      <c r="A437" s="314" t="s">
        <v>890</v>
      </c>
      <c r="B437" s="314" t="s">
        <v>891</v>
      </c>
      <c r="C437" s="314" t="s">
        <v>892</v>
      </c>
      <c r="D437" s="314" t="s">
        <v>3696</v>
      </c>
      <c r="E437" s="315">
        <v>45082</v>
      </c>
      <c r="F437" s="312" t="b">
        <v>1</v>
      </c>
      <c r="G437" s="316" t="s">
        <v>4214</v>
      </c>
      <c r="H437" s="316"/>
      <c r="I437" s="312" t="b">
        <v>1</v>
      </c>
      <c r="J437" s="314" t="s">
        <v>4084</v>
      </c>
      <c r="K437" s="316"/>
      <c r="L437" s="314"/>
      <c r="M437" s="314"/>
      <c r="N437" s="314"/>
      <c r="O437" s="314"/>
      <c r="P437" s="314"/>
      <c r="Q437" s="314"/>
      <c r="R437" s="314"/>
      <c r="S437" s="314"/>
      <c r="T437" s="314"/>
      <c r="U437" s="314"/>
      <c r="V437" s="314"/>
      <c r="W437" s="314"/>
      <c r="X437" s="314"/>
      <c r="Y437" s="314"/>
      <c r="Z437" s="314"/>
      <c r="AA437" s="314"/>
    </row>
    <row r="438" spans="1:27" ht="24" hidden="1" customHeight="1" outlineLevel="2">
      <c r="A438" s="314" t="s">
        <v>702</v>
      </c>
      <c r="B438" s="314" t="s">
        <v>703</v>
      </c>
      <c r="C438" s="314" t="s">
        <v>704</v>
      </c>
      <c r="D438" s="314" t="s">
        <v>4215</v>
      </c>
      <c r="E438" s="315">
        <v>45082</v>
      </c>
      <c r="F438" s="312" t="b">
        <v>1</v>
      </c>
      <c r="G438" s="317" t="s">
        <v>4216</v>
      </c>
      <c r="H438" s="317"/>
      <c r="I438" s="312" t="b">
        <v>1</v>
      </c>
      <c r="J438" s="312" t="s">
        <v>3621</v>
      </c>
      <c r="K438" s="316"/>
      <c r="L438" s="314"/>
      <c r="M438" s="314"/>
      <c r="N438" s="314"/>
      <c r="O438" s="314"/>
      <c r="P438" s="314"/>
      <c r="Q438" s="314"/>
      <c r="R438" s="314"/>
      <c r="S438" s="314"/>
      <c r="T438" s="314"/>
      <c r="U438" s="314"/>
      <c r="V438" s="314"/>
      <c r="W438" s="314"/>
      <c r="X438" s="314"/>
      <c r="Y438" s="314"/>
      <c r="Z438" s="314"/>
      <c r="AA438" s="314"/>
    </row>
    <row r="439" spans="1:27" ht="24" hidden="1" customHeight="1" outlineLevel="2">
      <c r="A439" s="314" t="s">
        <v>896</v>
      </c>
      <c r="B439" s="314" t="s">
        <v>897</v>
      </c>
      <c r="C439" s="314" t="s">
        <v>898</v>
      </c>
      <c r="D439" s="314" t="s">
        <v>3696</v>
      </c>
      <c r="E439" s="315">
        <v>45082</v>
      </c>
      <c r="F439" s="312" t="b">
        <v>0</v>
      </c>
      <c r="G439" s="316" t="s">
        <v>4217</v>
      </c>
      <c r="H439" s="316"/>
      <c r="I439" s="312" t="b">
        <v>1</v>
      </c>
      <c r="J439" s="314" t="s">
        <v>4084</v>
      </c>
      <c r="K439" s="316"/>
      <c r="L439" s="314"/>
      <c r="M439" s="314"/>
      <c r="N439" s="314"/>
      <c r="O439" s="314"/>
      <c r="P439" s="314"/>
      <c r="Q439" s="314"/>
      <c r="R439" s="314"/>
      <c r="S439" s="314"/>
      <c r="T439" s="314"/>
      <c r="U439" s="314"/>
      <c r="V439" s="314"/>
      <c r="W439" s="314"/>
      <c r="X439" s="314"/>
      <c r="Y439" s="314"/>
      <c r="Z439" s="314"/>
      <c r="AA439" s="314"/>
    </row>
    <row r="440" spans="1:27" ht="24" hidden="1" customHeight="1" outlineLevel="2">
      <c r="A440" s="314" t="s">
        <v>4218</v>
      </c>
      <c r="B440" s="314" t="s">
        <v>900</v>
      </c>
      <c r="C440" s="314" t="s">
        <v>901</v>
      </c>
      <c r="D440" s="314" t="s">
        <v>4219</v>
      </c>
      <c r="E440" s="315">
        <v>45083</v>
      </c>
      <c r="F440" s="312" t="b">
        <v>1</v>
      </c>
      <c r="G440" s="316" t="s">
        <v>4220</v>
      </c>
      <c r="H440" s="316"/>
      <c r="I440" s="312" t="b">
        <v>1</v>
      </c>
      <c r="J440" s="312" t="s">
        <v>3751</v>
      </c>
      <c r="K440" s="316"/>
      <c r="L440" s="314"/>
      <c r="M440" s="314"/>
      <c r="N440" s="314"/>
      <c r="O440" s="314"/>
      <c r="P440" s="314"/>
      <c r="Q440" s="314"/>
      <c r="R440" s="314"/>
      <c r="S440" s="314"/>
      <c r="T440" s="314"/>
      <c r="U440" s="314"/>
      <c r="V440" s="314"/>
      <c r="W440" s="314"/>
      <c r="X440" s="314"/>
      <c r="Y440" s="314"/>
      <c r="Z440" s="314"/>
      <c r="AA440" s="314"/>
    </row>
    <row r="441" spans="1:27" ht="24" hidden="1" customHeight="1" outlineLevel="2">
      <c r="A441" s="314" t="s">
        <v>4221</v>
      </c>
      <c r="B441" s="314" t="s">
        <v>1437</v>
      </c>
      <c r="C441" s="314" t="s">
        <v>1438</v>
      </c>
      <c r="D441" s="314" t="s">
        <v>3809</v>
      </c>
      <c r="E441" s="315">
        <v>45083</v>
      </c>
      <c r="F441" s="312" t="b">
        <v>1</v>
      </c>
      <c r="G441" s="316" t="s">
        <v>4222</v>
      </c>
      <c r="H441" s="316"/>
      <c r="I441" s="312" t="b">
        <v>1</v>
      </c>
      <c r="J441" s="312" t="s">
        <v>4223</v>
      </c>
      <c r="K441" s="316"/>
      <c r="L441" s="314"/>
      <c r="M441" s="314"/>
      <c r="N441" s="314"/>
      <c r="O441" s="314"/>
      <c r="P441" s="314"/>
      <c r="Q441" s="314"/>
      <c r="R441" s="314"/>
      <c r="S441" s="314"/>
      <c r="T441" s="314"/>
      <c r="U441" s="314"/>
      <c r="V441" s="314"/>
      <c r="W441" s="314"/>
      <c r="X441" s="314"/>
      <c r="Y441" s="314"/>
      <c r="Z441" s="314"/>
      <c r="AA441" s="314"/>
    </row>
    <row r="442" spans="1:27" ht="24" hidden="1" customHeight="1" outlineLevel="2">
      <c r="A442" s="314" t="s">
        <v>1285</v>
      </c>
      <c r="B442" s="314" t="s">
        <v>1286</v>
      </c>
      <c r="C442" s="314" t="s">
        <v>1287</v>
      </c>
      <c r="D442" s="314" t="s">
        <v>3696</v>
      </c>
      <c r="E442" s="315">
        <v>45083</v>
      </c>
      <c r="F442" s="312" t="b">
        <v>1</v>
      </c>
      <c r="G442" s="316" t="s">
        <v>4224</v>
      </c>
      <c r="H442" s="316"/>
      <c r="I442" s="312" t="b">
        <v>1</v>
      </c>
      <c r="J442" s="314" t="s">
        <v>4084</v>
      </c>
      <c r="K442" s="316"/>
      <c r="L442" s="314"/>
      <c r="M442" s="314"/>
      <c r="N442" s="314"/>
      <c r="O442" s="314"/>
      <c r="P442" s="314"/>
      <c r="Q442" s="314"/>
      <c r="R442" s="314"/>
      <c r="S442" s="314"/>
      <c r="T442" s="314"/>
      <c r="U442" s="314"/>
      <c r="V442" s="314"/>
      <c r="W442" s="314"/>
      <c r="X442" s="314"/>
      <c r="Y442" s="314"/>
      <c r="Z442" s="314"/>
      <c r="AA442" s="314"/>
    </row>
    <row r="443" spans="1:27" ht="24" hidden="1" customHeight="1" outlineLevel="2">
      <c r="A443" s="314" t="s">
        <v>1019</v>
      </c>
      <c r="B443" s="314" t="s">
        <v>1020</v>
      </c>
      <c r="C443" s="314" t="s">
        <v>4225</v>
      </c>
      <c r="D443" s="314" t="s">
        <v>3809</v>
      </c>
      <c r="E443" s="315">
        <v>45084</v>
      </c>
      <c r="F443" s="312" t="b">
        <v>1</v>
      </c>
      <c r="G443" s="316" t="s">
        <v>4226</v>
      </c>
      <c r="H443" s="316"/>
      <c r="I443" s="312" t="b">
        <v>1</v>
      </c>
      <c r="J443" s="312" t="s">
        <v>4092</v>
      </c>
      <c r="K443" s="316"/>
      <c r="L443" s="314"/>
      <c r="M443" s="314"/>
      <c r="N443" s="314"/>
      <c r="O443" s="314"/>
      <c r="P443" s="314"/>
      <c r="Q443" s="314"/>
      <c r="R443" s="314"/>
      <c r="S443" s="314"/>
      <c r="T443" s="314"/>
      <c r="U443" s="314"/>
      <c r="V443" s="314"/>
      <c r="W443" s="314"/>
      <c r="X443" s="314"/>
      <c r="Y443" s="314"/>
      <c r="Z443" s="314"/>
      <c r="AA443" s="314"/>
    </row>
    <row r="444" spans="1:27" ht="24" hidden="1" customHeight="1" outlineLevel="2">
      <c r="A444" s="314" t="s">
        <v>1520</v>
      </c>
      <c r="B444" s="314" t="s">
        <v>1522</v>
      </c>
      <c r="C444" s="314" t="s">
        <v>4227</v>
      </c>
      <c r="D444" s="314" t="s">
        <v>3696</v>
      </c>
      <c r="E444" s="315">
        <v>45084</v>
      </c>
      <c r="F444" s="312" t="b">
        <v>1</v>
      </c>
      <c r="G444" s="316" t="s">
        <v>4228</v>
      </c>
      <c r="H444" s="316"/>
      <c r="I444" s="312" t="b">
        <v>1</v>
      </c>
      <c r="J444" s="314" t="s">
        <v>4084</v>
      </c>
      <c r="K444" s="316"/>
      <c r="L444" s="314"/>
      <c r="M444" s="314"/>
      <c r="N444" s="314"/>
      <c r="O444" s="314"/>
      <c r="P444" s="314"/>
      <c r="Q444" s="314"/>
      <c r="R444" s="314"/>
      <c r="S444" s="314"/>
      <c r="T444" s="314"/>
      <c r="U444" s="314"/>
      <c r="V444" s="314"/>
      <c r="W444" s="314"/>
      <c r="X444" s="314"/>
      <c r="Y444" s="314"/>
      <c r="Z444" s="314"/>
      <c r="AA444" s="314"/>
    </row>
    <row r="445" spans="1:27" ht="24" hidden="1" customHeight="1" outlineLevel="2">
      <c r="A445" s="314" t="s">
        <v>4229</v>
      </c>
      <c r="B445" s="314" t="s">
        <v>1310</v>
      </c>
      <c r="C445" s="314" t="s">
        <v>1311</v>
      </c>
      <c r="D445" s="314" t="s">
        <v>3809</v>
      </c>
      <c r="E445" s="315">
        <v>45085</v>
      </c>
      <c r="F445" s="312" t="b">
        <v>1</v>
      </c>
      <c r="G445" s="316" t="s">
        <v>4230</v>
      </c>
      <c r="H445" s="316"/>
      <c r="I445" s="312" t="b">
        <v>1</v>
      </c>
      <c r="J445" s="312" t="s">
        <v>4092</v>
      </c>
      <c r="K445" s="316"/>
      <c r="L445" s="314"/>
      <c r="M445" s="314"/>
      <c r="N445" s="314"/>
      <c r="O445" s="314"/>
      <c r="P445" s="314"/>
      <c r="Q445" s="314"/>
      <c r="R445" s="314"/>
      <c r="S445" s="314"/>
      <c r="T445" s="314"/>
      <c r="U445" s="314"/>
      <c r="V445" s="314"/>
      <c r="W445" s="314"/>
      <c r="X445" s="314"/>
      <c r="Y445" s="314"/>
      <c r="Z445" s="314"/>
      <c r="AA445" s="314"/>
    </row>
    <row r="446" spans="1:27" ht="24" hidden="1" customHeight="1" outlineLevel="2">
      <c r="A446" s="314" t="s">
        <v>919</v>
      </c>
      <c r="B446" s="314" t="s">
        <v>920</v>
      </c>
      <c r="C446" s="314" t="s">
        <v>921</v>
      </c>
      <c r="D446" s="314" t="s">
        <v>3696</v>
      </c>
      <c r="E446" s="315">
        <v>45085</v>
      </c>
      <c r="F446" s="312" t="b">
        <v>1</v>
      </c>
      <c r="G446" s="316" t="s">
        <v>4231</v>
      </c>
      <c r="H446" s="316"/>
      <c r="I446" s="312" t="b">
        <v>1</v>
      </c>
      <c r="J446" s="314" t="s">
        <v>4084</v>
      </c>
      <c r="K446" s="318"/>
      <c r="L446" s="314"/>
      <c r="M446" s="314"/>
      <c r="N446" s="314"/>
      <c r="O446" s="314"/>
      <c r="P446" s="314"/>
      <c r="Q446" s="314"/>
      <c r="R446" s="314"/>
      <c r="S446" s="314"/>
      <c r="T446" s="314"/>
      <c r="U446" s="314"/>
      <c r="V446" s="314"/>
      <c r="W446" s="314"/>
      <c r="X446" s="314"/>
      <c r="Y446" s="314"/>
      <c r="Z446" s="314"/>
      <c r="AA446" s="314"/>
    </row>
    <row r="447" spans="1:27" ht="24" hidden="1" customHeight="1" outlineLevel="2">
      <c r="A447" s="314" t="s">
        <v>944</v>
      </c>
      <c r="B447" s="314" t="s">
        <v>945</v>
      </c>
      <c r="C447" s="314" t="s">
        <v>946</v>
      </c>
      <c r="D447" s="314" t="s">
        <v>3833</v>
      </c>
      <c r="E447" s="315">
        <v>45086</v>
      </c>
      <c r="F447" s="312" t="b">
        <v>1</v>
      </c>
      <c r="G447" s="316" t="s">
        <v>4232</v>
      </c>
      <c r="H447" s="316"/>
      <c r="I447" s="312" t="b">
        <v>0</v>
      </c>
      <c r="J447" s="312" t="s">
        <v>3751</v>
      </c>
      <c r="K447" s="316"/>
      <c r="L447" s="314"/>
      <c r="M447" s="314"/>
      <c r="N447" s="314"/>
      <c r="O447" s="314"/>
      <c r="P447" s="314"/>
      <c r="Q447" s="314"/>
      <c r="R447" s="314"/>
      <c r="S447" s="314"/>
      <c r="T447" s="314"/>
      <c r="U447" s="314"/>
      <c r="V447" s="314"/>
      <c r="W447" s="314"/>
      <c r="X447" s="314"/>
      <c r="Y447" s="314"/>
      <c r="Z447" s="314"/>
      <c r="AA447" s="314"/>
    </row>
    <row r="448" spans="1:27" ht="24" hidden="1" customHeight="1" outlineLevel="2">
      <c r="A448" s="314" t="s">
        <v>619</v>
      </c>
      <c r="B448" s="314" t="s">
        <v>620</v>
      </c>
      <c r="C448" s="314" t="s">
        <v>621</v>
      </c>
      <c r="D448" s="314" t="s">
        <v>3833</v>
      </c>
      <c r="E448" s="315">
        <v>45089</v>
      </c>
      <c r="F448" s="312" t="b">
        <v>1</v>
      </c>
      <c r="G448" s="316" t="s">
        <v>4233</v>
      </c>
      <c r="H448" s="316"/>
      <c r="I448" s="312" t="b">
        <v>0</v>
      </c>
      <c r="J448" s="312" t="s">
        <v>3751</v>
      </c>
      <c r="K448" s="316"/>
      <c r="L448" s="314"/>
      <c r="M448" s="314"/>
      <c r="N448" s="314"/>
      <c r="O448" s="314"/>
      <c r="P448" s="314"/>
      <c r="Q448" s="314"/>
      <c r="R448" s="314"/>
      <c r="S448" s="314"/>
      <c r="T448" s="314"/>
      <c r="U448" s="314"/>
      <c r="V448" s="314"/>
      <c r="W448" s="314"/>
      <c r="X448" s="314"/>
      <c r="Y448" s="314"/>
      <c r="Z448" s="314"/>
      <c r="AA448" s="314"/>
    </row>
    <row r="449" spans="1:27" ht="24" hidden="1" customHeight="1" outlineLevel="2">
      <c r="A449" s="314" t="s">
        <v>1398</v>
      </c>
      <c r="B449" s="314" t="s">
        <v>1399</v>
      </c>
      <c r="C449" s="314" t="s">
        <v>1400</v>
      </c>
      <c r="D449" s="314" t="s">
        <v>3809</v>
      </c>
      <c r="E449" s="315">
        <v>45089</v>
      </c>
      <c r="F449" s="312" t="b">
        <v>1</v>
      </c>
      <c r="G449" s="316" t="s">
        <v>4234</v>
      </c>
      <c r="H449" s="316"/>
      <c r="I449" s="312" t="b">
        <v>1</v>
      </c>
      <c r="J449" s="312" t="s">
        <v>4092</v>
      </c>
      <c r="K449" s="316"/>
      <c r="L449" s="314"/>
      <c r="M449" s="314"/>
      <c r="N449" s="314"/>
      <c r="O449" s="314"/>
      <c r="P449" s="314"/>
      <c r="Q449" s="314"/>
      <c r="R449" s="314"/>
      <c r="S449" s="314"/>
      <c r="T449" s="314"/>
      <c r="U449" s="314"/>
      <c r="V449" s="314"/>
      <c r="W449" s="314"/>
      <c r="X449" s="314"/>
      <c r="Y449" s="314"/>
      <c r="Z449" s="314"/>
      <c r="AA449" s="314"/>
    </row>
    <row r="450" spans="1:27" ht="24" hidden="1" customHeight="1" outlineLevel="2">
      <c r="A450" s="314" t="s">
        <v>931</v>
      </c>
      <c r="B450" s="314" t="s">
        <v>932</v>
      </c>
      <c r="C450" s="314" t="s">
        <v>933</v>
      </c>
      <c r="D450" s="314" t="s">
        <v>3809</v>
      </c>
      <c r="E450" s="315">
        <v>45089</v>
      </c>
      <c r="F450" s="312" t="b">
        <v>1</v>
      </c>
      <c r="G450" s="316" t="s">
        <v>4235</v>
      </c>
      <c r="H450" s="316"/>
      <c r="I450" s="312" t="b">
        <v>1</v>
      </c>
      <c r="J450" s="312" t="s">
        <v>4092</v>
      </c>
      <c r="K450" s="316"/>
      <c r="L450" s="314"/>
      <c r="M450" s="314"/>
      <c r="N450" s="314"/>
      <c r="O450" s="314"/>
      <c r="P450" s="314"/>
      <c r="Q450" s="314"/>
      <c r="R450" s="314"/>
      <c r="S450" s="314"/>
      <c r="T450" s="314"/>
      <c r="U450" s="314"/>
      <c r="V450" s="314"/>
      <c r="W450" s="314"/>
      <c r="X450" s="314"/>
      <c r="Y450" s="314"/>
      <c r="Z450" s="314"/>
      <c r="AA450" s="314"/>
    </row>
    <row r="451" spans="1:27" ht="24" hidden="1" customHeight="1" outlineLevel="2">
      <c r="A451" s="314" t="s">
        <v>1069</v>
      </c>
      <c r="B451" s="314" t="s">
        <v>1070</v>
      </c>
      <c r="C451" s="314" t="s">
        <v>4236</v>
      </c>
      <c r="D451" s="314" t="s">
        <v>3809</v>
      </c>
      <c r="E451" s="315">
        <v>45089</v>
      </c>
      <c r="F451" s="312" t="b">
        <v>1</v>
      </c>
      <c r="G451" s="316" t="s">
        <v>4237</v>
      </c>
      <c r="H451" s="316"/>
      <c r="I451" s="312" t="b">
        <v>1</v>
      </c>
      <c r="J451" s="312" t="s">
        <v>4092</v>
      </c>
      <c r="K451" s="316"/>
      <c r="L451" s="314"/>
      <c r="M451" s="314"/>
      <c r="N451" s="314"/>
      <c r="O451" s="314"/>
      <c r="P451" s="314"/>
      <c r="Q451" s="314"/>
      <c r="R451" s="314"/>
      <c r="S451" s="314"/>
      <c r="T451" s="314"/>
      <c r="U451" s="314"/>
      <c r="V451" s="314"/>
      <c r="W451" s="314"/>
      <c r="X451" s="314"/>
      <c r="Y451" s="314"/>
      <c r="Z451" s="314"/>
      <c r="AA451" s="314"/>
    </row>
    <row r="452" spans="1:27" ht="24" hidden="1" customHeight="1" outlineLevel="2">
      <c r="A452" s="314" t="s">
        <v>148</v>
      </c>
      <c r="B452" s="314" t="s">
        <v>149</v>
      </c>
      <c r="C452" s="314" t="s">
        <v>4238</v>
      </c>
      <c r="D452" s="314" t="s">
        <v>3696</v>
      </c>
      <c r="E452" s="315">
        <v>45089</v>
      </c>
      <c r="F452" s="312" t="b">
        <v>1</v>
      </c>
      <c r="G452" s="316" t="s">
        <v>4239</v>
      </c>
      <c r="H452" s="316"/>
      <c r="I452" s="312" t="b">
        <v>1</v>
      </c>
      <c r="J452" s="314" t="s">
        <v>4084</v>
      </c>
      <c r="K452" s="316"/>
      <c r="L452" s="314"/>
      <c r="M452" s="314"/>
      <c r="N452" s="314"/>
      <c r="O452" s="314"/>
      <c r="P452" s="314"/>
      <c r="Q452" s="314"/>
      <c r="R452" s="314"/>
      <c r="S452" s="314"/>
      <c r="T452" s="314"/>
      <c r="U452" s="314"/>
      <c r="V452" s="314"/>
      <c r="W452" s="314"/>
      <c r="X452" s="314"/>
      <c r="Y452" s="314"/>
      <c r="Z452" s="314"/>
      <c r="AA452" s="314"/>
    </row>
    <row r="453" spans="1:27" ht="24" hidden="1" customHeight="1" outlineLevel="2">
      <c r="A453" s="314" t="s">
        <v>941</v>
      </c>
      <c r="B453" s="314" t="s">
        <v>942</v>
      </c>
      <c r="C453" s="314" t="s">
        <v>943</v>
      </c>
      <c r="D453" s="314" t="s">
        <v>3833</v>
      </c>
      <c r="E453" s="315">
        <v>45090</v>
      </c>
      <c r="F453" s="312" t="b">
        <v>0</v>
      </c>
      <c r="G453" s="316" t="s">
        <v>4240</v>
      </c>
      <c r="H453" s="316"/>
      <c r="I453" s="312" t="b">
        <v>1</v>
      </c>
      <c r="J453" s="312" t="s">
        <v>3751</v>
      </c>
      <c r="K453" s="316"/>
      <c r="L453" s="314"/>
      <c r="M453" s="314"/>
      <c r="N453" s="314"/>
      <c r="O453" s="314"/>
      <c r="P453" s="314"/>
      <c r="Q453" s="314"/>
      <c r="R453" s="314"/>
      <c r="S453" s="314"/>
      <c r="T453" s="314"/>
      <c r="U453" s="314"/>
      <c r="V453" s="314"/>
      <c r="W453" s="314"/>
      <c r="X453" s="314"/>
      <c r="Y453" s="314"/>
      <c r="Z453" s="314"/>
      <c r="AA453" s="314"/>
    </row>
    <row r="454" spans="1:27" ht="24" hidden="1" customHeight="1" outlineLevel="2">
      <c r="A454" s="314" t="s">
        <v>1106</v>
      </c>
      <c r="B454" s="314" t="s">
        <v>1107</v>
      </c>
      <c r="C454" s="314" t="s">
        <v>1108</v>
      </c>
      <c r="D454" s="314" t="s">
        <v>3696</v>
      </c>
      <c r="E454" s="315">
        <v>45090</v>
      </c>
      <c r="F454" s="312" t="b">
        <v>1</v>
      </c>
      <c r="G454" s="316" t="s">
        <v>4241</v>
      </c>
      <c r="H454" s="316"/>
      <c r="I454" s="312" t="b">
        <v>1</v>
      </c>
      <c r="J454" s="314" t="s">
        <v>4084</v>
      </c>
      <c r="K454" s="316"/>
      <c r="L454" s="314"/>
      <c r="M454" s="314"/>
      <c r="N454" s="314"/>
      <c r="O454" s="314"/>
      <c r="P454" s="314"/>
      <c r="Q454" s="314"/>
      <c r="R454" s="314"/>
      <c r="S454" s="314"/>
      <c r="T454" s="314"/>
      <c r="U454" s="314"/>
      <c r="V454" s="314"/>
      <c r="W454" s="314"/>
      <c r="X454" s="314"/>
      <c r="Y454" s="314"/>
      <c r="Z454" s="314"/>
      <c r="AA454" s="314"/>
    </row>
    <row r="455" spans="1:27" ht="24" hidden="1" customHeight="1" outlineLevel="2">
      <c r="A455" s="314" t="s">
        <v>1199</v>
      </c>
      <c r="B455" s="314" t="s">
        <v>1200</v>
      </c>
      <c r="C455" s="314" t="s">
        <v>1201</v>
      </c>
      <c r="D455" s="314" t="s">
        <v>3696</v>
      </c>
      <c r="E455" s="315">
        <v>45091</v>
      </c>
      <c r="F455" s="312" t="b">
        <v>0</v>
      </c>
      <c r="G455" s="316" t="s">
        <v>4242</v>
      </c>
      <c r="H455" s="316"/>
      <c r="I455" s="312" t="b">
        <v>1</v>
      </c>
      <c r="J455" s="314" t="s">
        <v>4084</v>
      </c>
      <c r="K455" s="316"/>
      <c r="L455" s="314"/>
      <c r="M455" s="314"/>
      <c r="N455" s="314"/>
      <c r="O455" s="314"/>
      <c r="P455" s="314"/>
      <c r="Q455" s="314"/>
      <c r="R455" s="314"/>
      <c r="S455" s="314"/>
      <c r="T455" s="314"/>
      <c r="U455" s="314"/>
      <c r="V455" s="314"/>
      <c r="W455" s="314"/>
      <c r="X455" s="314"/>
      <c r="Y455" s="314"/>
      <c r="Z455" s="314"/>
      <c r="AA455" s="314"/>
    </row>
    <row r="456" spans="1:27" ht="24" hidden="1" customHeight="1" outlineLevel="2">
      <c r="A456" s="314" t="s">
        <v>1010</v>
      </c>
      <c r="B456" s="314" t="s">
        <v>1011</v>
      </c>
      <c r="C456" s="314" t="s">
        <v>1012</v>
      </c>
      <c r="D456" s="314" t="s">
        <v>4020</v>
      </c>
      <c r="E456" s="315">
        <v>45091</v>
      </c>
      <c r="F456" s="312" t="b">
        <v>1</v>
      </c>
      <c r="G456" s="316" t="s">
        <v>4243</v>
      </c>
      <c r="H456" s="316"/>
      <c r="I456" s="312" t="b">
        <v>1</v>
      </c>
      <c r="J456" s="312" t="s">
        <v>3621</v>
      </c>
      <c r="K456" s="316"/>
      <c r="L456" s="314"/>
      <c r="M456" s="314"/>
      <c r="N456" s="314"/>
      <c r="O456" s="314"/>
      <c r="P456" s="314"/>
      <c r="Q456" s="314"/>
      <c r="R456" s="314"/>
      <c r="S456" s="314"/>
      <c r="T456" s="314"/>
      <c r="U456" s="314"/>
      <c r="V456" s="314"/>
      <c r="W456" s="314"/>
      <c r="X456" s="314"/>
      <c r="Y456" s="314"/>
      <c r="Z456" s="314"/>
      <c r="AA456" s="314"/>
    </row>
    <row r="457" spans="1:27" ht="24" hidden="1" customHeight="1" outlineLevel="2">
      <c r="A457" s="314" t="s">
        <v>1464</v>
      </c>
      <c r="B457" s="314" t="s">
        <v>1465</v>
      </c>
      <c r="C457" s="314" t="s">
        <v>1466</v>
      </c>
      <c r="D457" s="314" t="s">
        <v>3809</v>
      </c>
      <c r="E457" s="315">
        <v>45091</v>
      </c>
      <c r="F457" s="312" t="b">
        <v>1</v>
      </c>
      <c r="G457" s="316" t="s">
        <v>4244</v>
      </c>
      <c r="H457" s="316"/>
      <c r="I457" s="312" t="b">
        <v>1</v>
      </c>
      <c r="J457" s="312" t="s">
        <v>4092</v>
      </c>
      <c r="K457" s="316"/>
      <c r="L457" s="314"/>
      <c r="M457" s="314"/>
      <c r="N457" s="314"/>
      <c r="O457" s="314"/>
      <c r="P457" s="314"/>
      <c r="Q457" s="314"/>
      <c r="R457" s="314"/>
      <c r="S457" s="314"/>
      <c r="T457" s="314"/>
      <c r="U457" s="314"/>
      <c r="V457" s="314"/>
      <c r="W457" s="314"/>
      <c r="X457" s="314"/>
      <c r="Y457" s="314"/>
      <c r="Z457" s="314"/>
      <c r="AA457" s="314"/>
    </row>
    <row r="458" spans="1:27" ht="24" hidden="1" customHeight="1" outlineLevel="2">
      <c r="A458" s="314" t="s">
        <v>950</v>
      </c>
      <c r="B458" s="314" t="s">
        <v>951</v>
      </c>
      <c r="C458" s="314" t="s">
        <v>952</v>
      </c>
      <c r="D458" s="314" t="s">
        <v>3809</v>
      </c>
      <c r="E458" s="315">
        <v>45093</v>
      </c>
      <c r="F458" s="312" t="b">
        <v>1</v>
      </c>
      <c r="G458" s="316" t="s">
        <v>4245</v>
      </c>
      <c r="H458" s="316"/>
      <c r="I458" s="312" t="b">
        <v>1</v>
      </c>
      <c r="J458" s="312" t="s">
        <v>4092</v>
      </c>
      <c r="K458" s="316"/>
      <c r="L458" s="314"/>
      <c r="M458" s="314"/>
      <c r="N458" s="314"/>
      <c r="O458" s="314"/>
      <c r="P458" s="314"/>
      <c r="Q458" s="314"/>
      <c r="R458" s="314"/>
      <c r="S458" s="314"/>
      <c r="T458" s="314"/>
      <c r="U458" s="314"/>
      <c r="V458" s="314"/>
      <c r="W458" s="314"/>
      <c r="X458" s="314"/>
      <c r="Y458" s="314"/>
      <c r="Z458" s="314"/>
      <c r="AA458" s="314"/>
    </row>
    <row r="459" spans="1:27" ht="24" hidden="1" customHeight="1" outlineLevel="2">
      <c r="A459" s="314" t="s">
        <v>536</v>
      </c>
      <c r="B459" s="314" t="s">
        <v>4246</v>
      </c>
      <c r="C459" s="314" t="s">
        <v>538</v>
      </c>
      <c r="D459" s="314" t="s">
        <v>4020</v>
      </c>
      <c r="E459" s="315">
        <v>45093</v>
      </c>
      <c r="F459" s="312" t="b">
        <v>1</v>
      </c>
      <c r="G459" s="316" t="s">
        <v>4247</v>
      </c>
      <c r="H459" s="316"/>
      <c r="I459" s="312" t="b">
        <v>1</v>
      </c>
      <c r="J459" s="312" t="s">
        <v>3621</v>
      </c>
      <c r="K459" s="316"/>
      <c r="L459" s="314"/>
      <c r="M459" s="314"/>
      <c r="N459" s="314"/>
      <c r="O459" s="314"/>
      <c r="P459" s="314"/>
      <c r="Q459" s="314"/>
      <c r="R459" s="314"/>
      <c r="S459" s="314"/>
      <c r="T459" s="314"/>
      <c r="U459" s="314"/>
      <c r="V459" s="314"/>
      <c r="W459" s="314"/>
      <c r="X459" s="314"/>
      <c r="Y459" s="314"/>
      <c r="Z459" s="314"/>
      <c r="AA459" s="314"/>
    </row>
    <row r="460" spans="1:27" ht="24" hidden="1" customHeight="1" outlineLevel="2">
      <c r="A460" s="314" t="s">
        <v>4248</v>
      </c>
      <c r="B460" s="314" t="s">
        <v>806</v>
      </c>
      <c r="C460" s="314" t="s">
        <v>807</v>
      </c>
      <c r="D460" s="314" t="s">
        <v>3696</v>
      </c>
      <c r="E460" s="315">
        <v>45096</v>
      </c>
      <c r="F460" s="312" t="b">
        <v>1</v>
      </c>
      <c r="G460" s="316" t="s">
        <v>4249</v>
      </c>
      <c r="H460" s="316"/>
      <c r="I460" s="312" t="b">
        <v>1</v>
      </c>
      <c r="J460" s="314" t="s">
        <v>4084</v>
      </c>
      <c r="K460" s="316"/>
      <c r="L460" s="314"/>
      <c r="M460" s="314"/>
      <c r="N460" s="314"/>
      <c r="O460" s="314"/>
      <c r="P460" s="314"/>
      <c r="Q460" s="314"/>
      <c r="R460" s="314"/>
      <c r="S460" s="314"/>
      <c r="T460" s="314"/>
      <c r="U460" s="314"/>
      <c r="V460" s="314"/>
      <c r="W460" s="314"/>
      <c r="X460" s="314"/>
      <c r="Y460" s="314"/>
      <c r="Z460" s="314"/>
      <c r="AA460" s="314"/>
    </row>
    <row r="461" spans="1:27" ht="24" hidden="1" customHeight="1" outlineLevel="2">
      <c r="A461" s="314" t="s">
        <v>1322</v>
      </c>
      <c r="B461" s="314" t="s">
        <v>1323</v>
      </c>
      <c r="C461" s="314" t="s">
        <v>1324</v>
      </c>
      <c r="D461" s="314" t="s">
        <v>3809</v>
      </c>
      <c r="E461" s="315">
        <v>45096</v>
      </c>
      <c r="F461" s="312" t="b">
        <v>1</v>
      </c>
      <c r="G461" s="316" t="s">
        <v>4250</v>
      </c>
      <c r="H461" s="316"/>
      <c r="I461" s="312" t="b">
        <v>1</v>
      </c>
      <c r="J461" s="312" t="s">
        <v>4092</v>
      </c>
      <c r="K461" s="316"/>
      <c r="L461" s="314"/>
      <c r="M461" s="314"/>
      <c r="N461" s="314"/>
      <c r="O461" s="314"/>
      <c r="P461" s="314"/>
      <c r="Q461" s="314"/>
      <c r="R461" s="314"/>
      <c r="S461" s="314"/>
      <c r="T461" s="314"/>
      <c r="U461" s="314"/>
      <c r="V461" s="314"/>
      <c r="W461" s="314"/>
      <c r="X461" s="314"/>
      <c r="Y461" s="314"/>
      <c r="Z461" s="314"/>
      <c r="AA461" s="314"/>
    </row>
    <row r="462" spans="1:27" ht="24" hidden="1" customHeight="1" outlineLevel="2">
      <c r="A462" s="314" t="s">
        <v>570</v>
      </c>
      <c r="B462" s="314" t="s">
        <v>571</v>
      </c>
      <c r="C462" s="314" t="s">
        <v>572</v>
      </c>
      <c r="D462" s="314" t="s">
        <v>3696</v>
      </c>
      <c r="E462" s="315">
        <v>45096</v>
      </c>
      <c r="F462" s="312" t="b">
        <v>1</v>
      </c>
      <c r="G462" s="316" t="s">
        <v>4251</v>
      </c>
      <c r="H462" s="316"/>
      <c r="I462" s="312" t="b">
        <v>1</v>
      </c>
      <c r="J462" s="314" t="s">
        <v>4084</v>
      </c>
      <c r="K462" s="316"/>
      <c r="L462" s="314"/>
      <c r="M462" s="314"/>
      <c r="N462" s="314"/>
      <c r="O462" s="314"/>
      <c r="P462" s="314"/>
      <c r="Q462" s="314"/>
      <c r="R462" s="314"/>
      <c r="S462" s="314"/>
      <c r="T462" s="314"/>
      <c r="U462" s="314"/>
      <c r="V462" s="314"/>
      <c r="W462" s="314"/>
      <c r="X462" s="314"/>
      <c r="Y462" s="314"/>
      <c r="Z462" s="314"/>
      <c r="AA462" s="314"/>
    </row>
    <row r="463" spans="1:27" ht="24" hidden="1" customHeight="1" outlineLevel="2">
      <c r="A463" s="314" t="s">
        <v>1209</v>
      </c>
      <c r="B463" s="314" t="s">
        <v>1210</v>
      </c>
      <c r="C463" s="314" t="s">
        <v>1211</v>
      </c>
      <c r="D463" s="314" t="s">
        <v>3809</v>
      </c>
      <c r="E463" s="315">
        <v>45097</v>
      </c>
      <c r="F463" s="312" t="b">
        <v>1</v>
      </c>
      <c r="G463" s="316" t="s">
        <v>4252</v>
      </c>
      <c r="H463" s="316"/>
      <c r="I463" s="312" t="b">
        <v>1</v>
      </c>
      <c r="J463" s="312" t="s">
        <v>4092</v>
      </c>
      <c r="K463" s="316"/>
      <c r="L463" s="314"/>
      <c r="M463" s="314"/>
      <c r="N463" s="314"/>
      <c r="O463" s="314"/>
      <c r="P463" s="314"/>
      <c r="Q463" s="314"/>
      <c r="R463" s="314"/>
      <c r="S463" s="314"/>
      <c r="T463" s="314"/>
      <c r="U463" s="314"/>
      <c r="V463" s="314"/>
      <c r="W463" s="314"/>
      <c r="X463" s="314"/>
      <c r="Y463" s="314"/>
      <c r="Z463" s="314"/>
      <c r="AA463" s="314"/>
    </row>
    <row r="464" spans="1:27" ht="24" hidden="1" customHeight="1" outlineLevel="2">
      <c r="A464" s="314" t="s">
        <v>1034</v>
      </c>
      <c r="B464" s="314" t="s">
        <v>1035</v>
      </c>
      <c r="C464" s="314" t="s">
        <v>1036</v>
      </c>
      <c r="D464" s="314" t="s">
        <v>3809</v>
      </c>
      <c r="E464" s="315">
        <v>45097</v>
      </c>
      <c r="F464" s="312" t="b">
        <v>1</v>
      </c>
      <c r="G464" s="316" t="s">
        <v>4253</v>
      </c>
      <c r="H464" s="316"/>
      <c r="I464" s="312" t="b">
        <v>1</v>
      </c>
      <c r="J464" s="312" t="s">
        <v>4092</v>
      </c>
      <c r="K464" s="316"/>
      <c r="L464" s="314"/>
      <c r="M464" s="314"/>
      <c r="N464" s="314"/>
      <c r="O464" s="314"/>
      <c r="P464" s="314"/>
      <c r="Q464" s="314"/>
      <c r="R464" s="314"/>
      <c r="S464" s="314"/>
      <c r="T464" s="314"/>
      <c r="U464" s="314"/>
      <c r="V464" s="314"/>
      <c r="W464" s="314"/>
      <c r="X464" s="314"/>
      <c r="Y464" s="314"/>
      <c r="Z464" s="314"/>
      <c r="AA464" s="314"/>
    </row>
    <row r="465" spans="1:27" ht="24" hidden="1" customHeight="1" outlineLevel="2">
      <c r="A465" s="314" t="s">
        <v>978</v>
      </c>
      <c r="B465" s="314" t="s">
        <v>979</v>
      </c>
      <c r="C465" s="314" t="s">
        <v>4254</v>
      </c>
      <c r="D465" s="314" t="s">
        <v>3790</v>
      </c>
      <c r="E465" s="315">
        <v>45099</v>
      </c>
      <c r="F465" s="312" t="b">
        <v>1</v>
      </c>
      <c r="G465" s="316" t="s">
        <v>4255</v>
      </c>
      <c r="H465" s="316"/>
      <c r="I465" s="312" t="b">
        <v>1</v>
      </c>
      <c r="J465" s="314" t="s">
        <v>4256</v>
      </c>
      <c r="K465" s="316"/>
      <c r="L465" s="314"/>
      <c r="M465" s="314"/>
      <c r="N465" s="314"/>
      <c r="O465" s="314"/>
      <c r="P465" s="314"/>
      <c r="Q465" s="314"/>
      <c r="R465" s="314"/>
      <c r="S465" s="314"/>
      <c r="T465" s="314"/>
      <c r="U465" s="314"/>
      <c r="V465" s="314"/>
      <c r="W465" s="314"/>
      <c r="X465" s="314"/>
      <c r="Y465" s="314"/>
      <c r="Z465" s="314"/>
      <c r="AA465" s="314"/>
    </row>
    <row r="466" spans="1:27" ht="24" hidden="1" customHeight="1" outlineLevel="2">
      <c r="A466" s="314" t="s">
        <v>1172</v>
      </c>
      <c r="B466" s="314" t="s">
        <v>1173</v>
      </c>
      <c r="C466" s="314" t="s">
        <v>1174</v>
      </c>
      <c r="D466" s="314" t="s">
        <v>3809</v>
      </c>
      <c r="E466" s="315">
        <v>45099</v>
      </c>
      <c r="F466" s="312" t="b">
        <v>1</v>
      </c>
      <c r="G466" s="316" t="s">
        <v>4257</v>
      </c>
      <c r="H466" s="316"/>
      <c r="I466" s="312" t="b">
        <v>1</v>
      </c>
      <c r="J466" s="312" t="s">
        <v>4092</v>
      </c>
      <c r="K466" s="316"/>
      <c r="L466" s="314"/>
      <c r="M466" s="314"/>
      <c r="N466" s="314"/>
      <c r="O466" s="314"/>
      <c r="P466" s="314"/>
      <c r="Q466" s="314"/>
      <c r="R466" s="314"/>
      <c r="S466" s="314"/>
      <c r="T466" s="314"/>
      <c r="U466" s="314"/>
      <c r="V466" s="314"/>
      <c r="W466" s="314"/>
      <c r="X466" s="314"/>
      <c r="Y466" s="314"/>
      <c r="Z466" s="314"/>
      <c r="AA466" s="314"/>
    </row>
    <row r="467" spans="1:27" ht="24" hidden="1" customHeight="1" outlineLevel="2">
      <c r="A467" s="314" t="s">
        <v>1048</v>
      </c>
      <c r="B467" s="314" t="s">
        <v>1050</v>
      </c>
      <c r="C467" s="314" t="s">
        <v>1051</v>
      </c>
      <c r="D467" s="314" t="s">
        <v>3833</v>
      </c>
      <c r="E467" s="315">
        <v>45100</v>
      </c>
      <c r="F467" s="312" t="b">
        <v>1</v>
      </c>
      <c r="G467" s="316" t="s">
        <v>4258</v>
      </c>
      <c r="H467" s="316"/>
      <c r="I467" s="312" t="b">
        <v>1</v>
      </c>
      <c r="J467" s="312" t="s">
        <v>3751</v>
      </c>
      <c r="K467" s="316"/>
      <c r="L467" s="314"/>
      <c r="M467" s="314"/>
      <c r="N467" s="314"/>
      <c r="O467" s="314"/>
      <c r="P467" s="314"/>
      <c r="Q467" s="314"/>
      <c r="R467" s="314"/>
      <c r="S467" s="314"/>
      <c r="T467" s="314"/>
      <c r="U467" s="314"/>
      <c r="V467" s="314"/>
      <c r="W467" s="314"/>
      <c r="X467" s="314"/>
      <c r="Y467" s="314"/>
      <c r="Z467" s="314"/>
      <c r="AA467" s="314"/>
    </row>
    <row r="468" spans="1:27" ht="24" hidden="1" customHeight="1" outlineLevel="2">
      <c r="A468" s="314" t="s">
        <v>969</v>
      </c>
      <c r="B468" s="314" t="s">
        <v>970</v>
      </c>
      <c r="C468" s="314" t="s">
        <v>971</v>
      </c>
      <c r="D468" s="314" t="s">
        <v>3809</v>
      </c>
      <c r="E468" s="315">
        <v>45100</v>
      </c>
      <c r="F468" s="312" t="b">
        <v>1</v>
      </c>
      <c r="G468" s="316" t="s">
        <v>4259</v>
      </c>
      <c r="H468" s="316"/>
      <c r="I468" s="312" t="b">
        <v>1</v>
      </c>
      <c r="J468" s="312" t="s">
        <v>4092</v>
      </c>
      <c r="K468" s="316"/>
      <c r="L468" s="314"/>
      <c r="M468" s="314"/>
      <c r="N468" s="314"/>
      <c r="O468" s="314"/>
      <c r="P468" s="314"/>
      <c r="Q468" s="314"/>
      <c r="R468" s="314"/>
      <c r="S468" s="314"/>
      <c r="T468" s="314"/>
      <c r="U468" s="314"/>
      <c r="V468" s="314"/>
      <c r="W468" s="314"/>
      <c r="X468" s="314"/>
      <c r="Y468" s="314"/>
      <c r="Z468" s="314"/>
      <c r="AA468" s="314"/>
    </row>
    <row r="469" spans="1:27" ht="24" hidden="1" customHeight="1" outlineLevel="2">
      <c r="A469" s="314" t="s">
        <v>1128</v>
      </c>
      <c r="B469" s="314" t="s">
        <v>1129</v>
      </c>
      <c r="C469" s="314" t="s">
        <v>1130</v>
      </c>
      <c r="D469" s="314" t="s">
        <v>3809</v>
      </c>
      <c r="E469" s="315">
        <v>45100</v>
      </c>
      <c r="F469" s="312" t="b">
        <v>1</v>
      </c>
      <c r="G469" s="316" t="s">
        <v>4260</v>
      </c>
      <c r="H469" s="316"/>
      <c r="I469" s="312" t="b">
        <v>1</v>
      </c>
      <c r="J469" s="312" t="s">
        <v>4092</v>
      </c>
      <c r="K469" s="316"/>
      <c r="L469" s="314"/>
      <c r="M469" s="314"/>
      <c r="N469" s="314"/>
      <c r="O469" s="314"/>
      <c r="P469" s="314"/>
      <c r="Q469" s="314"/>
      <c r="R469" s="314"/>
      <c r="S469" s="314"/>
      <c r="T469" s="314"/>
      <c r="U469" s="314"/>
      <c r="V469" s="314"/>
      <c r="W469" s="314"/>
      <c r="X469" s="314"/>
      <c r="Y469" s="314"/>
      <c r="Z469" s="314"/>
      <c r="AA469" s="314"/>
    </row>
    <row r="470" spans="1:27" ht="24" hidden="1" customHeight="1" outlineLevel="2">
      <c r="A470" s="314" t="s">
        <v>725</v>
      </c>
      <c r="B470" s="314" t="s">
        <v>726</v>
      </c>
      <c r="C470" s="314" t="s">
        <v>727</v>
      </c>
      <c r="D470" s="314" t="s">
        <v>3809</v>
      </c>
      <c r="E470" s="315">
        <v>45100</v>
      </c>
      <c r="F470" s="312" t="b">
        <v>1</v>
      </c>
      <c r="G470" s="316" t="s">
        <v>4261</v>
      </c>
      <c r="H470" s="316"/>
      <c r="I470" s="312" t="b">
        <v>1</v>
      </c>
      <c r="J470" s="312" t="s">
        <v>4092</v>
      </c>
      <c r="K470" s="316"/>
      <c r="L470" s="314"/>
      <c r="M470" s="314"/>
      <c r="N470" s="314"/>
      <c r="O470" s="314"/>
      <c r="P470" s="314"/>
      <c r="Q470" s="314"/>
      <c r="R470" s="314"/>
      <c r="S470" s="314"/>
      <c r="T470" s="314"/>
      <c r="U470" s="314"/>
      <c r="V470" s="314"/>
      <c r="W470" s="314"/>
      <c r="X470" s="314"/>
      <c r="Y470" s="314"/>
      <c r="Z470" s="314"/>
      <c r="AA470" s="314"/>
    </row>
    <row r="471" spans="1:27" ht="24" hidden="1" customHeight="1" outlineLevel="2">
      <c r="A471" s="314" t="s">
        <v>975</v>
      </c>
      <c r="B471" s="314" t="s">
        <v>976</v>
      </c>
      <c r="C471" s="314" t="s">
        <v>4262</v>
      </c>
      <c r="D471" s="314" t="s">
        <v>3718</v>
      </c>
      <c r="E471" s="315">
        <v>45100</v>
      </c>
      <c r="F471" s="312" t="b">
        <v>1</v>
      </c>
      <c r="G471" s="316" t="s">
        <v>4263</v>
      </c>
      <c r="H471" s="316"/>
      <c r="I471" s="312" t="b">
        <v>1</v>
      </c>
      <c r="J471" s="312" t="s">
        <v>3621</v>
      </c>
      <c r="K471" s="316" t="s">
        <v>3925</v>
      </c>
      <c r="L471" s="314"/>
      <c r="M471" s="314"/>
      <c r="N471" s="314"/>
      <c r="O471" s="314"/>
      <c r="P471" s="314"/>
      <c r="Q471" s="314"/>
      <c r="R471" s="314"/>
      <c r="S471" s="314"/>
      <c r="T471" s="314"/>
      <c r="U471" s="314"/>
      <c r="V471" s="314"/>
      <c r="W471" s="314"/>
      <c r="X471" s="314"/>
      <c r="Y471" s="314"/>
      <c r="Z471" s="314"/>
      <c r="AA471" s="314"/>
    </row>
    <row r="472" spans="1:27" ht="24" hidden="1" customHeight="1" outlineLevel="2">
      <c r="A472" s="314" t="s">
        <v>269</v>
      </c>
      <c r="B472" s="314" t="s">
        <v>271</v>
      </c>
      <c r="C472" s="314" t="s">
        <v>272</v>
      </c>
      <c r="D472" s="314" t="s">
        <v>3718</v>
      </c>
      <c r="E472" s="315">
        <v>45100</v>
      </c>
      <c r="F472" s="312" t="b">
        <v>1</v>
      </c>
      <c r="G472" s="316" t="s">
        <v>4264</v>
      </c>
      <c r="H472" s="316"/>
      <c r="I472" s="312" t="b">
        <v>1</v>
      </c>
      <c r="J472" s="312" t="s">
        <v>3621</v>
      </c>
      <c r="K472" s="316"/>
      <c r="L472" s="314"/>
      <c r="M472" s="314"/>
      <c r="N472" s="314"/>
      <c r="O472" s="314"/>
      <c r="P472" s="314"/>
      <c r="Q472" s="314"/>
      <c r="R472" s="314"/>
      <c r="S472" s="314"/>
      <c r="T472" s="314"/>
      <c r="U472" s="314"/>
      <c r="V472" s="314"/>
      <c r="W472" s="314"/>
      <c r="X472" s="314"/>
      <c r="Y472" s="314"/>
      <c r="Z472" s="314"/>
      <c r="AA472" s="314"/>
    </row>
    <row r="473" spans="1:27" ht="24" hidden="1" customHeight="1" outlineLevel="2">
      <c r="A473" s="314" t="s">
        <v>251</v>
      </c>
      <c r="B473" s="314" t="s">
        <v>252</v>
      </c>
      <c r="C473" s="314" t="s">
        <v>253</v>
      </c>
      <c r="D473" s="314" t="s">
        <v>3790</v>
      </c>
      <c r="E473" s="315">
        <v>45103</v>
      </c>
      <c r="F473" s="312" t="b">
        <v>1</v>
      </c>
      <c r="G473" s="316" t="s">
        <v>4265</v>
      </c>
      <c r="H473" s="316"/>
      <c r="I473" s="312" t="b">
        <v>1</v>
      </c>
      <c r="J473" s="314" t="s">
        <v>4256</v>
      </c>
      <c r="K473" s="316"/>
      <c r="L473" s="314"/>
      <c r="M473" s="314"/>
      <c r="N473" s="314"/>
      <c r="O473" s="314"/>
      <c r="P473" s="314"/>
      <c r="Q473" s="314"/>
      <c r="R473" s="314"/>
      <c r="S473" s="314"/>
      <c r="T473" s="314"/>
      <c r="U473" s="314"/>
      <c r="V473" s="314"/>
      <c r="W473" s="314"/>
      <c r="X473" s="314"/>
      <c r="Y473" s="314"/>
      <c r="Z473" s="314"/>
      <c r="AA473" s="314"/>
    </row>
    <row r="474" spans="1:27" ht="24" hidden="1" customHeight="1" outlineLevel="2">
      <c r="A474" s="314" t="s">
        <v>1066</v>
      </c>
      <c r="B474" s="314" t="s">
        <v>1067</v>
      </c>
      <c r="C474" s="314" t="s">
        <v>1068</v>
      </c>
      <c r="D474" s="314" t="s">
        <v>3809</v>
      </c>
      <c r="E474" s="315">
        <v>45103</v>
      </c>
      <c r="F474" s="312" t="b">
        <v>1</v>
      </c>
      <c r="G474" s="316" t="s">
        <v>4266</v>
      </c>
      <c r="H474" s="316"/>
      <c r="I474" s="312" t="b">
        <v>1</v>
      </c>
      <c r="J474" s="312" t="s">
        <v>4092</v>
      </c>
      <c r="K474" s="316"/>
      <c r="L474" s="314"/>
      <c r="M474" s="314"/>
      <c r="N474" s="314"/>
      <c r="O474" s="314"/>
      <c r="P474" s="314"/>
      <c r="Q474" s="314"/>
      <c r="R474" s="314"/>
      <c r="S474" s="314"/>
      <c r="T474" s="314"/>
      <c r="U474" s="314"/>
      <c r="V474" s="314"/>
      <c r="W474" s="314"/>
      <c r="X474" s="314"/>
      <c r="Y474" s="314"/>
      <c r="Z474" s="314"/>
      <c r="AA474" s="314"/>
    </row>
    <row r="475" spans="1:27" ht="24" hidden="1" customHeight="1" outlineLevel="2">
      <c r="A475" s="314" t="s">
        <v>4267</v>
      </c>
      <c r="B475" s="314" t="s">
        <v>1056</v>
      </c>
      <c r="C475" s="314" t="s">
        <v>1057</v>
      </c>
      <c r="D475" s="314" t="s">
        <v>3809</v>
      </c>
      <c r="E475" s="315">
        <v>45104</v>
      </c>
      <c r="F475" s="312" t="b">
        <v>1</v>
      </c>
      <c r="G475" s="316" t="s">
        <v>4268</v>
      </c>
      <c r="H475" s="316"/>
      <c r="I475" s="312" t="b">
        <v>1</v>
      </c>
      <c r="J475" s="312" t="s">
        <v>4092</v>
      </c>
      <c r="K475" s="316"/>
      <c r="L475" s="314"/>
      <c r="M475" s="314"/>
      <c r="N475" s="314"/>
      <c r="O475" s="314"/>
      <c r="P475" s="314"/>
      <c r="Q475" s="314"/>
      <c r="R475" s="314"/>
      <c r="S475" s="314"/>
      <c r="T475" s="314"/>
      <c r="U475" s="314"/>
      <c r="V475" s="314"/>
      <c r="W475" s="314"/>
      <c r="X475" s="314"/>
      <c r="Y475" s="314"/>
      <c r="Z475" s="314"/>
      <c r="AA475" s="314"/>
    </row>
    <row r="476" spans="1:27" ht="24" hidden="1" customHeight="1" outlineLevel="2">
      <c r="A476" s="314" t="s">
        <v>1169</v>
      </c>
      <c r="B476" s="314" t="s">
        <v>1170</v>
      </c>
      <c r="C476" s="314" t="s">
        <v>1171</v>
      </c>
      <c r="D476" s="314" t="s">
        <v>3809</v>
      </c>
      <c r="E476" s="315">
        <v>45105</v>
      </c>
      <c r="F476" s="312" t="b">
        <v>1</v>
      </c>
      <c r="G476" s="316" t="s">
        <v>4269</v>
      </c>
      <c r="H476" s="316"/>
      <c r="I476" s="312" t="b">
        <v>1</v>
      </c>
      <c r="J476" s="312" t="s">
        <v>4092</v>
      </c>
      <c r="K476" s="316"/>
      <c r="L476" s="314"/>
      <c r="M476" s="314"/>
      <c r="N476" s="314"/>
      <c r="O476" s="314"/>
      <c r="P476" s="314"/>
      <c r="Q476" s="314"/>
      <c r="R476" s="314"/>
      <c r="S476" s="314"/>
      <c r="T476" s="314"/>
      <c r="U476" s="314"/>
      <c r="V476" s="314"/>
      <c r="W476" s="314"/>
      <c r="X476" s="314"/>
      <c r="Y476" s="314"/>
      <c r="Z476" s="314"/>
      <c r="AA476" s="314"/>
    </row>
    <row r="477" spans="1:27" ht="24" hidden="1" customHeight="1" outlineLevel="2">
      <c r="A477" s="314" t="s">
        <v>1016</v>
      </c>
      <c r="B477" s="314" t="s">
        <v>1017</v>
      </c>
      <c r="C477" s="314" t="s">
        <v>1018</v>
      </c>
      <c r="D477" s="314" t="s">
        <v>4270</v>
      </c>
      <c r="E477" s="315">
        <v>45105</v>
      </c>
      <c r="F477" s="312" t="b">
        <v>1</v>
      </c>
      <c r="G477" s="316" t="s">
        <v>4271</v>
      </c>
      <c r="H477" s="316"/>
      <c r="I477" s="312" t="b">
        <v>1</v>
      </c>
      <c r="J477" s="314" t="s">
        <v>3981</v>
      </c>
      <c r="K477" s="316"/>
      <c r="L477" s="314"/>
      <c r="M477" s="314"/>
      <c r="N477" s="314"/>
      <c r="O477" s="314"/>
      <c r="P477" s="314"/>
      <c r="Q477" s="314"/>
      <c r="R477" s="314"/>
      <c r="S477" s="314"/>
      <c r="T477" s="314"/>
      <c r="U477" s="314"/>
      <c r="V477" s="314"/>
      <c r="W477" s="314"/>
      <c r="X477" s="314"/>
      <c r="Y477" s="314"/>
      <c r="Z477" s="314"/>
      <c r="AA477" s="314"/>
    </row>
    <row r="478" spans="1:27" ht="24" hidden="1" customHeight="1" outlineLevel="2">
      <c r="A478" s="314" t="s">
        <v>1336</v>
      </c>
      <c r="B478" s="314" t="s">
        <v>1338</v>
      </c>
      <c r="C478" s="314" t="s">
        <v>4272</v>
      </c>
      <c r="D478" s="314" t="s">
        <v>3930</v>
      </c>
      <c r="E478" s="315">
        <v>45105</v>
      </c>
      <c r="F478" s="312" t="b">
        <v>1</v>
      </c>
      <c r="G478" s="316" t="s">
        <v>4273</v>
      </c>
      <c r="H478" s="316"/>
      <c r="I478" s="312" t="b">
        <v>1</v>
      </c>
      <c r="J478" s="312" t="s">
        <v>3621</v>
      </c>
      <c r="K478" s="316"/>
      <c r="L478" s="314"/>
      <c r="M478" s="314"/>
      <c r="N478" s="314"/>
      <c r="O478" s="314"/>
      <c r="P478" s="314"/>
      <c r="Q478" s="314"/>
      <c r="R478" s="314"/>
      <c r="S478" s="314"/>
      <c r="T478" s="314"/>
      <c r="U478" s="314"/>
      <c r="V478" s="314"/>
      <c r="W478" s="314"/>
      <c r="X478" s="314"/>
      <c r="Y478" s="314"/>
      <c r="Z478" s="314"/>
      <c r="AA478" s="314"/>
    </row>
    <row r="479" spans="1:27" ht="24" hidden="1" customHeight="1" outlineLevel="2">
      <c r="A479" s="314" t="s">
        <v>1190</v>
      </c>
      <c r="B479" s="314" t="s">
        <v>1191</v>
      </c>
      <c r="C479" s="314" t="s">
        <v>1192</v>
      </c>
      <c r="D479" s="314" t="s">
        <v>3809</v>
      </c>
      <c r="E479" s="315">
        <v>45105</v>
      </c>
      <c r="F479" s="312" t="b">
        <v>1</v>
      </c>
      <c r="G479" s="316" t="s">
        <v>4274</v>
      </c>
      <c r="H479" s="316"/>
      <c r="I479" s="312" t="b">
        <v>1</v>
      </c>
      <c r="J479" s="312" t="s">
        <v>4092</v>
      </c>
      <c r="K479" s="316"/>
      <c r="L479" s="314"/>
      <c r="M479" s="314"/>
      <c r="N479" s="314"/>
      <c r="O479" s="314"/>
      <c r="P479" s="314"/>
      <c r="Q479" s="314"/>
      <c r="R479" s="314"/>
      <c r="S479" s="314"/>
      <c r="T479" s="314"/>
      <c r="U479" s="314"/>
      <c r="V479" s="314"/>
      <c r="W479" s="314"/>
      <c r="X479" s="314"/>
      <c r="Y479" s="314"/>
      <c r="Z479" s="314"/>
      <c r="AA479" s="314"/>
    </row>
    <row r="480" spans="1:27" ht="24" hidden="1" customHeight="1" outlineLevel="2">
      <c r="A480" s="314" t="s">
        <v>1025</v>
      </c>
      <c r="B480" s="314" t="s">
        <v>1026</v>
      </c>
      <c r="C480" s="314" t="s">
        <v>1027</v>
      </c>
      <c r="D480" s="314" t="s">
        <v>3930</v>
      </c>
      <c r="E480" s="315">
        <v>45106</v>
      </c>
      <c r="F480" s="312" t="b">
        <v>1</v>
      </c>
      <c r="G480" s="316" t="s">
        <v>4275</v>
      </c>
      <c r="H480" s="316"/>
      <c r="I480" s="312" t="b">
        <v>1</v>
      </c>
      <c r="J480" s="312" t="s">
        <v>3621</v>
      </c>
      <c r="K480" s="316" t="s">
        <v>3925</v>
      </c>
      <c r="L480" s="314"/>
      <c r="M480" s="314"/>
      <c r="N480" s="314"/>
      <c r="O480" s="314"/>
      <c r="P480" s="314"/>
      <c r="Q480" s="314"/>
      <c r="R480" s="314"/>
      <c r="S480" s="314"/>
      <c r="T480" s="314"/>
      <c r="U480" s="314"/>
      <c r="V480" s="314"/>
      <c r="W480" s="314"/>
      <c r="X480" s="314"/>
      <c r="Y480" s="314"/>
      <c r="Z480" s="314"/>
      <c r="AA480" s="314"/>
    </row>
    <row r="481" spans="1:27" ht="24" hidden="1" customHeight="1" outlineLevel="2">
      <c r="A481" s="314" t="s">
        <v>1028</v>
      </c>
      <c r="B481" s="314" t="s">
        <v>1029</v>
      </c>
      <c r="C481" s="314" t="s">
        <v>1030</v>
      </c>
      <c r="D481" s="314" t="s">
        <v>3692</v>
      </c>
      <c r="E481" s="315">
        <v>45106</v>
      </c>
      <c r="F481" s="312" t="b">
        <v>1</v>
      </c>
      <c r="G481" s="316" t="s">
        <v>4276</v>
      </c>
      <c r="H481" s="316"/>
      <c r="I481" s="312" t="b">
        <v>1</v>
      </c>
      <c r="J481" s="314" t="s">
        <v>3751</v>
      </c>
      <c r="K481" s="316"/>
      <c r="L481" s="314"/>
      <c r="M481" s="314"/>
      <c r="N481" s="314"/>
      <c r="O481" s="314"/>
      <c r="P481" s="314"/>
      <c r="Q481" s="314"/>
      <c r="R481" s="314"/>
      <c r="S481" s="314"/>
      <c r="T481" s="314"/>
      <c r="U481" s="314"/>
      <c r="V481" s="314"/>
      <c r="W481" s="314"/>
      <c r="X481" s="314"/>
      <c r="Y481" s="314"/>
      <c r="Z481" s="314"/>
      <c r="AA481" s="314"/>
    </row>
    <row r="482" spans="1:27" ht="24" hidden="1" customHeight="1" outlineLevel="2">
      <c r="A482" s="314" t="s">
        <v>818</v>
      </c>
      <c r="B482" s="314" t="s">
        <v>819</v>
      </c>
      <c r="C482" s="314" t="s">
        <v>820</v>
      </c>
      <c r="D482" s="314" t="s">
        <v>3696</v>
      </c>
      <c r="E482" s="315">
        <v>45107</v>
      </c>
      <c r="F482" s="312" t="b">
        <v>1</v>
      </c>
      <c r="G482" s="316" t="s">
        <v>4277</v>
      </c>
      <c r="H482" s="316"/>
      <c r="I482" s="312" t="b">
        <v>0</v>
      </c>
      <c r="J482" s="314" t="s">
        <v>4084</v>
      </c>
      <c r="K482" s="316"/>
      <c r="L482" s="314"/>
      <c r="M482" s="314"/>
      <c r="N482" s="314"/>
      <c r="O482" s="314"/>
      <c r="P482" s="314"/>
      <c r="Q482" s="314"/>
      <c r="R482" s="314"/>
      <c r="S482" s="314"/>
      <c r="T482" s="314"/>
      <c r="U482" s="314"/>
      <c r="V482" s="314"/>
      <c r="W482" s="314"/>
      <c r="X482" s="314"/>
      <c r="Y482" s="314"/>
      <c r="Z482" s="314"/>
      <c r="AA482" s="314"/>
    </row>
    <row r="483" spans="1:27" ht="24" hidden="1" customHeight="1" outlineLevel="2">
      <c r="A483" s="314" t="s">
        <v>769</v>
      </c>
      <c r="B483" s="314" t="s">
        <v>770</v>
      </c>
      <c r="C483" s="314" t="s">
        <v>771</v>
      </c>
      <c r="D483" s="314" t="s">
        <v>3833</v>
      </c>
      <c r="E483" s="315">
        <v>45107</v>
      </c>
      <c r="F483" s="312" t="b">
        <v>0</v>
      </c>
      <c r="G483" s="316" t="s">
        <v>4278</v>
      </c>
      <c r="H483" s="316"/>
      <c r="I483" s="312" t="b">
        <v>1</v>
      </c>
      <c r="J483" s="312" t="s">
        <v>3751</v>
      </c>
      <c r="K483" s="316"/>
      <c r="L483" s="314"/>
      <c r="M483" s="314"/>
      <c r="N483" s="314"/>
      <c r="O483" s="314"/>
      <c r="P483" s="314"/>
      <c r="Q483" s="314"/>
      <c r="R483" s="314"/>
      <c r="S483" s="314"/>
      <c r="T483" s="314"/>
      <c r="U483" s="314"/>
      <c r="V483" s="314"/>
      <c r="W483" s="314"/>
      <c r="X483" s="314"/>
      <c r="Y483" s="314"/>
      <c r="Z483" s="314"/>
      <c r="AA483" s="314"/>
    </row>
    <row r="484" spans="1:27" ht="22.5" hidden="1" customHeight="1" outlineLevel="1" collapsed="1">
      <c r="A484" s="311" t="s">
        <v>4279</v>
      </c>
      <c r="B484" s="312">
        <v>40</v>
      </c>
      <c r="C484" s="312"/>
      <c r="D484" s="312"/>
      <c r="E484" s="313"/>
      <c r="F484" s="312"/>
      <c r="G484" s="312"/>
      <c r="H484" s="312"/>
      <c r="I484" s="312"/>
      <c r="J484" s="312"/>
      <c r="K484" s="312"/>
      <c r="L484" s="312"/>
      <c r="M484" s="312"/>
      <c r="N484" s="312"/>
      <c r="O484" s="312"/>
      <c r="P484" s="312"/>
      <c r="Q484" s="312"/>
      <c r="R484" s="312"/>
      <c r="S484" s="312"/>
      <c r="T484" s="312"/>
      <c r="U484" s="312"/>
      <c r="V484" s="312"/>
      <c r="W484" s="312"/>
      <c r="X484" s="312"/>
      <c r="Y484" s="312"/>
      <c r="Z484" s="312"/>
      <c r="AA484" s="312"/>
    </row>
    <row r="485" spans="1:27" ht="24" hidden="1" customHeight="1" outlineLevel="2">
      <c r="A485" s="314" t="s">
        <v>1536</v>
      </c>
      <c r="B485" s="314" t="s">
        <v>1537</v>
      </c>
      <c r="C485" s="314" t="s">
        <v>1538</v>
      </c>
      <c r="D485" s="314" t="s">
        <v>3833</v>
      </c>
      <c r="E485" s="315">
        <v>45110</v>
      </c>
      <c r="F485" s="312" t="b">
        <v>1</v>
      </c>
      <c r="G485" s="316" t="s">
        <v>4280</v>
      </c>
      <c r="H485" s="316"/>
      <c r="I485" s="312" t="b">
        <v>0</v>
      </c>
      <c r="J485" s="314" t="s">
        <v>4281</v>
      </c>
      <c r="K485" s="316"/>
      <c r="L485" s="314"/>
      <c r="M485" s="314"/>
      <c r="N485" s="314"/>
      <c r="O485" s="314"/>
      <c r="P485" s="314"/>
      <c r="Q485" s="314"/>
      <c r="R485" s="314"/>
      <c r="S485" s="314"/>
      <c r="T485" s="314"/>
      <c r="U485" s="314"/>
      <c r="V485" s="314"/>
      <c r="W485" s="314"/>
      <c r="X485" s="314"/>
      <c r="Y485" s="314"/>
      <c r="Z485" s="314"/>
      <c r="AA485" s="314"/>
    </row>
    <row r="486" spans="1:27" ht="24" hidden="1" customHeight="1" outlineLevel="2">
      <c r="A486" s="314" t="s">
        <v>1644</v>
      </c>
      <c r="B486" s="314" t="s">
        <v>1645</v>
      </c>
      <c r="C486" s="314" t="s">
        <v>1646</v>
      </c>
      <c r="D486" s="314" t="s">
        <v>3809</v>
      </c>
      <c r="E486" s="315">
        <v>45110</v>
      </c>
      <c r="F486" s="312" t="b">
        <v>1</v>
      </c>
      <c r="G486" s="316" t="s">
        <v>4282</v>
      </c>
      <c r="H486" s="316"/>
      <c r="I486" s="312" t="b">
        <v>1</v>
      </c>
      <c r="J486" s="312" t="s">
        <v>4092</v>
      </c>
      <c r="K486" s="316"/>
      <c r="L486" s="314"/>
      <c r="M486" s="314"/>
      <c r="N486" s="314"/>
      <c r="O486" s="314"/>
      <c r="P486" s="314"/>
      <c r="Q486" s="314"/>
      <c r="R486" s="314"/>
      <c r="S486" s="314"/>
      <c r="T486" s="314"/>
      <c r="U486" s="314"/>
      <c r="V486" s="314"/>
      <c r="W486" s="314"/>
      <c r="X486" s="314"/>
      <c r="Y486" s="314"/>
      <c r="Z486" s="314"/>
      <c r="AA486" s="314"/>
    </row>
    <row r="487" spans="1:27" ht="24" hidden="1" customHeight="1" outlineLevel="2">
      <c r="A487" s="314" t="s">
        <v>1045</v>
      </c>
      <c r="B487" s="314" t="s">
        <v>1046</v>
      </c>
      <c r="C487" s="314" t="s">
        <v>1047</v>
      </c>
      <c r="D487" s="314" t="s">
        <v>3930</v>
      </c>
      <c r="E487" s="315">
        <v>45110</v>
      </c>
      <c r="F487" s="312" t="b">
        <v>1</v>
      </c>
      <c r="G487" s="316" t="s">
        <v>4283</v>
      </c>
      <c r="H487" s="316"/>
      <c r="I487" s="312" t="b">
        <v>1</v>
      </c>
      <c r="J487" s="312" t="s">
        <v>3621</v>
      </c>
      <c r="K487" s="316"/>
      <c r="L487" s="314"/>
      <c r="M487" s="314"/>
      <c r="N487" s="314"/>
      <c r="O487" s="314"/>
      <c r="P487" s="314"/>
      <c r="Q487" s="314"/>
      <c r="R487" s="314"/>
      <c r="S487" s="314"/>
      <c r="T487" s="314"/>
      <c r="U487" s="314"/>
      <c r="V487" s="314"/>
      <c r="W487" s="314"/>
      <c r="X487" s="314"/>
      <c r="Y487" s="314"/>
      <c r="Z487" s="314"/>
      <c r="AA487" s="314"/>
    </row>
    <row r="488" spans="1:27" ht="24" hidden="1" customHeight="1" outlineLevel="2">
      <c r="A488" s="314" t="s">
        <v>1620</v>
      </c>
      <c r="B488" s="314" t="s">
        <v>1621</v>
      </c>
      <c r="C488" s="314" t="s">
        <v>1622</v>
      </c>
      <c r="D488" s="314" t="s">
        <v>3833</v>
      </c>
      <c r="E488" s="315">
        <v>45111</v>
      </c>
      <c r="F488" s="312" t="b">
        <v>1</v>
      </c>
      <c r="G488" s="316" t="s">
        <v>4284</v>
      </c>
      <c r="H488" s="316"/>
      <c r="I488" s="312" t="b">
        <v>1</v>
      </c>
      <c r="J488" s="314" t="s">
        <v>4281</v>
      </c>
      <c r="K488" s="316"/>
      <c r="L488" s="314"/>
      <c r="M488" s="314"/>
      <c r="N488" s="314"/>
      <c r="O488" s="314"/>
      <c r="P488" s="314"/>
      <c r="Q488" s="314"/>
      <c r="R488" s="314"/>
      <c r="S488" s="314"/>
      <c r="T488" s="314"/>
      <c r="U488" s="314"/>
      <c r="V488" s="314"/>
      <c r="W488" s="314"/>
      <c r="X488" s="314"/>
      <c r="Y488" s="314"/>
      <c r="Z488" s="314"/>
      <c r="AA488" s="314"/>
    </row>
    <row r="489" spans="1:27" ht="24" hidden="1" customHeight="1" outlineLevel="2">
      <c r="A489" s="314" t="s">
        <v>1663</v>
      </c>
      <c r="B489" s="314" t="s">
        <v>1664</v>
      </c>
      <c r="C489" s="314" t="s">
        <v>1665</v>
      </c>
      <c r="D489" s="314" t="s">
        <v>3696</v>
      </c>
      <c r="E489" s="315">
        <v>45111</v>
      </c>
      <c r="F489" s="312" t="b">
        <v>1</v>
      </c>
      <c r="G489" s="316" t="s">
        <v>4285</v>
      </c>
      <c r="H489" s="316"/>
      <c r="I489" s="312" t="b">
        <v>1</v>
      </c>
      <c r="J489" s="314" t="s">
        <v>4084</v>
      </c>
      <c r="K489" s="316"/>
      <c r="L489" s="314"/>
      <c r="M489" s="314"/>
      <c r="N489" s="314"/>
      <c r="O489" s="314"/>
      <c r="P489" s="314"/>
      <c r="Q489" s="314"/>
      <c r="R489" s="314"/>
      <c r="S489" s="314"/>
      <c r="T489" s="314"/>
      <c r="U489" s="314"/>
      <c r="V489" s="314"/>
      <c r="W489" s="314"/>
      <c r="X489" s="314"/>
      <c r="Y489" s="314"/>
      <c r="Z489" s="314"/>
      <c r="AA489" s="314"/>
    </row>
    <row r="490" spans="1:27" ht="24" hidden="1" customHeight="1" outlineLevel="2">
      <c r="A490" s="314" t="s">
        <v>1605</v>
      </c>
      <c r="B490" s="314" t="s">
        <v>1606</v>
      </c>
      <c r="C490" s="314" t="s">
        <v>1607</v>
      </c>
      <c r="D490" s="314" t="s">
        <v>3739</v>
      </c>
      <c r="E490" s="315">
        <v>45111</v>
      </c>
      <c r="F490" s="312" t="b">
        <v>1</v>
      </c>
      <c r="G490" s="316" t="s">
        <v>4286</v>
      </c>
      <c r="H490" s="316"/>
      <c r="I490" s="312" t="b">
        <v>1</v>
      </c>
      <c r="J490" s="314" t="s">
        <v>4287</v>
      </c>
      <c r="K490" s="316"/>
      <c r="L490" s="314"/>
      <c r="M490" s="314"/>
      <c r="N490" s="314"/>
      <c r="O490" s="314"/>
      <c r="P490" s="314"/>
      <c r="Q490" s="314"/>
      <c r="R490" s="314"/>
      <c r="S490" s="314"/>
      <c r="T490" s="314"/>
      <c r="U490" s="314"/>
      <c r="V490" s="314"/>
      <c r="W490" s="314"/>
      <c r="X490" s="314"/>
      <c r="Y490" s="314"/>
      <c r="Z490" s="314"/>
      <c r="AA490" s="314"/>
    </row>
    <row r="491" spans="1:27" ht="24" hidden="1" customHeight="1" outlineLevel="2">
      <c r="A491" s="314" t="s">
        <v>1569</v>
      </c>
      <c r="B491" s="314" t="s">
        <v>1570</v>
      </c>
      <c r="C491" s="314" t="s">
        <v>1571</v>
      </c>
      <c r="D491" s="314" t="s">
        <v>3696</v>
      </c>
      <c r="E491" s="315">
        <v>45112</v>
      </c>
      <c r="F491" s="312" t="b">
        <v>1</v>
      </c>
      <c r="G491" s="316" t="s">
        <v>4288</v>
      </c>
      <c r="H491" s="316"/>
      <c r="I491" s="312" t="b">
        <v>1</v>
      </c>
      <c r="J491" s="314" t="s">
        <v>4084</v>
      </c>
      <c r="K491" s="316"/>
      <c r="L491" s="314"/>
      <c r="M491" s="314"/>
      <c r="N491" s="314"/>
      <c r="O491" s="314"/>
      <c r="P491" s="314"/>
      <c r="Q491" s="314"/>
      <c r="R491" s="314"/>
      <c r="S491" s="314"/>
      <c r="T491" s="314"/>
      <c r="U491" s="314"/>
      <c r="V491" s="314"/>
      <c r="W491" s="314"/>
      <c r="X491" s="314"/>
      <c r="Y491" s="314"/>
      <c r="Z491" s="314"/>
      <c r="AA491" s="314"/>
    </row>
    <row r="492" spans="1:27" ht="24" hidden="1" customHeight="1" outlineLevel="2">
      <c r="A492" s="314" t="s">
        <v>1617</v>
      </c>
      <c r="B492" s="314" t="s">
        <v>1618</v>
      </c>
      <c r="C492" s="314" t="s">
        <v>1619</v>
      </c>
      <c r="D492" s="314" t="s">
        <v>3739</v>
      </c>
      <c r="E492" s="315">
        <v>45112</v>
      </c>
      <c r="F492" s="312" t="b">
        <v>1</v>
      </c>
      <c r="G492" s="316" t="s">
        <v>4289</v>
      </c>
      <c r="H492" s="316"/>
      <c r="I492" s="312" t="b">
        <v>1</v>
      </c>
      <c r="J492" s="314" t="s">
        <v>4287</v>
      </c>
      <c r="K492" s="316"/>
      <c r="L492" s="314"/>
      <c r="M492" s="314"/>
      <c r="N492" s="314"/>
      <c r="O492" s="314"/>
      <c r="P492" s="314"/>
      <c r="Q492" s="314"/>
      <c r="R492" s="314"/>
      <c r="S492" s="314"/>
      <c r="T492" s="314"/>
      <c r="U492" s="314"/>
      <c r="V492" s="314"/>
      <c r="W492" s="314"/>
      <c r="X492" s="314"/>
      <c r="Y492" s="314"/>
      <c r="Z492" s="314"/>
      <c r="AA492" s="314"/>
    </row>
    <row r="493" spans="1:27" ht="24" hidden="1" customHeight="1" outlineLevel="2">
      <c r="A493" s="314" t="s">
        <v>1684</v>
      </c>
      <c r="B493" s="314" t="s">
        <v>1685</v>
      </c>
      <c r="C493" s="314" t="s">
        <v>1686</v>
      </c>
      <c r="D493" s="314" t="s">
        <v>3696</v>
      </c>
      <c r="E493" s="315">
        <v>45113</v>
      </c>
      <c r="F493" s="312" t="b">
        <v>1</v>
      </c>
      <c r="G493" s="316" t="s">
        <v>4290</v>
      </c>
      <c r="H493" s="316"/>
      <c r="I493" s="312" t="b">
        <v>1</v>
      </c>
      <c r="J493" s="314" t="s">
        <v>4084</v>
      </c>
      <c r="K493" s="316"/>
      <c r="L493" s="314"/>
      <c r="M493" s="314"/>
      <c r="N493" s="314"/>
      <c r="O493" s="314"/>
      <c r="P493" s="314"/>
      <c r="Q493" s="314"/>
      <c r="R493" s="314"/>
      <c r="S493" s="314"/>
      <c r="T493" s="314"/>
      <c r="U493" s="314"/>
      <c r="V493" s="314"/>
      <c r="W493" s="314"/>
      <c r="X493" s="314"/>
      <c r="Y493" s="314"/>
      <c r="Z493" s="314"/>
      <c r="AA493" s="314"/>
    </row>
    <row r="494" spans="1:27" ht="24" hidden="1" customHeight="1" outlineLevel="2">
      <c r="A494" s="314" t="s">
        <v>1598</v>
      </c>
      <c r="B494" s="314" t="s">
        <v>1599</v>
      </c>
      <c r="C494" s="314" t="s">
        <v>1600</v>
      </c>
      <c r="D494" s="314" t="s">
        <v>3696</v>
      </c>
      <c r="E494" s="315">
        <v>45113</v>
      </c>
      <c r="F494" s="312" t="b">
        <v>1</v>
      </c>
      <c r="G494" s="316" t="s">
        <v>4291</v>
      </c>
      <c r="H494" s="316"/>
      <c r="I494" s="312" t="b">
        <v>1</v>
      </c>
      <c r="J494" s="314" t="s">
        <v>4084</v>
      </c>
      <c r="K494" s="316"/>
      <c r="L494" s="314"/>
      <c r="M494" s="314"/>
      <c r="N494" s="314"/>
      <c r="O494" s="314"/>
      <c r="P494" s="314"/>
      <c r="Q494" s="314"/>
      <c r="R494" s="314"/>
      <c r="S494" s="314"/>
      <c r="T494" s="314"/>
      <c r="U494" s="314"/>
      <c r="V494" s="314"/>
      <c r="W494" s="314"/>
      <c r="X494" s="314"/>
      <c r="Y494" s="314"/>
      <c r="Z494" s="314"/>
      <c r="AA494" s="314"/>
    </row>
    <row r="495" spans="1:27" ht="24" hidden="1" customHeight="1" outlineLevel="2">
      <c r="A495" s="314" t="s">
        <v>1548</v>
      </c>
      <c r="B495" s="314" t="s">
        <v>1549</v>
      </c>
      <c r="C495" s="314" t="s">
        <v>1550</v>
      </c>
      <c r="D495" s="314" t="s">
        <v>4292</v>
      </c>
      <c r="E495" s="315">
        <v>45114</v>
      </c>
      <c r="F495" s="312" t="b">
        <v>1</v>
      </c>
      <c r="G495" s="316" t="s">
        <v>4293</v>
      </c>
      <c r="H495" s="316"/>
      <c r="I495" s="312" t="b">
        <v>1</v>
      </c>
      <c r="J495" s="314" t="s">
        <v>4281</v>
      </c>
      <c r="K495" s="316"/>
      <c r="L495" s="314"/>
      <c r="M495" s="314"/>
      <c r="N495" s="314"/>
      <c r="O495" s="314"/>
      <c r="P495" s="314"/>
      <c r="Q495" s="314"/>
      <c r="R495" s="314"/>
      <c r="S495" s="314"/>
      <c r="T495" s="314"/>
      <c r="U495" s="314"/>
      <c r="V495" s="314"/>
      <c r="W495" s="314"/>
      <c r="X495" s="314"/>
      <c r="Y495" s="314"/>
      <c r="Z495" s="314"/>
      <c r="AA495" s="314"/>
    </row>
    <row r="496" spans="1:27" ht="24" hidden="1" customHeight="1" outlineLevel="2">
      <c r="A496" s="314" t="s">
        <v>1072</v>
      </c>
      <c r="B496" s="314" t="s">
        <v>1074</v>
      </c>
      <c r="C496" s="314" t="s">
        <v>1075</v>
      </c>
      <c r="D496" s="314" t="s">
        <v>3809</v>
      </c>
      <c r="E496" s="315">
        <v>45114</v>
      </c>
      <c r="F496" s="312" t="b">
        <v>1</v>
      </c>
      <c r="G496" s="316" t="s">
        <v>4294</v>
      </c>
      <c r="H496" s="316"/>
      <c r="I496" s="312" t="b">
        <v>1</v>
      </c>
      <c r="J496" s="312" t="s">
        <v>4092</v>
      </c>
      <c r="K496" s="316"/>
      <c r="L496" s="314"/>
      <c r="M496" s="314"/>
      <c r="N496" s="314"/>
      <c r="O496" s="314"/>
      <c r="P496" s="314"/>
      <c r="Q496" s="314"/>
      <c r="R496" s="314"/>
      <c r="S496" s="314"/>
      <c r="T496" s="314"/>
      <c r="U496" s="314"/>
      <c r="V496" s="314"/>
      <c r="W496" s="314"/>
      <c r="X496" s="314"/>
      <c r="Y496" s="314"/>
      <c r="Z496" s="314"/>
      <c r="AA496" s="314"/>
    </row>
    <row r="497" spans="1:27" ht="24" hidden="1" customHeight="1" outlineLevel="2">
      <c r="A497" s="314" t="s">
        <v>1666</v>
      </c>
      <c r="B497" s="314" t="s">
        <v>1667</v>
      </c>
      <c r="C497" s="314" t="s">
        <v>4295</v>
      </c>
      <c r="D497" s="314" t="s">
        <v>3809</v>
      </c>
      <c r="E497" s="315">
        <v>45114</v>
      </c>
      <c r="F497" s="312" t="b">
        <v>1</v>
      </c>
      <c r="G497" s="316" t="s">
        <v>4296</v>
      </c>
      <c r="H497" s="316"/>
      <c r="I497" s="312" t="b">
        <v>1</v>
      </c>
      <c r="J497" s="312" t="s">
        <v>4092</v>
      </c>
      <c r="K497" s="316"/>
      <c r="L497" s="314"/>
      <c r="M497" s="314"/>
      <c r="N497" s="314"/>
      <c r="O497" s="314"/>
      <c r="P497" s="314"/>
      <c r="Q497" s="314"/>
      <c r="R497" s="314"/>
      <c r="S497" s="314"/>
      <c r="T497" s="314"/>
      <c r="U497" s="314"/>
      <c r="V497" s="314"/>
      <c r="W497" s="314"/>
      <c r="X497" s="314"/>
      <c r="Y497" s="314"/>
      <c r="Z497" s="314"/>
      <c r="AA497" s="314"/>
    </row>
    <row r="498" spans="1:27" ht="24" hidden="1" customHeight="1" outlineLevel="2">
      <c r="A498" s="314" t="s">
        <v>1672</v>
      </c>
      <c r="B498" s="314" t="s">
        <v>1673</v>
      </c>
      <c r="C498" s="314" t="s">
        <v>1674</v>
      </c>
      <c r="D498" s="314" t="s">
        <v>3692</v>
      </c>
      <c r="E498" s="315">
        <v>45117</v>
      </c>
      <c r="F498" s="312" t="b">
        <v>1</v>
      </c>
      <c r="G498" s="316" t="s">
        <v>4297</v>
      </c>
      <c r="H498" s="316"/>
      <c r="I498" s="312" t="b">
        <v>1</v>
      </c>
      <c r="J498" s="314" t="s">
        <v>3751</v>
      </c>
      <c r="K498" s="316"/>
      <c r="L498" s="314"/>
      <c r="M498" s="314"/>
      <c r="N498" s="314"/>
      <c r="O498" s="314"/>
      <c r="P498" s="314"/>
      <c r="Q498" s="314"/>
      <c r="R498" s="314"/>
      <c r="S498" s="314"/>
      <c r="T498" s="314"/>
      <c r="U498" s="314"/>
      <c r="V498" s="314"/>
      <c r="W498" s="314"/>
      <c r="X498" s="314"/>
      <c r="Y498" s="314"/>
      <c r="Z498" s="314"/>
      <c r="AA498" s="314"/>
    </row>
    <row r="499" spans="1:27" ht="24" hidden="1" customHeight="1" outlineLevel="2">
      <c r="A499" s="314" t="s">
        <v>1082</v>
      </c>
      <c r="B499" s="314" t="s">
        <v>1084</v>
      </c>
      <c r="C499" s="314" t="s">
        <v>1085</v>
      </c>
      <c r="D499" s="314" t="s">
        <v>3696</v>
      </c>
      <c r="E499" s="315">
        <v>45117</v>
      </c>
      <c r="F499" s="312" t="b">
        <v>1</v>
      </c>
      <c r="G499" s="316" t="s">
        <v>4298</v>
      </c>
      <c r="H499" s="316"/>
      <c r="I499" s="312" t="b">
        <v>1</v>
      </c>
      <c r="J499" s="314" t="s">
        <v>4084</v>
      </c>
      <c r="K499" s="316"/>
      <c r="L499" s="314"/>
      <c r="M499" s="314"/>
      <c r="N499" s="314"/>
      <c r="O499" s="314"/>
      <c r="P499" s="314"/>
      <c r="Q499" s="314"/>
      <c r="R499" s="314"/>
      <c r="S499" s="314"/>
      <c r="T499" s="314"/>
      <c r="U499" s="314"/>
      <c r="V499" s="314"/>
      <c r="W499" s="314"/>
      <c r="X499" s="314"/>
      <c r="Y499" s="314"/>
      <c r="Z499" s="314"/>
      <c r="AA499" s="314"/>
    </row>
    <row r="500" spans="1:27" ht="24" hidden="1" customHeight="1" outlineLevel="2">
      <c r="A500" s="314" t="s">
        <v>1582</v>
      </c>
      <c r="B500" s="314" t="s">
        <v>1583</v>
      </c>
      <c r="C500" s="314" t="s">
        <v>1584</v>
      </c>
      <c r="D500" s="314" t="s">
        <v>3696</v>
      </c>
      <c r="E500" s="315">
        <v>45118</v>
      </c>
      <c r="F500" s="312" t="b">
        <v>1</v>
      </c>
      <c r="G500" s="316" t="s">
        <v>4299</v>
      </c>
      <c r="H500" s="316"/>
      <c r="I500" s="312" t="b">
        <v>1</v>
      </c>
      <c r="J500" s="314" t="s">
        <v>4084</v>
      </c>
      <c r="K500" s="316"/>
      <c r="L500" s="314"/>
      <c r="M500" s="314"/>
      <c r="N500" s="314"/>
      <c r="O500" s="314"/>
      <c r="P500" s="314"/>
      <c r="Q500" s="314"/>
      <c r="R500" s="314"/>
      <c r="S500" s="314"/>
      <c r="T500" s="314"/>
      <c r="U500" s="314"/>
      <c r="V500" s="314"/>
      <c r="W500" s="314"/>
      <c r="X500" s="314"/>
      <c r="Y500" s="314"/>
      <c r="Z500" s="314"/>
      <c r="AA500" s="314"/>
    </row>
    <row r="501" spans="1:27" ht="24" hidden="1" customHeight="1" outlineLevel="2">
      <c r="A501" s="314" t="s">
        <v>4300</v>
      </c>
      <c r="B501" s="314" t="s">
        <v>1628</v>
      </c>
      <c r="C501" s="314" t="s">
        <v>1629</v>
      </c>
      <c r="D501" s="314" t="s">
        <v>4270</v>
      </c>
      <c r="E501" s="315">
        <v>45118</v>
      </c>
      <c r="F501" s="312" t="b">
        <v>1</v>
      </c>
      <c r="G501" s="316" t="s">
        <v>4301</v>
      </c>
      <c r="H501" s="316"/>
      <c r="I501" s="312" t="b">
        <v>1</v>
      </c>
      <c r="J501" s="314" t="s">
        <v>3981</v>
      </c>
      <c r="K501" s="316"/>
      <c r="L501" s="314"/>
      <c r="M501" s="314"/>
      <c r="N501" s="314"/>
      <c r="O501" s="314"/>
      <c r="P501" s="314"/>
      <c r="Q501" s="314"/>
      <c r="R501" s="314"/>
      <c r="S501" s="314"/>
      <c r="T501" s="314"/>
      <c r="U501" s="314"/>
      <c r="V501" s="314"/>
      <c r="W501" s="314"/>
      <c r="X501" s="314"/>
      <c r="Y501" s="314"/>
      <c r="Z501" s="314"/>
      <c r="AA501" s="314"/>
    </row>
    <row r="502" spans="1:27" ht="24" hidden="1" customHeight="1" outlineLevel="2">
      <c r="A502" s="314" t="s">
        <v>1641</v>
      </c>
      <c r="B502" s="314" t="s">
        <v>4302</v>
      </c>
      <c r="C502" s="314" t="s">
        <v>1643</v>
      </c>
      <c r="D502" s="314" t="s">
        <v>3696</v>
      </c>
      <c r="E502" s="315">
        <v>45119</v>
      </c>
      <c r="F502" s="312" t="b">
        <v>0</v>
      </c>
      <c r="G502" s="316" t="s">
        <v>4303</v>
      </c>
      <c r="H502" s="316"/>
      <c r="I502" s="312" t="b">
        <v>1</v>
      </c>
      <c r="J502" s="314" t="s">
        <v>4084</v>
      </c>
      <c r="K502" s="316"/>
      <c r="L502" s="314"/>
      <c r="M502" s="314"/>
      <c r="N502" s="314"/>
      <c r="O502" s="314"/>
      <c r="P502" s="314"/>
      <c r="Q502" s="314"/>
      <c r="R502" s="314"/>
      <c r="S502" s="314"/>
      <c r="T502" s="314"/>
      <c r="U502" s="314"/>
      <c r="V502" s="314"/>
      <c r="W502" s="314"/>
      <c r="X502" s="314"/>
      <c r="Y502" s="314"/>
      <c r="Z502" s="314"/>
      <c r="AA502" s="314"/>
    </row>
    <row r="503" spans="1:27" ht="24" hidden="1" customHeight="1" outlineLevel="2">
      <c r="A503" s="314" t="s">
        <v>1551</v>
      </c>
      <c r="B503" s="314" t="s">
        <v>1552</v>
      </c>
      <c r="C503" s="314" t="s">
        <v>1553</v>
      </c>
      <c r="D503" s="314" t="s">
        <v>3696</v>
      </c>
      <c r="E503" s="315">
        <v>45119</v>
      </c>
      <c r="F503" s="312" t="b">
        <v>1</v>
      </c>
      <c r="G503" s="316" t="s">
        <v>4304</v>
      </c>
      <c r="H503" s="316"/>
      <c r="I503" s="312" t="b">
        <v>1</v>
      </c>
      <c r="J503" s="314" t="s">
        <v>4084</v>
      </c>
      <c r="K503" s="316"/>
      <c r="L503" s="314"/>
      <c r="M503" s="314"/>
      <c r="N503" s="314"/>
      <c r="O503" s="314"/>
      <c r="P503" s="314"/>
      <c r="Q503" s="314"/>
      <c r="R503" s="314"/>
      <c r="S503" s="314"/>
      <c r="T503" s="314"/>
      <c r="U503" s="314"/>
      <c r="V503" s="314"/>
      <c r="W503" s="314"/>
      <c r="X503" s="314"/>
      <c r="Y503" s="314"/>
      <c r="Z503" s="314"/>
      <c r="AA503" s="314"/>
    </row>
    <row r="504" spans="1:27" ht="24" hidden="1" customHeight="1" outlineLevel="2">
      <c r="A504" s="314" t="s">
        <v>1595</v>
      </c>
      <c r="B504" s="314" t="s">
        <v>1596</v>
      </c>
      <c r="C504" s="314" t="s">
        <v>1597</v>
      </c>
      <c r="D504" s="314" t="s">
        <v>3696</v>
      </c>
      <c r="E504" s="315">
        <v>45119</v>
      </c>
      <c r="F504" s="312" t="b">
        <v>1</v>
      </c>
      <c r="G504" s="316" t="s">
        <v>4305</v>
      </c>
      <c r="H504" s="316"/>
      <c r="I504" s="312" t="b">
        <v>1</v>
      </c>
      <c r="J504" s="314" t="s">
        <v>4084</v>
      </c>
      <c r="K504" s="316"/>
      <c r="L504" s="314"/>
      <c r="M504" s="314"/>
      <c r="N504" s="314"/>
      <c r="O504" s="314"/>
      <c r="P504" s="314"/>
      <c r="Q504" s="314"/>
      <c r="R504" s="314"/>
      <c r="S504" s="314"/>
      <c r="T504" s="314"/>
      <c r="U504" s="314"/>
      <c r="V504" s="314"/>
      <c r="W504" s="314"/>
      <c r="X504" s="314"/>
      <c r="Y504" s="314"/>
      <c r="Z504" s="314"/>
      <c r="AA504" s="314"/>
    </row>
    <row r="505" spans="1:27" ht="24" hidden="1" customHeight="1" outlineLevel="2">
      <c r="A505" s="314" t="s">
        <v>1554</v>
      </c>
      <c r="B505" s="314" t="s">
        <v>1555</v>
      </c>
      <c r="C505" s="314" t="s">
        <v>1556</v>
      </c>
      <c r="D505" s="314" t="s">
        <v>3833</v>
      </c>
      <c r="E505" s="315">
        <v>45119</v>
      </c>
      <c r="F505" s="312" t="b">
        <v>1</v>
      </c>
      <c r="G505" s="316" t="s">
        <v>4306</v>
      </c>
      <c r="H505" s="316"/>
      <c r="I505" s="312" t="b">
        <v>0</v>
      </c>
      <c r="J505" s="314" t="s">
        <v>4281</v>
      </c>
      <c r="K505" s="316"/>
      <c r="L505" s="314"/>
      <c r="M505" s="314"/>
      <c r="N505" s="314"/>
      <c r="O505" s="314"/>
      <c r="P505" s="314"/>
      <c r="Q505" s="314"/>
      <c r="R505" s="314"/>
      <c r="S505" s="314"/>
      <c r="T505" s="314"/>
      <c r="U505" s="314"/>
      <c r="V505" s="314"/>
      <c r="W505" s="314"/>
      <c r="X505" s="314"/>
      <c r="Y505" s="314"/>
      <c r="Z505" s="314"/>
      <c r="AA505" s="314"/>
    </row>
    <row r="506" spans="1:27" ht="24" hidden="1" customHeight="1" outlineLevel="2">
      <c r="A506" s="314" t="s">
        <v>1585</v>
      </c>
      <c r="B506" s="314" t="s">
        <v>1586</v>
      </c>
      <c r="C506" s="314" t="s">
        <v>1587</v>
      </c>
      <c r="D506" s="314" t="s">
        <v>3739</v>
      </c>
      <c r="E506" s="315">
        <v>45121</v>
      </c>
      <c r="F506" s="312" t="b">
        <v>1</v>
      </c>
      <c r="G506" s="316" t="s">
        <v>4307</v>
      </c>
      <c r="H506" s="316"/>
      <c r="I506" s="312" t="b">
        <v>1</v>
      </c>
      <c r="J506" s="314" t="s">
        <v>4287</v>
      </c>
      <c r="K506" s="316"/>
      <c r="L506" s="314"/>
      <c r="M506" s="314"/>
      <c r="N506" s="314"/>
      <c r="O506" s="314"/>
      <c r="P506" s="314"/>
      <c r="Q506" s="314"/>
      <c r="R506" s="314"/>
      <c r="S506" s="314"/>
      <c r="T506" s="314"/>
      <c r="U506" s="314"/>
      <c r="V506" s="314"/>
      <c r="W506" s="314"/>
      <c r="X506" s="314"/>
      <c r="Y506" s="314"/>
      <c r="Z506" s="314"/>
      <c r="AA506" s="314"/>
    </row>
    <row r="507" spans="1:27" ht="24" hidden="1" customHeight="1" outlineLevel="2">
      <c r="A507" s="314" t="s">
        <v>4308</v>
      </c>
      <c r="B507" s="314" t="s">
        <v>4309</v>
      </c>
      <c r="C507" s="314" t="s">
        <v>1559</v>
      </c>
      <c r="D507" s="314" t="s">
        <v>3833</v>
      </c>
      <c r="E507" s="315">
        <v>45121</v>
      </c>
      <c r="F507" s="312" t="b">
        <v>1</v>
      </c>
      <c r="G507" s="316" t="s">
        <v>4310</v>
      </c>
      <c r="H507" s="316"/>
      <c r="I507" s="312" t="b">
        <v>0</v>
      </c>
      <c r="J507" s="314" t="s">
        <v>4281</v>
      </c>
      <c r="K507" s="316"/>
      <c r="L507" s="314"/>
      <c r="M507" s="314"/>
      <c r="N507" s="314"/>
      <c r="O507" s="314"/>
      <c r="P507" s="314"/>
      <c r="Q507" s="314"/>
      <c r="R507" s="314"/>
      <c r="S507" s="314"/>
      <c r="T507" s="314"/>
      <c r="U507" s="314"/>
      <c r="V507" s="314"/>
      <c r="W507" s="314"/>
      <c r="X507" s="314"/>
      <c r="Y507" s="314"/>
      <c r="Z507" s="314"/>
      <c r="AA507" s="314"/>
    </row>
    <row r="508" spans="1:27" ht="24" hidden="1" customHeight="1" outlineLevel="2">
      <c r="A508" s="314" t="s">
        <v>4311</v>
      </c>
      <c r="B508" s="314" t="s">
        <v>1682</v>
      </c>
      <c r="C508" s="314" t="s">
        <v>1683</v>
      </c>
      <c r="D508" s="314" t="s">
        <v>3809</v>
      </c>
      <c r="E508" s="315">
        <v>45124</v>
      </c>
      <c r="F508" s="312" t="b">
        <v>1</v>
      </c>
      <c r="G508" s="316" t="s">
        <v>4312</v>
      </c>
      <c r="H508" s="316"/>
      <c r="I508" s="312" t="b">
        <v>1</v>
      </c>
      <c r="J508" s="312" t="s">
        <v>4092</v>
      </c>
      <c r="K508" s="316"/>
      <c r="L508" s="314"/>
      <c r="M508" s="314"/>
      <c r="N508" s="314"/>
      <c r="O508" s="314"/>
      <c r="P508" s="314"/>
      <c r="Q508" s="314"/>
      <c r="R508" s="314"/>
      <c r="S508" s="314"/>
      <c r="T508" s="314"/>
      <c r="U508" s="314"/>
      <c r="V508" s="314"/>
      <c r="W508" s="314"/>
      <c r="X508" s="314"/>
      <c r="Y508" s="314"/>
      <c r="Z508" s="314"/>
      <c r="AA508" s="314"/>
    </row>
    <row r="509" spans="1:27" ht="24" hidden="1" customHeight="1" outlineLevel="2">
      <c r="A509" s="314" t="s">
        <v>1696</v>
      </c>
      <c r="B509" s="314" t="s">
        <v>1697</v>
      </c>
      <c r="C509" s="314" t="s">
        <v>1698</v>
      </c>
      <c r="D509" s="314" t="s">
        <v>3696</v>
      </c>
      <c r="E509" s="315">
        <v>45124</v>
      </c>
      <c r="F509" s="312" t="b">
        <v>1</v>
      </c>
      <c r="G509" s="316" t="s">
        <v>4313</v>
      </c>
      <c r="H509" s="316"/>
      <c r="I509" s="312" t="b">
        <v>1</v>
      </c>
      <c r="J509" s="314" t="s">
        <v>4084</v>
      </c>
      <c r="K509" s="316"/>
      <c r="L509" s="314"/>
      <c r="M509" s="314"/>
      <c r="N509" s="314"/>
      <c r="O509" s="314"/>
      <c r="P509" s="314"/>
      <c r="Q509" s="314"/>
      <c r="R509" s="314"/>
      <c r="S509" s="314"/>
      <c r="T509" s="314"/>
      <c r="U509" s="314"/>
      <c r="V509" s="314"/>
      <c r="W509" s="314"/>
      <c r="X509" s="314"/>
      <c r="Y509" s="314"/>
      <c r="Z509" s="314"/>
      <c r="AA509" s="314"/>
    </row>
    <row r="510" spans="1:27" ht="24" hidden="1" customHeight="1" outlineLevel="2">
      <c r="A510" s="314" t="s">
        <v>1669</v>
      </c>
      <c r="B510" s="314" t="s">
        <v>1670</v>
      </c>
      <c r="C510" s="314" t="s">
        <v>1671</v>
      </c>
      <c r="D510" s="314" t="s">
        <v>3696</v>
      </c>
      <c r="E510" s="315">
        <v>45125</v>
      </c>
      <c r="F510" s="312" t="b">
        <v>1</v>
      </c>
      <c r="G510" s="316" t="s">
        <v>4314</v>
      </c>
      <c r="H510" s="316"/>
      <c r="I510" s="312" t="b">
        <v>1</v>
      </c>
      <c r="J510" s="314" t="s">
        <v>4084</v>
      </c>
      <c r="K510" s="316"/>
      <c r="L510" s="314"/>
      <c r="M510" s="314"/>
      <c r="N510" s="314"/>
      <c r="O510" s="314"/>
      <c r="P510" s="314"/>
      <c r="Q510" s="314"/>
      <c r="R510" s="314"/>
      <c r="S510" s="314"/>
      <c r="T510" s="314"/>
      <c r="U510" s="314"/>
      <c r="V510" s="314"/>
      <c r="W510" s="314"/>
      <c r="X510" s="314"/>
      <c r="Y510" s="314"/>
      <c r="Z510" s="314"/>
      <c r="AA510" s="314"/>
    </row>
    <row r="511" spans="1:27" ht="24" hidden="1" customHeight="1" outlineLevel="2">
      <c r="A511" s="314" t="s">
        <v>1122</v>
      </c>
      <c r="B511" s="314" t="s">
        <v>1123</v>
      </c>
      <c r="C511" s="314" t="s">
        <v>1124</v>
      </c>
      <c r="D511" s="314" t="s">
        <v>3696</v>
      </c>
      <c r="E511" s="315">
        <v>45126</v>
      </c>
      <c r="F511" s="312" t="b">
        <v>1</v>
      </c>
      <c r="G511" s="316" t="s">
        <v>4315</v>
      </c>
      <c r="H511" s="316"/>
      <c r="I511" s="312" t="b">
        <v>1</v>
      </c>
      <c r="J511" s="314" t="s">
        <v>4084</v>
      </c>
      <c r="K511" s="316"/>
      <c r="L511" s="314"/>
      <c r="M511" s="314"/>
      <c r="N511" s="314"/>
      <c r="O511" s="314"/>
      <c r="P511" s="314"/>
      <c r="Q511" s="314"/>
      <c r="R511" s="314"/>
      <c r="S511" s="314"/>
      <c r="T511" s="314"/>
      <c r="U511" s="314"/>
      <c r="V511" s="314"/>
      <c r="W511" s="314"/>
      <c r="X511" s="314"/>
      <c r="Y511" s="314"/>
      <c r="Z511" s="314"/>
      <c r="AA511" s="314"/>
    </row>
    <row r="512" spans="1:27" ht="24" hidden="1" customHeight="1" outlineLevel="2">
      <c r="A512" s="314" t="s">
        <v>1611</v>
      </c>
      <c r="B512" s="314" t="s">
        <v>1612</v>
      </c>
      <c r="C512" s="314" t="s">
        <v>1613</v>
      </c>
      <c r="D512" s="314" t="s">
        <v>4316</v>
      </c>
      <c r="E512" s="315">
        <v>45126</v>
      </c>
      <c r="F512" s="312" t="b">
        <v>1</v>
      </c>
      <c r="G512" s="316" t="s">
        <v>4317</v>
      </c>
      <c r="H512" s="316"/>
      <c r="I512" s="312" t="b">
        <v>1</v>
      </c>
      <c r="J512" s="314" t="s">
        <v>4318</v>
      </c>
      <c r="K512" s="316"/>
      <c r="L512" s="314"/>
      <c r="M512" s="314"/>
      <c r="N512" s="314"/>
      <c r="O512" s="314"/>
      <c r="P512" s="314"/>
      <c r="Q512" s="314"/>
      <c r="R512" s="314"/>
      <c r="S512" s="314"/>
      <c r="T512" s="314"/>
      <c r="U512" s="314"/>
      <c r="V512" s="314"/>
      <c r="W512" s="314"/>
      <c r="X512" s="314"/>
      <c r="Y512" s="314"/>
      <c r="Z512" s="314"/>
      <c r="AA512" s="314"/>
    </row>
    <row r="513" spans="1:27" ht="24" hidden="1" customHeight="1" outlineLevel="2">
      <c r="A513" s="314" t="s">
        <v>1653</v>
      </c>
      <c r="B513" s="314" t="s">
        <v>1655</v>
      </c>
      <c r="C513" s="314" t="s">
        <v>1656</v>
      </c>
      <c r="D513" s="314" t="s">
        <v>4319</v>
      </c>
      <c r="E513" s="315">
        <v>45126</v>
      </c>
      <c r="F513" s="312" t="b">
        <v>1</v>
      </c>
      <c r="G513" s="316" t="s">
        <v>4320</v>
      </c>
      <c r="H513" s="316"/>
      <c r="I513" s="312" t="b">
        <v>1</v>
      </c>
      <c r="J513" s="314" t="s">
        <v>4281</v>
      </c>
      <c r="K513" s="316"/>
      <c r="L513" s="314"/>
      <c r="M513" s="314"/>
      <c r="N513" s="314"/>
      <c r="O513" s="314"/>
      <c r="P513" s="314"/>
      <c r="Q513" s="314"/>
      <c r="R513" s="314"/>
      <c r="S513" s="314"/>
      <c r="T513" s="314"/>
      <c r="U513" s="314"/>
      <c r="V513" s="314"/>
      <c r="W513" s="314"/>
      <c r="X513" s="314"/>
      <c r="Y513" s="314"/>
      <c r="Z513" s="314"/>
      <c r="AA513" s="314"/>
    </row>
    <row r="514" spans="1:27" ht="24" hidden="1" customHeight="1" outlineLevel="2">
      <c r="A514" s="314" t="s">
        <v>1135</v>
      </c>
      <c r="B514" s="314" t="s">
        <v>1136</v>
      </c>
      <c r="C514" s="314" t="s">
        <v>1137</v>
      </c>
      <c r="D514" s="314" t="s">
        <v>3696</v>
      </c>
      <c r="E514" s="315">
        <v>45126</v>
      </c>
      <c r="F514" s="312" t="b">
        <v>1</v>
      </c>
      <c r="G514" s="316" t="s">
        <v>4321</v>
      </c>
      <c r="H514" s="316"/>
      <c r="I514" s="312" t="b">
        <v>1</v>
      </c>
      <c r="J514" s="314" t="s">
        <v>4084</v>
      </c>
      <c r="K514" s="316"/>
      <c r="L514" s="314"/>
      <c r="M514" s="314"/>
      <c r="N514" s="314"/>
      <c r="O514" s="314"/>
      <c r="P514" s="314"/>
      <c r="Q514" s="314"/>
      <c r="R514" s="314"/>
      <c r="S514" s="314"/>
      <c r="T514" s="314"/>
      <c r="U514" s="314"/>
      <c r="V514" s="314"/>
      <c r="W514" s="314"/>
      <c r="X514" s="314"/>
      <c r="Y514" s="314"/>
      <c r="Z514" s="314"/>
      <c r="AA514" s="314"/>
    </row>
    <row r="515" spans="1:27" ht="24" hidden="1" customHeight="1" outlineLevel="2">
      <c r="A515" s="314" t="s">
        <v>4322</v>
      </c>
      <c r="B515" s="314" t="s">
        <v>1561</v>
      </c>
      <c r="C515" s="314" t="s">
        <v>1562</v>
      </c>
      <c r="D515" s="314" t="s">
        <v>3739</v>
      </c>
      <c r="E515" s="315">
        <v>45126</v>
      </c>
      <c r="F515" s="312" t="b">
        <v>1</v>
      </c>
      <c r="G515" s="316" t="s">
        <v>4323</v>
      </c>
      <c r="H515" s="316"/>
      <c r="I515" s="312" t="b">
        <v>1</v>
      </c>
      <c r="J515" s="314" t="s">
        <v>4287</v>
      </c>
      <c r="K515" s="316"/>
      <c r="L515" s="314"/>
      <c r="M515" s="314"/>
      <c r="N515" s="314"/>
      <c r="O515" s="314"/>
      <c r="P515" s="314"/>
      <c r="Q515" s="314"/>
      <c r="R515" s="314"/>
      <c r="S515" s="314"/>
      <c r="T515" s="314"/>
      <c r="U515" s="314"/>
      <c r="V515" s="314"/>
      <c r="W515" s="314"/>
      <c r="X515" s="314"/>
      <c r="Y515" s="314"/>
      <c r="Z515" s="314"/>
      <c r="AA515" s="314"/>
    </row>
    <row r="516" spans="1:27" ht="24" hidden="1" customHeight="1" outlineLevel="2">
      <c r="A516" s="314" t="s">
        <v>1690</v>
      </c>
      <c r="B516" s="314" t="s">
        <v>1691</v>
      </c>
      <c r="C516" s="314" t="s">
        <v>1692</v>
      </c>
      <c r="D516" s="314" t="s">
        <v>3809</v>
      </c>
      <c r="E516" s="315">
        <v>45128</v>
      </c>
      <c r="F516" s="312" t="b">
        <v>1</v>
      </c>
      <c r="G516" s="316" t="s">
        <v>4324</v>
      </c>
      <c r="H516" s="316"/>
      <c r="I516" s="312" t="b">
        <v>1</v>
      </c>
      <c r="J516" s="312" t="s">
        <v>4092</v>
      </c>
      <c r="K516" s="316"/>
      <c r="L516" s="314"/>
      <c r="M516" s="314"/>
      <c r="N516" s="314"/>
      <c r="O516" s="314"/>
      <c r="P516" s="314"/>
      <c r="Q516" s="314"/>
      <c r="R516" s="314"/>
      <c r="S516" s="314"/>
      <c r="T516" s="314"/>
      <c r="U516" s="314"/>
      <c r="V516" s="314"/>
      <c r="W516" s="314"/>
      <c r="X516" s="314"/>
      <c r="Y516" s="314"/>
      <c r="Z516" s="314"/>
      <c r="AA516" s="314"/>
    </row>
    <row r="517" spans="1:27" ht="24" hidden="1" customHeight="1" outlineLevel="2">
      <c r="A517" s="314" t="s">
        <v>1630</v>
      </c>
      <c r="B517" s="314" t="s">
        <v>1631</v>
      </c>
      <c r="C517" s="314" t="s">
        <v>1632</v>
      </c>
      <c r="D517" s="314" t="s">
        <v>3696</v>
      </c>
      <c r="E517" s="315">
        <v>45128</v>
      </c>
      <c r="F517" s="312" t="b">
        <v>1</v>
      </c>
      <c r="G517" s="316" t="s">
        <v>4325</v>
      </c>
      <c r="H517" s="316"/>
      <c r="I517" s="312" t="b">
        <v>1</v>
      </c>
      <c r="J517" s="314" t="s">
        <v>4084</v>
      </c>
      <c r="K517" s="316"/>
      <c r="L517" s="314"/>
      <c r="M517" s="314"/>
      <c r="N517" s="314"/>
      <c r="O517" s="314"/>
      <c r="P517" s="314"/>
      <c r="Q517" s="314"/>
      <c r="R517" s="314"/>
      <c r="S517" s="314"/>
      <c r="T517" s="314"/>
      <c r="U517" s="314"/>
      <c r="V517" s="314"/>
      <c r="W517" s="314"/>
      <c r="X517" s="314"/>
      <c r="Y517" s="314"/>
      <c r="Z517" s="314"/>
      <c r="AA517" s="314"/>
    </row>
    <row r="518" spans="1:27" ht="24" hidden="1" customHeight="1" outlineLevel="2">
      <c r="A518" s="314" t="s">
        <v>1572</v>
      </c>
      <c r="B518" s="314" t="s">
        <v>1573</v>
      </c>
      <c r="C518" s="314" t="s">
        <v>1574</v>
      </c>
      <c r="D518" s="314" t="s">
        <v>4215</v>
      </c>
      <c r="E518" s="315">
        <v>45128</v>
      </c>
      <c r="F518" s="312" t="b">
        <v>1</v>
      </c>
      <c r="G518" s="316" t="s">
        <v>4326</v>
      </c>
      <c r="H518" s="316"/>
      <c r="I518" s="312" t="b">
        <v>1</v>
      </c>
      <c r="J518" s="312" t="s">
        <v>3621</v>
      </c>
      <c r="K518" s="316"/>
      <c r="L518" s="314"/>
      <c r="M518" s="314"/>
      <c r="N518" s="314"/>
      <c r="O518" s="314"/>
      <c r="P518" s="314"/>
      <c r="Q518" s="314"/>
      <c r="R518" s="314"/>
      <c r="S518" s="314"/>
      <c r="T518" s="314"/>
      <c r="U518" s="314"/>
      <c r="V518" s="314"/>
      <c r="W518" s="314"/>
      <c r="X518" s="314"/>
      <c r="Y518" s="314"/>
      <c r="Z518" s="314"/>
      <c r="AA518" s="314"/>
    </row>
    <row r="519" spans="1:27" ht="24" hidden="1" customHeight="1" outlineLevel="2">
      <c r="A519" s="314" t="s">
        <v>1637</v>
      </c>
      <c r="B519" s="314" t="s">
        <v>1639</v>
      </c>
      <c r="C519" s="314" t="s">
        <v>1640</v>
      </c>
      <c r="D519" s="314" t="s">
        <v>3696</v>
      </c>
      <c r="E519" s="315">
        <v>45128</v>
      </c>
      <c r="F519" s="312" t="b">
        <v>1</v>
      </c>
      <c r="G519" s="316" t="s">
        <v>4327</v>
      </c>
      <c r="H519" s="316"/>
      <c r="I519" s="312" t="b">
        <v>1</v>
      </c>
      <c r="J519" s="314" t="s">
        <v>4084</v>
      </c>
      <c r="K519" s="316"/>
      <c r="L519" s="314"/>
      <c r="M519" s="314"/>
      <c r="N519" s="314"/>
      <c r="O519" s="314"/>
      <c r="P519" s="314"/>
      <c r="Q519" s="314"/>
      <c r="R519" s="314"/>
      <c r="S519" s="314"/>
      <c r="T519" s="314"/>
      <c r="U519" s="314"/>
      <c r="V519" s="314"/>
      <c r="W519" s="314"/>
      <c r="X519" s="314"/>
      <c r="Y519" s="314"/>
      <c r="Z519" s="314"/>
      <c r="AA519" s="314"/>
    </row>
    <row r="520" spans="1:27" ht="24" hidden="1" customHeight="1" outlineLevel="2">
      <c r="A520" s="314" t="s">
        <v>1693</v>
      </c>
      <c r="B520" s="314" t="s">
        <v>1694</v>
      </c>
      <c r="C520" s="314" t="s">
        <v>1695</v>
      </c>
      <c r="D520" s="314" t="s">
        <v>3696</v>
      </c>
      <c r="E520" s="315">
        <v>45131</v>
      </c>
      <c r="F520" s="312" t="b">
        <v>1</v>
      </c>
      <c r="G520" s="316" t="s">
        <v>4328</v>
      </c>
      <c r="H520" s="316"/>
      <c r="I520" s="312" t="b">
        <v>1</v>
      </c>
      <c r="J520" s="314" t="s">
        <v>4084</v>
      </c>
      <c r="K520" s="316"/>
      <c r="L520" s="314"/>
      <c r="M520" s="314"/>
      <c r="N520" s="314"/>
      <c r="O520" s="314"/>
      <c r="P520" s="314"/>
      <c r="Q520" s="314"/>
      <c r="R520" s="314"/>
      <c r="S520" s="314"/>
      <c r="T520" s="314"/>
      <c r="U520" s="314"/>
      <c r="V520" s="314"/>
      <c r="W520" s="314"/>
      <c r="X520" s="314"/>
      <c r="Y520" s="314"/>
      <c r="Z520" s="314"/>
      <c r="AA520" s="314"/>
    </row>
    <row r="521" spans="1:27" ht="24" hidden="1" customHeight="1" outlineLevel="2">
      <c r="A521" s="314" t="s">
        <v>1699</v>
      </c>
      <c r="B521" s="314" t="s">
        <v>1700</v>
      </c>
      <c r="C521" s="314" t="s">
        <v>1701</v>
      </c>
      <c r="D521" s="314" t="s">
        <v>3696</v>
      </c>
      <c r="E521" s="315">
        <v>45133</v>
      </c>
      <c r="F521" s="312" t="b">
        <v>0</v>
      </c>
      <c r="G521" s="316" t="s">
        <v>4329</v>
      </c>
      <c r="H521" s="316"/>
      <c r="I521" s="312" t="b">
        <v>1</v>
      </c>
      <c r="J521" s="314" t="s">
        <v>4084</v>
      </c>
      <c r="K521" s="316"/>
      <c r="L521" s="314"/>
      <c r="M521" s="314"/>
      <c r="N521" s="314"/>
      <c r="O521" s="314"/>
      <c r="P521" s="314"/>
      <c r="Q521" s="314"/>
      <c r="R521" s="314"/>
      <c r="S521" s="314"/>
      <c r="T521" s="314"/>
      <c r="U521" s="314"/>
      <c r="V521" s="314"/>
      <c r="W521" s="314"/>
      <c r="X521" s="314"/>
      <c r="Y521" s="314"/>
      <c r="Z521" s="314"/>
      <c r="AA521" s="314"/>
    </row>
    <row r="522" spans="1:27" ht="24" hidden="1" customHeight="1" outlineLevel="2">
      <c r="A522" s="314" t="s">
        <v>1608</v>
      </c>
      <c r="B522" s="314" t="s">
        <v>1609</v>
      </c>
      <c r="C522" s="314" t="s">
        <v>1610</v>
      </c>
      <c r="D522" s="314" t="s">
        <v>3718</v>
      </c>
      <c r="E522" s="315">
        <v>45134</v>
      </c>
      <c r="F522" s="312" t="b">
        <v>0</v>
      </c>
      <c r="G522" s="316" t="s">
        <v>4330</v>
      </c>
      <c r="H522" s="316"/>
      <c r="I522" s="312" t="b">
        <v>1</v>
      </c>
      <c r="J522" s="314" t="s">
        <v>3621</v>
      </c>
      <c r="K522" s="316"/>
      <c r="L522" s="314"/>
      <c r="M522" s="314"/>
      <c r="N522" s="314"/>
      <c r="O522" s="314"/>
      <c r="P522" s="314"/>
      <c r="Q522" s="314"/>
      <c r="R522" s="314"/>
      <c r="S522" s="314"/>
      <c r="T522" s="314"/>
      <c r="U522" s="314"/>
      <c r="V522" s="314"/>
      <c r="W522" s="314"/>
      <c r="X522" s="314"/>
      <c r="Y522" s="314"/>
      <c r="Z522" s="314"/>
      <c r="AA522" s="314"/>
    </row>
    <row r="523" spans="1:27" ht="24" hidden="1" customHeight="1" outlineLevel="2">
      <c r="A523" s="314" t="s">
        <v>4331</v>
      </c>
      <c r="B523" s="314" t="s">
        <v>4332</v>
      </c>
      <c r="C523" s="314" t="s">
        <v>4333</v>
      </c>
      <c r="D523" s="314" t="s">
        <v>4334</v>
      </c>
      <c r="E523" s="315">
        <v>45134</v>
      </c>
      <c r="F523" s="312" t="b">
        <v>1</v>
      </c>
      <c r="G523" s="316" t="s">
        <v>4335</v>
      </c>
      <c r="H523" s="316"/>
      <c r="I523" s="312" t="b">
        <v>1</v>
      </c>
      <c r="J523" s="314" t="s">
        <v>4281</v>
      </c>
      <c r="K523" s="316"/>
      <c r="L523" s="314"/>
      <c r="M523" s="314"/>
      <c r="N523" s="314"/>
      <c r="O523" s="314"/>
      <c r="P523" s="314"/>
      <c r="Q523" s="314"/>
      <c r="R523" s="314"/>
      <c r="S523" s="314"/>
      <c r="T523" s="314"/>
      <c r="U523" s="314"/>
      <c r="V523" s="314"/>
      <c r="W523" s="314"/>
      <c r="X523" s="314"/>
      <c r="Y523" s="314"/>
      <c r="Z523" s="314"/>
      <c r="AA523" s="314"/>
    </row>
    <row r="524" spans="1:27" ht="24" hidden="1" customHeight="1" outlineLevel="2">
      <c r="A524" s="314" t="s">
        <v>4336</v>
      </c>
      <c r="B524" s="314" t="s">
        <v>1567</v>
      </c>
      <c r="C524" s="314" t="s">
        <v>1568</v>
      </c>
      <c r="D524" s="314" t="s">
        <v>4337</v>
      </c>
      <c r="E524" s="315">
        <v>45134</v>
      </c>
      <c r="F524" s="312" t="b">
        <v>0</v>
      </c>
      <c r="G524" s="316" t="s">
        <v>4338</v>
      </c>
      <c r="H524" s="316"/>
      <c r="I524" s="312" t="b">
        <v>1</v>
      </c>
      <c r="J524" s="314" t="s">
        <v>3981</v>
      </c>
      <c r="K524" s="316"/>
      <c r="L524" s="314"/>
      <c r="M524" s="314"/>
      <c r="N524" s="314"/>
      <c r="O524" s="314"/>
      <c r="P524" s="314"/>
      <c r="Q524" s="314"/>
      <c r="R524" s="314"/>
      <c r="S524" s="314"/>
      <c r="T524" s="314"/>
      <c r="U524" s="314"/>
      <c r="V524" s="314"/>
      <c r="W524" s="314"/>
      <c r="X524" s="314"/>
      <c r="Y524" s="314"/>
      <c r="Z524" s="314"/>
      <c r="AA524" s="314"/>
    </row>
    <row r="525" spans="1:27" ht="24" hidden="1" customHeight="1" outlineLevel="1" collapsed="1">
      <c r="A525" s="311" t="s">
        <v>4339</v>
      </c>
      <c r="B525" s="314">
        <v>57</v>
      </c>
      <c r="C525" s="314"/>
      <c r="D525" s="314"/>
      <c r="E525" s="314"/>
      <c r="F525" s="314"/>
      <c r="G525" s="316"/>
      <c r="H525" s="316"/>
      <c r="I525" s="314"/>
      <c r="J525" s="314"/>
      <c r="K525" s="316"/>
      <c r="L525" s="314"/>
      <c r="M525" s="314"/>
      <c r="N525" s="314"/>
      <c r="O525" s="314"/>
      <c r="P525" s="314"/>
      <c r="Q525" s="314"/>
      <c r="R525" s="314"/>
      <c r="S525" s="314"/>
      <c r="T525" s="314"/>
      <c r="U525" s="314"/>
      <c r="V525" s="314"/>
      <c r="W525" s="314"/>
      <c r="X525" s="314"/>
      <c r="Y525" s="314"/>
      <c r="Z525" s="314"/>
      <c r="AA525" s="314"/>
    </row>
    <row r="526" spans="1:27" ht="24" hidden="1" customHeight="1" outlineLevel="2">
      <c r="A526" s="31" t="s">
        <v>1900</v>
      </c>
      <c r="B526" s="31" t="s">
        <v>1902</v>
      </c>
      <c r="C526" s="319" t="s">
        <v>1903</v>
      </c>
      <c r="D526" s="31" t="s">
        <v>3692</v>
      </c>
      <c r="E526" s="309">
        <v>45139</v>
      </c>
      <c r="F526" s="56" t="b">
        <v>0</v>
      </c>
      <c r="G526" s="176" t="s">
        <v>4340</v>
      </c>
      <c r="H526" s="176"/>
      <c r="I526" s="116" t="b">
        <v>1</v>
      </c>
      <c r="J526" s="16" t="s">
        <v>3745</v>
      </c>
      <c r="K526" s="205"/>
      <c r="L526" s="16" t="b">
        <v>0</v>
      </c>
      <c r="M526" s="16"/>
      <c r="N526" s="16"/>
      <c r="O526" s="16"/>
      <c r="P526" s="16"/>
      <c r="Q526" s="16"/>
      <c r="R526" s="16"/>
      <c r="S526" s="16"/>
      <c r="T526" s="16"/>
      <c r="U526" s="16"/>
      <c r="V526" s="16"/>
      <c r="W526" s="16"/>
      <c r="X526" s="16"/>
      <c r="Y526" s="16"/>
      <c r="Z526" s="16"/>
      <c r="AA526" s="16"/>
    </row>
    <row r="527" spans="1:27" ht="24" hidden="1" customHeight="1" outlineLevel="2">
      <c r="A527" s="31" t="s">
        <v>1897</v>
      </c>
      <c r="B527" s="31" t="s">
        <v>1898</v>
      </c>
      <c r="C527" s="31" t="s">
        <v>1899</v>
      </c>
      <c r="D527" s="31" t="s">
        <v>4292</v>
      </c>
      <c r="E527" s="309">
        <v>45139</v>
      </c>
      <c r="F527" s="56" t="b">
        <v>0</v>
      </c>
      <c r="G527" s="176" t="s">
        <v>4341</v>
      </c>
      <c r="H527" s="176"/>
      <c r="I527" s="116" t="b">
        <v>1</v>
      </c>
      <c r="J527" s="16" t="s">
        <v>4281</v>
      </c>
      <c r="K527" s="205"/>
      <c r="L527" s="16" t="b">
        <v>0</v>
      </c>
      <c r="M527" s="16"/>
      <c r="N527" s="16"/>
      <c r="O527" s="16"/>
      <c r="P527" s="16"/>
      <c r="Q527" s="16"/>
      <c r="R527" s="16"/>
      <c r="S527" s="16"/>
      <c r="T527" s="16"/>
      <c r="U527" s="16"/>
      <c r="V527" s="16"/>
      <c r="W527" s="16"/>
      <c r="X527" s="16"/>
      <c r="Y527" s="16"/>
      <c r="Z527" s="16"/>
      <c r="AA527" s="16"/>
    </row>
    <row r="528" spans="1:27" ht="24" hidden="1" customHeight="1" outlineLevel="2">
      <c r="A528" s="31" t="s">
        <v>1887</v>
      </c>
      <c r="B528" s="31" t="s">
        <v>4342</v>
      </c>
      <c r="C528" s="319" t="s">
        <v>4343</v>
      </c>
      <c r="D528" s="31" t="s">
        <v>4292</v>
      </c>
      <c r="E528" s="309">
        <v>45139</v>
      </c>
      <c r="F528" s="56" t="b">
        <v>0</v>
      </c>
      <c r="G528" s="176" t="s">
        <v>4344</v>
      </c>
      <c r="H528" s="176"/>
      <c r="I528" s="116" t="b">
        <v>1</v>
      </c>
      <c r="J528" s="16" t="s">
        <v>4281</v>
      </c>
      <c r="K528" s="205"/>
      <c r="L528" s="16" t="b">
        <v>0</v>
      </c>
      <c r="M528" s="16"/>
      <c r="N528" s="16"/>
      <c r="O528" s="16"/>
      <c r="P528" s="16"/>
      <c r="Q528" s="16"/>
      <c r="R528" s="16"/>
      <c r="S528" s="16"/>
      <c r="T528" s="16"/>
      <c r="U528" s="16"/>
      <c r="V528" s="16"/>
      <c r="W528" s="16"/>
      <c r="X528" s="16"/>
      <c r="Y528" s="16"/>
      <c r="Z528" s="16"/>
      <c r="AA528" s="16"/>
    </row>
    <row r="529" spans="1:27" ht="24" hidden="1" customHeight="1" outlineLevel="2">
      <c r="A529" s="90" t="s">
        <v>1926</v>
      </c>
      <c r="B529" s="90" t="s">
        <v>4345</v>
      </c>
      <c r="C529" s="90" t="s">
        <v>1928</v>
      </c>
      <c r="D529" s="90" t="s">
        <v>3696</v>
      </c>
      <c r="E529" s="204">
        <v>45140</v>
      </c>
      <c r="F529" s="56" t="b">
        <v>0</v>
      </c>
      <c r="G529" s="205" t="s">
        <v>4346</v>
      </c>
      <c r="H529" s="205"/>
      <c r="I529" s="56" t="b">
        <v>1</v>
      </c>
      <c r="J529" s="16" t="s">
        <v>4084</v>
      </c>
      <c r="K529" s="205"/>
      <c r="L529" s="16" t="b">
        <v>0</v>
      </c>
      <c r="M529" s="16"/>
      <c r="N529" s="16"/>
      <c r="O529" s="16"/>
      <c r="P529" s="16"/>
      <c r="Q529" s="16"/>
      <c r="R529" s="16"/>
      <c r="S529" s="16"/>
      <c r="T529" s="16"/>
      <c r="U529" s="16"/>
      <c r="V529" s="16"/>
      <c r="W529" s="16"/>
      <c r="X529" s="16"/>
      <c r="Y529" s="16"/>
      <c r="Z529" s="16"/>
      <c r="AA529" s="16"/>
    </row>
    <row r="530" spans="1:27" ht="24" hidden="1" customHeight="1" outlineLevel="2">
      <c r="A530" s="90" t="s">
        <v>4347</v>
      </c>
      <c r="B530" s="90" t="s">
        <v>1703</v>
      </c>
      <c r="C530" s="319" t="s">
        <v>1704</v>
      </c>
      <c r="D530" s="90" t="s">
        <v>4348</v>
      </c>
      <c r="E530" s="204">
        <v>45140</v>
      </c>
      <c r="F530" s="56" t="b">
        <v>0</v>
      </c>
      <c r="G530" s="205" t="s">
        <v>4349</v>
      </c>
      <c r="H530" s="205"/>
      <c r="I530" s="56" t="b">
        <v>1</v>
      </c>
      <c r="J530" s="16" t="s">
        <v>4084</v>
      </c>
      <c r="K530" s="205"/>
      <c r="L530" s="16" t="b">
        <v>1</v>
      </c>
      <c r="M530" s="16"/>
      <c r="N530" s="16"/>
      <c r="O530" s="16"/>
      <c r="P530" s="16"/>
      <c r="Q530" s="16"/>
      <c r="R530" s="16"/>
      <c r="S530" s="16"/>
      <c r="T530" s="16"/>
      <c r="U530" s="16"/>
      <c r="V530" s="16"/>
      <c r="W530" s="16"/>
      <c r="X530" s="16"/>
      <c r="Y530" s="16"/>
      <c r="Z530" s="16"/>
      <c r="AA530" s="16"/>
    </row>
    <row r="531" spans="1:27" ht="24" hidden="1" customHeight="1" outlineLevel="2">
      <c r="A531" s="90" t="s">
        <v>1183</v>
      </c>
      <c r="B531" s="90" t="s">
        <v>1184</v>
      </c>
      <c r="C531" s="90" t="s">
        <v>4350</v>
      </c>
      <c r="D531" s="90" t="s">
        <v>3696</v>
      </c>
      <c r="E531" s="204">
        <v>45140</v>
      </c>
      <c r="F531" s="56" t="b">
        <v>0</v>
      </c>
      <c r="G531" s="205" t="s">
        <v>4351</v>
      </c>
      <c r="H531" s="205"/>
      <c r="I531" s="56" t="b">
        <v>1</v>
      </c>
      <c r="J531" s="16" t="s">
        <v>4084</v>
      </c>
      <c r="K531" s="205"/>
      <c r="L531" s="16" t="b">
        <v>0</v>
      </c>
      <c r="M531" s="16"/>
      <c r="N531" s="16"/>
      <c r="O531" s="16"/>
      <c r="P531" s="16"/>
      <c r="Q531" s="16"/>
      <c r="R531" s="16"/>
      <c r="S531" s="16"/>
      <c r="T531" s="16"/>
      <c r="U531" s="16"/>
      <c r="V531" s="16"/>
      <c r="W531" s="16"/>
      <c r="X531" s="16"/>
      <c r="Y531" s="16"/>
      <c r="Z531" s="16"/>
      <c r="AA531" s="16"/>
    </row>
    <row r="532" spans="1:27" ht="24" hidden="1" customHeight="1" outlineLevel="2">
      <c r="A532" s="16" t="s">
        <v>1193</v>
      </c>
      <c r="B532" s="16" t="s">
        <v>1194</v>
      </c>
      <c r="C532" s="16" t="s">
        <v>4352</v>
      </c>
      <c r="D532" s="16" t="s">
        <v>4353</v>
      </c>
      <c r="E532" s="204">
        <v>45141</v>
      </c>
      <c r="F532" s="56" t="b">
        <v>0</v>
      </c>
      <c r="G532" s="205" t="s">
        <v>4354</v>
      </c>
      <c r="H532" s="205"/>
      <c r="I532" s="56" t="b">
        <v>1</v>
      </c>
      <c r="J532" s="16" t="s">
        <v>3621</v>
      </c>
      <c r="K532" s="205" t="s">
        <v>4355</v>
      </c>
      <c r="L532" s="16" t="b">
        <v>0</v>
      </c>
      <c r="M532" s="16"/>
      <c r="N532" s="16"/>
      <c r="O532" s="16"/>
      <c r="P532" s="16"/>
      <c r="Q532" s="16"/>
      <c r="R532" s="16"/>
      <c r="S532" s="16"/>
      <c r="T532" s="16"/>
      <c r="U532" s="16"/>
      <c r="V532" s="16"/>
      <c r="W532" s="16"/>
      <c r="X532" s="16"/>
      <c r="Y532" s="16"/>
      <c r="Z532" s="16"/>
      <c r="AA532" s="16"/>
    </row>
    <row r="533" spans="1:27" ht="24" hidden="1" customHeight="1" outlineLevel="2">
      <c r="A533" s="76" t="s">
        <v>1187</v>
      </c>
      <c r="B533" s="16" t="s">
        <v>1188</v>
      </c>
      <c r="C533" s="16" t="s">
        <v>4356</v>
      </c>
      <c r="D533" s="16" t="s">
        <v>3718</v>
      </c>
      <c r="E533" s="204">
        <v>45145</v>
      </c>
      <c r="F533" s="56" t="b">
        <v>0</v>
      </c>
      <c r="G533" s="16" t="s">
        <v>4357</v>
      </c>
      <c r="H533" s="16"/>
      <c r="I533" s="56" t="b">
        <v>1</v>
      </c>
      <c r="J533" s="16" t="s">
        <v>3621</v>
      </c>
      <c r="K533" s="205" t="s">
        <v>4358</v>
      </c>
      <c r="L533" s="16"/>
      <c r="M533" s="16"/>
      <c r="N533" s="16"/>
      <c r="O533" s="16"/>
      <c r="P533" s="16"/>
      <c r="Q533" s="16"/>
      <c r="R533" s="16"/>
      <c r="S533" s="16"/>
      <c r="T533" s="16"/>
      <c r="U533" s="16"/>
      <c r="V533" s="16"/>
      <c r="W533" s="16"/>
      <c r="X533" s="16"/>
      <c r="Y533" s="16"/>
      <c r="Z533" s="16"/>
      <c r="AA533" s="16"/>
    </row>
    <row r="534" spans="1:27" ht="24" hidden="1" customHeight="1" outlineLevel="2">
      <c r="A534" s="16" t="s">
        <v>4359</v>
      </c>
      <c r="B534" s="16" t="s">
        <v>1824</v>
      </c>
      <c r="C534" s="16" t="s">
        <v>4360</v>
      </c>
      <c r="D534" s="16" t="s">
        <v>4353</v>
      </c>
      <c r="E534" s="204">
        <v>45145</v>
      </c>
      <c r="F534" s="56" t="b">
        <v>0</v>
      </c>
      <c r="G534" s="16" t="s">
        <v>4361</v>
      </c>
      <c r="H534" s="16"/>
      <c r="I534" s="56" t="b">
        <v>1</v>
      </c>
      <c r="J534" s="16" t="s">
        <v>3621</v>
      </c>
      <c r="K534" s="205" t="s">
        <v>4362</v>
      </c>
      <c r="L534" s="16" t="b">
        <v>0</v>
      </c>
      <c r="M534" s="16"/>
      <c r="N534" s="16"/>
      <c r="O534" s="16"/>
      <c r="P534" s="16"/>
      <c r="Q534" s="16"/>
      <c r="R534" s="16"/>
      <c r="S534" s="16"/>
      <c r="T534" s="16"/>
      <c r="U534" s="16"/>
      <c r="V534" s="16"/>
      <c r="W534" s="16"/>
      <c r="X534" s="16"/>
      <c r="Y534" s="16"/>
      <c r="Z534" s="16"/>
      <c r="AA534" s="16"/>
    </row>
    <row r="535" spans="1:27" ht="24" hidden="1" customHeight="1" outlineLevel="2">
      <c r="A535" s="16" t="s">
        <v>1196</v>
      </c>
      <c r="B535" s="16" t="s">
        <v>1197</v>
      </c>
      <c r="C535" s="16" t="s">
        <v>1198</v>
      </c>
      <c r="D535" s="16" t="s">
        <v>4363</v>
      </c>
      <c r="E535" s="204">
        <v>45146</v>
      </c>
      <c r="F535" s="56" t="b">
        <v>0</v>
      </c>
      <c r="G535" s="205" t="s">
        <v>4364</v>
      </c>
      <c r="H535" s="205"/>
      <c r="I535" s="56" t="b">
        <v>1</v>
      </c>
      <c r="J535" s="16" t="s">
        <v>4084</v>
      </c>
      <c r="K535" s="205"/>
      <c r="L535" s="16" t="b">
        <v>0</v>
      </c>
      <c r="M535" s="16"/>
      <c r="N535" s="16"/>
      <c r="O535" s="16"/>
      <c r="P535" s="16"/>
      <c r="Q535" s="16"/>
      <c r="R535" s="16"/>
      <c r="S535" s="16"/>
      <c r="T535" s="16"/>
      <c r="U535" s="16"/>
      <c r="V535" s="16"/>
      <c r="W535" s="16"/>
      <c r="X535" s="16"/>
      <c r="Y535" s="16"/>
      <c r="Z535" s="16"/>
      <c r="AA535" s="16"/>
    </row>
    <row r="536" spans="1:27" ht="24" hidden="1" customHeight="1" outlineLevel="2">
      <c r="A536" s="16" t="s">
        <v>1914</v>
      </c>
      <c r="B536" s="16" t="s">
        <v>1915</v>
      </c>
      <c r="C536" s="16" t="s">
        <v>1916</v>
      </c>
      <c r="D536" s="16" t="s">
        <v>3696</v>
      </c>
      <c r="E536" s="204">
        <v>45147</v>
      </c>
      <c r="F536" s="56" t="b">
        <v>0</v>
      </c>
      <c r="G536" s="205" t="s">
        <v>4365</v>
      </c>
      <c r="H536" s="205"/>
      <c r="I536" s="56" t="b">
        <v>1</v>
      </c>
      <c r="J536" s="16" t="s">
        <v>4084</v>
      </c>
      <c r="K536" s="205"/>
      <c r="L536" s="16" t="b">
        <v>0</v>
      </c>
      <c r="M536" s="16"/>
      <c r="N536" s="16"/>
      <c r="O536" s="16"/>
      <c r="P536" s="16"/>
      <c r="Q536" s="16"/>
      <c r="R536" s="16"/>
      <c r="S536" s="16"/>
      <c r="T536" s="16"/>
      <c r="U536" s="16"/>
      <c r="V536" s="16"/>
      <c r="W536" s="16"/>
      <c r="X536" s="16"/>
      <c r="Y536" s="16"/>
      <c r="Z536" s="16"/>
      <c r="AA536" s="16"/>
    </row>
    <row r="537" spans="1:27" ht="20.25" hidden="1" customHeight="1" outlineLevel="2">
      <c r="A537" s="16" t="s">
        <v>1894</v>
      </c>
      <c r="B537" s="16" t="s">
        <v>1895</v>
      </c>
      <c r="C537" s="16" t="s">
        <v>1896</v>
      </c>
      <c r="D537" s="16" t="s">
        <v>4292</v>
      </c>
      <c r="E537" s="204">
        <v>45147</v>
      </c>
      <c r="F537" s="56" t="b">
        <v>0</v>
      </c>
      <c r="G537" s="205" t="s">
        <v>4366</v>
      </c>
      <c r="H537" s="205"/>
      <c r="I537" s="56" t="b">
        <v>1</v>
      </c>
      <c r="J537" s="16" t="s">
        <v>4281</v>
      </c>
      <c r="K537" s="205"/>
      <c r="L537" s="16" t="b">
        <v>0</v>
      </c>
      <c r="M537" s="16"/>
      <c r="N537" s="16"/>
      <c r="O537" s="16"/>
      <c r="P537" s="16"/>
      <c r="Q537" s="16"/>
      <c r="R537" s="16"/>
      <c r="S537" s="16"/>
      <c r="T537" s="16"/>
      <c r="U537" s="16"/>
      <c r="V537" s="16"/>
      <c r="W537" s="16"/>
      <c r="X537" s="16"/>
      <c r="Y537" s="16"/>
      <c r="Z537" s="16"/>
      <c r="AA537" s="16"/>
    </row>
    <row r="538" spans="1:27" ht="24" hidden="1" customHeight="1" outlineLevel="2">
      <c r="A538" s="16" t="s">
        <v>1708</v>
      </c>
      <c r="B538" s="16" t="s">
        <v>1709</v>
      </c>
      <c r="C538" s="16" t="s">
        <v>1710</v>
      </c>
      <c r="D538" s="16" t="s">
        <v>4292</v>
      </c>
      <c r="E538" s="204">
        <v>45147</v>
      </c>
      <c r="F538" s="56" t="b">
        <v>0</v>
      </c>
      <c r="G538" s="205" t="s">
        <v>4367</v>
      </c>
      <c r="H538" s="205"/>
      <c r="I538" s="56" t="b">
        <v>1</v>
      </c>
      <c r="J538" s="16" t="s">
        <v>4281</v>
      </c>
      <c r="K538" s="205"/>
      <c r="L538" s="16" t="b">
        <v>0</v>
      </c>
      <c r="M538" s="16"/>
      <c r="N538" s="16"/>
      <c r="O538" s="16"/>
      <c r="P538" s="16"/>
      <c r="Q538" s="16"/>
      <c r="R538" s="16"/>
      <c r="S538" s="16"/>
      <c r="T538" s="16"/>
      <c r="U538" s="16"/>
      <c r="V538" s="16"/>
      <c r="W538" s="16"/>
      <c r="X538" s="16"/>
      <c r="Y538" s="16"/>
      <c r="Z538" s="16"/>
      <c r="AA538" s="16"/>
    </row>
    <row r="539" spans="1:27" ht="24" hidden="1" customHeight="1" outlineLevel="2">
      <c r="A539" s="16" t="s">
        <v>1839</v>
      </c>
      <c r="B539" s="16" t="s">
        <v>4368</v>
      </c>
      <c r="C539" s="16" t="s">
        <v>1841</v>
      </c>
      <c r="D539" s="16" t="s">
        <v>4369</v>
      </c>
      <c r="E539" s="204">
        <v>45148</v>
      </c>
      <c r="F539" s="56" t="b">
        <v>0</v>
      </c>
      <c r="G539" s="205" t="s">
        <v>4370</v>
      </c>
      <c r="H539" s="205"/>
      <c r="I539" s="56" t="b">
        <v>1</v>
      </c>
      <c r="J539" s="16" t="s">
        <v>4084</v>
      </c>
      <c r="K539" s="205"/>
      <c r="L539" s="16" t="b">
        <v>0</v>
      </c>
      <c r="M539" s="16"/>
      <c r="N539" s="16"/>
      <c r="O539" s="16"/>
      <c r="P539" s="16"/>
      <c r="Q539" s="16"/>
      <c r="R539" s="16"/>
      <c r="S539" s="16"/>
      <c r="T539" s="16"/>
      <c r="U539" s="16"/>
      <c r="V539" s="16"/>
      <c r="W539" s="16"/>
      <c r="X539" s="16"/>
      <c r="Y539" s="16"/>
      <c r="Z539" s="16"/>
      <c r="AA539" s="16"/>
    </row>
    <row r="540" spans="1:27" ht="24" hidden="1" customHeight="1" outlineLevel="2">
      <c r="A540" s="16" t="s">
        <v>1864</v>
      </c>
      <c r="B540" s="16" t="s">
        <v>1865</v>
      </c>
      <c r="C540" s="16" t="s">
        <v>1866</v>
      </c>
      <c r="D540" s="16" t="s">
        <v>4292</v>
      </c>
      <c r="E540" s="204">
        <v>45148</v>
      </c>
      <c r="F540" s="56" t="b">
        <v>0</v>
      </c>
      <c r="G540" s="205" t="s">
        <v>4371</v>
      </c>
      <c r="H540" s="205"/>
      <c r="I540" s="56" t="b">
        <v>1</v>
      </c>
      <c r="J540" s="16" t="s">
        <v>4281</v>
      </c>
      <c r="K540" s="205"/>
      <c r="L540" s="16" t="b">
        <v>0</v>
      </c>
      <c r="M540" s="16"/>
      <c r="N540" s="16"/>
      <c r="O540" s="16"/>
      <c r="P540" s="16"/>
      <c r="Q540" s="16"/>
      <c r="R540" s="16"/>
      <c r="S540" s="16"/>
      <c r="T540" s="16"/>
      <c r="U540" s="16"/>
      <c r="V540" s="16"/>
      <c r="W540" s="16"/>
      <c r="X540" s="16"/>
      <c r="Y540" s="16"/>
      <c r="Z540" s="16"/>
      <c r="AA540" s="16"/>
    </row>
    <row r="541" spans="1:27" ht="24" hidden="1" customHeight="1" outlineLevel="2">
      <c r="A541" s="16" t="s">
        <v>4372</v>
      </c>
      <c r="B541" s="16" t="s">
        <v>1712</v>
      </c>
      <c r="C541" s="16" t="s">
        <v>1713</v>
      </c>
      <c r="D541" s="16" t="s">
        <v>4334</v>
      </c>
      <c r="E541" s="204">
        <v>45148</v>
      </c>
      <c r="F541" s="56" t="b">
        <v>0</v>
      </c>
      <c r="G541" s="205" t="s">
        <v>4373</v>
      </c>
      <c r="H541" s="205"/>
      <c r="I541" s="56" t="b">
        <v>1</v>
      </c>
      <c r="J541" s="16" t="s">
        <v>4281</v>
      </c>
      <c r="K541" s="205"/>
      <c r="L541" s="16" t="b">
        <v>0</v>
      </c>
      <c r="M541" s="16"/>
      <c r="N541" s="16"/>
      <c r="O541" s="16"/>
      <c r="P541" s="16"/>
      <c r="Q541" s="16"/>
      <c r="R541" s="16"/>
      <c r="S541" s="16"/>
      <c r="T541" s="16"/>
      <c r="U541" s="16"/>
      <c r="V541" s="16"/>
      <c r="W541" s="16"/>
      <c r="X541" s="16"/>
      <c r="Y541" s="16"/>
      <c r="Z541" s="16"/>
      <c r="AA541" s="16"/>
    </row>
    <row r="542" spans="1:27" ht="24" hidden="1" customHeight="1" outlineLevel="2">
      <c r="A542" s="16" t="s">
        <v>4374</v>
      </c>
      <c r="B542" s="16" t="s">
        <v>1724</v>
      </c>
      <c r="C542" s="16" t="s">
        <v>1725</v>
      </c>
      <c r="D542" s="16" t="s">
        <v>4334</v>
      </c>
      <c r="E542" s="204">
        <v>45149</v>
      </c>
      <c r="F542" s="56" t="b">
        <v>0</v>
      </c>
      <c r="G542" s="205" t="s">
        <v>4375</v>
      </c>
      <c r="H542" s="205"/>
      <c r="I542" s="56" t="b">
        <v>1</v>
      </c>
      <c r="J542" s="16" t="s">
        <v>4281</v>
      </c>
      <c r="K542" s="205"/>
      <c r="L542" s="16" t="b">
        <v>0</v>
      </c>
      <c r="M542" s="16"/>
      <c r="N542" s="16"/>
      <c r="O542" s="16"/>
      <c r="P542" s="16"/>
      <c r="Q542" s="16"/>
      <c r="R542" s="16"/>
      <c r="S542" s="16"/>
      <c r="T542" s="16"/>
      <c r="U542" s="16"/>
      <c r="V542" s="16"/>
      <c r="W542" s="16"/>
      <c r="X542" s="16"/>
      <c r="Y542" s="16"/>
      <c r="Z542" s="16"/>
      <c r="AA542" s="16"/>
    </row>
    <row r="543" spans="1:27" ht="24" hidden="1" customHeight="1" outlineLevel="2">
      <c r="A543" s="16" t="s">
        <v>1851</v>
      </c>
      <c r="B543" s="16" t="s">
        <v>1852</v>
      </c>
      <c r="C543" s="16" t="s">
        <v>1853</v>
      </c>
      <c r="D543" s="16" t="s">
        <v>4376</v>
      </c>
      <c r="E543" s="204">
        <v>45149</v>
      </c>
      <c r="F543" s="56" t="b">
        <v>0</v>
      </c>
      <c r="G543" s="205" t="s">
        <v>4377</v>
      </c>
      <c r="H543" s="205"/>
      <c r="I543" s="56" t="b">
        <v>1</v>
      </c>
      <c r="J543" s="16" t="s">
        <v>4281</v>
      </c>
      <c r="K543" s="205"/>
      <c r="L543" s="16" t="b">
        <v>0</v>
      </c>
      <c r="M543" s="16"/>
      <c r="N543" s="16"/>
      <c r="O543" s="16"/>
      <c r="P543" s="16"/>
      <c r="Q543" s="16"/>
      <c r="R543" s="16"/>
      <c r="S543" s="16"/>
      <c r="T543" s="16"/>
      <c r="U543" s="16"/>
      <c r="V543" s="16"/>
      <c r="W543" s="16"/>
      <c r="X543" s="16"/>
      <c r="Y543" s="16"/>
      <c r="Z543" s="16"/>
      <c r="AA543" s="16"/>
    </row>
    <row r="544" spans="1:27" ht="24" hidden="1" customHeight="1" outlineLevel="2">
      <c r="A544" s="16" t="s">
        <v>1932</v>
      </c>
      <c r="B544" s="16" t="s">
        <v>1933</v>
      </c>
      <c r="C544" s="16" t="s">
        <v>1934</v>
      </c>
      <c r="D544" s="16" t="s">
        <v>4378</v>
      </c>
      <c r="E544" s="204">
        <v>45149</v>
      </c>
      <c r="F544" s="56" t="b">
        <v>0</v>
      </c>
      <c r="G544" s="205" t="s">
        <v>4379</v>
      </c>
      <c r="H544" s="205"/>
      <c r="I544" s="56" t="b">
        <v>1</v>
      </c>
      <c r="J544" s="16" t="s">
        <v>4281</v>
      </c>
      <c r="K544" s="205"/>
      <c r="L544" s="16" t="b">
        <v>0</v>
      </c>
      <c r="M544" s="16"/>
      <c r="N544" s="16"/>
      <c r="O544" s="16"/>
      <c r="P544" s="16"/>
      <c r="Q544" s="16"/>
      <c r="R544" s="16"/>
      <c r="S544" s="16"/>
      <c r="T544" s="16"/>
      <c r="U544" s="16"/>
      <c r="V544" s="16"/>
      <c r="W544" s="16"/>
      <c r="X544" s="16"/>
      <c r="Y544" s="16"/>
      <c r="Z544" s="16"/>
      <c r="AA544" s="16"/>
    </row>
    <row r="545" spans="1:27" ht="24" hidden="1" customHeight="1" outlineLevel="2">
      <c r="A545" s="16" t="s">
        <v>1945</v>
      </c>
      <c r="B545" s="16" t="s">
        <v>1946</v>
      </c>
      <c r="C545" s="16" t="s">
        <v>1947</v>
      </c>
      <c r="D545" s="16" t="s">
        <v>3809</v>
      </c>
      <c r="E545" s="204">
        <v>45152</v>
      </c>
      <c r="F545" s="56" t="b">
        <v>0</v>
      </c>
      <c r="G545" s="205" t="s">
        <v>4380</v>
      </c>
      <c r="H545" s="205"/>
      <c r="I545" s="56" t="b">
        <v>1</v>
      </c>
      <c r="J545" s="116" t="s">
        <v>4092</v>
      </c>
      <c r="K545" s="205"/>
      <c r="L545" s="16" t="b">
        <v>0</v>
      </c>
      <c r="M545" s="16"/>
      <c r="N545" s="16"/>
      <c r="O545" s="16"/>
      <c r="P545" s="16"/>
      <c r="Q545" s="16"/>
      <c r="R545" s="16"/>
      <c r="S545" s="16"/>
      <c r="T545" s="16"/>
      <c r="U545" s="16"/>
      <c r="V545" s="16"/>
      <c r="W545" s="16"/>
      <c r="X545" s="16"/>
      <c r="Y545" s="16"/>
      <c r="Z545" s="16"/>
      <c r="AA545" s="16"/>
    </row>
    <row r="546" spans="1:27" ht="24" hidden="1" customHeight="1" outlineLevel="2">
      <c r="A546" s="16" t="s">
        <v>1890</v>
      </c>
      <c r="B546" s="16" t="s">
        <v>1892</v>
      </c>
      <c r="C546" s="16" t="s">
        <v>1893</v>
      </c>
      <c r="D546" s="16" t="s">
        <v>3718</v>
      </c>
      <c r="E546" s="204">
        <v>45152</v>
      </c>
      <c r="F546" s="56" t="b">
        <v>0</v>
      </c>
      <c r="G546" s="205" t="s">
        <v>4381</v>
      </c>
      <c r="H546" s="205"/>
      <c r="I546" s="56" t="b">
        <v>1</v>
      </c>
      <c r="J546" s="16" t="s">
        <v>3621</v>
      </c>
      <c r="K546" s="205"/>
      <c r="L546" s="16" t="b">
        <v>0</v>
      </c>
      <c r="M546" s="16"/>
      <c r="N546" s="16"/>
      <c r="O546" s="16"/>
      <c r="P546" s="16"/>
      <c r="Q546" s="16"/>
      <c r="R546" s="16"/>
      <c r="S546" s="16"/>
      <c r="T546" s="16"/>
      <c r="U546" s="16"/>
      <c r="V546" s="16"/>
      <c r="W546" s="16"/>
      <c r="X546" s="16"/>
      <c r="Y546" s="16"/>
      <c r="Z546" s="16"/>
      <c r="AA546" s="16"/>
    </row>
    <row r="547" spans="1:27" ht="24" hidden="1" customHeight="1" outlineLevel="2">
      <c r="A547" s="16" t="s">
        <v>1955</v>
      </c>
      <c r="B547" s="16" t="s">
        <v>1956</v>
      </c>
      <c r="C547" s="16" t="s">
        <v>1957</v>
      </c>
      <c r="D547" s="16" t="s">
        <v>3809</v>
      </c>
      <c r="E547" s="204">
        <v>45153</v>
      </c>
      <c r="F547" s="56" t="b">
        <v>0</v>
      </c>
      <c r="G547" s="205" t="s">
        <v>4382</v>
      </c>
      <c r="H547" s="205"/>
      <c r="I547" s="56" t="b">
        <v>1</v>
      </c>
      <c r="J547" s="116" t="s">
        <v>4092</v>
      </c>
      <c r="K547" s="205"/>
      <c r="L547" s="16" t="b">
        <v>0</v>
      </c>
      <c r="M547" s="16"/>
      <c r="N547" s="16"/>
      <c r="O547" s="16"/>
      <c r="P547" s="16"/>
      <c r="Q547" s="16"/>
      <c r="R547" s="16"/>
      <c r="S547" s="16"/>
      <c r="T547" s="16"/>
      <c r="U547" s="16"/>
      <c r="V547" s="16"/>
      <c r="W547" s="16"/>
      <c r="X547" s="16"/>
      <c r="Y547" s="16"/>
      <c r="Z547" s="16"/>
      <c r="AA547" s="16"/>
    </row>
    <row r="548" spans="1:27" ht="24" hidden="1" customHeight="1" outlineLevel="2">
      <c r="A548" s="16" t="s">
        <v>1878</v>
      </c>
      <c r="B548" s="16" t="s">
        <v>1879</v>
      </c>
      <c r="C548" s="16" t="s">
        <v>1880</v>
      </c>
      <c r="D548" s="16" t="s">
        <v>4383</v>
      </c>
      <c r="E548" s="204">
        <v>45153</v>
      </c>
      <c r="F548" s="56" t="b">
        <v>0</v>
      </c>
      <c r="G548" s="205" t="s">
        <v>4384</v>
      </c>
      <c r="H548" s="205"/>
      <c r="I548" s="56" t="b">
        <v>1</v>
      </c>
      <c r="J548" s="116" t="s">
        <v>4092</v>
      </c>
      <c r="K548" s="205"/>
      <c r="L548" s="16" t="b">
        <v>0</v>
      </c>
      <c r="M548" s="16"/>
      <c r="N548" s="16"/>
      <c r="O548" s="16"/>
      <c r="P548" s="16"/>
      <c r="Q548" s="16"/>
      <c r="R548" s="16"/>
      <c r="S548" s="16"/>
      <c r="T548" s="16"/>
      <c r="U548" s="16"/>
      <c r="V548" s="16"/>
      <c r="W548" s="16"/>
      <c r="X548" s="16"/>
      <c r="Y548" s="16"/>
      <c r="Z548" s="16"/>
      <c r="AA548" s="16"/>
    </row>
    <row r="549" spans="1:27" ht="24" hidden="1" customHeight="1" outlineLevel="2">
      <c r="A549" s="16" t="s">
        <v>1820</v>
      </c>
      <c r="B549" s="16" t="s">
        <v>1821</v>
      </c>
      <c r="C549" s="16" t="s">
        <v>1822</v>
      </c>
      <c r="D549" s="16" t="s">
        <v>3833</v>
      </c>
      <c r="E549" s="204">
        <v>45153</v>
      </c>
      <c r="F549" s="56" t="b">
        <v>0</v>
      </c>
      <c r="G549" s="205" t="s">
        <v>4385</v>
      </c>
      <c r="H549" s="205"/>
      <c r="I549" s="56" t="b">
        <v>1</v>
      </c>
      <c r="J549" s="16" t="s">
        <v>4281</v>
      </c>
      <c r="K549" s="205"/>
      <c r="L549" s="16" t="b">
        <v>0</v>
      </c>
      <c r="M549" s="16"/>
      <c r="N549" s="16"/>
      <c r="O549" s="16"/>
      <c r="P549" s="16"/>
      <c r="Q549" s="16"/>
      <c r="R549" s="16"/>
      <c r="S549" s="16"/>
      <c r="T549" s="16"/>
      <c r="U549" s="16"/>
      <c r="V549" s="16"/>
      <c r="W549" s="16"/>
      <c r="X549" s="16"/>
      <c r="Y549" s="16"/>
      <c r="Z549" s="16"/>
      <c r="AA549" s="16"/>
    </row>
    <row r="550" spans="1:27" ht="24" hidden="1" customHeight="1" outlineLevel="2">
      <c r="A550" s="16" t="s">
        <v>1732</v>
      </c>
      <c r="B550" s="16" t="s">
        <v>1733</v>
      </c>
      <c r="C550" s="16" t="s">
        <v>1734</v>
      </c>
      <c r="D550" s="16" t="s">
        <v>4334</v>
      </c>
      <c r="E550" s="204">
        <v>45153</v>
      </c>
      <c r="F550" s="56" t="b">
        <v>0</v>
      </c>
      <c r="G550" s="205" t="s">
        <v>4386</v>
      </c>
      <c r="H550" s="205"/>
      <c r="I550" s="56" t="b">
        <v>1</v>
      </c>
      <c r="J550" s="16" t="s">
        <v>4281</v>
      </c>
      <c r="K550" s="205"/>
      <c r="L550" s="16" t="b">
        <v>0</v>
      </c>
      <c r="M550" s="16"/>
      <c r="N550" s="16"/>
      <c r="O550" s="16"/>
      <c r="P550" s="16"/>
      <c r="Q550" s="16"/>
      <c r="R550" s="16"/>
      <c r="S550" s="16"/>
      <c r="T550" s="16"/>
      <c r="U550" s="16"/>
      <c r="V550" s="16"/>
      <c r="W550" s="16"/>
      <c r="X550" s="16"/>
      <c r="Y550" s="16"/>
      <c r="Z550" s="16"/>
      <c r="AA550" s="16"/>
    </row>
    <row r="551" spans="1:27" ht="24" hidden="1" customHeight="1" outlineLevel="2">
      <c r="A551" s="16" t="s">
        <v>1867</v>
      </c>
      <c r="B551" s="16" t="s">
        <v>1868</v>
      </c>
      <c r="C551" s="16" t="s">
        <v>1869</v>
      </c>
      <c r="D551" s="16" t="s">
        <v>4369</v>
      </c>
      <c r="E551" s="204">
        <v>45154</v>
      </c>
      <c r="F551" s="56" t="b">
        <v>0</v>
      </c>
      <c r="G551" s="205" t="s">
        <v>4387</v>
      </c>
      <c r="H551" s="205"/>
      <c r="I551" s="56" t="b">
        <v>1</v>
      </c>
      <c r="J551" s="16" t="s">
        <v>4084</v>
      </c>
      <c r="K551" s="205"/>
      <c r="L551" s="16" t="b">
        <v>0</v>
      </c>
      <c r="M551" s="16"/>
      <c r="N551" s="16"/>
      <c r="O551" s="16"/>
      <c r="P551" s="16"/>
      <c r="Q551" s="16"/>
      <c r="R551" s="16"/>
      <c r="S551" s="16"/>
      <c r="T551" s="16"/>
      <c r="U551" s="16"/>
      <c r="V551" s="16"/>
      <c r="W551" s="16"/>
      <c r="X551" s="16"/>
      <c r="Y551" s="16"/>
      <c r="Z551" s="16"/>
      <c r="AA551" s="16"/>
    </row>
    <row r="552" spans="1:27" ht="24" hidden="1" customHeight="1" outlineLevel="2">
      <c r="A552" s="16" t="s">
        <v>1848</v>
      </c>
      <c r="B552" s="16" t="s">
        <v>1849</v>
      </c>
      <c r="C552" s="16" t="s">
        <v>1850</v>
      </c>
      <c r="D552" s="16" t="s">
        <v>4020</v>
      </c>
      <c r="E552" s="204">
        <v>45154</v>
      </c>
      <c r="F552" s="56" t="b">
        <v>0</v>
      </c>
      <c r="G552" s="205" t="s">
        <v>4388</v>
      </c>
      <c r="H552" s="205"/>
      <c r="I552" s="56" t="b">
        <v>1</v>
      </c>
      <c r="J552" s="16" t="s">
        <v>3621</v>
      </c>
      <c r="K552" s="205"/>
      <c r="L552" s="16" t="b">
        <v>1</v>
      </c>
      <c r="M552" s="16"/>
      <c r="N552" s="16"/>
      <c r="O552" s="16"/>
      <c r="P552" s="16"/>
      <c r="Q552" s="16"/>
      <c r="R552" s="16"/>
      <c r="S552" s="16"/>
      <c r="T552" s="16"/>
      <c r="U552" s="16"/>
      <c r="V552" s="16"/>
      <c r="W552" s="16"/>
      <c r="X552" s="16"/>
      <c r="Y552" s="16"/>
      <c r="Z552" s="16"/>
      <c r="AA552" s="16"/>
    </row>
    <row r="553" spans="1:27" ht="24" hidden="1" customHeight="1" outlineLevel="2">
      <c r="A553" s="16" t="s">
        <v>1739</v>
      </c>
      <c r="B553" s="16" t="s">
        <v>4389</v>
      </c>
      <c r="C553" s="16" t="s">
        <v>1741</v>
      </c>
      <c r="D553" s="16" t="s">
        <v>4337</v>
      </c>
      <c r="E553" s="204">
        <v>45155</v>
      </c>
      <c r="F553" s="56" t="b">
        <v>0</v>
      </c>
      <c r="G553" s="205" t="s">
        <v>4354</v>
      </c>
      <c r="H553" s="205"/>
      <c r="I553" s="56" t="b">
        <v>1</v>
      </c>
      <c r="J553" s="16" t="s">
        <v>3981</v>
      </c>
      <c r="K553" s="205"/>
      <c r="L553" s="16" t="b">
        <v>0</v>
      </c>
      <c r="M553" s="16"/>
      <c r="N553" s="16"/>
      <c r="O553" s="16"/>
      <c r="P553" s="16"/>
      <c r="Q553" s="16"/>
      <c r="R553" s="16"/>
      <c r="S553" s="16"/>
      <c r="T553" s="16"/>
      <c r="U553" s="16"/>
      <c r="V553" s="16"/>
      <c r="W553" s="16"/>
      <c r="X553" s="16"/>
      <c r="Y553" s="16"/>
      <c r="Z553" s="16"/>
      <c r="AA553" s="16"/>
    </row>
    <row r="554" spans="1:27" ht="24" hidden="1" customHeight="1" outlineLevel="2">
      <c r="A554" s="16" t="s">
        <v>1745</v>
      </c>
      <c r="B554" s="16" t="s">
        <v>1746</v>
      </c>
      <c r="C554" s="16" t="s">
        <v>1747</v>
      </c>
      <c r="D554" s="16" t="s">
        <v>3833</v>
      </c>
      <c r="E554" s="204">
        <v>45156</v>
      </c>
      <c r="F554" s="56" t="b">
        <v>0</v>
      </c>
      <c r="G554" s="205" t="s">
        <v>4390</v>
      </c>
      <c r="H554" s="205"/>
      <c r="I554" s="56" t="b">
        <v>1</v>
      </c>
      <c r="J554" s="16" t="s">
        <v>4281</v>
      </c>
      <c r="K554" s="205"/>
      <c r="L554" s="16" t="b">
        <v>0</v>
      </c>
      <c r="M554" s="16"/>
      <c r="N554" s="16"/>
      <c r="O554" s="16"/>
      <c r="P554" s="16"/>
      <c r="Q554" s="16"/>
      <c r="R554" s="16"/>
      <c r="S554" s="16"/>
      <c r="T554" s="16"/>
      <c r="U554" s="16"/>
      <c r="V554" s="16"/>
      <c r="W554" s="16"/>
      <c r="X554" s="16"/>
      <c r="Y554" s="16"/>
      <c r="Z554" s="16"/>
      <c r="AA554" s="16"/>
    </row>
    <row r="555" spans="1:27" ht="24" hidden="1" customHeight="1" outlineLevel="2">
      <c r="A555" s="16" t="s">
        <v>1260</v>
      </c>
      <c r="B555" s="16" t="s">
        <v>1261</v>
      </c>
      <c r="C555" s="16" t="s">
        <v>1262</v>
      </c>
      <c r="D555" s="16" t="s">
        <v>3696</v>
      </c>
      <c r="E555" s="204">
        <v>45156</v>
      </c>
      <c r="F555" s="56" t="b">
        <v>0</v>
      </c>
      <c r="G555" s="205" t="s">
        <v>4391</v>
      </c>
      <c r="H555" s="205"/>
      <c r="I555" s="56" t="b">
        <v>1</v>
      </c>
      <c r="J555" s="16" t="s">
        <v>4084</v>
      </c>
      <c r="K555" s="205"/>
      <c r="L555" s="16"/>
      <c r="M555" s="16"/>
      <c r="N555" s="16"/>
      <c r="O555" s="16"/>
      <c r="P555" s="16"/>
      <c r="Q555" s="16"/>
      <c r="R555" s="16"/>
      <c r="S555" s="16"/>
      <c r="T555" s="16"/>
      <c r="U555" s="16"/>
      <c r="V555" s="16"/>
      <c r="W555" s="16"/>
      <c r="X555" s="16"/>
      <c r="Y555" s="16"/>
      <c r="Z555" s="16"/>
      <c r="AA555" s="16"/>
    </row>
    <row r="556" spans="1:27" ht="24" hidden="1" customHeight="1" outlineLevel="2">
      <c r="A556" s="16" t="s">
        <v>4392</v>
      </c>
      <c r="B556" s="16" t="s">
        <v>1756</v>
      </c>
      <c r="C556" s="16" t="s">
        <v>1757</v>
      </c>
      <c r="D556" s="16" t="s">
        <v>3718</v>
      </c>
      <c r="E556" s="204">
        <v>45156</v>
      </c>
      <c r="F556" s="56" t="b">
        <v>0</v>
      </c>
      <c r="G556" s="205" t="s">
        <v>4393</v>
      </c>
      <c r="H556" s="205"/>
      <c r="I556" s="56" t="b">
        <v>1</v>
      </c>
      <c r="J556" s="16" t="s">
        <v>3621</v>
      </c>
      <c r="K556" s="205"/>
      <c r="L556" s="16" t="b">
        <v>0</v>
      </c>
      <c r="M556" s="16"/>
      <c r="N556" s="16"/>
      <c r="O556" s="16"/>
      <c r="P556" s="16"/>
      <c r="Q556" s="16"/>
      <c r="R556" s="16"/>
      <c r="S556" s="16"/>
      <c r="T556" s="16"/>
      <c r="U556" s="16"/>
      <c r="V556" s="16"/>
      <c r="W556" s="16"/>
      <c r="X556" s="16"/>
      <c r="Y556" s="16"/>
      <c r="Z556" s="16"/>
      <c r="AA556" s="16"/>
    </row>
    <row r="557" spans="1:27" ht="24" hidden="1" customHeight="1" outlineLevel="2">
      <c r="A557" s="16" t="s">
        <v>4394</v>
      </c>
      <c r="B557" s="16" t="s">
        <v>1828</v>
      </c>
      <c r="C557" s="16" t="s">
        <v>1829</v>
      </c>
      <c r="D557" s="16" t="s">
        <v>3718</v>
      </c>
      <c r="E557" s="204">
        <v>45156</v>
      </c>
      <c r="F557" s="56" t="b">
        <v>0</v>
      </c>
      <c r="G557" s="205" t="s">
        <v>4395</v>
      </c>
      <c r="H557" s="205"/>
      <c r="I557" s="56" t="b">
        <v>1</v>
      </c>
      <c r="J557" s="16" t="s">
        <v>3621</v>
      </c>
      <c r="K557" s="205"/>
      <c r="L557" s="16" t="b">
        <v>1</v>
      </c>
      <c r="M557" s="16"/>
      <c r="N557" s="16"/>
      <c r="O557" s="16"/>
      <c r="P557" s="16"/>
      <c r="Q557" s="16"/>
      <c r="R557" s="16"/>
      <c r="S557" s="16"/>
      <c r="T557" s="16"/>
      <c r="U557" s="16"/>
      <c r="V557" s="16"/>
      <c r="W557" s="16"/>
      <c r="X557" s="16"/>
      <c r="Y557" s="16"/>
      <c r="Z557" s="16"/>
      <c r="AA557" s="16"/>
    </row>
    <row r="558" spans="1:27" ht="24" hidden="1" customHeight="1" outlineLevel="2">
      <c r="A558" s="16" t="s">
        <v>4396</v>
      </c>
      <c r="B558" s="16" t="s">
        <v>1871</v>
      </c>
      <c r="C558" s="16" t="s">
        <v>1872</v>
      </c>
      <c r="D558" s="16" t="s">
        <v>3930</v>
      </c>
      <c r="E558" s="204">
        <v>45159</v>
      </c>
      <c r="F558" s="56" t="b">
        <v>0</v>
      </c>
      <c r="G558" s="205" t="s">
        <v>4397</v>
      </c>
      <c r="H558" s="205"/>
      <c r="I558" s="56" t="b">
        <v>1</v>
      </c>
      <c r="J558" s="16" t="s">
        <v>3621</v>
      </c>
      <c r="K558" s="205"/>
      <c r="L558" s="16" t="b">
        <v>1</v>
      </c>
      <c r="M558" s="16"/>
      <c r="N558" s="16"/>
      <c r="O558" s="16"/>
      <c r="P558" s="16"/>
      <c r="Q558" s="16"/>
      <c r="R558" s="16"/>
      <c r="S558" s="16"/>
      <c r="T558" s="16"/>
      <c r="U558" s="16"/>
      <c r="V558" s="16"/>
      <c r="W558" s="16"/>
      <c r="X558" s="16"/>
      <c r="Y558" s="16"/>
      <c r="Z558" s="16"/>
      <c r="AA558" s="16"/>
    </row>
    <row r="559" spans="1:27" ht="24" hidden="1" customHeight="1" outlineLevel="2">
      <c r="A559" s="16" t="s">
        <v>4398</v>
      </c>
      <c r="B559" s="16" t="s">
        <v>1769</v>
      </c>
      <c r="C559" s="16" t="s">
        <v>1770</v>
      </c>
      <c r="D559" s="16" t="s">
        <v>3739</v>
      </c>
      <c r="E559" s="204">
        <v>45159</v>
      </c>
      <c r="F559" s="56" t="b">
        <v>0</v>
      </c>
      <c r="G559" s="205" t="s">
        <v>4399</v>
      </c>
      <c r="H559" s="205"/>
      <c r="I559" s="116" t="b">
        <v>1</v>
      </c>
      <c r="J559" s="16" t="s">
        <v>4287</v>
      </c>
      <c r="K559" s="205"/>
      <c r="L559" s="16" t="b">
        <v>0</v>
      </c>
      <c r="M559" s="16"/>
      <c r="N559" s="16"/>
      <c r="O559" s="16"/>
      <c r="P559" s="16"/>
      <c r="Q559" s="16"/>
      <c r="R559" s="16"/>
      <c r="S559" s="16"/>
      <c r="T559" s="16"/>
      <c r="U559" s="16"/>
      <c r="V559" s="16"/>
      <c r="W559" s="16"/>
      <c r="X559" s="16"/>
      <c r="Y559" s="16"/>
      <c r="Z559" s="16"/>
      <c r="AA559" s="16"/>
    </row>
    <row r="560" spans="1:27" ht="24" hidden="1" customHeight="1" outlineLevel="2">
      <c r="A560" s="16" t="s">
        <v>4400</v>
      </c>
      <c r="B560" s="16" t="s">
        <v>1962</v>
      </c>
      <c r="C560" s="16" t="s">
        <v>1963</v>
      </c>
      <c r="D560" s="16" t="s">
        <v>4401</v>
      </c>
      <c r="E560" s="204">
        <v>45159</v>
      </c>
      <c r="F560" s="56" t="b">
        <v>0</v>
      </c>
      <c r="G560" s="205" t="s">
        <v>4402</v>
      </c>
      <c r="H560" s="205"/>
      <c r="I560" s="56" t="b">
        <v>1</v>
      </c>
      <c r="J560" s="16" t="s">
        <v>3981</v>
      </c>
      <c r="K560" s="205"/>
      <c r="L560" s="16" t="b">
        <v>0</v>
      </c>
      <c r="M560" s="16"/>
      <c r="N560" s="16"/>
      <c r="O560" s="16"/>
      <c r="P560" s="16"/>
      <c r="Q560" s="16"/>
      <c r="R560" s="16"/>
      <c r="S560" s="16"/>
      <c r="T560" s="16"/>
      <c r="U560" s="16"/>
      <c r="V560" s="16"/>
      <c r="W560" s="16"/>
      <c r="X560" s="16"/>
      <c r="Y560" s="16"/>
      <c r="Z560" s="16"/>
      <c r="AA560" s="16"/>
    </row>
    <row r="561" spans="1:27" ht="24" hidden="1" customHeight="1" outlineLevel="2">
      <c r="A561" s="16" t="s">
        <v>1771</v>
      </c>
      <c r="B561" s="16" t="s">
        <v>1772</v>
      </c>
      <c r="C561" s="16" t="s">
        <v>1773</v>
      </c>
      <c r="D561" s="16" t="s">
        <v>3696</v>
      </c>
      <c r="E561" s="204">
        <v>45159</v>
      </c>
      <c r="F561" s="56" t="b">
        <v>0</v>
      </c>
      <c r="G561" s="205" t="s">
        <v>4403</v>
      </c>
      <c r="H561" s="205"/>
      <c r="I561" s="56" t="b">
        <v>1</v>
      </c>
      <c r="J561" s="16" t="s">
        <v>4084</v>
      </c>
      <c r="K561" s="205"/>
      <c r="L561" s="16" t="b">
        <v>0</v>
      </c>
      <c r="M561" s="16"/>
      <c r="N561" s="16"/>
      <c r="O561" s="16"/>
      <c r="P561" s="16"/>
      <c r="Q561" s="16"/>
      <c r="R561" s="16"/>
      <c r="S561" s="16"/>
      <c r="T561" s="16"/>
      <c r="U561" s="16"/>
      <c r="V561" s="16"/>
      <c r="W561" s="16"/>
      <c r="X561" s="16"/>
      <c r="Y561" s="16"/>
      <c r="Z561" s="16"/>
      <c r="AA561" s="16"/>
    </row>
    <row r="562" spans="1:27" ht="24" hidden="1" customHeight="1" outlineLevel="2">
      <c r="A562" s="16" t="s">
        <v>4404</v>
      </c>
      <c r="B562" s="16" t="s">
        <v>1882</v>
      </c>
      <c r="C562" s="16" t="s">
        <v>1883</v>
      </c>
      <c r="D562" s="16" t="s">
        <v>4020</v>
      </c>
      <c r="E562" s="204">
        <v>45159</v>
      </c>
      <c r="F562" s="56" t="b">
        <v>0</v>
      </c>
      <c r="G562" s="205" t="s">
        <v>4405</v>
      </c>
      <c r="H562" s="205"/>
      <c r="I562" s="56" t="b">
        <v>1</v>
      </c>
      <c r="J562" s="16" t="s">
        <v>3621</v>
      </c>
      <c r="K562" s="205"/>
      <c r="L562" s="16" t="b">
        <v>0</v>
      </c>
      <c r="M562" s="16"/>
      <c r="N562" s="16"/>
      <c r="O562" s="16"/>
      <c r="P562" s="16"/>
      <c r="Q562" s="16"/>
      <c r="R562" s="16"/>
      <c r="S562" s="16"/>
      <c r="T562" s="16"/>
      <c r="U562" s="16"/>
      <c r="V562" s="16"/>
      <c r="W562" s="16"/>
      <c r="X562" s="16"/>
      <c r="Y562" s="16"/>
      <c r="Z562" s="16"/>
      <c r="AA562" s="16"/>
    </row>
    <row r="563" spans="1:27" ht="24" hidden="1" customHeight="1" outlineLevel="2">
      <c r="A563" s="16" t="s">
        <v>1778</v>
      </c>
      <c r="B563" s="16" t="s">
        <v>1779</v>
      </c>
      <c r="C563" s="16" t="s">
        <v>1780</v>
      </c>
      <c r="D563" s="16" t="s">
        <v>3692</v>
      </c>
      <c r="E563" s="204">
        <v>45160</v>
      </c>
      <c r="F563" s="56" t="b">
        <v>0</v>
      </c>
      <c r="G563" s="205" t="s">
        <v>4406</v>
      </c>
      <c r="H563" s="205"/>
      <c r="I563" s="56" t="b">
        <v>1</v>
      </c>
      <c r="J563" s="16" t="s">
        <v>3745</v>
      </c>
      <c r="K563" s="205"/>
      <c r="L563" s="16" t="b">
        <v>0</v>
      </c>
      <c r="M563" s="16"/>
      <c r="N563" s="16"/>
      <c r="O563" s="16"/>
      <c r="P563" s="16"/>
      <c r="Q563" s="16"/>
      <c r="R563" s="16"/>
      <c r="S563" s="16"/>
      <c r="T563" s="16"/>
      <c r="U563" s="16"/>
      <c r="V563" s="16"/>
      <c r="W563" s="16"/>
      <c r="X563" s="16"/>
      <c r="Y563" s="16"/>
      <c r="Z563" s="16"/>
      <c r="AA563" s="16"/>
    </row>
    <row r="564" spans="1:27" ht="24" hidden="1" customHeight="1" outlineLevel="2">
      <c r="A564" s="16" t="s">
        <v>1907</v>
      </c>
      <c r="B564" s="16" t="s">
        <v>4407</v>
      </c>
      <c r="C564" s="16" t="s">
        <v>1909</v>
      </c>
      <c r="D564" s="16" t="s">
        <v>3694</v>
      </c>
      <c r="E564" s="204">
        <v>45160</v>
      </c>
      <c r="F564" s="56" t="b">
        <v>0</v>
      </c>
      <c r="G564" s="205" t="s">
        <v>4408</v>
      </c>
      <c r="H564" s="205"/>
      <c r="I564" s="56" t="b">
        <v>1</v>
      </c>
      <c r="J564" s="116" t="s">
        <v>4092</v>
      </c>
      <c r="K564" s="205"/>
      <c r="L564" s="16" t="b">
        <v>0</v>
      </c>
      <c r="M564" s="16"/>
      <c r="N564" s="16"/>
      <c r="O564" s="16"/>
      <c r="P564" s="16"/>
      <c r="Q564" s="16"/>
      <c r="R564" s="16"/>
      <c r="S564" s="16"/>
      <c r="T564" s="16"/>
      <c r="U564" s="16"/>
      <c r="V564" s="16"/>
      <c r="W564" s="16"/>
      <c r="X564" s="16"/>
      <c r="Y564" s="16"/>
      <c r="Z564" s="16"/>
      <c r="AA564" s="16"/>
    </row>
    <row r="565" spans="1:27" ht="24" hidden="1" customHeight="1" outlineLevel="2">
      <c r="A565" s="16" t="s">
        <v>4409</v>
      </c>
      <c r="B565" s="16" t="s">
        <v>1782</v>
      </c>
      <c r="C565" s="16" t="s">
        <v>1783</v>
      </c>
      <c r="D565" s="16" t="s">
        <v>3732</v>
      </c>
      <c r="E565" s="204">
        <v>45161</v>
      </c>
      <c r="F565" s="56" t="b">
        <v>0</v>
      </c>
      <c r="G565" s="205" t="s">
        <v>4410</v>
      </c>
      <c r="H565" s="205"/>
      <c r="I565" s="56" t="b">
        <v>1</v>
      </c>
      <c r="J565" s="16" t="s">
        <v>3981</v>
      </c>
      <c r="K565" s="205"/>
      <c r="L565" s="16" t="b">
        <v>0</v>
      </c>
      <c r="M565" s="16"/>
      <c r="N565" s="16"/>
      <c r="O565" s="16"/>
      <c r="P565" s="16"/>
      <c r="Q565" s="16"/>
      <c r="R565" s="16"/>
      <c r="S565" s="16"/>
      <c r="T565" s="16"/>
      <c r="U565" s="16"/>
      <c r="V565" s="16"/>
      <c r="W565" s="16"/>
      <c r="X565" s="16"/>
      <c r="Y565" s="16"/>
      <c r="Z565" s="16"/>
      <c r="AA565" s="16"/>
    </row>
    <row r="566" spans="1:27" ht="24" hidden="1" customHeight="1" outlineLevel="2">
      <c r="A566" s="16" t="s">
        <v>4411</v>
      </c>
      <c r="B566" s="16" t="s">
        <v>1785</v>
      </c>
      <c r="C566" s="16" t="s">
        <v>1786</v>
      </c>
      <c r="D566" s="16" t="s">
        <v>4412</v>
      </c>
      <c r="E566" s="204">
        <v>45161</v>
      </c>
      <c r="F566" s="56" t="b">
        <v>0</v>
      </c>
      <c r="G566" s="205" t="s">
        <v>4413</v>
      </c>
      <c r="H566" s="205"/>
      <c r="I566" s="56" t="b">
        <v>1</v>
      </c>
      <c r="J566" s="16" t="s">
        <v>3981</v>
      </c>
      <c r="K566" s="205"/>
      <c r="L566" s="16" t="b">
        <v>1</v>
      </c>
      <c r="M566" s="16"/>
      <c r="N566" s="16"/>
      <c r="O566" s="16"/>
      <c r="P566" s="16"/>
      <c r="Q566" s="16"/>
      <c r="R566" s="16"/>
      <c r="S566" s="16"/>
      <c r="T566" s="16"/>
      <c r="U566" s="16"/>
      <c r="V566" s="16"/>
      <c r="W566" s="16"/>
      <c r="X566" s="16"/>
      <c r="Y566" s="16"/>
      <c r="Z566" s="16"/>
      <c r="AA566" s="16"/>
    </row>
    <row r="567" spans="1:27" ht="24" hidden="1" customHeight="1" outlineLevel="2">
      <c r="A567" s="16" t="s">
        <v>1299</v>
      </c>
      <c r="B567" s="16" t="s">
        <v>1300</v>
      </c>
      <c r="C567" s="16" t="s">
        <v>1301</v>
      </c>
      <c r="D567" s="16" t="s">
        <v>4414</v>
      </c>
      <c r="E567" s="204">
        <v>45161</v>
      </c>
      <c r="F567" s="56" t="b">
        <v>0</v>
      </c>
      <c r="G567" s="205" t="s">
        <v>4415</v>
      </c>
      <c r="H567" s="205"/>
      <c r="I567" s="56" t="b">
        <v>1</v>
      </c>
      <c r="J567" s="16" t="s">
        <v>4281</v>
      </c>
      <c r="K567" s="205"/>
      <c r="L567" s="16" t="b">
        <v>0</v>
      </c>
      <c r="M567" s="16"/>
      <c r="N567" s="16"/>
      <c r="O567" s="16"/>
      <c r="P567" s="16"/>
      <c r="Q567" s="16"/>
      <c r="R567" s="16"/>
      <c r="S567" s="16"/>
      <c r="T567" s="16"/>
      <c r="U567" s="16"/>
      <c r="V567" s="16"/>
      <c r="W567" s="16"/>
      <c r="X567" s="16"/>
      <c r="Y567" s="16"/>
      <c r="Z567" s="16"/>
      <c r="AA567" s="16"/>
    </row>
    <row r="568" spans="1:27" ht="24" hidden="1" customHeight="1" outlineLevel="2">
      <c r="A568" s="16" t="s">
        <v>1929</v>
      </c>
      <c r="B568" s="16" t="s">
        <v>1930</v>
      </c>
      <c r="C568" s="16" t="s">
        <v>4416</v>
      </c>
      <c r="D568" s="16" t="s">
        <v>4292</v>
      </c>
      <c r="E568" s="204">
        <v>45161</v>
      </c>
      <c r="F568" s="56" t="b">
        <v>0</v>
      </c>
      <c r="G568" s="205" t="s">
        <v>4417</v>
      </c>
      <c r="H568" s="205"/>
      <c r="I568" s="56" t="b">
        <v>1</v>
      </c>
      <c r="J568" s="16" t="s">
        <v>4281</v>
      </c>
      <c r="K568" s="205"/>
      <c r="L568" s="16" t="b">
        <v>0</v>
      </c>
      <c r="M568" s="16"/>
      <c r="N568" s="16"/>
      <c r="O568" s="16"/>
      <c r="P568" s="16"/>
      <c r="Q568" s="16"/>
      <c r="R568" s="16"/>
      <c r="S568" s="16"/>
      <c r="T568" s="16"/>
      <c r="U568" s="16"/>
      <c r="V568" s="16"/>
      <c r="W568" s="16"/>
      <c r="X568" s="16"/>
      <c r="Y568" s="16"/>
      <c r="Z568" s="16"/>
      <c r="AA568" s="16"/>
    </row>
    <row r="569" spans="1:27" ht="24" hidden="1" customHeight="1" outlineLevel="2">
      <c r="A569" s="16" t="s">
        <v>4418</v>
      </c>
      <c r="B569" s="16" t="s">
        <v>1843</v>
      </c>
      <c r="C569" s="16" t="s">
        <v>1844</v>
      </c>
      <c r="D569" s="16" t="s">
        <v>3739</v>
      </c>
      <c r="E569" s="204">
        <v>45161</v>
      </c>
      <c r="F569" s="56" t="b">
        <v>0</v>
      </c>
      <c r="G569" s="205" t="s">
        <v>4419</v>
      </c>
      <c r="H569" s="205"/>
      <c r="I569" s="116" t="b">
        <v>1</v>
      </c>
      <c r="J569" s="16" t="s">
        <v>4287</v>
      </c>
      <c r="K569" s="205"/>
      <c r="L569" s="16" t="b">
        <v>0</v>
      </c>
      <c r="M569" s="16"/>
      <c r="N569" s="16"/>
      <c r="O569" s="16"/>
      <c r="P569" s="16"/>
      <c r="Q569" s="16"/>
      <c r="R569" s="16"/>
      <c r="S569" s="16"/>
      <c r="T569" s="16"/>
      <c r="U569" s="16"/>
      <c r="V569" s="16"/>
      <c r="W569" s="16"/>
      <c r="X569" s="16"/>
      <c r="Y569" s="16"/>
      <c r="Z569" s="16"/>
      <c r="AA569" s="16"/>
    </row>
    <row r="570" spans="1:27" ht="24" hidden="1" customHeight="1" outlineLevel="2">
      <c r="A570" s="16" t="s">
        <v>1836</v>
      </c>
      <c r="B570" s="16" t="s">
        <v>1837</v>
      </c>
      <c r="C570" s="16" t="s">
        <v>1838</v>
      </c>
      <c r="D570" s="16" t="s">
        <v>4292</v>
      </c>
      <c r="E570" s="204">
        <v>45161</v>
      </c>
      <c r="F570" s="56" t="b">
        <v>0</v>
      </c>
      <c r="G570" s="205" t="s">
        <v>4420</v>
      </c>
      <c r="H570" s="205"/>
      <c r="I570" s="56" t="b">
        <v>1</v>
      </c>
      <c r="J570" s="16" t="s">
        <v>4281</v>
      </c>
      <c r="K570" s="205"/>
      <c r="L570" s="16" t="b">
        <v>0</v>
      </c>
      <c r="M570" s="16"/>
      <c r="N570" s="16"/>
      <c r="O570" s="16"/>
      <c r="P570" s="16"/>
      <c r="Q570" s="16"/>
      <c r="R570" s="16"/>
      <c r="S570" s="16"/>
      <c r="T570" s="16"/>
      <c r="U570" s="16"/>
      <c r="V570" s="16"/>
      <c r="W570" s="16"/>
      <c r="X570" s="16"/>
      <c r="Y570" s="16"/>
      <c r="Z570" s="16"/>
      <c r="AA570" s="16"/>
    </row>
    <row r="571" spans="1:27" ht="24" hidden="1" customHeight="1" outlineLevel="2">
      <c r="A571" s="16" t="s">
        <v>4421</v>
      </c>
      <c r="B571" s="16" t="s">
        <v>4422</v>
      </c>
      <c r="C571" s="16" t="s">
        <v>4423</v>
      </c>
      <c r="D571" s="16" t="s">
        <v>3696</v>
      </c>
      <c r="E571" s="204">
        <v>45162</v>
      </c>
      <c r="F571" s="56" t="b">
        <v>0</v>
      </c>
      <c r="G571" s="205" t="s">
        <v>4424</v>
      </c>
      <c r="H571" s="205"/>
      <c r="I571" s="56" t="b">
        <v>1</v>
      </c>
      <c r="J571" s="16" t="s">
        <v>4084</v>
      </c>
      <c r="K571" s="205"/>
      <c r="L571" s="16" t="b">
        <v>0</v>
      </c>
      <c r="M571" s="16"/>
      <c r="N571" s="16"/>
      <c r="O571" s="16"/>
      <c r="P571" s="16"/>
      <c r="Q571" s="16"/>
      <c r="R571" s="16"/>
      <c r="S571" s="16"/>
      <c r="T571" s="16"/>
      <c r="U571" s="16"/>
      <c r="V571" s="16"/>
      <c r="W571" s="16"/>
      <c r="X571" s="16"/>
      <c r="Y571" s="16"/>
      <c r="Z571" s="16"/>
      <c r="AA571" s="16"/>
    </row>
    <row r="572" spans="1:27" ht="24" hidden="1" customHeight="1" outlineLevel="2">
      <c r="A572" s="16" t="s">
        <v>4425</v>
      </c>
      <c r="B572" s="16" t="s">
        <v>1791</v>
      </c>
      <c r="C572" s="16" t="s">
        <v>1792</v>
      </c>
      <c r="D572" s="16" t="s">
        <v>4270</v>
      </c>
      <c r="E572" s="204">
        <v>45162</v>
      </c>
      <c r="F572" s="56" t="b">
        <v>0</v>
      </c>
      <c r="G572" s="205" t="s">
        <v>4426</v>
      </c>
      <c r="H572" s="205"/>
      <c r="I572" s="56" t="b">
        <v>1</v>
      </c>
      <c r="J572" s="16" t="s">
        <v>3981</v>
      </c>
      <c r="K572" s="205"/>
      <c r="L572" s="16" t="b">
        <v>1</v>
      </c>
      <c r="M572" s="16"/>
      <c r="N572" s="16"/>
      <c r="O572" s="16"/>
      <c r="P572" s="16"/>
      <c r="Q572" s="16"/>
      <c r="R572" s="16"/>
      <c r="S572" s="16"/>
      <c r="T572" s="16"/>
      <c r="U572" s="16"/>
      <c r="V572" s="16"/>
      <c r="W572" s="16"/>
      <c r="X572" s="16"/>
      <c r="Y572" s="16"/>
      <c r="Z572" s="16"/>
      <c r="AA572" s="16"/>
    </row>
    <row r="573" spans="1:27" ht="24" hidden="1" customHeight="1" outlineLevel="2">
      <c r="A573" s="16" t="s">
        <v>1833</v>
      </c>
      <c r="B573" s="16" t="s">
        <v>1834</v>
      </c>
      <c r="C573" s="16" t="s">
        <v>4427</v>
      </c>
      <c r="D573" s="16" t="s">
        <v>3718</v>
      </c>
      <c r="E573" s="204">
        <v>45166</v>
      </c>
      <c r="F573" s="56" t="b">
        <v>0</v>
      </c>
      <c r="G573" s="205" t="s">
        <v>4428</v>
      </c>
      <c r="H573" s="205"/>
      <c r="I573" s="56" t="b">
        <v>1</v>
      </c>
      <c r="J573" s="16" t="s">
        <v>3621</v>
      </c>
      <c r="K573" s="205" t="s">
        <v>4429</v>
      </c>
      <c r="L573" s="16" t="b">
        <v>0</v>
      </c>
      <c r="M573" s="16"/>
      <c r="N573" s="16"/>
      <c r="O573" s="16"/>
      <c r="P573" s="16"/>
      <c r="Q573" s="16"/>
      <c r="R573" s="16"/>
      <c r="S573" s="16"/>
      <c r="T573" s="16"/>
      <c r="U573" s="16"/>
      <c r="V573" s="16"/>
      <c r="W573" s="16"/>
      <c r="X573" s="16"/>
      <c r="Y573" s="16"/>
      <c r="Z573" s="16"/>
      <c r="AA573" s="16"/>
    </row>
    <row r="574" spans="1:27" ht="24" hidden="1" customHeight="1" outlineLevel="2">
      <c r="A574" s="16" t="s">
        <v>1796</v>
      </c>
      <c r="B574" s="16" t="s">
        <v>1797</v>
      </c>
      <c r="C574" s="16" t="s">
        <v>1798</v>
      </c>
      <c r="D574" s="16" t="s">
        <v>3718</v>
      </c>
      <c r="E574" s="204">
        <v>45166</v>
      </c>
      <c r="F574" s="56" t="b">
        <v>0</v>
      </c>
      <c r="G574" s="205" t="s">
        <v>4430</v>
      </c>
      <c r="H574" s="205"/>
      <c r="I574" s="56" t="b">
        <v>1</v>
      </c>
      <c r="J574" s="16" t="s">
        <v>3621</v>
      </c>
      <c r="K574" s="205" t="s">
        <v>4019</v>
      </c>
      <c r="L574" s="16" t="b">
        <v>0</v>
      </c>
      <c r="M574" s="16"/>
      <c r="N574" s="16"/>
      <c r="O574" s="16"/>
      <c r="P574" s="16"/>
      <c r="Q574" s="16"/>
      <c r="R574" s="16"/>
      <c r="S574" s="16"/>
      <c r="T574" s="16"/>
      <c r="U574" s="16"/>
      <c r="V574" s="16"/>
      <c r="W574" s="16"/>
      <c r="X574" s="16"/>
      <c r="Y574" s="16"/>
      <c r="Z574" s="16"/>
      <c r="AA574" s="16"/>
    </row>
    <row r="575" spans="1:27" ht="24" hidden="1" customHeight="1" outlineLevel="2">
      <c r="A575" s="16" t="s">
        <v>1969</v>
      </c>
      <c r="B575" s="16" t="s">
        <v>1970</v>
      </c>
      <c r="C575" s="16" t="s">
        <v>1971</v>
      </c>
      <c r="D575" s="16" t="s">
        <v>3692</v>
      </c>
      <c r="E575" s="204">
        <v>45167</v>
      </c>
      <c r="F575" s="56" t="b">
        <v>0</v>
      </c>
      <c r="G575" s="205" t="s">
        <v>4431</v>
      </c>
      <c r="H575" s="205"/>
      <c r="I575" s="56" t="b">
        <v>1</v>
      </c>
      <c r="J575" s="16" t="s">
        <v>3745</v>
      </c>
      <c r="K575" s="205"/>
      <c r="L575" s="16" t="b">
        <v>0</v>
      </c>
      <c r="M575" s="16"/>
      <c r="N575" s="16"/>
      <c r="O575" s="16"/>
      <c r="P575" s="16"/>
      <c r="Q575" s="16"/>
      <c r="R575" s="16"/>
      <c r="S575" s="16"/>
      <c r="T575" s="16"/>
      <c r="U575" s="16"/>
      <c r="V575" s="16"/>
      <c r="W575" s="16"/>
      <c r="X575" s="16"/>
      <c r="Y575" s="16"/>
      <c r="Z575" s="16"/>
      <c r="AA575" s="16"/>
    </row>
    <row r="576" spans="1:27" ht="24" hidden="1" customHeight="1" outlineLevel="2">
      <c r="A576" s="16" t="s">
        <v>1805</v>
      </c>
      <c r="B576" s="16" t="s">
        <v>1806</v>
      </c>
      <c r="C576" s="16" t="s">
        <v>1807</v>
      </c>
      <c r="D576" s="16" t="s">
        <v>4376</v>
      </c>
      <c r="E576" s="204">
        <v>45167</v>
      </c>
      <c r="F576" s="56" t="b">
        <v>0</v>
      </c>
      <c r="G576" s="205" t="s">
        <v>4432</v>
      </c>
      <c r="H576" s="205"/>
      <c r="I576" s="56" t="b">
        <v>1</v>
      </c>
      <c r="J576" s="16" t="s">
        <v>4281</v>
      </c>
      <c r="K576" s="205"/>
      <c r="L576" s="16" t="b">
        <v>0</v>
      </c>
      <c r="M576" s="16"/>
      <c r="N576" s="16"/>
      <c r="O576" s="16"/>
      <c r="P576" s="16"/>
      <c r="Q576" s="16"/>
      <c r="R576" s="16"/>
      <c r="S576" s="16"/>
      <c r="T576" s="16"/>
      <c r="U576" s="16"/>
      <c r="V576" s="16"/>
      <c r="W576" s="16"/>
      <c r="X576" s="16"/>
      <c r="Y576" s="16"/>
      <c r="Z576" s="16"/>
      <c r="AA576" s="16"/>
    </row>
    <row r="577" spans="1:27" ht="24" hidden="1" customHeight="1" outlineLevel="2">
      <c r="A577" s="16" t="s">
        <v>1328</v>
      </c>
      <c r="B577" s="16" t="s">
        <v>1330</v>
      </c>
      <c r="C577" s="16" t="s">
        <v>1331</v>
      </c>
      <c r="D577" s="16" t="s">
        <v>3696</v>
      </c>
      <c r="E577" s="204">
        <v>45167</v>
      </c>
      <c r="F577" s="56" t="b">
        <v>0</v>
      </c>
      <c r="G577" s="205" t="s">
        <v>4433</v>
      </c>
      <c r="H577" s="205"/>
      <c r="I577" s="56" t="b">
        <v>1</v>
      </c>
      <c r="J577" s="16" t="s">
        <v>4084</v>
      </c>
      <c r="K577" s="205"/>
      <c r="L577" s="16" t="b">
        <v>0</v>
      </c>
      <c r="M577" s="16"/>
      <c r="N577" s="16"/>
      <c r="O577" s="16"/>
      <c r="P577" s="16"/>
      <c r="Q577" s="16"/>
      <c r="R577" s="16"/>
      <c r="S577" s="16"/>
      <c r="T577" s="16"/>
      <c r="U577" s="16"/>
      <c r="V577" s="16"/>
      <c r="W577" s="16"/>
      <c r="X577" s="16"/>
      <c r="Y577" s="16"/>
      <c r="Z577" s="16"/>
      <c r="AA577" s="16"/>
    </row>
    <row r="578" spans="1:27" ht="24" hidden="1" customHeight="1" outlineLevel="2">
      <c r="A578" s="16" t="s">
        <v>1332</v>
      </c>
      <c r="B578" s="16" t="s">
        <v>1334</v>
      </c>
      <c r="C578" s="16" t="s">
        <v>1335</v>
      </c>
      <c r="D578" s="16" t="s">
        <v>3694</v>
      </c>
      <c r="E578" s="204">
        <v>45168</v>
      </c>
      <c r="F578" s="56" t="b">
        <v>0</v>
      </c>
      <c r="G578" s="205" t="s">
        <v>4434</v>
      </c>
      <c r="H578" s="205"/>
      <c r="I578" s="56" t="b">
        <v>1</v>
      </c>
      <c r="J578" s="116" t="s">
        <v>4092</v>
      </c>
      <c r="K578" s="205"/>
      <c r="L578" s="16" t="b">
        <v>0</v>
      </c>
      <c r="M578" s="16"/>
      <c r="N578" s="16"/>
      <c r="O578" s="16"/>
      <c r="P578" s="16"/>
      <c r="Q578" s="16"/>
      <c r="R578" s="16"/>
      <c r="S578" s="16"/>
      <c r="T578" s="16"/>
      <c r="U578" s="16"/>
      <c r="V578" s="16"/>
      <c r="W578" s="16"/>
      <c r="X578" s="16"/>
      <c r="Y578" s="16"/>
      <c r="Z578" s="16"/>
      <c r="AA578" s="16"/>
    </row>
    <row r="579" spans="1:27" ht="24" hidden="1" customHeight="1" outlineLevel="2">
      <c r="A579" s="16" t="s">
        <v>4435</v>
      </c>
      <c r="B579" s="16" t="s">
        <v>1959</v>
      </c>
      <c r="C579" s="16" t="s">
        <v>1960</v>
      </c>
      <c r="D579" s="16" t="s">
        <v>4436</v>
      </c>
      <c r="E579" s="204">
        <v>45168</v>
      </c>
      <c r="F579" s="56" t="b">
        <v>0</v>
      </c>
      <c r="G579" s="205" t="s">
        <v>4437</v>
      </c>
      <c r="H579" s="205"/>
      <c r="I579" s="56" t="b">
        <v>1</v>
      </c>
      <c r="J579" s="116" t="s">
        <v>4438</v>
      </c>
      <c r="K579" s="205"/>
      <c r="L579" s="16" t="b">
        <v>0</v>
      </c>
      <c r="M579" s="16"/>
      <c r="N579" s="16"/>
      <c r="O579" s="16"/>
      <c r="P579" s="16"/>
      <c r="Q579" s="16"/>
      <c r="R579" s="16"/>
      <c r="S579" s="16"/>
      <c r="T579" s="16"/>
      <c r="U579" s="16"/>
      <c r="V579" s="16"/>
      <c r="W579" s="16"/>
      <c r="X579" s="16"/>
      <c r="Y579" s="16"/>
      <c r="Z579" s="16"/>
      <c r="AA579" s="16"/>
    </row>
    <row r="580" spans="1:27" ht="24" hidden="1" customHeight="1" outlineLevel="2">
      <c r="A580" s="16" t="s">
        <v>4439</v>
      </c>
      <c r="B580" s="16" t="s">
        <v>1918</v>
      </c>
      <c r="C580" s="16" t="s">
        <v>1919</v>
      </c>
      <c r="D580" s="16" t="s">
        <v>3718</v>
      </c>
      <c r="E580" s="204">
        <v>45168</v>
      </c>
      <c r="F580" s="56" t="b">
        <v>0</v>
      </c>
      <c r="G580" s="205" t="s">
        <v>4440</v>
      </c>
      <c r="H580" s="205"/>
      <c r="I580" s="56" t="b">
        <v>1</v>
      </c>
      <c r="J580" s="16" t="s">
        <v>3621</v>
      </c>
      <c r="K580" s="205" t="s">
        <v>4429</v>
      </c>
      <c r="L580" s="16" t="b">
        <v>0</v>
      </c>
      <c r="M580" s="16"/>
      <c r="N580" s="16"/>
      <c r="O580" s="16"/>
      <c r="P580" s="16"/>
      <c r="Q580" s="16"/>
      <c r="R580" s="16"/>
      <c r="S580" s="16"/>
      <c r="T580" s="16"/>
      <c r="U580" s="16"/>
      <c r="V580" s="16"/>
      <c r="W580" s="16"/>
      <c r="X580" s="16"/>
      <c r="Y580" s="16"/>
      <c r="Z580" s="16"/>
      <c r="AA580" s="16"/>
    </row>
    <row r="581" spans="1:27" ht="24" hidden="1" customHeight="1" outlineLevel="2">
      <c r="A581" s="16" t="s">
        <v>1808</v>
      </c>
      <c r="B581" s="16" t="s">
        <v>1809</v>
      </c>
      <c r="C581" s="16" t="s">
        <v>1810</v>
      </c>
      <c r="D581" s="16" t="s">
        <v>3694</v>
      </c>
      <c r="E581" s="204">
        <v>45168</v>
      </c>
      <c r="F581" s="56" t="b">
        <v>0</v>
      </c>
      <c r="G581" s="205" t="s">
        <v>4441</v>
      </c>
      <c r="H581" s="205"/>
      <c r="I581" s="56" t="b">
        <v>1</v>
      </c>
      <c r="J581" s="116" t="s">
        <v>4092</v>
      </c>
      <c r="K581" s="205"/>
      <c r="L581" s="16" t="b">
        <v>0</v>
      </c>
      <c r="M581" s="16"/>
      <c r="N581" s="16"/>
      <c r="O581" s="16"/>
      <c r="P581" s="16"/>
      <c r="Q581" s="16"/>
      <c r="R581" s="16"/>
      <c r="S581" s="16"/>
      <c r="T581" s="16"/>
      <c r="U581" s="16"/>
      <c r="V581" s="16"/>
      <c r="W581" s="16"/>
      <c r="X581" s="16"/>
      <c r="Y581" s="16"/>
      <c r="Z581" s="16"/>
      <c r="AA581" s="16"/>
    </row>
    <row r="582" spans="1:27" ht="24" hidden="1" customHeight="1" outlineLevel="2">
      <c r="A582" s="16" t="s">
        <v>1817</v>
      </c>
      <c r="B582" s="16" t="s">
        <v>1818</v>
      </c>
      <c r="C582" s="16" t="s">
        <v>1819</v>
      </c>
      <c r="D582" s="16" t="s">
        <v>4442</v>
      </c>
      <c r="E582" s="204">
        <v>45168</v>
      </c>
      <c r="F582" s="56" t="b">
        <v>0</v>
      </c>
      <c r="G582" s="205" t="s">
        <v>4443</v>
      </c>
      <c r="H582" s="205"/>
      <c r="I582" s="56" t="b">
        <v>1</v>
      </c>
      <c r="J582" s="16" t="s">
        <v>4281</v>
      </c>
      <c r="K582" s="205"/>
      <c r="L582" s="16" t="b">
        <v>0</v>
      </c>
      <c r="M582" s="16"/>
      <c r="N582" s="16"/>
      <c r="O582" s="16"/>
      <c r="P582" s="16"/>
      <c r="Q582" s="16"/>
      <c r="R582" s="16"/>
      <c r="S582" s="16"/>
      <c r="T582" s="16"/>
      <c r="U582" s="16"/>
      <c r="V582" s="16"/>
      <c r="W582" s="16"/>
      <c r="X582" s="16"/>
      <c r="Y582" s="16"/>
      <c r="Z582" s="16"/>
      <c r="AA582" s="16"/>
    </row>
    <row r="583" spans="1:27" ht="24" hidden="1" customHeight="1" outlineLevel="1" collapsed="1">
      <c r="A583" s="320" t="s">
        <v>4444</v>
      </c>
      <c r="B583" s="321">
        <v>55</v>
      </c>
      <c r="C583" s="321"/>
      <c r="D583" s="321"/>
      <c r="E583" s="321"/>
      <c r="F583" s="321"/>
      <c r="G583" s="322"/>
      <c r="H583" s="322"/>
      <c r="I583" s="321"/>
      <c r="J583" s="321"/>
      <c r="K583" s="322"/>
      <c r="L583" s="321"/>
      <c r="M583" s="321"/>
      <c r="N583" s="321"/>
      <c r="O583" s="321"/>
      <c r="P583" s="321"/>
      <c r="Q583" s="321"/>
      <c r="R583" s="321"/>
      <c r="S583" s="321"/>
      <c r="T583" s="321"/>
      <c r="U583" s="321"/>
      <c r="V583" s="321"/>
      <c r="W583" s="321"/>
      <c r="X583" s="321"/>
      <c r="Y583" s="321"/>
      <c r="Z583" s="321"/>
      <c r="AA583" s="321"/>
    </row>
    <row r="584" spans="1:27" ht="24" hidden="1" customHeight="1" outlineLevel="2">
      <c r="A584" s="16" t="s">
        <v>2217</v>
      </c>
      <c r="B584" s="16" t="s">
        <v>2218</v>
      </c>
      <c r="C584" s="16" t="s">
        <v>2219</v>
      </c>
      <c r="D584" s="16" t="s">
        <v>3696</v>
      </c>
      <c r="E584" s="204">
        <v>45173</v>
      </c>
      <c r="F584" s="56" t="b">
        <v>0</v>
      </c>
      <c r="G584" s="205" t="s">
        <v>4445</v>
      </c>
      <c r="H584" s="205"/>
      <c r="I584" s="56" t="b">
        <v>1</v>
      </c>
      <c r="J584" s="16" t="s">
        <v>4084</v>
      </c>
      <c r="K584" s="205"/>
      <c r="L584" s="16" t="b">
        <v>0</v>
      </c>
      <c r="M584" s="16"/>
      <c r="N584" s="16"/>
      <c r="O584" s="16"/>
      <c r="P584" s="16"/>
      <c r="Q584" s="16"/>
      <c r="R584" s="16"/>
      <c r="S584" s="16"/>
      <c r="T584" s="16"/>
      <c r="U584" s="16"/>
      <c r="V584" s="16"/>
      <c r="W584" s="16"/>
      <c r="X584" s="16"/>
      <c r="Y584" s="16"/>
      <c r="Z584" s="16"/>
      <c r="AA584" s="16"/>
    </row>
    <row r="585" spans="1:27" ht="24" hidden="1" customHeight="1" outlineLevel="2">
      <c r="A585" s="16" t="s">
        <v>2257</v>
      </c>
      <c r="B585" s="16" t="s">
        <v>2258</v>
      </c>
      <c r="C585" s="16" t="s">
        <v>2259</v>
      </c>
      <c r="D585" s="16" t="s">
        <v>3809</v>
      </c>
      <c r="E585" s="204">
        <v>45173</v>
      </c>
      <c r="F585" s="56" t="b">
        <v>0</v>
      </c>
      <c r="G585" s="205" t="s">
        <v>4446</v>
      </c>
      <c r="H585" s="205"/>
      <c r="I585" s="56" t="b">
        <v>1</v>
      </c>
      <c r="J585" s="116" t="s">
        <v>4092</v>
      </c>
      <c r="K585" s="205"/>
      <c r="L585" s="16" t="b">
        <v>0</v>
      </c>
      <c r="M585" s="16"/>
      <c r="N585" s="16"/>
      <c r="O585" s="16"/>
      <c r="P585" s="16"/>
      <c r="Q585" s="16"/>
      <c r="R585" s="16"/>
      <c r="S585" s="16"/>
      <c r="T585" s="16"/>
      <c r="U585" s="16"/>
      <c r="V585" s="16"/>
      <c r="W585" s="16"/>
      <c r="X585" s="16"/>
      <c r="Y585" s="16"/>
      <c r="Z585" s="16"/>
      <c r="AA585" s="16"/>
    </row>
    <row r="586" spans="1:27" ht="24" hidden="1" customHeight="1" outlineLevel="2">
      <c r="A586" s="16" t="s">
        <v>2251</v>
      </c>
      <c r="B586" s="16" t="s">
        <v>2252</v>
      </c>
      <c r="C586" s="16" t="s">
        <v>2253</v>
      </c>
      <c r="D586" s="16" t="s">
        <v>3739</v>
      </c>
      <c r="E586" s="204">
        <v>45174</v>
      </c>
      <c r="F586" s="56" t="b">
        <v>0</v>
      </c>
      <c r="G586" s="205" t="s">
        <v>4447</v>
      </c>
      <c r="H586" s="205"/>
      <c r="I586" s="56" t="b">
        <v>1</v>
      </c>
      <c r="J586" s="16" t="s">
        <v>4287</v>
      </c>
      <c r="K586" s="205" t="s">
        <v>4448</v>
      </c>
      <c r="L586" s="16" t="b">
        <v>0</v>
      </c>
      <c r="M586" s="16"/>
      <c r="N586" s="16"/>
      <c r="O586" s="16"/>
      <c r="P586" s="16"/>
      <c r="Q586" s="16"/>
      <c r="R586" s="16"/>
      <c r="S586" s="16"/>
      <c r="T586" s="16"/>
      <c r="U586" s="16"/>
      <c r="V586" s="16"/>
      <c r="W586" s="16"/>
      <c r="X586" s="16"/>
      <c r="Y586" s="16"/>
      <c r="Z586" s="16"/>
      <c r="AA586" s="16"/>
    </row>
    <row r="587" spans="1:27" ht="24" hidden="1" customHeight="1" outlineLevel="2">
      <c r="A587" s="16" t="s">
        <v>23</v>
      </c>
      <c r="B587" s="16" t="s">
        <v>24</v>
      </c>
      <c r="C587" s="16" t="s">
        <v>25</v>
      </c>
      <c r="D587" s="16" t="s">
        <v>3696</v>
      </c>
      <c r="E587" s="204">
        <v>45174</v>
      </c>
      <c r="F587" s="56" t="b">
        <v>0</v>
      </c>
      <c r="G587" s="205" t="s">
        <v>4449</v>
      </c>
      <c r="H587" s="205"/>
      <c r="I587" s="56" t="b">
        <v>1</v>
      </c>
      <c r="J587" s="16" t="s">
        <v>4084</v>
      </c>
      <c r="K587" s="205"/>
      <c r="L587" s="16" t="b">
        <v>0</v>
      </c>
      <c r="M587" s="16"/>
      <c r="N587" s="16"/>
      <c r="O587" s="16"/>
      <c r="P587" s="16"/>
      <c r="Q587" s="16"/>
      <c r="R587" s="16"/>
      <c r="S587" s="16"/>
      <c r="T587" s="16"/>
      <c r="U587" s="16"/>
      <c r="V587" s="16"/>
      <c r="W587" s="16"/>
      <c r="X587" s="16"/>
      <c r="Y587" s="16"/>
      <c r="Z587" s="16"/>
      <c r="AA587" s="16"/>
    </row>
    <row r="588" spans="1:27" ht="24" hidden="1" customHeight="1" outlineLevel="2">
      <c r="A588" s="16" t="s">
        <v>4450</v>
      </c>
      <c r="B588" s="16" t="s">
        <v>2150</v>
      </c>
      <c r="C588" s="16" t="s">
        <v>4451</v>
      </c>
      <c r="D588" s="16" t="s">
        <v>3696</v>
      </c>
      <c r="E588" s="204">
        <v>45174</v>
      </c>
      <c r="F588" s="56" t="b">
        <v>0</v>
      </c>
      <c r="G588" s="205" t="s">
        <v>4452</v>
      </c>
      <c r="H588" s="205"/>
      <c r="I588" s="56" t="b">
        <v>1</v>
      </c>
      <c r="J588" s="16" t="s">
        <v>4084</v>
      </c>
      <c r="K588" s="205"/>
      <c r="L588" s="16" t="b">
        <v>0</v>
      </c>
      <c r="M588" s="16"/>
      <c r="N588" s="16"/>
      <c r="O588" s="16"/>
      <c r="P588" s="16"/>
      <c r="Q588" s="16"/>
      <c r="R588" s="16"/>
      <c r="S588" s="16"/>
      <c r="T588" s="16"/>
      <c r="U588" s="16"/>
      <c r="V588" s="16"/>
      <c r="W588" s="16"/>
      <c r="X588" s="16"/>
      <c r="Y588" s="16"/>
      <c r="Z588" s="16"/>
      <c r="AA588" s="16"/>
    </row>
    <row r="589" spans="1:27" ht="24" hidden="1" customHeight="1" outlineLevel="2">
      <c r="A589" s="16" t="s">
        <v>2152</v>
      </c>
      <c r="B589" s="16" t="s">
        <v>2153</v>
      </c>
      <c r="C589" s="16" t="s">
        <v>4453</v>
      </c>
      <c r="D589" s="16" t="s">
        <v>3930</v>
      </c>
      <c r="E589" s="204">
        <v>45175</v>
      </c>
      <c r="F589" s="56" t="b">
        <v>0</v>
      </c>
      <c r="G589" s="205" t="s">
        <v>4454</v>
      </c>
      <c r="H589" s="205"/>
      <c r="I589" s="56" t="b">
        <v>1</v>
      </c>
      <c r="J589" s="16" t="s">
        <v>3621</v>
      </c>
      <c r="K589" s="205" t="s">
        <v>4455</v>
      </c>
      <c r="L589" s="16" t="b">
        <v>0</v>
      </c>
      <c r="M589" s="16"/>
      <c r="N589" s="16"/>
      <c r="O589" s="16"/>
      <c r="P589" s="16"/>
      <c r="Q589" s="16"/>
      <c r="R589" s="16"/>
      <c r="S589" s="16"/>
      <c r="T589" s="16"/>
      <c r="U589" s="16"/>
      <c r="V589" s="16"/>
      <c r="W589" s="16"/>
      <c r="X589" s="16"/>
      <c r="Y589" s="16"/>
      <c r="Z589" s="16"/>
      <c r="AA589" s="16"/>
    </row>
    <row r="590" spans="1:27" ht="24" hidden="1" customHeight="1" outlineLevel="2">
      <c r="A590" s="16" t="s">
        <v>2158</v>
      </c>
      <c r="B590" s="16" t="s">
        <v>2159</v>
      </c>
      <c r="C590" s="16" t="s">
        <v>2160</v>
      </c>
      <c r="D590" s="16" t="s">
        <v>3930</v>
      </c>
      <c r="E590" s="204">
        <v>45175</v>
      </c>
      <c r="F590" s="56" t="b">
        <v>0</v>
      </c>
      <c r="G590" s="205" t="s">
        <v>4456</v>
      </c>
      <c r="H590" s="205"/>
      <c r="I590" s="56" t="b">
        <v>1</v>
      </c>
      <c r="J590" s="16" t="s">
        <v>3621</v>
      </c>
      <c r="K590" s="205" t="s">
        <v>4455</v>
      </c>
      <c r="L590" s="16" t="b">
        <v>0</v>
      </c>
      <c r="M590" s="16"/>
      <c r="N590" s="16"/>
      <c r="O590" s="16"/>
      <c r="P590" s="16"/>
      <c r="Q590" s="16"/>
      <c r="R590" s="16"/>
      <c r="S590" s="16"/>
      <c r="T590" s="16"/>
      <c r="U590" s="16"/>
      <c r="V590" s="16"/>
      <c r="W590" s="16"/>
      <c r="X590" s="16"/>
      <c r="Y590" s="16"/>
      <c r="Z590" s="16"/>
      <c r="AA590" s="16"/>
    </row>
    <row r="591" spans="1:27" ht="24" hidden="1" customHeight="1" outlineLevel="2">
      <c r="A591" s="16" t="s">
        <v>2248</v>
      </c>
      <c r="B591" s="16" t="s">
        <v>2249</v>
      </c>
      <c r="C591" s="16" t="s">
        <v>2250</v>
      </c>
      <c r="D591" s="16" t="s">
        <v>3718</v>
      </c>
      <c r="E591" s="204">
        <v>45177</v>
      </c>
      <c r="F591" s="56" t="b">
        <v>0</v>
      </c>
      <c r="G591" s="205" t="s">
        <v>4457</v>
      </c>
      <c r="H591" s="205"/>
      <c r="I591" s="56" t="b">
        <v>1</v>
      </c>
      <c r="J591" s="16" t="s">
        <v>3621</v>
      </c>
      <c r="K591" s="205" t="s">
        <v>4455</v>
      </c>
      <c r="L591" s="16" t="b">
        <v>0</v>
      </c>
      <c r="M591" s="16"/>
      <c r="N591" s="16"/>
      <c r="O591" s="16"/>
      <c r="P591" s="16"/>
      <c r="Q591" s="16"/>
      <c r="R591" s="16"/>
      <c r="S591" s="16"/>
      <c r="T591" s="16"/>
      <c r="U591" s="16"/>
      <c r="V591" s="16"/>
      <c r="W591" s="16"/>
      <c r="X591" s="16"/>
      <c r="Y591" s="16"/>
      <c r="Z591" s="16"/>
      <c r="AA591" s="16"/>
    </row>
    <row r="592" spans="1:27" ht="24" hidden="1" customHeight="1" outlineLevel="2">
      <c r="A592" s="16" t="s">
        <v>4458</v>
      </c>
      <c r="B592" s="16" t="s">
        <v>2255</v>
      </c>
      <c r="C592" s="16" t="s">
        <v>2256</v>
      </c>
      <c r="D592" s="16" t="s">
        <v>3696</v>
      </c>
      <c r="E592" s="204">
        <v>45177</v>
      </c>
      <c r="F592" s="56" t="b">
        <v>0</v>
      </c>
      <c r="G592" s="205" t="s">
        <v>4459</v>
      </c>
      <c r="H592" s="205"/>
      <c r="I592" s="56" t="b">
        <v>1</v>
      </c>
      <c r="J592" s="16" t="s">
        <v>4084</v>
      </c>
      <c r="K592" s="205"/>
      <c r="L592" s="16" t="b">
        <v>0</v>
      </c>
      <c r="M592" s="16"/>
      <c r="N592" s="16"/>
      <c r="O592" s="16"/>
      <c r="P592" s="16"/>
      <c r="Q592" s="16"/>
      <c r="R592" s="16"/>
      <c r="S592" s="16"/>
      <c r="T592" s="16"/>
      <c r="U592" s="16"/>
      <c r="V592" s="16"/>
      <c r="W592" s="16"/>
      <c r="X592" s="16"/>
      <c r="Y592" s="16"/>
      <c r="Z592" s="16"/>
      <c r="AA592" s="16"/>
    </row>
    <row r="593" spans="1:27" ht="24" hidden="1" customHeight="1" outlineLevel="2">
      <c r="A593" s="16" t="s">
        <v>4460</v>
      </c>
      <c r="B593" s="16" t="s">
        <v>2166</v>
      </c>
      <c r="C593" s="16" t="s">
        <v>2167</v>
      </c>
      <c r="D593" s="76" t="s">
        <v>4215</v>
      </c>
      <c r="E593" s="204">
        <v>45177</v>
      </c>
      <c r="F593" s="56" t="b">
        <v>0</v>
      </c>
      <c r="G593" s="205" t="s">
        <v>4461</v>
      </c>
      <c r="H593" s="205"/>
      <c r="I593" s="56" t="b">
        <v>1</v>
      </c>
      <c r="J593" s="16" t="s">
        <v>3621</v>
      </c>
      <c r="K593" s="205" t="s">
        <v>4455</v>
      </c>
      <c r="L593" s="16" t="b">
        <v>0</v>
      </c>
      <c r="M593" s="16"/>
      <c r="N593" s="16"/>
      <c r="O593" s="16"/>
      <c r="P593" s="16"/>
      <c r="Q593" s="16"/>
      <c r="R593" s="16"/>
      <c r="S593" s="16"/>
      <c r="T593" s="16"/>
      <c r="U593" s="16"/>
      <c r="V593" s="16"/>
      <c r="W593" s="16"/>
      <c r="X593" s="16"/>
      <c r="Y593" s="16"/>
      <c r="Z593" s="16"/>
      <c r="AA593" s="16"/>
    </row>
    <row r="594" spans="1:27" ht="24" hidden="1" customHeight="1" outlineLevel="2">
      <c r="A594" s="16" t="s">
        <v>2172</v>
      </c>
      <c r="B594" s="16" t="s">
        <v>2173</v>
      </c>
      <c r="C594" s="16" t="s">
        <v>2174</v>
      </c>
      <c r="D594" s="16" t="s">
        <v>3694</v>
      </c>
      <c r="E594" s="204">
        <v>45177</v>
      </c>
      <c r="F594" s="56" t="b">
        <v>0</v>
      </c>
      <c r="G594" s="205" t="s">
        <v>4462</v>
      </c>
      <c r="H594" s="205"/>
      <c r="I594" s="56" t="b">
        <v>1</v>
      </c>
      <c r="J594" s="116" t="s">
        <v>4092</v>
      </c>
      <c r="K594" s="205"/>
      <c r="L594" s="16" t="b">
        <v>0</v>
      </c>
      <c r="M594" s="16"/>
      <c r="N594" s="16"/>
      <c r="O594" s="16"/>
      <c r="P594" s="16"/>
      <c r="Q594" s="16"/>
      <c r="R594" s="16"/>
      <c r="S594" s="16"/>
      <c r="T594" s="16"/>
      <c r="U594" s="16"/>
      <c r="V594" s="16"/>
      <c r="W594" s="16"/>
      <c r="X594" s="16"/>
      <c r="Y594" s="16"/>
      <c r="Z594" s="16"/>
      <c r="AA594" s="16"/>
    </row>
    <row r="595" spans="1:27" ht="24" hidden="1" customHeight="1" outlineLevel="2">
      <c r="A595" s="16" t="s">
        <v>4463</v>
      </c>
      <c r="B595" s="16" t="s">
        <v>2179</v>
      </c>
      <c r="C595" s="16" t="s">
        <v>2180</v>
      </c>
      <c r="D595" s="16" t="s">
        <v>3809</v>
      </c>
      <c r="E595" s="204">
        <v>45180</v>
      </c>
      <c r="F595" s="56" t="b">
        <v>0</v>
      </c>
      <c r="G595" s="205" t="s">
        <v>4464</v>
      </c>
      <c r="H595" s="205"/>
      <c r="I595" s="56" t="b">
        <v>1</v>
      </c>
      <c r="J595" s="116" t="s">
        <v>4092</v>
      </c>
      <c r="K595" s="205"/>
      <c r="L595" s="16"/>
      <c r="M595" s="16"/>
      <c r="N595" s="16"/>
      <c r="O595" s="16"/>
      <c r="P595" s="16"/>
      <c r="Q595" s="16"/>
      <c r="R595" s="16"/>
      <c r="S595" s="16"/>
      <c r="T595" s="16"/>
      <c r="U595" s="16"/>
      <c r="V595" s="16"/>
      <c r="W595" s="16"/>
      <c r="X595" s="16"/>
      <c r="Y595" s="16"/>
      <c r="Z595" s="16"/>
      <c r="AA595" s="16"/>
    </row>
    <row r="596" spans="1:27" ht="24" hidden="1" customHeight="1" outlineLevel="2">
      <c r="A596" s="16" t="s">
        <v>4465</v>
      </c>
      <c r="B596" s="16" t="s">
        <v>2189</v>
      </c>
      <c r="C596" s="16" t="s">
        <v>2190</v>
      </c>
      <c r="D596" s="16" t="s">
        <v>3930</v>
      </c>
      <c r="E596" s="204">
        <v>45180</v>
      </c>
      <c r="F596" s="56" t="b">
        <v>0</v>
      </c>
      <c r="G596" s="205" t="s">
        <v>4466</v>
      </c>
      <c r="H596" s="205"/>
      <c r="I596" s="56" t="b">
        <v>1</v>
      </c>
      <c r="J596" s="16" t="s">
        <v>3621</v>
      </c>
      <c r="K596" s="205" t="s">
        <v>4467</v>
      </c>
      <c r="L596" s="16"/>
      <c r="M596" s="16"/>
      <c r="N596" s="16"/>
      <c r="O596" s="16"/>
      <c r="P596" s="16"/>
      <c r="Q596" s="16"/>
      <c r="R596" s="16"/>
      <c r="S596" s="16"/>
      <c r="T596" s="16"/>
      <c r="U596" s="16"/>
      <c r="V596" s="16"/>
      <c r="W596" s="16"/>
      <c r="X596" s="16"/>
      <c r="Y596" s="16"/>
      <c r="Z596" s="16"/>
      <c r="AA596" s="16"/>
    </row>
    <row r="597" spans="1:27" ht="24" hidden="1" customHeight="1" outlineLevel="2">
      <c r="A597" s="16" t="s">
        <v>2191</v>
      </c>
      <c r="B597" s="16" t="s">
        <v>2192</v>
      </c>
      <c r="C597" s="16" t="s">
        <v>2193</v>
      </c>
      <c r="D597" s="16" t="s">
        <v>3833</v>
      </c>
      <c r="E597" s="204">
        <v>45180</v>
      </c>
      <c r="F597" s="56" t="b">
        <v>0</v>
      </c>
      <c r="G597" s="205" t="s">
        <v>4468</v>
      </c>
      <c r="H597" s="205"/>
      <c r="I597" s="116" t="b">
        <v>1</v>
      </c>
      <c r="J597" s="16" t="s">
        <v>4281</v>
      </c>
      <c r="K597" s="205" t="s">
        <v>4469</v>
      </c>
      <c r="L597" s="16"/>
      <c r="M597" s="16"/>
      <c r="N597" s="16"/>
      <c r="O597" s="16"/>
      <c r="P597" s="16"/>
      <c r="Q597" s="16"/>
      <c r="R597" s="16"/>
      <c r="S597" s="16"/>
      <c r="T597" s="16"/>
      <c r="U597" s="16"/>
      <c r="V597" s="16"/>
      <c r="W597" s="16"/>
      <c r="X597" s="16"/>
      <c r="Y597" s="16"/>
      <c r="Z597" s="16"/>
      <c r="AA597" s="16"/>
    </row>
    <row r="598" spans="1:27" ht="24" hidden="1" customHeight="1" outlineLevel="2">
      <c r="A598" s="16" t="s">
        <v>4470</v>
      </c>
      <c r="B598" s="16" t="s">
        <v>2195</v>
      </c>
      <c r="C598" s="16" t="s">
        <v>2196</v>
      </c>
      <c r="D598" s="16" t="s">
        <v>4292</v>
      </c>
      <c r="E598" s="204">
        <v>45180</v>
      </c>
      <c r="F598" s="56" t="b">
        <v>0</v>
      </c>
      <c r="G598" s="205" t="s">
        <v>4471</v>
      </c>
      <c r="H598" s="205"/>
      <c r="I598" s="116" t="b">
        <v>1</v>
      </c>
      <c r="J598" s="16" t="s">
        <v>4281</v>
      </c>
      <c r="K598" s="205" t="s">
        <v>4472</v>
      </c>
      <c r="L598" s="16"/>
      <c r="M598" s="16"/>
      <c r="N598" s="16"/>
      <c r="O598" s="16"/>
      <c r="P598" s="16"/>
      <c r="Q598" s="16"/>
      <c r="R598" s="16"/>
      <c r="S598" s="16"/>
      <c r="T598" s="16"/>
      <c r="U598" s="16"/>
      <c r="V598" s="16"/>
      <c r="W598" s="16"/>
      <c r="X598" s="16"/>
      <c r="Y598" s="16"/>
      <c r="Z598" s="16"/>
      <c r="AA598" s="16"/>
    </row>
    <row r="599" spans="1:27" ht="24" hidden="1" customHeight="1" outlineLevel="2">
      <c r="A599" s="16" t="s">
        <v>2197</v>
      </c>
      <c r="B599" s="16" t="s">
        <v>2199</v>
      </c>
      <c r="C599" s="16" t="s">
        <v>4473</v>
      </c>
      <c r="D599" s="16" t="s">
        <v>3833</v>
      </c>
      <c r="E599" s="204">
        <v>45181</v>
      </c>
      <c r="F599" s="56" t="b">
        <v>0</v>
      </c>
      <c r="G599" s="205" t="s">
        <v>4474</v>
      </c>
      <c r="H599" s="205"/>
      <c r="I599" s="116" t="b">
        <v>1</v>
      </c>
      <c r="J599" s="16" t="s">
        <v>4281</v>
      </c>
      <c r="K599" s="205" t="s">
        <v>4472</v>
      </c>
      <c r="L599" s="16"/>
      <c r="M599" s="16"/>
      <c r="N599" s="16"/>
      <c r="O599" s="16"/>
      <c r="P599" s="16"/>
      <c r="Q599" s="16"/>
      <c r="R599" s="16"/>
      <c r="S599" s="16"/>
      <c r="T599" s="16"/>
      <c r="U599" s="16"/>
      <c r="V599" s="16"/>
      <c r="W599" s="16"/>
      <c r="X599" s="16"/>
      <c r="Y599" s="16"/>
      <c r="Z599" s="16"/>
      <c r="AA599" s="16"/>
    </row>
    <row r="600" spans="1:27" ht="24" hidden="1" customHeight="1" outlineLevel="2">
      <c r="A600" s="16" t="s">
        <v>1978</v>
      </c>
      <c r="B600" s="16" t="s">
        <v>1979</v>
      </c>
      <c r="C600" s="16" t="s">
        <v>1980</v>
      </c>
      <c r="D600" s="16" t="s">
        <v>4475</v>
      </c>
      <c r="E600" s="204">
        <v>45181</v>
      </c>
      <c r="F600" s="56" t="b">
        <v>0</v>
      </c>
      <c r="G600" s="205" t="s">
        <v>4476</v>
      </c>
      <c r="H600" s="205"/>
      <c r="I600" s="116" t="b">
        <v>1</v>
      </c>
      <c r="J600" s="16" t="s">
        <v>4281</v>
      </c>
      <c r="K600" s="205" t="s">
        <v>4472</v>
      </c>
      <c r="L600" s="16"/>
      <c r="M600" s="16"/>
      <c r="N600" s="16"/>
      <c r="O600" s="16"/>
      <c r="P600" s="16"/>
      <c r="Q600" s="16"/>
      <c r="R600" s="16"/>
      <c r="S600" s="16"/>
      <c r="T600" s="16"/>
      <c r="U600" s="16"/>
      <c r="V600" s="16"/>
      <c r="W600" s="16"/>
      <c r="X600" s="16"/>
      <c r="Y600" s="16"/>
      <c r="Z600" s="16"/>
      <c r="AA600" s="16"/>
    </row>
    <row r="601" spans="1:27" ht="24" hidden="1" customHeight="1" outlineLevel="2">
      <c r="A601" s="16" t="s">
        <v>1408</v>
      </c>
      <c r="B601" s="116" t="s">
        <v>1410</v>
      </c>
      <c r="C601" s="16" t="s">
        <v>1411</v>
      </c>
      <c r="D601" s="16" t="s">
        <v>3809</v>
      </c>
      <c r="E601" s="204">
        <v>45181</v>
      </c>
      <c r="F601" s="56" t="b">
        <v>0</v>
      </c>
      <c r="G601" s="205" t="s">
        <v>4477</v>
      </c>
      <c r="H601" s="205"/>
      <c r="I601" s="116" t="b">
        <v>1</v>
      </c>
      <c r="J601" s="116" t="s">
        <v>4092</v>
      </c>
      <c r="K601" s="205"/>
      <c r="L601" s="16"/>
      <c r="M601" s="16"/>
      <c r="N601" s="16"/>
      <c r="O601" s="16"/>
      <c r="P601" s="16"/>
      <c r="Q601" s="16"/>
      <c r="R601" s="16"/>
      <c r="S601" s="16"/>
      <c r="T601" s="16"/>
      <c r="U601" s="16"/>
      <c r="V601" s="16"/>
      <c r="W601" s="16"/>
      <c r="X601" s="16"/>
      <c r="Y601" s="16"/>
      <c r="Z601" s="16"/>
      <c r="AA601" s="16"/>
    </row>
    <row r="602" spans="1:27" ht="24" hidden="1" customHeight="1" outlineLevel="2">
      <c r="A602" s="16" t="s">
        <v>4478</v>
      </c>
      <c r="B602" s="16" t="s">
        <v>1982</v>
      </c>
      <c r="C602" s="16" t="s">
        <v>1983</v>
      </c>
      <c r="D602" s="16" t="s">
        <v>3696</v>
      </c>
      <c r="E602" s="204">
        <v>45181</v>
      </c>
      <c r="F602" s="56" t="b">
        <v>0</v>
      </c>
      <c r="G602" s="205" t="s">
        <v>4479</v>
      </c>
      <c r="H602" s="205"/>
      <c r="I602" s="56" t="b">
        <v>1</v>
      </c>
      <c r="J602" s="16" t="s">
        <v>4084</v>
      </c>
      <c r="K602" s="205"/>
      <c r="L602" s="16"/>
      <c r="M602" s="16"/>
      <c r="N602" s="16"/>
      <c r="O602" s="16"/>
      <c r="P602" s="16"/>
      <c r="Q602" s="16"/>
      <c r="R602" s="16"/>
      <c r="S602" s="16"/>
      <c r="T602" s="16"/>
      <c r="U602" s="16"/>
      <c r="V602" s="16"/>
      <c r="W602" s="16"/>
      <c r="X602" s="16"/>
      <c r="Y602" s="16"/>
      <c r="Z602" s="16"/>
      <c r="AA602" s="16"/>
    </row>
    <row r="603" spans="1:27" ht="24" hidden="1" customHeight="1" outlineLevel="2">
      <c r="A603" s="16" t="s">
        <v>2260</v>
      </c>
      <c r="B603" s="16" t="s">
        <v>2261</v>
      </c>
      <c r="C603" s="16" t="s">
        <v>2262</v>
      </c>
      <c r="D603" s="16" t="s">
        <v>4480</v>
      </c>
      <c r="E603" s="204">
        <v>45182</v>
      </c>
      <c r="F603" s="56" t="b">
        <v>0</v>
      </c>
      <c r="G603" s="205" t="s">
        <v>4481</v>
      </c>
      <c r="H603" s="205"/>
      <c r="I603" s="56" t="b">
        <v>1</v>
      </c>
      <c r="J603" s="16" t="s">
        <v>4084</v>
      </c>
      <c r="K603" s="205"/>
      <c r="L603" s="16"/>
      <c r="M603" s="16"/>
      <c r="N603" s="16"/>
      <c r="O603" s="16"/>
      <c r="P603" s="16"/>
      <c r="Q603" s="16"/>
      <c r="R603" s="16"/>
      <c r="S603" s="16"/>
      <c r="T603" s="16"/>
      <c r="U603" s="16"/>
      <c r="V603" s="16"/>
      <c r="W603" s="16"/>
      <c r="X603" s="16"/>
      <c r="Y603" s="16"/>
      <c r="Z603" s="16"/>
      <c r="AA603" s="16"/>
    </row>
    <row r="604" spans="1:27" ht="24" hidden="1" customHeight="1" outlineLevel="2">
      <c r="A604" s="16" t="s">
        <v>4482</v>
      </c>
      <c r="B604" s="16" t="s">
        <v>1420</v>
      </c>
      <c r="C604" s="16" t="s">
        <v>1421</v>
      </c>
      <c r="D604" s="16" t="s">
        <v>3718</v>
      </c>
      <c r="E604" s="204">
        <v>45184</v>
      </c>
      <c r="F604" s="56" t="b">
        <v>0</v>
      </c>
      <c r="G604" s="205" t="s">
        <v>4483</v>
      </c>
      <c r="H604" s="205"/>
      <c r="I604" s="56" t="b">
        <v>1</v>
      </c>
      <c r="J604" s="16" t="s">
        <v>3621</v>
      </c>
      <c r="K604" s="205" t="s">
        <v>4484</v>
      </c>
      <c r="L604" s="16"/>
      <c r="M604" s="16"/>
      <c r="N604" s="16"/>
      <c r="O604" s="16"/>
      <c r="P604" s="16"/>
      <c r="Q604" s="16"/>
      <c r="R604" s="16"/>
      <c r="S604" s="16"/>
      <c r="T604" s="16"/>
      <c r="U604" s="16"/>
      <c r="V604" s="16"/>
      <c r="W604" s="16"/>
      <c r="X604" s="16"/>
      <c r="Y604" s="16"/>
      <c r="Z604" s="16"/>
      <c r="AA604" s="16"/>
    </row>
    <row r="605" spans="1:27" ht="24" hidden="1" customHeight="1" outlineLevel="2">
      <c r="A605" s="16" t="s">
        <v>1987</v>
      </c>
      <c r="B605" s="16" t="s">
        <v>1988</v>
      </c>
      <c r="C605" s="16" t="s">
        <v>1989</v>
      </c>
      <c r="D605" s="16" t="s">
        <v>3790</v>
      </c>
      <c r="E605" s="204">
        <v>45184</v>
      </c>
      <c r="F605" s="56" t="b">
        <v>0</v>
      </c>
      <c r="G605" s="205" t="s">
        <v>4485</v>
      </c>
      <c r="H605" s="205"/>
      <c r="I605" s="56" t="b">
        <v>1</v>
      </c>
      <c r="J605" s="16" t="s">
        <v>4256</v>
      </c>
      <c r="K605" s="205" t="s">
        <v>4486</v>
      </c>
      <c r="L605" s="16"/>
      <c r="M605" s="16"/>
      <c r="N605" s="16"/>
      <c r="O605" s="16"/>
      <c r="P605" s="16"/>
      <c r="Q605" s="16"/>
      <c r="R605" s="16"/>
      <c r="S605" s="16"/>
      <c r="T605" s="16"/>
      <c r="U605" s="16"/>
      <c r="V605" s="16"/>
      <c r="W605" s="16"/>
      <c r="X605" s="16"/>
      <c r="Y605" s="16"/>
      <c r="Z605" s="16"/>
      <c r="AA605" s="16"/>
    </row>
    <row r="606" spans="1:27" ht="24" hidden="1" customHeight="1" outlineLevel="2">
      <c r="A606" s="16" t="s">
        <v>4487</v>
      </c>
      <c r="B606" s="16" t="s">
        <v>1993</v>
      </c>
      <c r="C606" s="16" t="s">
        <v>1994</v>
      </c>
      <c r="D606" s="16" t="s">
        <v>3696</v>
      </c>
      <c r="E606" s="204">
        <v>45184</v>
      </c>
      <c r="F606" s="56" t="b">
        <v>0</v>
      </c>
      <c r="G606" s="205" t="s">
        <v>4488</v>
      </c>
      <c r="H606" s="205"/>
      <c r="I606" s="56" t="b">
        <v>1</v>
      </c>
      <c r="J606" s="16" t="s">
        <v>4084</v>
      </c>
      <c r="K606" s="205"/>
      <c r="L606" s="16"/>
      <c r="M606" s="16"/>
      <c r="N606" s="16"/>
      <c r="O606" s="16"/>
      <c r="P606" s="16"/>
      <c r="Q606" s="16"/>
      <c r="R606" s="16"/>
      <c r="S606" s="16"/>
      <c r="T606" s="16"/>
      <c r="U606" s="16"/>
      <c r="V606" s="16"/>
      <c r="W606" s="16"/>
      <c r="X606" s="16"/>
      <c r="Y606" s="16"/>
      <c r="Z606" s="16"/>
      <c r="AA606" s="16"/>
    </row>
    <row r="607" spans="1:27" ht="24" hidden="1" customHeight="1" outlineLevel="2">
      <c r="A607" s="16" t="s">
        <v>4489</v>
      </c>
      <c r="B607" s="16" t="s">
        <v>1997</v>
      </c>
      <c r="C607" s="16" t="s">
        <v>1998</v>
      </c>
      <c r="D607" s="16" t="s">
        <v>3809</v>
      </c>
      <c r="E607" s="204">
        <v>45184</v>
      </c>
      <c r="F607" s="56" t="b">
        <v>0</v>
      </c>
      <c r="G607" s="205" t="s">
        <v>4490</v>
      </c>
      <c r="H607" s="205"/>
      <c r="I607" s="116" t="b">
        <v>1</v>
      </c>
      <c r="J607" s="116" t="s">
        <v>4092</v>
      </c>
      <c r="K607" s="205"/>
      <c r="L607" s="16"/>
      <c r="M607" s="16"/>
      <c r="N607" s="16"/>
      <c r="O607" s="16"/>
      <c r="P607" s="16"/>
      <c r="Q607" s="16"/>
      <c r="R607" s="16"/>
      <c r="S607" s="16"/>
      <c r="T607" s="16"/>
      <c r="U607" s="16"/>
      <c r="V607" s="16"/>
      <c r="W607" s="16"/>
      <c r="X607" s="16"/>
      <c r="Y607" s="16"/>
      <c r="Z607" s="16"/>
      <c r="AA607" s="16"/>
    </row>
    <row r="608" spans="1:27" ht="24" hidden="1" customHeight="1" outlineLevel="2">
      <c r="A608" s="16" t="s">
        <v>1433</v>
      </c>
      <c r="B608" s="16" t="s">
        <v>1434</v>
      </c>
      <c r="C608" s="16" t="s">
        <v>1435</v>
      </c>
      <c r="D608" s="16" t="s">
        <v>4491</v>
      </c>
      <c r="E608" s="204">
        <v>45187</v>
      </c>
      <c r="F608" s="56" t="b">
        <v>0</v>
      </c>
      <c r="G608" s="205" t="s">
        <v>4492</v>
      </c>
      <c r="H608" s="205"/>
      <c r="I608" s="56" t="b">
        <v>1</v>
      </c>
      <c r="J608" s="16" t="s">
        <v>3621</v>
      </c>
      <c r="K608" s="205" t="s">
        <v>4493</v>
      </c>
      <c r="L608" s="16"/>
      <c r="M608" s="16"/>
      <c r="N608" s="16"/>
      <c r="O608" s="16"/>
      <c r="P608" s="16"/>
      <c r="Q608" s="16"/>
      <c r="R608" s="16"/>
      <c r="S608" s="16"/>
      <c r="T608" s="16"/>
      <c r="U608" s="16"/>
      <c r="V608" s="16"/>
      <c r="W608" s="16"/>
      <c r="X608" s="16"/>
      <c r="Y608" s="16"/>
      <c r="Z608" s="16"/>
      <c r="AA608" s="16"/>
    </row>
    <row r="609" spans="1:27" ht="24" hidden="1" customHeight="1" outlineLevel="2">
      <c r="A609" s="16" t="s">
        <v>1999</v>
      </c>
      <c r="B609" s="16" t="s">
        <v>2000</v>
      </c>
      <c r="C609" s="16" t="s">
        <v>4494</v>
      </c>
      <c r="D609" s="16" t="s">
        <v>3809</v>
      </c>
      <c r="E609" s="204">
        <v>45187</v>
      </c>
      <c r="F609" s="56" t="b">
        <v>0</v>
      </c>
      <c r="G609" s="205" t="s">
        <v>4495</v>
      </c>
      <c r="H609" s="205"/>
      <c r="I609" s="116" t="b">
        <v>1</v>
      </c>
      <c r="J609" s="116" t="s">
        <v>4092</v>
      </c>
      <c r="K609" s="323" t="s">
        <v>2002</v>
      </c>
      <c r="L609" s="16"/>
      <c r="M609" s="16"/>
      <c r="N609" s="16"/>
      <c r="O609" s="16"/>
      <c r="P609" s="16"/>
      <c r="Q609" s="16"/>
      <c r="R609" s="16"/>
      <c r="S609" s="16"/>
      <c r="T609" s="16"/>
      <c r="U609" s="16"/>
      <c r="V609" s="16"/>
      <c r="W609" s="16"/>
      <c r="X609" s="16"/>
      <c r="Y609" s="16"/>
      <c r="Z609" s="16"/>
      <c r="AA609" s="16"/>
    </row>
    <row r="610" spans="1:27" ht="24" hidden="1" customHeight="1" outlineLevel="2">
      <c r="A610" s="16" t="s">
        <v>2003</v>
      </c>
      <c r="B610" s="16" t="s">
        <v>2005</v>
      </c>
      <c r="C610" s="16" t="s">
        <v>2006</v>
      </c>
      <c r="D610" s="16" t="s">
        <v>4496</v>
      </c>
      <c r="E610" s="204">
        <v>45187</v>
      </c>
      <c r="F610" s="56" t="b">
        <v>0</v>
      </c>
      <c r="G610" s="205" t="s">
        <v>4497</v>
      </c>
      <c r="H610" s="205"/>
      <c r="I610" s="56" t="b">
        <v>1</v>
      </c>
      <c r="J610" s="16" t="s">
        <v>4084</v>
      </c>
      <c r="K610" s="205"/>
      <c r="L610" s="16"/>
      <c r="M610" s="16"/>
      <c r="N610" s="16"/>
      <c r="O610" s="16"/>
      <c r="P610" s="16"/>
      <c r="Q610" s="16"/>
      <c r="R610" s="16"/>
      <c r="S610" s="16"/>
      <c r="T610" s="16"/>
      <c r="U610" s="16"/>
      <c r="V610" s="16"/>
      <c r="W610" s="16"/>
      <c r="X610" s="16"/>
      <c r="Y610" s="16"/>
      <c r="Z610" s="16"/>
      <c r="AA610" s="16"/>
    </row>
    <row r="611" spans="1:27" ht="24" hidden="1" customHeight="1" outlineLevel="2">
      <c r="A611" s="16" t="s">
        <v>2241</v>
      </c>
      <c r="B611" s="16" t="s">
        <v>2243</v>
      </c>
      <c r="C611" s="16" t="s">
        <v>2244</v>
      </c>
      <c r="D611" s="16" t="s">
        <v>3692</v>
      </c>
      <c r="E611" s="204">
        <v>45187</v>
      </c>
      <c r="F611" s="56" t="b">
        <v>0</v>
      </c>
      <c r="G611" s="205" t="s">
        <v>4498</v>
      </c>
      <c r="H611" s="205"/>
      <c r="I611" s="56" t="b">
        <v>0</v>
      </c>
      <c r="J611" s="16" t="s">
        <v>3745</v>
      </c>
      <c r="K611" s="205"/>
      <c r="L611" s="16"/>
      <c r="M611" s="16"/>
      <c r="N611" s="16"/>
      <c r="O611" s="16"/>
      <c r="P611" s="16"/>
      <c r="Q611" s="16"/>
      <c r="R611" s="16"/>
      <c r="S611" s="16"/>
      <c r="T611" s="16"/>
      <c r="U611" s="16"/>
      <c r="V611" s="16"/>
      <c r="W611" s="16"/>
      <c r="X611" s="16"/>
      <c r="Y611" s="16"/>
      <c r="Z611" s="16"/>
      <c r="AA611" s="16"/>
    </row>
    <row r="612" spans="1:27" ht="24" hidden="1" customHeight="1" outlineLevel="2">
      <c r="A612" s="16" t="s">
        <v>2007</v>
      </c>
      <c r="B612" s="16" t="s">
        <v>2008</v>
      </c>
      <c r="C612" s="16" t="s">
        <v>2009</v>
      </c>
      <c r="D612" s="16" t="s">
        <v>4499</v>
      </c>
      <c r="E612" s="204">
        <v>45187</v>
      </c>
      <c r="F612" s="56" t="b">
        <v>0</v>
      </c>
      <c r="G612" s="205" t="s">
        <v>4500</v>
      </c>
      <c r="H612" s="205"/>
      <c r="I612" s="56" t="b">
        <v>1</v>
      </c>
      <c r="J612" s="16" t="s">
        <v>4084</v>
      </c>
      <c r="K612" s="205"/>
      <c r="L612" s="16"/>
      <c r="M612" s="16"/>
      <c r="N612" s="16"/>
      <c r="O612" s="16"/>
      <c r="P612" s="16"/>
      <c r="Q612" s="16"/>
      <c r="R612" s="16"/>
      <c r="S612" s="16"/>
      <c r="T612" s="16"/>
      <c r="U612" s="16"/>
      <c r="V612" s="16"/>
      <c r="W612" s="16"/>
      <c r="X612" s="16"/>
      <c r="Y612" s="16"/>
      <c r="Z612" s="16"/>
      <c r="AA612" s="16"/>
    </row>
    <row r="613" spans="1:27" ht="24" hidden="1" customHeight="1" outlineLevel="2">
      <c r="A613" s="16" t="s">
        <v>2010</v>
      </c>
      <c r="B613" s="16" t="s">
        <v>2011</v>
      </c>
      <c r="C613" s="16" t="s">
        <v>2012</v>
      </c>
      <c r="D613" s="16" t="s">
        <v>3809</v>
      </c>
      <c r="E613" s="204">
        <v>45188</v>
      </c>
      <c r="F613" s="56" t="b">
        <v>0</v>
      </c>
      <c r="G613" s="205" t="s">
        <v>4501</v>
      </c>
      <c r="H613" s="205"/>
      <c r="I613" s="116" t="b">
        <v>1</v>
      </c>
      <c r="J613" s="116" t="s">
        <v>4092</v>
      </c>
      <c r="K613" s="323" t="s">
        <v>2013</v>
      </c>
      <c r="L613" s="16"/>
      <c r="M613" s="16"/>
      <c r="N613" s="16"/>
      <c r="O613" s="16"/>
      <c r="P613" s="16"/>
      <c r="Q613" s="16"/>
      <c r="R613" s="16"/>
      <c r="S613" s="16"/>
      <c r="T613" s="16"/>
      <c r="U613" s="16"/>
      <c r="V613" s="16"/>
      <c r="W613" s="16"/>
      <c r="X613" s="16"/>
      <c r="Y613" s="16"/>
      <c r="Z613" s="16"/>
      <c r="AA613" s="16"/>
    </row>
    <row r="614" spans="1:27" ht="24" hidden="1" customHeight="1" outlineLevel="2">
      <c r="A614" s="16" t="s">
        <v>4502</v>
      </c>
      <c r="B614" s="16" t="s">
        <v>2016</v>
      </c>
      <c r="C614" s="16" t="s">
        <v>2017</v>
      </c>
      <c r="D614" s="16" t="s">
        <v>3809</v>
      </c>
      <c r="E614" s="204">
        <v>45189</v>
      </c>
      <c r="F614" s="56" t="b">
        <v>1</v>
      </c>
      <c r="G614" s="205" t="s">
        <v>4503</v>
      </c>
      <c r="H614" s="324" t="s">
        <v>4504</v>
      </c>
      <c r="I614" s="116" t="b">
        <v>1</v>
      </c>
      <c r="J614" s="116" t="s">
        <v>3800</v>
      </c>
      <c r="K614" s="205"/>
      <c r="L614" s="16"/>
      <c r="M614" s="16"/>
      <c r="N614" s="16"/>
      <c r="O614" s="16"/>
      <c r="P614" s="16"/>
      <c r="Q614" s="16"/>
      <c r="R614" s="16"/>
      <c r="S614" s="16"/>
      <c r="T614" s="16"/>
      <c r="U614" s="16"/>
      <c r="V614" s="16"/>
      <c r="W614" s="16"/>
      <c r="X614" s="16"/>
      <c r="Y614" s="16"/>
      <c r="Z614" s="16"/>
      <c r="AA614" s="16"/>
    </row>
    <row r="615" spans="1:27" ht="24" hidden="1" customHeight="1" outlineLevel="2">
      <c r="A615" s="16" t="s">
        <v>1086</v>
      </c>
      <c r="B615" s="16" t="s">
        <v>2023</v>
      </c>
      <c r="C615" s="16" t="s">
        <v>2024</v>
      </c>
      <c r="D615" s="16" t="s">
        <v>3809</v>
      </c>
      <c r="E615" s="204">
        <v>45189</v>
      </c>
      <c r="F615" s="56" t="b">
        <v>1</v>
      </c>
      <c r="G615" s="205" t="s">
        <v>4505</v>
      </c>
      <c r="H615" s="323" t="s">
        <v>4506</v>
      </c>
      <c r="I615" s="116" t="b">
        <v>1</v>
      </c>
      <c r="J615" s="116" t="s">
        <v>3800</v>
      </c>
      <c r="K615" s="205"/>
      <c r="L615" s="16"/>
      <c r="M615" s="16"/>
      <c r="N615" s="16"/>
      <c r="O615" s="16"/>
      <c r="P615" s="16"/>
      <c r="Q615" s="16"/>
      <c r="R615" s="16"/>
      <c r="S615" s="16"/>
      <c r="T615" s="16"/>
      <c r="U615" s="16"/>
      <c r="V615" s="16"/>
      <c r="W615" s="16"/>
      <c r="X615" s="16"/>
      <c r="Y615" s="16"/>
      <c r="Z615" s="16"/>
      <c r="AA615" s="16"/>
    </row>
    <row r="616" spans="1:27" ht="24" hidden="1" customHeight="1" outlineLevel="2">
      <c r="A616" s="16" t="s">
        <v>2025</v>
      </c>
      <c r="B616" s="16" t="s">
        <v>2026</v>
      </c>
      <c r="C616" s="16" t="s">
        <v>2027</v>
      </c>
      <c r="D616" s="16" t="s">
        <v>3694</v>
      </c>
      <c r="E616" s="204">
        <v>45191</v>
      </c>
      <c r="F616" s="56" t="b">
        <v>0</v>
      </c>
      <c r="G616" s="205" t="s">
        <v>4507</v>
      </c>
      <c r="H616" s="324" t="s">
        <v>4508</v>
      </c>
      <c r="I616" s="116" t="b">
        <v>1</v>
      </c>
      <c r="J616" s="116" t="s">
        <v>3800</v>
      </c>
      <c r="K616" s="205"/>
      <c r="L616" s="16"/>
      <c r="M616" s="16"/>
      <c r="N616" s="16"/>
      <c r="O616" s="16"/>
      <c r="P616" s="16"/>
      <c r="Q616" s="16"/>
      <c r="R616" s="16"/>
      <c r="S616" s="16"/>
      <c r="T616" s="16"/>
      <c r="U616" s="16"/>
      <c r="V616" s="16"/>
      <c r="W616" s="16"/>
      <c r="X616" s="16"/>
      <c r="Y616" s="16"/>
      <c r="Z616" s="16"/>
      <c r="AA616" s="16"/>
    </row>
    <row r="617" spans="1:27" ht="24" hidden="1" customHeight="1" outlineLevel="2">
      <c r="A617" s="223" t="s">
        <v>2028</v>
      </c>
      <c r="B617" s="16" t="s">
        <v>2029</v>
      </c>
      <c r="C617" s="16" t="s">
        <v>2030</v>
      </c>
      <c r="D617" s="16" t="s">
        <v>3718</v>
      </c>
      <c r="E617" s="204">
        <v>45191</v>
      </c>
      <c r="F617" s="56" t="b">
        <v>0</v>
      </c>
      <c r="G617" s="205" t="s">
        <v>4509</v>
      </c>
      <c r="H617" s="324" t="s">
        <v>4510</v>
      </c>
      <c r="I617" s="56" t="b">
        <v>1</v>
      </c>
      <c r="J617" s="16" t="s">
        <v>3621</v>
      </c>
      <c r="K617" s="205" t="s">
        <v>4019</v>
      </c>
      <c r="L617" s="16"/>
      <c r="M617" s="16"/>
      <c r="N617" s="16"/>
      <c r="O617" s="16"/>
      <c r="P617" s="16"/>
      <c r="Q617" s="16"/>
      <c r="R617" s="16"/>
      <c r="S617" s="16"/>
      <c r="T617" s="16"/>
      <c r="U617" s="16"/>
      <c r="V617" s="16"/>
      <c r="W617" s="16"/>
      <c r="X617" s="16"/>
      <c r="Y617" s="16"/>
      <c r="Z617" s="16"/>
      <c r="AA617" s="16"/>
    </row>
    <row r="618" spans="1:27" ht="24" hidden="1" customHeight="1" outlineLevel="2">
      <c r="A618" s="16" t="s">
        <v>2045</v>
      </c>
      <c r="B618" s="16" t="s">
        <v>2046</v>
      </c>
      <c r="C618" s="16" t="s">
        <v>2047</v>
      </c>
      <c r="D618" s="16" t="s">
        <v>3809</v>
      </c>
      <c r="E618" s="204">
        <v>45191</v>
      </c>
      <c r="F618" s="56" t="b">
        <v>0</v>
      </c>
      <c r="G618" s="205" t="s">
        <v>4511</v>
      </c>
      <c r="H618" s="324" t="s">
        <v>4512</v>
      </c>
      <c r="I618" s="116" t="b">
        <v>1</v>
      </c>
      <c r="J618" s="116" t="s">
        <v>3800</v>
      </c>
      <c r="K618" s="205"/>
      <c r="L618" s="16"/>
      <c r="M618" s="16"/>
      <c r="N618" s="16"/>
      <c r="O618" s="16"/>
      <c r="P618" s="16"/>
      <c r="Q618" s="16"/>
      <c r="R618" s="16"/>
      <c r="S618" s="16"/>
      <c r="T618" s="16"/>
      <c r="U618" s="16"/>
      <c r="V618" s="16"/>
      <c r="W618" s="16"/>
      <c r="X618" s="16"/>
      <c r="Y618" s="16"/>
      <c r="Z618" s="16"/>
      <c r="AA618" s="16"/>
    </row>
    <row r="619" spans="1:27" ht="24" hidden="1" customHeight="1" outlineLevel="2">
      <c r="A619" s="16" t="s">
        <v>2048</v>
      </c>
      <c r="B619" s="16" t="s">
        <v>2049</v>
      </c>
      <c r="C619" s="16" t="s">
        <v>2050</v>
      </c>
      <c r="D619" s="16" t="s">
        <v>4513</v>
      </c>
      <c r="E619" s="204">
        <v>45191</v>
      </c>
      <c r="F619" s="56" t="b">
        <v>0</v>
      </c>
      <c r="G619" s="205" t="s">
        <v>4514</v>
      </c>
      <c r="H619" s="205" t="s">
        <v>4515</v>
      </c>
      <c r="I619" s="56" t="b">
        <v>1</v>
      </c>
      <c r="J619" s="16" t="s">
        <v>4084</v>
      </c>
      <c r="K619" s="205"/>
      <c r="L619" s="16"/>
      <c r="M619" s="16"/>
      <c r="N619" s="16"/>
      <c r="O619" s="16"/>
      <c r="P619" s="16"/>
      <c r="Q619" s="16"/>
      <c r="R619" s="16"/>
      <c r="S619" s="16"/>
      <c r="T619" s="16"/>
      <c r="U619" s="16"/>
      <c r="V619" s="16"/>
      <c r="W619" s="16"/>
      <c r="X619" s="16"/>
      <c r="Y619" s="16"/>
      <c r="Z619" s="16"/>
      <c r="AA619" s="16"/>
    </row>
    <row r="620" spans="1:27" ht="24" hidden="1" customHeight="1" outlineLevel="2">
      <c r="A620" s="16" t="s">
        <v>2051</v>
      </c>
      <c r="B620" s="16" t="s">
        <v>2052</v>
      </c>
      <c r="C620" s="16" t="s">
        <v>2053</v>
      </c>
      <c r="D620" s="16" t="s">
        <v>3696</v>
      </c>
      <c r="E620" s="204">
        <v>45191</v>
      </c>
      <c r="F620" s="56" t="b">
        <v>0</v>
      </c>
      <c r="G620" s="205" t="s">
        <v>4516</v>
      </c>
      <c r="H620" s="323" t="s">
        <v>4517</v>
      </c>
      <c r="I620" s="56" t="b">
        <v>1</v>
      </c>
      <c r="J620" s="16" t="s">
        <v>4084</v>
      </c>
      <c r="K620" s="205"/>
      <c r="L620" s="16"/>
      <c r="M620" s="16"/>
      <c r="N620" s="16"/>
      <c r="O620" s="16"/>
      <c r="P620" s="16"/>
      <c r="Q620" s="16"/>
      <c r="R620" s="16"/>
      <c r="S620" s="16"/>
      <c r="T620" s="16"/>
      <c r="U620" s="16"/>
      <c r="V620" s="16"/>
      <c r="W620" s="16"/>
      <c r="X620" s="16"/>
      <c r="Y620" s="16"/>
      <c r="Z620" s="16"/>
      <c r="AA620" s="16"/>
    </row>
    <row r="621" spans="1:27" ht="24" hidden="1" customHeight="1" outlineLevel="2">
      <c r="A621" s="16" t="s">
        <v>2065</v>
      </c>
      <c r="B621" s="16" t="s">
        <v>2067</v>
      </c>
      <c r="C621" s="16" t="s">
        <v>2068</v>
      </c>
      <c r="D621" s="76" t="s">
        <v>4215</v>
      </c>
      <c r="E621" s="204">
        <v>45191</v>
      </c>
      <c r="F621" s="56" t="b">
        <v>0</v>
      </c>
      <c r="G621" s="205" t="s">
        <v>4518</v>
      </c>
      <c r="H621" s="323" t="s">
        <v>4519</v>
      </c>
      <c r="I621" s="56" t="b">
        <v>1</v>
      </c>
      <c r="J621" s="16" t="s">
        <v>3621</v>
      </c>
      <c r="K621" s="205" t="s">
        <v>4019</v>
      </c>
      <c r="L621" s="16"/>
      <c r="M621" s="16"/>
      <c r="N621" s="16"/>
      <c r="O621" s="16"/>
      <c r="P621" s="16"/>
      <c r="Q621" s="16"/>
      <c r="R621" s="16"/>
      <c r="S621" s="16"/>
      <c r="T621" s="16"/>
      <c r="U621" s="16"/>
      <c r="V621" s="16"/>
      <c r="W621" s="16"/>
      <c r="X621" s="16"/>
      <c r="Y621" s="16"/>
      <c r="Z621" s="16"/>
      <c r="AA621" s="16"/>
    </row>
    <row r="622" spans="1:27" ht="24" hidden="1" customHeight="1" outlineLevel="2">
      <c r="A622" s="16" t="s">
        <v>2069</v>
      </c>
      <c r="B622" s="16" t="s">
        <v>2070</v>
      </c>
      <c r="C622" s="16" t="s">
        <v>2071</v>
      </c>
      <c r="D622" s="16" t="s">
        <v>4520</v>
      </c>
      <c r="E622" s="204">
        <v>45194</v>
      </c>
      <c r="F622" s="56" t="b">
        <v>0</v>
      </c>
      <c r="G622" s="205" t="s">
        <v>4521</v>
      </c>
      <c r="H622" s="323" t="s">
        <v>4522</v>
      </c>
      <c r="I622" s="56" t="b">
        <v>1</v>
      </c>
      <c r="J622" s="16" t="s">
        <v>4084</v>
      </c>
      <c r="K622" s="205"/>
      <c r="L622" s="16"/>
      <c r="M622" s="16"/>
      <c r="N622" s="16"/>
      <c r="O622" s="16"/>
      <c r="P622" s="16"/>
      <c r="Q622" s="16"/>
      <c r="R622" s="16"/>
      <c r="S622" s="16"/>
      <c r="T622" s="16"/>
      <c r="U622" s="16"/>
      <c r="V622" s="16"/>
      <c r="W622" s="16"/>
      <c r="X622" s="16"/>
      <c r="Y622" s="16"/>
      <c r="Z622" s="16"/>
      <c r="AA622" s="16"/>
    </row>
    <row r="623" spans="1:27" ht="24" hidden="1" customHeight="1" outlineLevel="2">
      <c r="A623" s="16" t="s">
        <v>4523</v>
      </c>
      <c r="B623" s="16" t="s">
        <v>2083</v>
      </c>
      <c r="C623" s="16" t="s">
        <v>2084</v>
      </c>
      <c r="D623" s="16" t="s">
        <v>4524</v>
      </c>
      <c r="E623" s="204">
        <v>45194</v>
      </c>
      <c r="F623" s="56" t="b">
        <v>0</v>
      </c>
      <c r="G623" s="205" t="s">
        <v>4525</v>
      </c>
      <c r="H623" s="323" t="s">
        <v>4526</v>
      </c>
      <c r="I623" s="56" t="b">
        <v>1</v>
      </c>
      <c r="J623" s="16" t="s">
        <v>4084</v>
      </c>
      <c r="K623" s="205"/>
      <c r="L623" s="16"/>
      <c r="M623" s="16"/>
      <c r="N623" s="16"/>
      <c r="O623" s="16"/>
      <c r="P623" s="16"/>
      <c r="Q623" s="16"/>
      <c r="R623" s="16"/>
      <c r="S623" s="16"/>
      <c r="T623" s="16"/>
      <c r="U623" s="16"/>
      <c r="V623" s="16"/>
      <c r="W623" s="16"/>
      <c r="X623" s="16"/>
      <c r="Y623" s="16"/>
      <c r="Z623" s="16"/>
      <c r="AA623" s="16"/>
    </row>
    <row r="624" spans="1:27" ht="24" hidden="1" customHeight="1" outlineLevel="2">
      <c r="A624" s="16" t="s">
        <v>2091</v>
      </c>
      <c r="B624" s="16" t="s">
        <v>4527</v>
      </c>
      <c r="C624" s="16" t="s">
        <v>2094</v>
      </c>
      <c r="D624" s="16" t="s">
        <v>4528</v>
      </c>
      <c r="E624" s="204">
        <v>45194</v>
      </c>
      <c r="F624" s="56" t="b">
        <v>0</v>
      </c>
      <c r="G624" s="205" t="s">
        <v>4529</v>
      </c>
      <c r="H624" s="323" t="s">
        <v>4530</v>
      </c>
      <c r="I624" s="56" t="b">
        <v>1</v>
      </c>
      <c r="J624" s="16" t="s">
        <v>4084</v>
      </c>
      <c r="K624" s="205"/>
      <c r="L624" s="16"/>
      <c r="M624" s="16"/>
      <c r="N624" s="16"/>
      <c r="O624" s="16"/>
      <c r="P624" s="16"/>
      <c r="Q624" s="16"/>
      <c r="R624" s="16"/>
      <c r="S624" s="16"/>
      <c r="T624" s="16"/>
      <c r="U624" s="16"/>
      <c r="V624" s="16"/>
      <c r="W624" s="16"/>
      <c r="X624" s="16"/>
      <c r="Y624" s="16"/>
      <c r="Z624" s="16"/>
      <c r="AA624" s="16"/>
    </row>
    <row r="625" spans="1:27" ht="24" hidden="1" customHeight="1" outlineLevel="2">
      <c r="A625" s="16" t="s">
        <v>2098</v>
      </c>
      <c r="B625" s="16" t="s">
        <v>2099</v>
      </c>
      <c r="C625" s="16" t="s">
        <v>2100</v>
      </c>
      <c r="D625" s="16" t="s">
        <v>3930</v>
      </c>
      <c r="E625" s="204">
        <v>45194</v>
      </c>
      <c r="F625" s="56" t="b">
        <v>0</v>
      </c>
      <c r="G625" s="205" t="s">
        <v>4531</v>
      </c>
      <c r="H625" s="323" t="s">
        <v>4532</v>
      </c>
      <c r="I625" s="56" t="b">
        <v>1</v>
      </c>
      <c r="J625" s="16" t="s">
        <v>3621</v>
      </c>
      <c r="K625" s="205"/>
      <c r="L625" s="16"/>
      <c r="M625" s="16"/>
      <c r="N625" s="16"/>
      <c r="O625" s="16"/>
      <c r="P625" s="16"/>
      <c r="Q625" s="16"/>
      <c r="R625" s="16"/>
      <c r="S625" s="16"/>
      <c r="T625" s="16"/>
      <c r="U625" s="16"/>
      <c r="V625" s="16"/>
      <c r="W625" s="16"/>
      <c r="X625" s="16"/>
      <c r="Y625" s="16"/>
      <c r="Z625" s="16"/>
      <c r="AA625" s="16"/>
    </row>
    <row r="626" spans="1:27" ht="24" hidden="1" customHeight="1" outlineLevel="2">
      <c r="A626" s="16" t="s">
        <v>2105</v>
      </c>
      <c r="B626" s="16" t="s">
        <v>2106</v>
      </c>
      <c r="C626" s="16" t="s">
        <v>2107</v>
      </c>
      <c r="D626" s="16" t="s">
        <v>3718</v>
      </c>
      <c r="E626" s="204">
        <v>45195</v>
      </c>
      <c r="F626" s="56" t="b">
        <v>0</v>
      </c>
      <c r="G626" s="205" t="s">
        <v>4533</v>
      </c>
      <c r="H626" s="324" t="s">
        <v>4534</v>
      </c>
      <c r="I626" s="56" t="b">
        <v>1</v>
      </c>
      <c r="J626" s="16" t="s">
        <v>3621</v>
      </c>
      <c r="K626" s="205" t="s">
        <v>4535</v>
      </c>
      <c r="L626" s="16"/>
      <c r="M626" s="16"/>
      <c r="N626" s="16"/>
      <c r="O626" s="16"/>
      <c r="P626" s="16"/>
      <c r="Q626" s="16"/>
      <c r="R626" s="16"/>
      <c r="S626" s="16"/>
      <c r="T626" s="16"/>
      <c r="U626" s="16"/>
      <c r="V626" s="16"/>
      <c r="W626" s="16"/>
      <c r="X626" s="16"/>
      <c r="Y626" s="16"/>
      <c r="Z626" s="16"/>
      <c r="AA626" s="16"/>
    </row>
    <row r="627" spans="1:27" ht="24" hidden="1" customHeight="1" outlineLevel="2">
      <c r="A627" s="16" t="s">
        <v>2108</v>
      </c>
      <c r="B627" s="16" t="s">
        <v>2110</v>
      </c>
      <c r="C627" s="16" t="s">
        <v>2111</v>
      </c>
      <c r="D627" s="16" t="s">
        <v>4536</v>
      </c>
      <c r="E627" s="204">
        <v>45195</v>
      </c>
      <c r="F627" s="56" t="b">
        <v>0</v>
      </c>
      <c r="G627" s="205" t="s">
        <v>4537</v>
      </c>
      <c r="H627" s="324" t="s">
        <v>4538</v>
      </c>
      <c r="I627" s="56" t="b">
        <v>1</v>
      </c>
      <c r="J627" s="16" t="s">
        <v>4084</v>
      </c>
      <c r="K627" s="205"/>
      <c r="L627" s="16"/>
      <c r="M627" s="16"/>
      <c r="N627" s="16"/>
      <c r="O627" s="16"/>
      <c r="P627" s="16"/>
      <c r="Q627" s="16"/>
      <c r="R627" s="16"/>
      <c r="S627" s="16"/>
      <c r="T627" s="16"/>
      <c r="U627" s="16"/>
      <c r="V627" s="16"/>
      <c r="W627" s="16"/>
      <c r="X627" s="16"/>
      <c r="Y627" s="16"/>
      <c r="Z627" s="16"/>
      <c r="AA627" s="16"/>
    </row>
    <row r="628" spans="1:27" ht="24" hidden="1" customHeight="1" outlineLevel="2">
      <c r="A628" s="16" t="s">
        <v>2112</v>
      </c>
      <c r="B628" s="16" t="s">
        <v>2113</v>
      </c>
      <c r="C628" s="16" t="s">
        <v>2114</v>
      </c>
      <c r="D628" s="16" t="s">
        <v>3930</v>
      </c>
      <c r="E628" s="204">
        <v>45195</v>
      </c>
      <c r="F628" s="56" t="b">
        <v>0</v>
      </c>
      <c r="G628" s="205" t="s">
        <v>4539</v>
      </c>
      <c r="H628" s="323" t="s">
        <v>4540</v>
      </c>
      <c r="I628" s="56" t="b">
        <v>1</v>
      </c>
      <c r="J628" s="16" t="s">
        <v>3621</v>
      </c>
      <c r="K628" s="205"/>
      <c r="L628" s="16"/>
      <c r="M628" s="16"/>
      <c r="N628" s="16"/>
      <c r="O628" s="16"/>
      <c r="P628" s="16"/>
      <c r="Q628" s="16"/>
      <c r="R628" s="16"/>
      <c r="S628" s="16"/>
      <c r="T628" s="16"/>
      <c r="U628" s="16"/>
      <c r="V628" s="16"/>
      <c r="W628" s="16"/>
      <c r="X628" s="16"/>
      <c r="Y628" s="16"/>
      <c r="Z628" s="16"/>
      <c r="AA628" s="16"/>
    </row>
    <row r="629" spans="1:27" ht="24" hidden="1" customHeight="1" outlineLevel="2">
      <c r="A629" s="16" t="s">
        <v>2115</v>
      </c>
      <c r="B629" s="16" t="s">
        <v>2116</v>
      </c>
      <c r="C629" s="16" t="s">
        <v>2117</v>
      </c>
      <c r="D629" s="16" t="s">
        <v>3694</v>
      </c>
      <c r="E629" s="204">
        <v>45196</v>
      </c>
      <c r="F629" s="56" t="b">
        <v>0</v>
      </c>
      <c r="G629" s="205" t="s">
        <v>4541</v>
      </c>
      <c r="H629" s="323" t="s">
        <v>4542</v>
      </c>
      <c r="I629" s="116" t="b">
        <v>1</v>
      </c>
      <c r="J629" s="116" t="s">
        <v>3800</v>
      </c>
      <c r="K629" s="205"/>
      <c r="L629" s="16"/>
      <c r="M629" s="16"/>
      <c r="N629" s="16"/>
      <c r="O629" s="16"/>
      <c r="P629" s="16"/>
      <c r="Q629" s="16"/>
      <c r="R629" s="16"/>
      <c r="S629" s="16"/>
      <c r="T629" s="16"/>
      <c r="U629" s="16"/>
      <c r="V629" s="16"/>
      <c r="W629" s="16"/>
      <c r="X629" s="16"/>
      <c r="Y629" s="16"/>
      <c r="Z629" s="16"/>
      <c r="AA629" s="16"/>
    </row>
    <row r="630" spans="1:27" ht="24" hidden="1" customHeight="1" outlineLevel="2">
      <c r="A630" s="16" t="s">
        <v>2118</v>
      </c>
      <c r="B630" s="16" t="s">
        <v>2119</v>
      </c>
      <c r="C630" s="16" t="s">
        <v>2120</v>
      </c>
      <c r="D630" s="16" t="s">
        <v>4270</v>
      </c>
      <c r="E630" s="204">
        <v>45196</v>
      </c>
      <c r="F630" s="56" t="b">
        <v>0</v>
      </c>
      <c r="G630" s="205" t="s">
        <v>4543</v>
      </c>
      <c r="H630" s="323" t="s">
        <v>4544</v>
      </c>
      <c r="I630" s="116" t="b">
        <v>1</v>
      </c>
      <c r="J630" s="16" t="s">
        <v>3981</v>
      </c>
      <c r="K630" s="205" t="s">
        <v>4019</v>
      </c>
      <c r="L630" s="16"/>
      <c r="M630" s="16"/>
      <c r="N630" s="16"/>
      <c r="O630" s="16"/>
      <c r="P630" s="16"/>
      <c r="Q630" s="16"/>
      <c r="R630" s="16"/>
      <c r="S630" s="16"/>
      <c r="T630" s="16"/>
      <c r="U630" s="16"/>
      <c r="V630" s="16"/>
      <c r="W630" s="16"/>
      <c r="X630" s="16"/>
      <c r="Y630" s="16"/>
      <c r="Z630" s="16"/>
      <c r="AA630" s="16"/>
    </row>
    <row r="631" spans="1:27" ht="24" hidden="1" customHeight="1" outlineLevel="2">
      <c r="A631" s="16" t="s">
        <v>2124</v>
      </c>
      <c r="B631" s="16" t="s">
        <v>2126</v>
      </c>
      <c r="C631" s="16" t="s">
        <v>2127</v>
      </c>
      <c r="D631" s="16" t="s">
        <v>4524</v>
      </c>
      <c r="E631" s="204">
        <v>45196</v>
      </c>
      <c r="F631" s="56" t="b">
        <v>0</v>
      </c>
      <c r="G631" s="205" t="s">
        <v>4545</v>
      </c>
      <c r="H631" s="323" t="s">
        <v>4546</v>
      </c>
      <c r="I631" s="56" t="b">
        <v>1</v>
      </c>
      <c r="J631" s="16" t="s">
        <v>4084</v>
      </c>
      <c r="K631" s="205"/>
      <c r="L631" s="16"/>
      <c r="M631" s="16"/>
      <c r="N631" s="16"/>
      <c r="O631" s="16"/>
      <c r="P631" s="16"/>
      <c r="Q631" s="16"/>
      <c r="R631" s="16"/>
      <c r="S631" s="16"/>
      <c r="T631" s="16"/>
      <c r="U631" s="16"/>
      <c r="V631" s="16"/>
      <c r="W631" s="16"/>
      <c r="X631" s="16"/>
      <c r="Y631" s="16"/>
      <c r="Z631" s="16"/>
      <c r="AA631" s="16"/>
    </row>
    <row r="632" spans="1:27" ht="24" hidden="1" customHeight="1" outlineLevel="2">
      <c r="A632" s="16" t="s">
        <v>2128</v>
      </c>
      <c r="B632" s="16" t="s">
        <v>2130</v>
      </c>
      <c r="C632" s="16" t="s">
        <v>2131</v>
      </c>
      <c r="D632" s="16" t="s">
        <v>3809</v>
      </c>
      <c r="E632" s="204">
        <v>45198</v>
      </c>
      <c r="F632" s="56" t="b">
        <v>0</v>
      </c>
      <c r="G632" s="205" t="s">
        <v>4547</v>
      </c>
      <c r="H632" s="323" t="s">
        <v>4548</v>
      </c>
      <c r="I632" s="116" t="b">
        <v>1</v>
      </c>
      <c r="J632" s="116" t="s">
        <v>3800</v>
      </c>
      <c r="K632" s="205"/>
      <c r="L632" s="16"/>
      <c r="M632" s="16"/>
      <c r="N632" s="16"/>
      <c r="O632" s="16"/>
      <c r="P632" s="16"/>
      <c r="Q632" s="16"/>
      <c r="R632" s="16"/>
      <c r="S632" s="16"/>
      <c r="T632" s="16"/>
      <c r="U632" s="16"/>
      <c r="V632" s="16"/>
      <c r="W632" s="16"/>
      <c r="X632" s="16"/>
      <c r="Y632" s="16"/>
      <c r="Z632" s="16"/>
      <c r="AA632" s="16"/>
    </row>
    <row r="633" spans="1:27" ht="24" hidden="1" customHeight="1" outlineLevel="2">
      <c r="A633" s="16" t="s">
        <v>1512</v>
      </c>
      <c r="B633" s="16" t="s">
        <v>1513</v>
      </c>
      <c r="C633" s="16" t="s">
        <v>1514</v>
      </c>
      <c r="D633" s="16" t="s">
        <v>3930</v>
      </c>
      <c r="E633" s="204">
        <v>45198</v>
      </c>
      <c r="F633" s="56" t="b">
        <v>0</v>
      </c>
      <c r="G633" s="205" t="s">
        <v>4549</v>
      </c>
      <c r="H633" s="323" t="s">
        <v>4550</v>
      </c>
      <c r="I633" s="56" t="b">
        <v>1</v>
      </c>
      <c r="J633" s="16" t="s">
        <v>3621</v>
      </c>
      <c r="K633" s="205" t="s">
        <v>4019</v>
      </c>
      <c r="L633" s="16"/>
      <c r="M633" s="16"/>
      <c r="N633" s="16"/>
      <c r="O633" s="16"/>
      <c r="P633" s="16"/>
      <c r="Q633" s="16"/>
      <c r="R633" s="16"/>
      <c r="S633" s="16"/>
      <c r="T633" s="16"/>
      <c r="U633" s="16"/>
      <c r="V633" s="16"/>
      <c r="W633" s="16"/>
      <c r="X633" s="16"/>
      <c r="Y633" s="16"/>
      <c r="Z633" s="16"/>
      <c r="AA633" s="16"/>
    </row>
    <row r="634" spans="1:27" ht="24" hidden="1" customHeight="1" outlineLevel="2">
      <c r="A634" s="16" t="s">
        <v>440</v>
      </c>
      <c r="B634" s="16" t="s">
        <v>441</v>
      </c>
      <c r="C634" s="16" t="s">
        <v>2132</v>
      </c>
      <c r="D634" s="16" t="s">
        <v>4551</v>
      </c>
      <c r="E634" s="204">
        <v>45198</v>
      </c>
      <c r="F634" s="56" t="b">
        <v>0</v>
      </c>
      <c r="G634" s="205" t="s">
        <v>4552</v>
      </c>
      <c r="H634" s="323" t="s">
        <v>4550</v>
      </c>
      <c r="I634" s="56" t="b">
        <v>1</v>
      </c>
      <c r="J634" s="16" t="s">
        <v>4084</v>
      </c>
      <c r="K634" s="205"/>
      <c r="L634" s="16"/>
      <c r="M634" s="16"/>
      <c r="N634" s="16"/>
      <c r="O634" s="16"/>
      <c r="P634" s="16"/>
      <c r="Q634" s="16"/>
      <c r="R634" s="16"/>
      <c r="S634" s="16"/>
      <c r="T634" s="16"/>
      <c r="U634" s="16"/>
      <c r="V634" s="16"/>
      <c r="W634" s="16"/>
      <c r="X634" s="16"/>
      <c r="Y634" s="16"/>
      <c r="Z634" s="16"/>
      <c r="AA634" s="16"/>
    </row>
    <row r="635" spans="1:27" ht="24" hidden="1" customHeight="1" outlineLevel="2">
      <c r="A635" s="16" t="s">
        <v>4553</v>
      </c>
      <c r="B635" s="16" t="s">
        <v>2144</v>
      </c>
      <c r="C635" s="16" t="s">
        <v>2145</v>
      </c>
      <c r="D635" s="16" t="s">
        <v>3696</v>
      </c>
      <c r="E635" s="204">
        <v>45198</v>
      </c>
      <c r="F635" s="56" t="b">
        <v>0</v>
      </c>
      <c r="G635" s="205" t="s">
        <v>4554</v>
      </c>
      <c r="H635" s="323" t="s">
        <v>4550</v>
      </c>
      <c r="I635" s="56" t="b">
        <v>1</v>
      </c>
      <c r="J635" s="16" t="s">
        <v>4084</v>
      </c>
      <c r="K635" s="205"/>
      <c r="L635" s="16"/>
      <c r="M635" s="16"/>
      <c r="N635" s="16"/>
      <c r="O635" s="16"/>
      <c r="P635" s="16"/>
      <c r="Q635" s="16"/>
      <c r="R635" s="16"/>
      <c r="S635" s="16"/>
      <c r="T635" s="16"/>
      <c r="U635" s="16"/>
      <c r="V635" s="16"/>
      <c r="W635" s="16"/>
      <c r="X635" s="16"/>
      <c r="Y635" s="16"/>
      <c r="Z635" s="16"/>
      <c r="AA635" s="16"/>
    </row>
    <row r="636" spans="1:27" ht="24" hidden="1" customHeight="1" outlineLevel="2">
      <c r="A636" s="16" t="s">
        <v>2146</v>
      </c>
      <c r="B636" s="16" t="s">
        <v>2147</v>
      </c>
      <c r="C636" s="16" t="s">
        <v>2148</v>
      </c>
      <c r="D636" s="16" t="s">
        <v>3696</v>
      </c>
      <c r="E636" s="204">
        <v>45198</v>
      </c>
      <c r="F636" s="56" t="b">
        <v>0</v>
      </c>
      <c r="G636" s="205" t="s">
        <v>4555</v>
      </c>
      <c r="H636" s="323" t="s">
        <v>4556</v>
      </c>
      <c r="I636" s="56" t="b">
        <v>1</v>
      </c>
      <c r="J636" s="16" t="s">
        <v>4084</v>
      </c>
      <c r="K636" s="205"/>
      <c r="L636" s="16"/>
      <c r="M636" s="16"/>
      <c r="N636" s="16"/>
      <c r="O636" s="16"/>
      <c r="P636" s="16"/>
      <c r="Q636" s="16"/>
      <c r="R636" s="16"/>
      <c r="S636" s="16"/>
      <c r="T636" s="16"/>
      <c r="U636" s="16"/>
      <c r="V636" s="16"/>
      <c r="W636" s="16"/>
      <c r="X636" s="16"/>
      <c r="Y636" s="16"/>
      <c r="Z636" s="16"/>
      <c r="AA636" s="16"/>
    </row>
    <row r="637" spans="1:27" ht="24" hidden="1" customHeight="1" outlineLevel="2">
      <c r="A637" s="16" t="s">
        <v>2201</v>
      </c>
      <c r="B637" s="16" t="s">
        <v>2202</v>
      </c>
      <c r="C637" s="16" t="s">
        <v>2203</v>
      </c>
      <c r="D637" s="16" t="s">
        <v>3739</v>
      </c>
      <c r="E637" s="204">
        <v>45198</v>
      </c>
      <c r="F637" s="56" t="b">
        <v>0</v>
      </c>
      <c r="G637" s="205" t="s">
        <v>4557</v>
      </c>
      <c r="H637" s="323" t="s">
        <v>4558</v>
      </c>
      <c r="I637" s="56" t="b">
        <v>1</v>
      </c>
      <c r="J637" s="16" t="s">
        <v>4287</v>
      </c>
      <c r="K637" s="205" t="s">
        <v>4019</v>
      </c>
      <c r="L637" s="16"/>
      <c r="M637" s="16"/>
      <c r="N637" s="16"/>
      <c r="O637" s="16"/>
      <c r="P637" s="16"/>
      <c r="Q637" s="16"/>
      <c r="R637" s="16"/>
      <c r="S637" s="16"/>
      <c r="T637" s="16"/>
      <c r="U637" s="16"/>
      <c r="V637" s="16"/>
      <c r="W637" s="16"/>
      <c r="X637" s="16"/>
      <c r="Y637" s="16"/>
      <c r="Z637" s="16"/>
      <c r="AA637" s="16"/>
    </row>
    <row r="638" spans="1:27" ht="24" hidden="1" customHeight="1" outlineLevel="2">
      <c r="A638" s="16" t="s">
        <v>2211</v>
      </c>
      <c r="B638" s="16" t="s">
        <v>2212</v>
      </c>
      <c r="C638" s="16" t="s">
        <v>2213</v>
      </c>
      <c r="D638" s="16" t="s">
        <v>4559</v>
      </c>
      <c r="E638" s="204">
        <v>45198</v>
      </c>
      <c r="F638" s="56" t="b">
        <v>0</v>
      </c>
      <c r="G638" s="205" t="s">
        <v>4560</v>
      </c>
      <c r="H638" s="323" t="s">
        <v>4561</v>
      </c>
      <c r="I638" s="56" t="b">
        <v>1</v>
      </c>
      <c r="J638" s="16" t="s">
        <v>4084</v>
      </c>
      <c r="K638" s="205"/>
      <c r="L638" s="16"/>
      <c r="M638" s="16"/>
      <c r="N638" s="16"/>
      <c r="O638" s="16"/>
      <c r="P638" s="16"/>
      <c r="Q638" s="16"/>
      <c r="R638" s="16"/>
      <c r="S638" s="16"/>
      <c r="T638" s="16"/>
      <c r="U638" s="16"/>
      <c r="V638" s="16"/>
      <c r="W638" s="16"/>
      <c r="X638" s="16"/>
      <c r="Y638" s="16"/>
      <c r="Z638" s="16"/>
      <c r="AA638" s="16"/>
    </row>
    <row r="639" spans="1:27" ht="24" hidden="1" customHeight="1" outlineLevel="1" collapsed="1">
      <c r="A639" s="320" t="s">
        <v>4562</v>
      </c>
      <c r="B639" s="321">
        <v>56</v>
      </c>
      <c r="C639" s="321"/>
      <c r="D639" s="321"/>
      <c r="E639" s="321"/>
      <c r="F639" s="321"/>
      <c r="G639" s="322"/>
      <c r="H639" s="322"/>
      <c r="I639" s="321"/>
      <c r="J639" s="321"/>
      <c r="K639" s="322"/>
      <c r="L639" s="321"/>
      <c r="M639" s="321"/>
      <c r="N639" s="321"/>
      <c r="O639" s="321"/>
      <c r="P639" s="321"/>
      <c r="Q639" s="321"/>
      <c r="R639" s="321"/>
      <c r="S639" s="321"/>
      <c r="T639" s="321"/>
      <c r="U639" s="321"/>
      <c r="V639" s="321"/>
      <c r="W639" s="321"/>
      <c r="X639" s="321"/>
      <c r="Y639" s="321"/>
      <c r="Z639" s="321"/>
      <c r="AA639" s="321"/>
    </row>
    <row r="640" spans="1:27" ht="24" hidden="1" customHeight="1" outlineLevel="2">
      <c r="A640" s="16" t="s">
        <v>2263</v>
      </c>
      <c r="B640" s="16" t="s">
        <v>2264</v>
      </c>
      <c r="C640" s="325" t="s">
        <v>2265</v>
      </c>
      <c r="D640" s="16" t="s">
        <v>3930</v>
      </c>
      <c r="E640" s="204">
        <v>45202</v>
      </c>
      <c r="F640" s="56" t="b">
        <v>1</v>
      </c>
      <c r="G640" s="205" t="s">
        <v>4563</v>
      </c>
      <c r="H640" s="324" t="s">
        <v>4564</v>
      </c>
      <c r="I640" s="56" t="b">
        <v>1</v>
      </c>
      <c r="J640" s="16" t="s">
        <v>3621</v>
      </c>
      <c r="K640" s="205" t="s">
        <v>4019</v>
      </c>
      <c r="L640" s="16"/>
      <c r="M640" s="16"/>
      <c r="N640" s="16"/>
      <c r="O640" s="16"/>
      <c r="P640" s="16"/>
      <c r="Q640" s="16"/>
      <c r="R640" s="16"/>
      <c r="S640" s="16"/>
      <c r="T640" s="16"/>
      <c r="U640" s="16"/>
      <c r="V640" s="16"/>
      <c r="W640" s="16"/>
      <c r="X640" s="16"/>
      <c r="Y640" s="16"/>
      <c r="Z640" s="16"/>
      <c r="AA640" s="16"/>
    </row>
    <row r="641" spans="1:27" ht="24" hidden="1" customHeight="1" outlineLevel="2">
      <c r="A641" s="16" t="s">
        <v>2266</v>
      </c>
      <c r="B641" s="16" t="s">
        <v>2268</v>
      </c>
      <c r="C641" s="16" t="s">
        <v>2269</v>
      </c>
      <c r="D641" s="16" t="s">
        <v>3930</v>
      </c>
      <c r="E641" s="204">
        <v>45202</v>
      </c>
      <c r="F641" s="56" t="b">
        <v>1</v>
      </c>
      <c r="G641" s="205" t="s">
        <v>4565</v>
      </c>
      <c r="H641" s="205"/>
      <c r="I641" s="56" t="b">
        <v>1</v>
      </c>
      <c r="J641" s="16" t="s">
        <v>3621</v>
      </c>
      <c r="K641" s="205" t="s">
        <v>4019</v>
      </c>
      <c r="L641" s="16"/>
      <c r="M641" s="16"/>
      <c r="N641" s="16"/>
      <c r="O641" s="16"/>
      <c r="P641" s="16"/>
      <c r="Q641" s="16"/>
      <c r="R641" s="16"/>
      <c r="S641" s="16"/>
      <c r="T641" s="16"/>
      <c r="U641" s="16"/>
      <c r="V641" s="16"/>
      <c r="W641" s="16"/>
      <c r="X641" s="16"/>
      <c r="Y641" s="16"/>
      <c r="Z641" s="16"/>
      <c r="AA641" s="16"/>
    </row>
    <row r="642" spans="1:27" ht="24" hidden="1" customHeight="1" outlineLevel="2">
      <c r="A642" s="16" t="s">
        <v>2273</v>
      </c>
      <c r="B642" s="16" t="s">
        <v>4566</v>
      </c>
      <c r="C642" s="16" t="s">
        <v>2275</v>
      </c>
      <c r="D642" s="16" t="s">
        <v>4567</v>
      </c>
      <c r="E642" s="204">
        <v>45203</v>
      </c>
      <c r="F642" s="56" t="b">
        <v>1</v>
      </c>
      <c r="G642" s="205" t="s">
        <v>4568</v>
      </c>
      <c r="H642" s="323" t="s">
        <v>4569</v>
      </c>
      <c r="I642" s="56" t="b">
        <v>1</v>
      </c>
      <c r="J642" s="16" t="s">
        <v>4084</v>
      </c>
      <c r="K642" s="205"/>
      <c r="L642" s="16"/>
      <c r="M642" s="16"/>
      <c r="N642" s="16"/>
      <c r="O642" s="16"/>
      <c r="P642" s="16"/>
      <c r="Q642" s="16"/>
      <c r="R642" s="16"/>
      <c r="S642" s="16"/>
      <c r="T642" s="16"/>
      <c r="U642" s="16"/>
      <c r="V642" s="16"/>
      <c r="W642" s="16"/>
      <c r="X642" s="16"/>
      <c r="Y642" s="16"/>
      <c r="Z642" s="16"/>
      <c r="AA642" s="16"/>
    </row>
    <row r="643" spans="1:27" ht="24" hidden="1" customHeight="1" outlineLevel="2">
      <c r="A643" s="16" t="s">
        <v>2286</v>
      </c>
      <c r="B643" s="16" t="s">
        <v>2287</v>
      </c>
      <c r="C643" s="16" t="s">
        <v>2288</v>
      </c>
      <c r="D643" s="16" t="s">
        <v>3809</v>
      </c>
      <c r="E643" s="204">
        <v>45203</v>
      </c>
      <c r="F643" s="56" t="b">
        <v>1</v>
      </c>
      <c r="G643" s="205" t="s">
        <v>4570</v>
      </c>
      <c r="H643" s="323" t="s">
        <v>4571</v>
      </c>
      <c r="I643" s="56" t="b">
        <v>1</v>
      </c>
      <c r="J643" s="16" t="s">
        <v>3800</v>
      </c>
      <c r="K643" s="205"/>
      <c r="L643" s="16"/>
      <c r="M643" s="16"/>
      <c r="N643" s="16"/>
      <c r="O643" s="16"/>
      <c r="P643" s="16"/>
      <c r="Q643" s="16"/>
      <c r="R643" s="16"/>
      <c r="S643" s="16"/>
      <c r="T643" s="16"/>
      <c r="U643" s="16"/>
      <c r="V643" s="16"/>
      <c r="W643" s="16"/>
      <c r="X643" s="16"/>
      <c r="Y643" s="16"/>
      <c r="Z643" s="16"/>
      <c r="AA643" s="16"/>
    </row>
    <row r="644" spans="1:27" ht="24" hidden="1" customHeight="1" outlineLevel="2">
      <c r="A644" s="16" t="s">
        <v>2289</v>
      </c>
      <c r="B644" s="16" t="s">
        <v>2290</v>
      </c>
      <c r="C644" s="16" t="s">
        <v>2291</v>
      </c>
      <c r="D644" s="16" t="s">
        <v>4572</v>
      </c>
      <c r="E644" s="204">
        <v>45203</v>
      </c>
      <c r="F644" s="56" t="b">
        <v>1</v>
      </c>
      <c r="G644" s="205" t="s">
        <v>4573</v>
      </c>
      <c r="H644" s="323" t="s">
        <v>4574</v>
      </c>
      <c r="I644" s="56" t="b">
        <v>1</v>
      </c>
      <c r="J644" s="16" t="s">
        <v>3621</v>
      </c>
      <c r="K644" s="205" t="s">
        <v>4019</v>
      </c>
      <c r="L644" s="16"/>
      <c r="M644" s="16"/>
      <c r="N644" s="16"/>
      <c r="O644" s="16"/>
      <c r="P644" s="16"/>
      <c r="Q644" s="16"/>
      <c r="R644" s="16"/>
      <c r="S644" s="16"/>
      <c r="T644" s="16"/>
      <c r="U644" s="16"/>
      <c r="V644" s="16"/>
      <c r="W644" s="16"/>
      <c r="X644" s="16"/>
      <c r="Y644" s="16"/>
      <c r="Z644" s="16"/>
      <c r="AA644" s="16"/>
    </row>
    <row r="645" spans="1:27" ht="24" hidden="1" customHeight="1" outlineLevel="2">
      <c r="A645" s="16" t="s">
        <v>2292</v>
      </c>
      <c r="B645" s="16" t="s">
        <v>2293</v>
      </c>
      <c r="C645" s="16" t="s">
        <v>2294</v>
      </c>
      <c r="D645" s="16" t="s">
        <v>3790</v>
      </c>
      <c r="E645" s="204">
        <v>45205</v>
      </c>
      <c r="F645" s="56" t="b">
        <v>1</v>
      </c>
      <c r="G645" s="205" t="s">
        <v>4575</v>
      </c>
      <c r="H645" s="323" t="s">
        <v>4576</v>
      </c>
      <c r="I645" s="56" t="b">
        <v>1</v>
      </c>
      <c r="J645" s="16" t="s">
        <v>4256</v>
      </c>
      <c r="K645" s="205"/>
      <c r="L645" s="16"/>
      <c r="M645" s="16"/>
      <c r="N645" s="16"/>
      <c r="O645" s="16"/>
      <c r="P645" s="16"/>
      <c r="Q645" s="16"/>
      <c r="R645" s="16"/>
      <c r="S645" s="16"/>
      <c r="T645" s="16"/>
      <c r="U645" s="16"/>
      <c r="V645" s="16"/>
      <c r="W645" s="16"/>
      <c r="X645" s="16"/>
      <c r="Y645" s="16"/>
      <c r="Z645" s="16"/>
      <c r="AA645" s="16"/>
    </row>
    <row r="646" spans="1:27" ht="24" hidden="1" customHeight="1" outlineLevel="2">
      <c r="A646" s="16" t="s">
        <v>2295</v>
      </c>
      <c r="B646" s="16" t="s">
        <v>4577</v>
      </c>
      <c r="C646" s="16" t="s">
        <v>2297</v>
      </c>
      <c r="D646" s="16" t="s">
        <v>3790</v>
      </c>
      <c r="E646" s="204">
        <v>45205</v>
      </c>
      <c r="F646" s="56" t="b">
        <v>1</v>
      </c>
      <c r="G646" s="205" t="s">
        <v>4578</v>
      </c>
      <c r="H646" s="323" t="s">
        <v>4579</v>
      </c>
      <c r="I646" s="56" t="b">
        <v>1</v>
      </c>
      <c r="J646" s="16" t="s">
        <v>4256</v>
      </c>
      <c r="K646" s="205"/>
      <c r="L646" s="16"/>
      <c r="M646" s="16"/>
      <c r="N646" s="16"/>
      <c r="O646" s="16"/>
      <c r="P646" s="16"/>
      <c r="Q646" s="16"/>
      <c r="R646" s="16"/>
      <c r="S646" s="16"/>
      <c r="T646" s="16"/>
      <c r="U646" s="16"/>
      <c r="V646" s="16"/>
      <c r="W646" s="16"/>
      <c r="X646" s="16"/>
      <c r="Y646" s="16"/>
      <c r="Z646" s="16"/>
      <c r="AA646" s="16"/>
    </row>
    <row r="647" spans="1:27" ht="24" hidden="1" customHeight="1" outlineLevel="2">
      <c r="A647" s="16" t="s">
        <v>2298</v>
      </c>
      <c r="B647" s="16" t="s">
        <v>2299</v>
      </c>
      <c r="C647" s="16" t="s">
        <v>2300</v>
      </c>
      <c r="D647" s="16" t="s">
        <v>3809</v>
      </c>
      <c r="E647" s="204">
        <v>45208</v>
      </c>
      <c r="F647" s="56" t="b">
        <v>1</v>
      </c>
      <c r="G647" s="205" t="s">
        <v>4580</v>
      </c>
      <c r="H647" s="323" t="s">
        <v>4581</v>
      </c>
      <c r="I647" s="56" t="b">
        <v>1</v>
      </c>
      <c r="J647" s="16" t="s">
        <v>3800</v>
      </c>
      <c r="K647" s="205"/>
      <c r="L647" s="16"/>
      <c r="M647" s="16"/>
      <c r="N647" s="16"/>
      <c r="O647" s="16"/>
      <c r="P647" s="16"/>
      <c r="Q647" s="16"/>
      <c r="R647" s="16"/>
      <c r="S647" s="16"/>
      <c r="T647" s="16"/>
      <c r="U647" s="16"/>
      <c r="V647" s="16"/>
      <c r="W647" s="16"/>
      <c r="X647" s="16"/>
      <c r="Y647" s="16"/>
      <c r="Z647" s="16"/>
      <c r="AA647" s="16"/>
    </row>
    <row r="648" spans="1:27" ht="24" hidden="1" customHeight="1" outlineLevel="2">
      <c r="A648" s="16" t="s">
        <v>2301</v>
      </c>
      <c r="B648" s="16" t="s">
        <v>2302</v>
      </c>
      <c r="C648" s="16" t="s">
        <v>2303</v>
      </c>
      <c r="D648" s="16" t="s">
        <v>3696</v>
      </c>
      <c r="E648" s="204">
        <v>45208</v>
      </c>
      <c r="F648" s="56" t="b">
        <v>1</v>
      </c>
      <c r="G648" s="205" t="s">
        <v>4582</v>
      </c>
      <c r="H648" s="323" t="s">
        <v>4583</v>
      </c>
      <c r="I648" s="56" t="b">
        <v>1</v>
      </c>
      <c r="J648" s="16" t="s">
        <v>4084</v>
      </c>
      <c r="K648" s="205"/>
      <c r="L648" s="16"/>
      <c r="M648" s="16"/>
      <c r="N648" s="16"/>
      <c r="O648" s="16"/>
      <c r="P648" s="16"/>
      <c r="Q648" s="16"/>
      <c r="R648" s="16"/>
      <c r="S648" s="16"/>
      <c r="T648" s="16"/>
      <c r="U648" s="16"/>
      <c r="V648" s="16"/>
      <c r="W648" s="16"/>
      <c r="X648" s="16"/>
      <c r="Y648" s="16"/>
      <c r="Z648" s="16"/>
      <c r="AA648" s="16"/>
    </row>
    <row r="649" spans="1:27" ht="24" hidden="1" customHeight="1" outlineLevel="2">
      <c r="A649" s="16" t="s">
        <v>2304</v>
      </c>
      <c r="B649" s="16" t="s">
        <v>2305</v>
      </c>
      <c r="C649" s="16" t="s">
        <v>2306</v>
      </c>
      <c r="D649" s="16" t="s">
        <v>3930</v>
      </c>
      <c r="E649" s="204">
        <v>45208</v>
      </c>
      <c r="F649" s="56" t="b">
        <v>1</v>
      </c>
      <c r="G649" s="205" t="s">
        <v>4584</v>
      </c>
      <c r="H649" s="323" t="s">
        <v>4585</v>
      </c>
      <c r="I649" s="56" t="b">
        <v>1</v>
      </c>
      <c r="J649" s="16" t="s">
        <v>3621</v>
      </c>
      <c r="K649" s="205" t="s">
        <v>4019</v>
      </c>
      <c r="L649" s="16"/>
      <c r="M649" s="16"/>
      <c r="N649" s="16"/>
      <c r="O649" s="16"/>
      <c r="P649" s="16"/>
      <c r="Q649" s="16"/>
      <c r="R649" s="16"/>
      <c r="S649" s="16"/>
      <c r="T649" s="16"/>
      <c r="U649" s="16"/>
      <c r="V649" s="16"/>
      <c r="W649" s="16"/>
      <c r="X649" s="16"/>
      <c r="Y649" s="16"/>
      <c r="Z649" s="16"/>
      <c r="AA649" s="16"/>
    </row>
    <row r="650" spans="1:27" ht="24" hidden="1" customHeight="1" outlineLevel="2">
      <c r="A650" s="16" t="s">
        <v>2307</v>
      </c>
      <c r="B650" s="16" t="s">
        <v>2309</v>
      </c>
      <c r="C650" s="16" t="s">
        <v>2310</v>
      </c>
      <c r="D650" s="16" t="s">
        <v>3833</v>
      </c>
      <c r="E650" s="273">
        <v>45209</v>
      </c>
      <c r="F650" s="56" t="b">
        <v>1</v>
      </c>
      <c r="G650" s="205" t="s">
        <v>4586</v>
      </c>
      <c r="H650" s="323" t="s">
        <v>4587</v>
      </c>
      <c r="I650" s="56" t="b">
        <v>1</v>
      </c>
      <c r="J650" s="16" t="s">
        <v>4281</v>
      </c>
      <c r="K650" s="205" t="s">
        <v>4019</v>
      </c>
      <c r="L650" s="16"/>
      <c r="M650" s="16"/>
      <c r="N650" s="16"/>
      <c r="O650" s="16"/>
      <c r="P650" s="16"/>
      <c r="Q650" s="16"/>
      <c r="R650" s="16"/>
      <c r="S650" s="16"/>
      <c r="T650" s="16"/>
      <c r="U650" s="16"/>
      <c r="V650" s="16"/>
      <c r="W650" s="16"/>
      <c r="X650" s="16"/>
      <c r="Y650" s="16"/>
      <c r="Z650" s="16"/>
      <c r="AA650" s="16"/>
    </row>
    <row r="651" spans="1:27" ht="24" hidden="1" customHeight="1" outlineLevel="2">
      <c r="A651" s="16" t="s">
        <v>4588</v>
      </c>
      <c r="B651" s="16" t="s">
        <v>2313</v>
      </c>
      <c r="C651" s="16" t="s">
        <v>2314</v>
      </c>
      <c r="D651" s="16" t="s">
        <v>3930</v>
      </c>
      <c r="E651" s="273">
        <v>45209</v>
      </c>
      <c r="F651" s="56" t="b">
        <v>1</v>
      </c>
      <c r="G651" s="205" t="s">
        <v>4589</v>
      </c>
      <c r="H651" s="323" t="s">
        <v>4590</v>
      </c>
      <c r="I651" s="56" t="b">
        <v>1</v>
      </c>
      <c r="J651" s="16" t="s">
        <v>3621</v>
      </c>
      <c r="K651" s="205" t="s">
        <v>4019</v>
      </c>
      <c r="L651" s="16"/>
      <c r="M651" s="16"/>
      <c r="N651" s="16"/>
      <c r="O651" s="16"/>
      <c r="P651" s="16"/>
      <c r="Q651" s="16"/>
      <c r="R651" s="16"/>
      <c r="S651" s="16"/>
      <c r="T651" s="16"/>
      <c r="U651" s="16"/>
      <c r="V651" s="16"/>
      <c r="W651" s="16"/>
      <c r="X651" s="16"/>
      <c r="Y651" s="16"/>
      <c r="Z651" s="16"/>
      <c r="AA651" s="16"/>
    </row>
    <row r="652" spans="1:27" ht="24" hidden="1" customHeight="1" outlineLevel="2">
      <c r="A652" s="16" t="s">
        <v>2315</v>
      </c>
      <c r="B652" s="16" t="s">
        <v>2316</v>
      </c>
      <c r="C652" s="16" t="s">
        <v>2317</v>
      </c>
      <c r="D652" s="16" t="s">
        <v>3692</v>
      </c>
      <c r="E652" s="273">
        <v>45209</v>
      </c>
      <c r="F652" s="56" t="b">
        <v>1</v>
      </c>
      <c r="G652" s="205" t="s">
        <v>4591</v>
      </c>
      <c r="H652" s="323" t="s">
        <v>4592</v>
      </c>
      <c r="I652" s="56" t="b">
        <v>1</v>
      </c>
      <c r="J652" s="16" t="s">
        <v>3745</v>
      </c>
      <c r="K652" s="205"/>
      <c r="L652" s="16"/>
      <c r="M652" s="16"/>
      <c r="N652" s="16"/>
      <c r="O652" s="16"/>
      <c r="P652" s="16"/>
      <c r="Q652" s="16"/>
      <c r="R652" s="16"/>
      <c r="S652" s="16"/>
      <c r="T652" s="16"/>
      <c r="U652" s="16"/>
      <c r="V652" s="16"/>
      <c r="W652" s="16"/>
      <c r="X652" s="16"/>
      <c r="Y652" s="16"/>
      <c r="Z652" s="16"/>
      <c r="AA652" s="16"/>
    </row>
    <row r="653" spans="1:27" ht="24" hidden="1" customHeight="1" outlineLevel="2">
      <c r="A653" s="16" t="s">
        <v>4593</v>
      </c>
      <c r="B653" s="16" t="s">
        <v>2319</v>
      </c>
      <c r="C653" s="16" t="s">
        <v>2320</v>
      </c>
      <c r="D653" s="16" t="s">
        <v>4594</v>
      </c>
      <c r="E653" s="273">
        <v>45209</v>
      </c>
      <c r="F653" s="56" t="b">
        <v>1</v>
      </c>
      <c r="G653" s="205" t="s">
        <v>4595</v>
      </c>
      <c r="H653" s="323" t="s">
        <v>4596</v>
      </c>
      <c r="I653" s="56" t="b">
        <v>1</v>
      </c>
      <c r="J653" s="16" t="s">
        <v>4084</v>
      </c>
      <c r="K653" s="205"/>
      <c r="L653" s="16"/>
      <c r="M653" s="16"/>
      <c r="N653" s="16"/>
      <c r="O653" s="16"/>
      <c r="P653" s="16"/>
      <c r="Q653" s="16"/>
      <c r="R653" s="16"/>
      <c r="S653" s="16"/>
      <c r="T653" s="16"/>
      <c r="U653" s="16"/>
      <c r="V653" s="16"/>
      <c r="W653" s="16"/>
      <c r="X653" s="16"/>
      <c r="Y653" s="16"/>
      <c r="Z653" s="16"/>
      <c r="AA653" s="16"/>
    </row>
    <row r="654" spans="1:27" ht="24" hidden="1" customHeight="1" outlineLevel="2">
      <c r="A654" s="16" t="s">
        <v>4597</v>
      </c>
      <c r="B654" s="16" t="s">
        <v>2322</v>
      </c>
      <c r="C654" s="16" t="s">
        <v>2323</v>
      </c>
      <c r="D654" s="16" t="s">
        <v>3833</v>
      </c>
      <c r="E654" s="273">
        <v>45212</v>
      </c>
      <c r="F654" s="56" t="b">
        <v>1</v>
      </c>
      <c r="G654" s="205" t="s">
        <v>4598</v>
      </c>
      <c r="H654" s="323" t="s">
        <v>4599</v>
      </c>
      <c r="I654" s="56" t="b">
        <v>1</v>
      </c>
      <c r="J654" s="16" t="s">
        <v>4281</v>
      </c>
      <c r="K654" s="205"/>
      <c r="L654" s="16"/>
      <c r="M654" s="16"/>
      <c r="N654" s="16"/>
      <c r="O654" s="16"/>
      <c r="P654" s="16"/>
      <c r="Q654" s="16"/>
      <c r="R654" s="16"/>
      <c r="S654" s="16"/>
      <c r="T654" s="16"/>
      <c r="U654" s="16"/>
      <c r="V654" s="16"/>
      <c r="W654" s="16"/>
      <c r="X654" s="16"/>
      <c r="Y654" s="16"/>
      <c r="Z654" s="16"/>
      <c r="AA654" s="16"/>
    </row>
    <row r="655" spans="1:27" ht="24" hidden="1" customHeight="1" outlineLevel="2">
      <c r="A655" s="16" t="s">
        <v>4600</v>
      </c>
      <c r="B655" s="16" t="s">
        <v>2325</v>
      </c>
      <c r="C655" s="16" t="s">
        <v>2326</v>
      </c>
      <c r="D655" s="16" t="s">
        <v>4601</v>
      </c>
      <c r="E655" s="273">
        <v>45212</v>
      </c>
      <c r="F655" s="56" t="b">
        <v>1</v>
      </c>
      <c r="G655" s="205" t="s">
        <v>4602</v>
      </c>
      <c r="H655" s="323" t="s">
        <v>4603</v>
      </c>
      <c r="I655" s="56" t="b">
        <v>1</v>
      </c>
      <c r="J655" s="16" t="s">
        <v>3981</v>
      </c>
      <c r="K655" s="205"/>
      <c r="L655" s="16"/>
      <c r="M655" s="16"/>
      <c r="N655" s="16"/>
      <c r="O655" s="16"/>
      <c r="P655" s="16"/>
      <c r="Q655" s="16"/>
      <c r="R655" s="16"/>
      <c r="S655" s="16"/>
      <c r="T655" s="16"/>
      <c r="U655" s="16"/>
      <c r="V655" s="16"/>
      <c r="W655" s="16"/>
      <c r="X655" s="16"/>
      <c r="Y655" s="16"/>
      <c r="Z655" s="16"/>
      <c r="AA655" s="16"/>
    </row>
    <row r="656" spans="1:27" ht="24" hidden="1" customHeight="1" outlineLevel="2">
      <c r="A656" s="16" t="s">
        <v>2327</v>
      </c>
      <c r="B656" s="16" t="s">
        <v>2328</v>
      </c>
      <c r="C656" s="16" t="s">
        <v>2329</v>
      </c>
      <c r="D656" s="16" t="s">
        <v>3930</v>
      </c>
      <c r="E656" s="273">
        <v>45212</v>
      </c>
      <c r="F656" s="56" t="b">
        <v>1</v>
      </c>
      <c r="G656" s="205" t="s">
        <v>4604</v>
      </c>
      <c r="H656" s="323" t="s">
        <v>4605</v>
      </c>
      <c r="I656" s="56" t="b">
        <v>1</v>
      </c>
      <c r="J656" s="16" t="s">
        <v>3621</v>
      </c>
      <c r="K656" s="205" t="s">
        <v>4606</v>
      </c>
      <c r="L656" s="16"/>
      <c r="M656" s="16"/>
      <c r="N656" s="16"/>
      <c r="O656" s="16"/>
      <c r="P656" s="16"/>
      <c r="Q656" s="16"/>
      <c r="R656" s="16"/>
      <c r="S656" s="16"/>
      <c r="T656" s="16"/>
      <c r="U656" s="16"/>
      <c r="V656" s="16"/>
      <c r="W656" s="16"/>
      <c r="X656" s="16"/>
      <c r="Y656" s="16"/>
      <c r="Z656" s="16"/>
      <c r="AA656" s="16"/>
    </row>
    <row r="657" spans="1:27" ht="24" hidden="1" customHeight="1" outlineLevel="2">
      <c r="A657" s="16" t="s">
        <v>2330</v>
      </c>
      <c r="B657" s="16" t="s">
        <v>2331</v>
      </c>
      <c r="C657" s="16" t="s">
        <v>2332</v>
      </c>
      <c r="D657" s="16" t="s">
        <v>3809</v>
      </c>
      <c r="E657" s="273">
        <v>45212</v>
      </c>
      <c r="F657" s="56" t="b">
        <v>1</v>
      </c>
      <c r="G657" s="205" t="s">
        <v>4607</v>
      </c>
      <c r="H657" s="323" t="s">
        <v>4608</v>
      </c>
      <c r="I657" s="56" t="b">
        <v>1</v>
      </c>
      <c r="J657" s="16" t="s">
        <v>3800</v>
      </c>
      <c r="K657" s="205"/>
      <c r="L657" s="16"/>
      <c r="M657" s="16"/>
      <c r="N657" s="16"/>
      <c r="O657" s="16"/>
      <c r="P657" s="16"/>
      <c r="Q657" s="16"/>
      <c r="R657" s="16"/>
      <c r="S657" s="16"/>
      <c r="T657" s="16"/>
      <c r="U657" s="16"/>
      <c r="V657" s="16"/>
      <c r="W657" s="16"/>
      <c r="X657" s="16"/>
      <c r="Y657" s="16"/>
      <c r="Z657" s="16"/>
      <c r="AA657" s="16"/>
    </row>
    <row r="658" spans="1:27" ht="24" hidden="1" customHeight="1" outlineLevel="2">
      <c r="A658" s="16" t="s">
        <v>4609</v>
      </c>
      <c r="B658" s="16" t="s">
        <v>2334</v>
      </c>
      <c r="C658" s="16" t="s">
        <v>2335</v>
      </c>
      <c r="D658" s="16" t="s">
        <v>3809</v>
      </c>
      <c r="E658" s="273">
        <v>45215</v>
      </c>
      <c r="F658" s="56" t="b">
        <v>0</v>
      </c>
      <c r="G658" s="205" t="s">
        <v>4610</v>
      </c>
      <c r="H658" s="323" t="s">
        <v>4611</v>
      </c>
      <c r="I658" s="56" t="b">
        <v>1</v>
      </c>
      <c r="J658" s="16" t="s">
        <v>3800</v>
      </c>
      <c r="K658" s="205"/>
      <c r="L658" s="16"/>
      <c r="M658" s="16"/>
      <c r="N658" s="16"/>
      <c r="O658" s="16"/>
      <c r="P658" s="16"/>
      <c r="Q658" s="16"/>
      <c r="R658" s="16"/>
      <c r="S658" s="16"/>
      <c r="T658" s="16"/>
      <c r="U658" s="16"/>
      <c r="V658" s="16"/>
      <c r="W658" s="16"/>
      <c r="X658" s="16"/>
      <c r="Y658" s="16"/>
      <c r="Z658" s="16"/>
      <c r="AA658" s="16"/>
    </row>
    <row r="659" spans="1:27" ht="24" hidden="1" customHeight="1" outlineLevel="2">
      <c r="A659" s="16" t="s">
        <v>2336</v>
      </c>
      <c r="B659" s="16" t="s">
        <v>2337</v>
      </c>
      <c r="C659" s="16" t="s">
        <v>2338</v>
      </c>
      <c r="D659" s="16" t="s">
        <v>3809</v>
      </c>
      <c r="E659" s="273">
        <v>45215</v>
      </c>
      <c r="F659" s="56" t="b">
        <v>0</v>
      </c>
      <c r="G659" s="205" t="s">
        <v>4612</v>
      </c>
      <c r="H659" s="323" t="s">
        <v>4613</v>
      </c>
      <c r="I659" s="56" t="b">
        <v>1</v>
      </c>
      <c r="J659" s="16" t="s">
        <v>3800</v>
      </c>
      <c r="K659" s="205"/>
      <c r="L659" s="16"/>
      <c r="M659" s="16"/>
      <c r="N659" s="16"/>
      <c r="O659" s="16"/>
      <c r="P659" s="16"/>
      <c r="Q659" s="16"/>
      <c r="R659" s="16"/>
      <c r="S659" s="16"/>
      <c r="T659" s="16"/>
      <c r="U659" s="16"/>
      <c r="V659" s="16"/>
      <c r="W659" s="16"/>
      <c r="X659" s="16"/>
      <c r="Y659" s="16"/>
      <c r="Z659" s="16"/>
      <c r="AA659" s="16"/>
    </row>
    <row r="660" spans="1:27" ht="24" hidden="1" customHeight="1" outlineLevel="2">
      <c r="A660" s="16" t="s">
        <v>2339</v>
      </c>
      <c r="B660" s="16" t="s">
        <v>2340</v>
      </c>
      <c r="C660" s="16" t="s">
        <v>2341</v>
      </c>
      <c r="D660" s="16" t="s">
        <v>3930</v>
      </c>
      <c r="E660" s="273">
        <v>45215</v>
      </c>
      <c r="F660" s="56" t="b">
        <v>0</v>
      </c>
      <c r="G660" s="205" t="s">
        <v>4614</v>
      </c>
      <c r="H660" s="323" t="s">
        <v>4615</v>
      </c>
      <c r="I660" s="56" t="b">
        <v>1</v>
      </c>
      <c r="J660" s="16" t="s">
        <v>3621</v>
      </c>
      <c r="K660" s="205" t="s">
        <v>4019</v>
      </c>
      <c r="L660" s="16"/>
      <c r="M660" s="16"/>
      <c r="N660" s="16"/>
      <c r="O660" s="16"/>
      <c r="P660" s="16"/>
      <c r="Q660" s="16"/>
      <c r="R660" s="16"/>
      <c r="S660" s="16"/>
      <c r="T660" s="16"/>
      <c r="U660" s="16"/>
      <c r="V660" s="16"/>
      <c r="W660" s="16"/>
      <c r="X660" s="16"/>
      <c r="Y660" s="16"/>
      <c r="Z660" s="16"/>
      <c r="AA660" s="16"/>
    </row>
    <row r="661" spans="1:27" ht="24" hidden="1" customHeight="1" outlineLevel="2">
      <c r="A661" s="16" t="s">
        <v>2343</v>
      </c>
      <c r="B661" s="16" t="s">
        <v>4616</v>
      </c>
      <c r="C661" s="16" t="s">
        <v>2345</v>
      </c>
      <c r="D661" s="16" t="s">
        <v>3718</v>
      </c>
      <c r="E661" s="273">
        <v>45215</v>
      </c>
      <c r="F661" s="56" t="b">
        <v>0</v>
      </c>
      <c r="G661" s="205" t="s">
        <v>4617</v>
      </c>
      <c r="H661" s="323" t="s">
        <v>4618</v>
      </c>
      <c r="I661" s="56" t="b">
        <v>1</v>
      </c>
      <c r="J661" s="16" t="s">
        <v>3621</v>
      </c>
      <c r="K661" s="205" t="s">
        <v>4019</v>
      </c>
      <c r="L661" s="16"/>
      <c r="M661" s="16"/>
      <c r="N661" s="16"/>
      <c r="O661" s="16"/>
      <c r="P661" s="16"/>
      <c r="Q661" s="16"/>
      <c r="R661" s="16"/>
      <c r="S661" s="16"/>
      <c r="T661" s="16"/>
      <c r="U661" s="16"/>
      <c r="V661" s="16"/>
      <c r="W661" s="16"/>
      <c r="X661" s="16"/>
      <c r="Y661" s="16"/>
      <c r="Z661" s="16"/>
      <c r="AA661" s="16"/>
    </row>
    <row r="662" spans="1:27" ht="24" hidden="1" customHeight="1" outlineLevel="2">
      <c r="A662" s="16" t="s">
        <v>2346</v>
      </c>
      <c r="B662" s="16" t="s">
        <v>2347</v>
      </c>
      <c r="C662" s="16" t="s">
        <v>2348</v>
      </c>
      <c r="D662" s="16" t="s">
        <v>3809</v>
      </c>
      <c r="E662" s="273">
        <v>45216</v>
      </c>
      <c r="F662" s="56" t="b">
        <v>0</v>
      </c>
      <c r="G662" s="205" t="s">
        <v>4619</v>
      </c>
      <c r="H662" s="323" t="s">
        <v>4620</v>
      </c>
      <c r="I662" s="56" t="b">
        <v>1</v>
      </c>
      <c r="J662" s="16" t="s">
        <v>3800</v>
      </c>
      <c r="K662" s="205"/>
      <c r="L662" s="16"/>
      <c r="M662" s="16"/>
      <c r="N662" s="16"/>
      <c r="O662" s="16"/>
      <c r="P662" s="16"/>
      <c r="Q662" s="16"/>
      <c r="R662" s="16"/>
      <c r="S662" s="16"/>
      <c r="T662" s="16"/>
      <c r="U662" s="16"/>
      <c r="V662" s="16"/>
      <c r="W662" s="16"/>
      <c r="X662" s="16"/>
      <c r="Y662" s="16"/>
      <c r="Z662" s="16"/>
      <c r="AA662" s="16"/>
    </row>
    <row r="663" spans="1:27" ht="24" hidden="1" customHeight="1" outlineLevel="2">
      <c r="A663" s="16" t="s">
        <v>2349</v>
      </c>
      <c r="B663" s="16" t="s">
        <v>2351</v>
      </c>
      <c r="C663" s="16" t="s">
        <v>2352</v>
      </c>
      <c r="D663" s="36" t="s">
        <v>4621</v>
      </c>
      <c r="E663" s="273">
        <v>45216</v>
      </c>
      <c r="F663" s="56" t="b">
        <v>0</v>
      </c>
      <c r="G663" s="205" t="s">
        <v>4622</v>
      </c>
      <c r="H663" s="323" t="s">
        <v>4623</v>
      </c>
      <c r="I663" s="56" t="b">
        <v>1</v>
      </c>
      <c r="J663" s="16" t="s">
        <v>3621</v>
      </c>
      <c r="K663" s="205" t="s">
        <v>4019</v>
      </c>
      <c r="L663" s="16"/>
      <c r="M663" s="16"/>
      <c r="N663" s="16"/>
      <c r="O663" s="16"/>
      <c r="P663" s="16"/>
      <c r="Q663" s="16"/>
      <c r="R663" s="16"/>
      <c r="S663" s="16"/>
      <c r="T663" s="16"/>
      <c r="U663" s="16"/>
      <c r="V663" s="16"/>
      <c r="W663" s="16"/>
      <c r="X663" s="16"/>
      <c r="Y663" s="16"/>
      <c r="Z663" s="16"/>
      <c r="AA663" s="16"/>
    </row>
    <row r="664" spans="1:27" ht="24" hidden="1" customHeight="1" outlineLevel="2">
      <c r="A664" s="16" t="s">
        <v>2353</v>
      </c>
      <c r="B664" s="16" t="s">
        <v>2354</v>
      </c>
      <c r="C664" s="16" t="s">
        <v>2355</v>
      </c>
      <c r="D664" s="16" t="s">
        <v>3718</v>
      </c>
      <c r="E664" s="273">
        <v>45216</v>
      </c>
      <c r="F664" s="56" t="b">
        <v>0</v>
      </c>
      <c r="G664" s="205" t="s">
        <v>4624</v>
      </c>
      <c r="H664" s="323" t="s">
        <v>4625</v>
      </c>
      <c r="I664" s="56" t="b">
        <v>1</v>
      </c>
      <c r="J664" s="16" t="s">
        <v>3621</v>
      </c>
      <c r="K664" s="205" t="s">
        <v>4019</v>
      </c>
      <c r="L664" s="16"/>
      <c r="M664" s="16"/>
      <c r="N664" s="16"/>
      <c r="O664" s="16"/>
      <c r="P664" s="16"/>
      <c r="Q664" s="16"/>
      <c r="R664" s="16"/>
      <c r="S664" s="16"/>
      <c r="T664" s="16"/>
      <c r="U664" s="16"/>
      <c r="V664" s="16"/>
      <c r="W664" s="16"/>
      <c r="X664" s="16"/>
      <c r="Y664" s="16"/>
      <c r="Z664" s="16"/>
      <c r="AA664" s="16"/>
    </row>
    <row r="665" spans="1:27" ht="24" hidden="1" customHeight="1" outlineLevel="2">
      <c r="A665" s="16" t="s">
        <v>2356</v>
      </c>
      <c r="B665" s="16" t="s">
        <v>2358</v>
      </c>
      <c r="C665" s="16" t="s">
        <v>2359</v>
      </c>
      <c r="D665" s="16" t="s">
        <v>3809</v>
      </c>
      <c r="E665" s="273">
        <v>45217</v>
      </c>
      <c r="F665" s="56" t="b">
        <v>0</v>
      </c>
      <c r="G665" s="205" t="s">
        <v>4626</v>
      </c>
      <c r="H665" s="323" t="s">
        <v>4627</v>
      </c>
      <c r="I665" s="56" t="b">
        <v>1</v>
      </c>
      <c r="J665" s="16" t="s">
        <v>3800</v>
      </c>
      <c r="K665" s="205"/>
      <c r="L665" s="16"/>
      <c r="M665" s="16"/>
      <c r="N665" s="16"/>
      <c r="O665" s="16"/>
      <c r="P665" s="16"/>
      <c r="Q665" s="16"/>
      <c r="R665" s="16"/>
      <c r="S665" s="16"/>
      <c r="T665" s="16"/>
      <c r="U665" s="16"/>
      <c r="V665" s="16"/>
      <c r="W665" s="16"/>
      <c r="X665" s="16"/>
      <c r="Y665" s="16"/>
      <c r="Z665" s="16"/>
      <c r="AA665" s="16"/>
    </row>
    <row r="666" spans="1:27" ht="24" hidden="1" customHeight="1" outlineLevel="2">
      <c r="A666" s="16" t="s">
        <v>4628</v>
      </c>
      <c r="B666" s="16" t="s">
        <v>2361</v>
      </c>
      <c r="C666" s="16" t="s">
        <v>2362</v>
      </c>
      <c r="D666" s="16" t="s">
        <v>4629</v>
      </c>
      <c r="E666" s="273">
        <v>45219</v>
      </c>
      <c r="F666" s="56" t="b">
        <v>0</v>
      </c>
      <c r="G666" s="205" t="s">
        <v>4630</v>
      </c>
      <c r="H666" s="323" t="s">
        <v>4631</v>
      </c>
      <c r="I666" s="56" t="b">
        <v>1</v>
      </c>
      <c r="J666" s="16" t="s">
        <v>3800</v>
      </c>
      <c r="K666" s="205"/>
      <c r="L666" s="16"/>
      <c r="M666" s="16"/>
      <c r="N666" s="16"/>
      <c r="O666" s="16"/>
      <c r="P666" s="16"/>
      <c r="Q666" s="16"/>
      <c r="R666" s="16"/>
      <c r="S666" s="16"/>
      <c r="T666" s="16"/>
      <c r="U666" s="16"/>
      <c r="V666" s="16"/>
      <c r="W666" s="16"/>
      <c r="X666" s="16"/>
      <c r="Y666" s="16"/>
      <c r="Z666" s="16"/>
      <c r="AA666" s="16"/>
    </row>
    <row r="667" spans="1:27" ht="24" hidden="1" customHeight="1" outlineLevel="2">
      <c r="A667" s="16" t="s">
        <v>2363</v>
      </c>
      <c r="B667" s="16" t="s">
        <v>2364</v>
      </c>
      <c r="C667" s="16" t="s">
        <v>2365</v>
      </c>
      <c r="D667" s="16" t="s">
        <v>3718</v>
      </c>
      <c r="E667" s="273">
        <v>45219</v>
      </c>
      <c r="F667" s="56" t="b">
        <v>0</v>
      </c>
      <c r="G667" s="205" t="s">
        <v>4632</v>
      </c>
      <c r="H667" s="324" t="s">
        <v>4633</v>
      </c>
      <c r="I667" s="56" t="b">
        <v>1</v>
      </c>
      <c r="J667" s="16" t="s">
        <v>3621</v>
      </c>
      <c r="K667" s="205" t="s">
        <v>4634</v>
      </c>
      <c r="L667" s="16"/>
      <c r="M667" s="16"/>
      <c r="N667" s="16"/>
      <c r="O667" s="16"/>
      <c r="P667" s="16"/>
      <c r="Q667" s="16"/>
      <c r="R667" s="16"/>
      <c r="S667" s="16"/>
      <c r="T667" s="16"/>
      <c r="U667" s="16"/>
      <c r="V667" s="16"/>
      <c r="W667" s="16"/>
      <c r="X667" s="16"/>
      <c r="Y667" s="16"/>
      <c r="Z667" s="16"/>
      <c r="AA667" s="16"/>
    </row>
    <row r="668" spans="1:27" ht="24" hidden="1" customHeight="1" outlineLevel="2">
      <c r="A668" s="16" t="s">
        <v>2366</v>
      </c>
      <c r="B668" s="16" t="s">
        <v>2367</v>
      </c>
      <c r="C668" s="16" t="s">
        <v>2368</v>
      </c>
      <c r="D668" s="16" t="s">
        <v>3718</v>
      </c>
      <c r="E668" s="273">
        <v>45219</v>
      </c>
      <c r="F668" s="56" t="b">
        <v>0</v>
      </c>
      <c r="G668" s="205" t="s">
        <v>4635</v>
      </c>
      <c r="H668" s="323" t="s">
        <v>4636</v>
      </c>
      <c r="I668" s="56" t="b">
        <v>1</v>
      </c>
      <c r="J668" s="16" t="s">
        <v>3621</v>
      </c>
      <c r="K668" s="205" t="s">
        <v>4637</v>
      </c>
      <c r="L668" s="16"/>
      <c r="M668" s="16"/>
      <c r="N668" s="16"/>
      <c r="O668" s="16"/>
      <c r="P668" s="16"/>
      <c r="Q668" s="16"/>
      <c r="R668" s="16"/>
      <c r="S668" s="16"/>
      <c r="T668" s="16"/>
      <c r="U668" s="16"/>
      <c r="V668" s="16"/>
      <c r="W668" s="16"/>
      <c r="X668" s="16"/>
      <c r="Y668" s="16"/>
      <c r="Z668" s="16"/>
      <c r="AA668" s="16"/>
    </row>
    <row r="669" spans="1:27" ht="24" hidden="1" customHeight="1" outlineLevel="2">
      <c r="A669" s="16" t="s">
        <v>2369</v>
      </c>
      <c r="B669" s="16" t="s">
        <v>2370</v>
      </c>
      <c r="C669" s="16" t="s">
        <v>2371</v>
      </c>
      <c r="D669" s="16" t="s">
        <v>3718</v>
      </c>
      <c r="E669" s="273">
        <v>45219</v>
      </c>
      <c r="F669" s="56" t="b">
        <v>0</v>
      </c>
      <c r="G669" s="205" t="s">
        <v>4638</v>
      </c>
      <c r="H669" s="323" t="s">
        <v>4639</v>
      </c>
      <c r="I669" s="56" t="b">
        <v>1</v>
      </c>
      <c r="J669" s="16" t="s">
        <v>3621</v>
      </c>
      <c r="K669" s="205" t="s">
        <v>4640</v>
      </c>
      <c r="L669" s="16"/>
      <c r="M669" s="16"/>
      <c r="N669" s="16"/>
      <c r="O669" s="16"/>
      <c r="P669" s="16"/>
      <c r="Q669" s="16"/>
      <c r="R669" s="16"/>
      <c r="S669" s="16"/>
      <c r="T669" s="16"/>
      <c r="U669" s="16"/>
      <c r="V669" s="16"/>
      <c r="W669" s="16"/>
      <c r="X669" s="16"/>
      <c r="Y669" s="16"/>
      <c r="Z669" s="16"/>
      <c r="AA669" s="16"/>
    </row>
    <row r="670" spans="1:27" ht="24" hidden="1" customHeight="1" outlineLevel="2">
      <c r="A670" s="16" t="s">
        <v>2372</v>
      </c>
      <c r="B670" s="16" t="s">
        <v>2374</v>
      </c>
      <c r="C670" s="16" t="s">
        <v>2375</v>
      </c>
      <c r="D670" s="16" t="s">
        <v>3930</v>
      </c>
      <c r="E670" s="273">
        <v>45219</v>
      </c>
      <c r="F670" s="56" t="b">
        <v>0</v>
      </c>
      <c r="G670" s="205" t="s">
        <v>4641</v>
      </c>
      <c r="H670" s="324" t="s">
        <v>4642</v>
      </c>
      <c r="I670" s="56" t="b">
        <v>1</v>
      </c>
      <c r="J670" s="16" t="s">
        <v>3621</v>
      </c>
      <c r="K670" s="205" t="s">
        <v>4643</v>
      </c>
      <c r="L670" s="16"/>
      <c r="M670" s="16"/>
      <c r="N670" s="16"/>
      <c r="O670" s="16"/>
      <c r="P670" s="16"/>
      <c r="Q670" s="16"/>
      <c r="R670" s="16"/>
      <c r="S670" s="16"/>
      <c r="T670" s="16"/>
      <c r="U670" s="16"/>
      <c r="V670" s="16"/>
      <c r="W670" s="16"/>
      <c r="X670" s="16"/>
      <c r="Y670" s="16"/>
      <c r="Z670" s="16"/>
      <c r="AA670" s="16"/>
    </row>
    <row r="671" spans="1:27" ht="24" hidden="1" customHeight="1" outlineLevel="2">
      <c r="A671" s="16" t="s">
        <v>4644</v>
      </c>
      <c r="B671" s="16" t="s">
        <v>2378</v>
      </c>
      <c r="C671" s="16" t="s">
        <v>2379</v>
      </c>
      <c r="D671" s="16" t="s">
        <v>3930</v>
      </c>
      <c r="E671" s="273">
        <v>45219</v>
      </c>
      <c r="F671" s="56" t="b">
        <v>0</v>
      </c>
      <c r="G671" s="205" t="s">
        <v>4645</v>
      </c>
      <c r="H671" s="324" t="s">
        <v>4646</v>
      </c>
      <c r="I671" s="56" t="b">
        <v>1</v>
      </c>
      <c r="J671" s="16" t="s">
        <v>3621</v>
      </c>
      <c r="K671" s="205" t="s">
        <v>4647</v>
      </c>
      <c r="L671" s="16"/>
      <c r="M671" s="16"/>
      <c r="N671" s="16"/>
      <c r="O671" s="16"/>
      <c r="P671" s="16"/>
      <c r="Q671" s="16"/>
      <c r="R671" s="16"/>
      <c r="S671" s="16"/>
      <c r="T671" s="16"/>
      <c r="U671" s="16"/>
      <c r="V671" s="16"/>
      <c r="W671" s="16"/>
      <c r="X671" s="16"/>
      <c r="Y671" s="16"/>
      <c r="Z671" s="16"/>
      <c r="AA671" s="16"/>
    </row>
    <row r="672" spans="1:27" ht="24" hidden="1" customHeight="1" outlineLevel="2">
      <c r="A672" s="16" t="s">
        <v>2380</v>
      </c>
      <c r="B672" s="16" t="s">
        <v>2381</v>
      </c>
      <c r="C672" s="16" t="s">
        <v>2382</v>
      </c>
      <c r="D672" s="16" t="s">
        <v>3930</v>
      </c>
      <c r="E672" s="273">
        <v>45219</v>
      </c>
      <c r="F672" s="56" t="b">
        <v>0</v>
      </c>
      <c r="G672" s="205" t="s">
        <v>4648</v>
      </c>
      <c r="H672" s="324" t="s">
        <v>4649</v>
      </c>
      <c r="I672" s="56" t="b">
        <v>1</v>
      </c>
      <c r="J672" s="16" t="s">
        <v>3621</v>
      </c>
      <c r="K672" s="205" t="s">
        <v>4650</v>
      </c>
      <c r="L672" s="16"/>
      <c r="M672" s="16"/>
      <c r="N672" s="16"/>
      <c r="O672" s="16"/>
      <c r="P672" s="16"/>
      <c r="Q672" s="16"/>
      <c r="R672" s="16"/>
      <c r="S672" s="16"/>
      <c r="T672" s="16"/>
      <c r="U672" s="16"/>
      <c r="V672" s="16"/>
      <c r="W672" s="16"/>
      <c r="X672" s="16"/>
      <c r="Y672" s="16"/>
      <c r="Z672" s="16"/>
      <c r="AA672" s="16"/>
    </row>
    <row r="673" spans="1:27" ht="24" hidden="1" customHeight="1" outlineLevel="2">
      <c r="A673" s="16" t="s">
        <v>4651</v>
      </c>
      <c r="B673" s="16" t="s">
        <v>2385</v>
      </c>
      <c r="C673" s="16" t="s">
        <v>2386</v>
      </c>
      <c r="D673" s="16" t="s">
        <v>4652</v>
      </c>
      <c r="E673" s="273">
        <v>45219</v>
      </c>
      <c r="F673" s="56" t="b">
        <v>0</v>
      </c>
      <c r="G673" s="205" t="s">
        <v>4653</v>
      </c>
      <c r="H673" s="324" t="s">
        <v>4654</v>
      </c>
      <c r="I673" s="56" t="b">
        <v>1</v>
      </c>
      <c r="J673" s="16" t="s">
        <v>3621</v>
      </c>
      <c r="K673" s="205" t="s">
        <v>4429</v>
      </c>
      <c r="L673" s="16"/>
      <c r="M673" s="16"/>
      <c r="N673" s="16"/>
      <c r="O673" s="16"/>
      <c r="P673" s="16"/>
      <c r="Q673" s="16"/>
      <c r="R673" s="16"/>
      <c r="S673" s="16"/>
      <c r="T673" s="16"/>
      <c r="U673" s="16"/>
      <c r="V673" s="16"/>
      <c r="W673" s="16"/>
      <c r="X673" s="16"/>
      <c r="Y673" s="16"/>
      <c r="Z673" s="16"/>
      <c r="AA673" s="16"/>
    </row>
    <row r="674" spans="1:27" ht="24" hidden="1" customHeight="1" outlineLevel="2">
      <c r="A674" s="16" t="s">
        <v>2387</v>
      </c>
      <c r="B674" s="16" t="s">
        <v>2388</v>
      </c>
      <c r="C674" s="16" t="s">
        <v>2389</v>
      </c>
      <c r="D674" s="16" t="s">
        <v>4655</v>
      </c>
      <c r="E674" s="273">
        <v>45222</v>
      </c>
      <c r="F674" s="56" t="b">
        <v>0</v>
      </c>
      <c r="G674" s="205" t="s">
        <v>4656</v>
      </c>
      <c r="H674" s="323" t="s">
        <v>4657</v>
      </c>
      <c r="I674" s="56" t="b">
        <v>1</v>
      </c>
      <c r="J674" s="16" t="s">
        <v>3981</v>
      </c>
      <c r="K674" s="205"/>
      <c r="L674" s="16"/>
      <c r="M674" s="16"/>
      <c r="N674" s="16"/>
      <c r="O674" s="16"/>
      <c r="P674" s="16"/>
      <c r="Q674" s="16"/>
      <c r="R674" s="16"/>
      <c r="S674" s="16"/>
      <c r="T674" s="16"/>
      <c r="U674" s="16"/>
      <c r="V674" s="16"/>
      <c r="W674" s="16"/>
      <c r="X674" s="16"/>
      <c r="Y674" s="16"/>
      <c r="Z674" s="16"/>
      <c r="AA674" s="16"/>
    </row>
    <row r="675" spans="1:27" ht="24" hidden="1" customHeight="1" outlineLevel="2">
      <c r="A675" s="16" t="s">
        <v>4658</v>
      </c>
      <c r="B675" s="16" t="s">
        <v>2391</v>
      </c>
      <c r="C675" s="16" t="s">
        <v>2392</v>
      </c>
      <c r="D675" s="16" t="s">
        <v>3809</v>
      </c>
      <c r="E675" s="273">
        <v>45222</v>
      </c>
      <c r="F675" s="56" t="b">
        <v>0</v>
      </c>
      <c r="G675" s="205" t="s">
        <v>4659</v>
      </c>
      <c r="H675" s="323" t="s">
        <v>4660</v>
      </c>
      <c r="I675" s="56" t="b">
        <v>1</v>
      </c>
      <c r="J675" s="16" t="s">
        <v>3800</v>
      </c>
      <c r="K675" s="205"/>
      <c r="L675" s="16"/>
      <c r="M675" s="16"/>
      <c r="N675" s="16"/>
      <c r="O675" s="16"/>
      <c r="P675" s="16"/>
      <c r="Q675" s="16"/>
      <c r="R675" s="16"/>
      <c r="S675" s="16"/>
      <c r="T675" s="16"/>
      <c r="U675" s="16"/>
      <c r="V675" s="16"/>
      <c r="W675" s="16"/>
      <c r="X675" s="16"/>
      <c r="Y675" s="16"/>
      <c r="Z675" s="16"/>
      <c r="AA675" s="16"/>
    </row>
    <row r="676" spans="1:27" ht="24" hidden="1" customHeight="1" outlineLevel="2">
      <c r="A676" s="16" t="s">
        <v>2393</v>
      </c>
      <c r="B676" s="16" t="s">
        <v>2394</v>
      </c>
      <c r="C676" s="16" t="s">
        <v>2395</v>
      </c>
      <c r="D676" s="16" t="s">
        <v>3930</v>
      </c>
      <c r="E676" s="273">
        <v>45222</v>
      </c>
      <c r="F676" s="56" t="b">
        <v>0</v>
      </c>
      <c r="G676" s="205" t="s">
        <v>4661</v>
      </c>
      <c r="H676" s="323" t="s">
        <v>4662</v>
      </c>
      <c r="I676" s="56" t="b">
        <v>1</v>
      </c>
      <c r="J676" s="16" t="s">
        <v>3621</v>
      </c>
      <c r="K676" s="205" t="s">
        <v>4663</v>
      </c>
      <c r="L676" s="16"/>
      <c r="M676" s="16"/>
      <c r="N676" s="16"/>
      <c r="O676" s="16"/>
      <c r="P676" s="16"/>
      <c r="Q676" s="16"/>
      <c r="R676" s="16"/>
      <c r="S676" s="16"/>
      <c r="T676" s="16"/>
      <c r="U676" s="16"/>
      <c r="V676" s="16"/>
      <c r="W676" s="16"/>
      <c r="X676" s="16"/>
      <c r="Y676" s="16"/>
      <c r="Z676" s="16"/>
      <c r="AA676" s="16"/>
    </row>
    <row r="677" spans="1:27" ht="24" hidden="1" customHeight="1" outlineLevel="2">
      <c r="A677" s="16" t="s">
        <v>2396</v>
      </c>
      <c r="B677" s="16" t="s">
        <v>2397</v>
      </c>
      <c r="C677" s="16" t="s">
        <v>2398</v>
      </c>
      <c r="D677" s="16" t="s">
        <v>3809</v>
      </c>
      <c r="E677" s="273">
        <v>45224</v>
      </c>
      <c r="F677" s="56" t="b">
        <v>0</v>
      </c>
      <c r="G677" s="205" t="s">
        <v>4664</v>
      </c>
      <c r="H677" s="323" t="s">
        <v>4665</v>
      </c>
      <c r="I677" s="56" t="b">
        <v>1</v>
      </c>
      <c r="J677" s="16" t="s">
        <v>3800</v>
      </c>
      <c r="K677" s="205"/>
      <c r="L677" s="16"/>
      <c r="M677" s="16"/>
      <c r="N677" s="16"/>
      <c r="O677" s="16"/>
      <c r="P677" s="16"/>
      <c r="Q677" s="16"/>
      <c r="R677" s="16"/>
      <c r="S677" s="16"/>
      <c r="T677" s="16"/>
      <c r="U677" s="16"/>
      <c r="V677" s="16"/>
      <c r="W677" s="16"/>
      <c r="X677" s="16"/>
      <c r="Y677" s="16"/>
      <c r="Z677" s="16"/>
      <c r="AA677" s="16"/>
    </row>
    <row r="678" spans="1:27" ht="24" hidden="1" customHeight="1" outlineLevel="2">
      <c r="A678" s="16" t="s">
        <v>2399</v>
      </c>
      <c r="B678" s="16" t="s">
        <v>2400</v>
      </c>
      <c r="C678" s="16" t="s">
        <v>2401</v>
      </c>
      <c r="D678" s="16" t="s">
        <v>4666</v>
      </c>
      <c r="E678" s="273">
        <v>45224</v>
      </c>
      <c r="F678" s="56" t="b">
        <v>0</v>
      </c>
      <c r="G678" s="205" t="s">
        <v>4667</v>
      </c>
      <c r="H678" s="323" t="s">
        <v>4668</v>
      </c>
      <c r="I678" s="56" t="b">
        <v>1</v>
      </c>
      <c r="J678" s="16" t="s">
        <v>3621</v>
      </c>
      <c r="K678" s="205" t="s">
        <v>4019</v>
      </c>
      <c r="L678" s="16"/>
      <c r="M678" s="16"/>
      <c r="N678" s="16"/>
      <c r="O678" s="16"/>
      <c r="P678" s="16"/>
      <c r="Q678" s="16"/>
      <c r="R678" s="16"/>
      <c r="S678" s="16"/>
      <c r="T678" s="16"/>
      <c r="U678" s="16"/>
      <c r="V678" s="16"/>
      <c r="W678" s="16"/>
      <c r="X678" s="16"/>
      <c r="Y678" s="16"/>
      <c r="Z678" s="16"/>
      <c r="AA678" s="16"/>
    </row>
    <row r="679" spans="1:27" ht="24" hidden="1" customHeight="1" outlineLevel="2">
      <c r="A679" s="16" t="s">
        <v>2402</v>
      </c>
      <c r="B679" s="16" t="s">
        <v>2403</v>
      </c>
      <c r="C679" s="16" t="s">
        <v>2404</v>
      </c>
      <c r="D679" s="16" t="s">
        <v>3718</v>
      </c>
      <c r="E679" s="273">
        <v>45224</v>
      </c>
      <c r="F679" s="56" t="b">
        <v>0</v>
      </c>
      <c r="G679" s="205" t="s">
        <v>4669</v>
      </c>
      <c r="H679" s="323" t="s">
        <v>4670</v>
      </c>
      <c r="I679" s="56" t="b">
        <v>1</v>
      </c>
      <c r="J679" s="16" t="s">
        <v>3621</v>
      </c>
      <c r="K679" s="205" t="s">
        <v>4019</v>
      </c>
      <c r="L679" s="16"/>
      <c r="M679" s="16"/>
      <c r="N679" s="16"/>
      <c r="O679" s="16"/>
      <c r="P679" s="16"/>
      <c r="Q679" s="16"/>
      <c r="R679" s="16"/>
      <c r="S679" s="16"/>
      <c r="T679" s="16"/>
      <c r="U679" s="16"/>
      <c r="V679" s="16"/>
      <c r="W679" s="16"/>
      <c r="X679" s="16"/>
      <c r="Y679" s="16"/>
      <c r="Z679" s="16"/>
      <c r="AA679" s="16"/>
    </row>
    <row r="680" spans="1:27" ht="24" hidden="1" customHeight="1" outlineLevel="2">
      <c r="A680" s="16" t="s">
        <v>2405</v>
      </c>
      <c r="B680" s="16" t="s">
        <v>2407</v>
      </c>
      <c r="C680" s="16" t="s">
        <v>2408</v>
      </c>
      <c r="D680" s="16" t="s">
        <v>3692</v>
      </c>
      <c r="E680" s="273">
        <v>45226</v>
      </c>
      <c r="F680" s="56" t="b">
        <v>0</v>
      </c>
      <c r="G680" s="205" t="s">
        <v>4671</v>
      </c>
      <c r="H680" s="323" t="s">
        <v>4672</v>
      </c>
      <c r="I680" s="56" t="b">
        <v>1</v>
      </c>
      <c r="J680" s="16" t="s">
        <v>3745</v>
      </c>
      <c r="K680" s="205"/>
      <c r="L680" s="16"/>
      <c r="M680" s="16"/>
      <c r="N680" s="16"/>
      <c r="O680" s="16"/>
      <c r="P680" s="16"/>
      <c r="Q680" s="16"/>
      <c r="R680" s="16"/>
      <c r="S680" s="16"/>
      <c r="T680" s="16"/>
      <c r="U680" s="16"/>
      <c r="V680" s="16"/>
      <c r="W680" s="16"/>
      <c r="X680" s="16"/>
      <c r="Y680" s="16"/>
      <c r="Z680" s="16"/>
      <c r="AA680" s="16"/>
    </row>
    <row r="681" spans="1:27" ht="24" hidden="1" customHeight="1" outlineLevel="2">
      <c r="A681" s="16" t="s">
        <v>2409</v>
      </c>
      <c r="B681" s="16" t="s">
        <v>2410</v>
      </c>
      <c r="C681" s="16" t="s">
        <v>2411</v>
      </c>
      <c r="D681" s="16" t="s">
        <v>3930</v>
      </c>
      <c r="E681" s="273">
        <v>45226</v>
      </c>
      <c r="F681" s="56" t="b">
        <v>0</v>
      </c>
      <c r="G681" s="205" t="s">
        <v>4673</v>
      </c>
      <c r="H681" s="205" t="s">
        <v>4674</v>
      </c>
      <c r="I681" s="56" t="b">
        <v>1</v>
      </c>
      <c r="J681" s="16" t="s">
        <v>3621</v>
      </c>
      <c r="K681" s="205" t="s">
        <v>4675</v>
      </c>
      <c r="L681" s="16"/>
      <c r="M681" s="16"/>
      <c r="N681" s="16"/>
      <c r="O681" s="16"/>
      <c r="P681" s="16"/>
      <c r="Q681" s="16"/>
      <c r="R681" s="16"/>
      <c r="S681" s="16"/>
      <c r="T681" s="16"/>
      <c r="U681" s="16"/>
      <c r="V681" s="16"/>
      <c r="W681" s="16"/>
      <c r="X681" s="16"/>
      <c r="Y681" s="16"/>
      <c r="Z681" s="16"/>
      <c r="AA681" s="16"/>
    </row>
    <row r="682" spans="1:27" ht="24" hidden="1" customHeight="1" outlineLevel="2">
      <c r="A682" s="16" t="s">
        <v>2412</v>
      </c>
      <c r="B682" s="16" t="s">
        <v>2414</v>
      </c>
      <c r="C682" s="16" t="s">
        <v>2415</v>
      </c>
      <c r="D682" s="16" t="s">
        <v>3930</v>
      </c>
      <c r="E682" s="273">
        <v>45226</v>
      </c>
      <c r="F682" s="56" t="b">
        <v>0</v>
      </c>
      <c r="G682" s="205" t="s">
        <v>4676</v>
      </c>
      <c r="H682" s="323" t="s">
        <v>4677</v>
      </c>
      <c r="I682" s="56" t="b">
        <v>1</v>
      </c>
      <c r="J682" s="16" t="s">
        <v>3621</v>
      </c>
      <c r="K682" s="205" t="s">
        <v>4019</v>
      </c>
      <c r="L682" s="16"/>
      <c r="M682" s="16"/>
      <c r="N682" s="16"/>
      <c r="O682" s="16"/>
      <c r="P682" s="16"/>
      <c r="Q682" s="16"/>
      <c r="R682" s="16"/>
      <c r="S682" s="16"/>
      <c r="T682" s="16"/>
      <c r="U682" s="16"/>
      <c r="V682" s="16"/>
      <c r="W682" s="16"/>
      <c r="X682" s="16"/>
      <c r="Y682" s="16"/>
      <c r="Z682" s="16"/>
      <c r="AA682" s="16"/>
    </row>
    <row r="683" spans="1:27" ht="24" hidden="1" customHeight="1" outlineLevel="2">
      <c r="A683" s="16" t="s">
        <v>2416</v>
      </c>
      <c r="B683" s="16" t="s">
        <v>2417</v>
      </c>
      <c r="C683" s="16" t="s">
        <v>2418</v>
      </c>
      <c r="D683" s="16" t="s">
        <v>3930</v>
      </c>
      <c r="E683" s="273">
        <v>45229</v>
      </c>
      <c r="F683" s="56" t="b">
        <v>0</v>
      </c>
      <c r="G683" s="205" t="s">
        <v>4678</v>
      </c>
      <c r="H683" s="324" t="s">
        <v>4679</v>
      </c>
      <c r="I683" s="56" t="b">
        <v>1</v>
      </c>
      <c r="J683" s="16" t="s">
        <v>3621</v>
      </c>
      <c r="K683" s="205" t="s">
        <v>4019</v>
      </c>
      <c r="L683" s="16"/>
      <c r="M683" s="16"/>
      <c r="N683" s="16"/>
      <c r="O683" s="16"/>
      <c r="P683" s="16"/>
      <c r="Q683" s="16"/>
      <c r="R683" s="16"/>
      <c r="S683" s="16"/>
      <c r="T683" s="16"/>
      <c r="U683" s="16"/>
      <c r="V683" s="16"/>
      <c r="W683" s="16"/>
      <c r="X683" s="16"/>
      <c r="Y683" s="16"/>
      <c r="Z683" s="16"/>
      <c r="AA683" s="16"/>
    </row>
    <row r="684" spans="1:27" ht="24" hidden="1" customHeight="1" outlineLevel="2">
      <c r="A684" s="16" t="s">
        <v>4680</v>
      </c>
      <c r="B684" s="16" t="s">
        <v>2420</v>
      </c>
      <c r="C684" s="16" t="s">
        <v>2421</v>
      </c>
      <c r="D684" s="16" t="s">
        <v>3692</v>
      </c>
      <c r="E684" s="273">
        <v>45229</v>
      </c>
      <c r="F684" s="56" t="b">
        <v>0</v>
      </c>
      <c r="G684" s="205" t="s">
        <v>4681</v>
      </c>
      <c r="H684" s="323" t="s">
        <v>4682</v>
      </c>
      <c r="I684" s="56" t="b">
        <v>0</v>
      </c>
      <c r="J684" s="16" t="s">
        <v>3745</v>
      </c>
      <c r="K684" s="205"/>
      <c r="L684" s="16"/>
      <c r="M684" s="16"/>
      <c r="N684" s="16"/>
      <c r="O684" s="16"/>
      <c r="P684" s="16"/>
      <c r="Q684" s="16"/>
      <c r="R684" s="16"/>
      <c r="S684" s="16"/>
      <c r="T684" s="16"/>
      <c r="U684" s="16"/>
      <c r="V684" s="16"/>
      <c r="W684" s="16"/>
      <c r="X684" s="16"/>
      <c r="Y684" s="16"/>
      <c r="Z684" s="16"/>
      <c r="AA684" s="16"/>
    </row>
    <row r="685" spans="1:27" ht="24" hidden="1" customHeight="1" outlineLevel="2">
      <c r="A685" s="16" t="s">
        <v>2422</v>
      </c>
      <c r="B685" s="16" t="s">
        <v>4683</v>
      </c>
      <c r="C685" s="16" t="s">
        <v>2424</v>
      </c>
      <c r="D685" s="16" t="s">
        <v>3809</v>
      </c>
      <c r="E685" s="273">
        <v>45229</v>
      </c>
      <c r="F685" s="56" t="b">
        <v>1</v>
      </c>
      <c r="G685" s="205" t="s">
        <v>4684</v>
      </c>
      <c r="H685" s="324" t="s">
        <v>4685</v>
      </c>
      <c r="I685" s="56" t="b">
        <v>1</v>
      </c>
      <c r="J685" s="16" t="s">
        <v>3800</v>
      </c>
      <c r="K685" s="205"/>
      <c r="L685" s="16"/>
      <c r="M685" s="16"/>
      <c r="N685" s="16"/>
      <c r="O685" s="16"/>
      <c r="P685" s="16"/>
      <c r="Q685" s="16"/>
      <c r="R685" s="16"/>
      <c r="S685" s="16"/>
      <c r="T685" s="16"/>
      <c r="U685" s="16"/>
      <c r="V685" s="16"/>
      <c r="W685" s="16"/>
      <c r="X685" s="16"/>
      <c r="Y685" s="16"/>
      <c r="Z685" s="16"/>
      <c r="AA685" s="16"/>
    </row>
    <row r="686" spans="1:27" ht="24" hidden="1" customHeight="1" outlineLevel="2">
      <c r="A686" s="16" t="s">
        <v>2425</v>
      </c>
      <c r="B686" s="16" t="s">
        <v>2427</v>
      </c>
      <c r="C686" s="16" t="s">
        <v>2428</v>
      </c>
      <c r="D686" s="16" t="s">
        <v>3696</v>
      </c>
      <c r="E686" s="273">
        <v>45229</v>
      </c>
      <c r="F686" s="56" t="b">
        <v>1</v>
      </c>
      <c r="G686" s="205" t="s">
        <v>4686</v>
      </c>
      <c r="H686" s="323" t="s">
        <v>4687</v>
      </c>
      <c r="I686" s="56" t="b">
        <v>1</v>
      </c>
      <c r="J686" s="16" t="s">
        <v>4084</v>
      </c>
      <c r="K686" s="205"/>
      <c r="L686" s="16"/>
      <c r="M686" s="16"/>
      <c r="N686" s="16"/>
      <c r="O686" s="16"/>
      <c r="P686" s="16"/>
      <c r="Q686" s="16"/>
      <c r="R686" s="16"/>
      <c r="S686" s="16"/>
      <c r="T686" s="16"/>
      <c r="U686" s="16"/>
      <c r="V686" s="16"/>
      <c r="W686" s="16"/>
      <c r="X686" s="16"/>
      <c r="Y686" s="16"/>
      <c r="Z686" s="16"/>
      <c r="AA686" s="16"/>
    </row>
    <row r="687" spans="1:27" ht="24" hidden="1" customHeight="1" outlineLevel="2">
      <c r="A687" s="16" t="s">
        <v>2429</v>
      </c>
      <c r="B687" s="16" t="s">
        <v>2430</v>
      </c>
      <c r="C687" s="16" t="s">
        <v>2431</v>
      </c>
      <c r="D687" s="16" t="s">
        <v>3809</v>
      </c>
      <c r="E687" s="273">
        <v>45229</v>
      </c>
      <c r="F687" s="56" t="b">
        <v>0</v>
      </c>
      <c r="G687" s="205" t="s">
        <v>4688</v>
      </c>
      <c r="H687" s="323" t="s">
        <v>4689</v>
      </c>
      <c r="I687" s="56" t="b">
        <v>1</v>
      </c>
      <c r="J687" s="16" t="s">
        <v>3800</v>
      </c>
      <c r="K687" s="205"/>
      <c r="L687" s="16"/>
      <c r="M687" s="16"/>
      <c r="N687" s="16"/>
      <c r="O687" s="16"/>
      <c r="P687" s="16"/>
      <c r="Q687" s="16"/>
      <c r="R687" s="16"/>
      <c r="S687" s="16"/>
      <c r="T687" s="16"/>
      <c r="U687" s="16"/>
      <c r="V687" s="16"/>
      <c r="W687" s="16"/>
      <c r="X687" s="16"/>
      <c r="Y687" s="16"/>
      <c r="Z687" s="16"/>
      <c r="AA687" s="16"/>
    </row>
    <row r="688" spans="1:27" ht="24" hidden="1" customHeight="1" outlineLevel="2">
      <c r="A688" s="16" t="s">
        <v>2432</v>
      </c>
      <c r="B688" s="16" t="s">
        <v>2433</v>
      </c>
      <c r="C688" s="16" t="s">
        <v>2434</v>
      </c>
      <c r="D688" s="16" t="s">
        <v>3809</v>
      </c>
      <c r="E688" s="273">
        <v>45229</v>
      </c>
      <c r="F688" s="56" t="b">
        <v>0</v>
      </c>
      <c r="G688" s="205" t="s">
        <v>4690</v>
      </c>
      <c r="H688" s="323" t="s">
        <v>4691</v>
      </c>
      <c r="I688" s="56" t="b">
        <v>1</v>
      </c>
      <c r="J688" s="16" t="s">
        <v>3800</v>
      </c>
      <c r="K688" s="205"/>
      <c r="L688" s="16"/>
      <c r="M688" s="16"/>
      <c r="N688" s="16"/>
      <c r="O688" s="16"/>
      <c r="P688" s="16"/>
      <c r="Q688" s="16"/>
      <c r="R688" s="16"/>
      <c r="S688" s="16"/>
      <c r="T688" s="16"/>
      <c r="U688" s="16"/>
      <c r="V688" s="16"/>
      <c r="W688" s="16"/>
      <c r="X688" s="16"/>
      <c r="Y688" s="16"/>
      <c r="Z688" s="16"/>
      <c r="AA688" s="16"/>
    </row>
    <row r="689" spans="1:27" ht="24" hidden="1" customHeight="1" outlineLevel="2">
      <c r="A689" s="16" t="s">
        <v>2435</v>
      </c>
      <c r="B689" s="16" t="s">
        <v>2436</v>
      </c>
      <c r="C689" s="16" t="s">
        <v>2437</v>
      </c>
      <c r="D689" s="16" t="s">
        <v>3732</v>
      </c>
      <c r="E689" s="273">
        <v>45230</v>
      </c>
      <c r="F689" s="56" t="b">
        <v>0</v>
      </c>
      <c r="G689" s="205" t="s">
        <v>4692</v>
      </c>
      <c r="H689" s="323" t="s">
        <v>4693</v>
      </c>
      <c r="I689" s="56" t="b">
        <v>1</v>
      </c>
      <c r="J689" s="16" t="s">
        <v>3981</v>
      </c>
      <c r="K689" s="205"/>
      <c r="L689" s="16"/>
      <c r="M689" s="16"/>
      <c r="N689" s="16"/>
      <c r="O689" s="16"/>
      <c r="P689" s="16"/>
      <c r="Q689" s="16"/>
      <c r="R689" s="16"/>
      <c r="S689" s="16"/>
      <c r="T689" s="16"/>
      <c r="U689" s="16"/>
      <c r="V689" s="16"/>
      <c r="W689" s="16"/>
      <c r="X689" s="16"/>
      <c r="Y689" s="16"/>
      <c r="Z689" s="16"/>
      <c r="AA689" s="16"/>
    </row>
    <row r="690" spans="1:27" ht="24" hidden="1" customHeight="1" outlineLevel="2">
      <c r="A690" s="16" t="s">
        <v>2438</v>
      </c>
      <c r="B690" s="16" t="s">
        <v>2440</v>
      </c>
      <c r="C690" s="16" t="s">
        <v>2441</v>
      </c>
      <c r="D690" s="16" t="s">
        <v>3930</v>
      </c>
      <c r="E690" s="273">
        <v>45230</v>
      </c>
      <c r="F690" s="56" t="b">
        <v>0</v>
      </c>
      <c r="G690" s="205" t="s">
        <v>4694</v>
      </c>
      <c r="H690" s="323" t="s">
        <v>4695</v>
      </c>
      <c r="I690" s="56" t="b">
        <v>1</v>
      </c>
      <c r="J690" s="16" t="s">
        <v>3621</v>
      </c>
      <c r="K690" s="205" t="s">
        <v>4019</v>
      </c>
      <c r="L690" s="16"/>
      <c r="M690" s="16"/>
      <c r="N690" s="16"/>
      <c r="O690" s="16"/>
      <c r="P690" s="16"/>
      <c r="Q690" s="16"/>
      <c r="R690" s="16"/>
      <c r="S690" s="16"/>
      <c r="T690" s="16"/>
      <c r="U690" s="16"/>
      <c r="V690" s="16"/>
      <c r="W690" s="16"/>
      <c r="X690" s="16"/>
      <c r="Y690" s="16"/>
      <c r="Z690" s="16"/>
      <c r="AA690" s="16"/>
    </row>
    <row r="691" spans="1:27" ht="24" hidden="1" customHeight="1" outlineLevel="2">
      <c r="A691" s="16" t="s">
        <v>2442</v>
      </c>
      <c r="B691" s="16" t="s">
        <v>2443</v>
      </c>
      <c r="C691" s="16" t="s">
        <v>2444</v>
      </c>
      <c r="D691" s="16" t="s">
        <v>3694</v>
      </c>
      <c r="E691" s="273">
        <v>45230</v>
      </c>
      <c r="F691" s="56" t="b">
        <v>0</v>
      </c>
      <c r="G691" s="205" t="s">
        <v>4696</v>
      </c>
      <c r="H691" s="323" t="s">
        <v>4697</v>
      </c>
      <c r="I691" s="56" t="b">
        <v>1</v>
      </c>
      <c r="J691" s="16" t="s">
        <v>3800</v>
      </c>
      <c r="K691" s="205"/>
      <c r="L691" s="16"/>
      <c r="M691" s="16"/>
      <c r="N691" s="16"/>
      <c r="O691" s="16"/>
      <c r="P691" s="16"/>
      <c r="Q691" s="16"/>
      <c r="R691" s="16"/>
      <c r="S691" s="16"/>
      <c r="T691" s="16"/>
      <c r="U691" s="16"/>
      <c r="V691" s="16"/>
      <c r="W691" s="16"/>
      <c r="X691" s="16"/>
      <c r="Y691" s="16"/>
      <c r="Z691" s="16"/>
      <c r="AA691" s="16"/>
    </row>
    <row r="692" spans="1:27" ht="24" hidden="1" customHeight="1" outlineLevel="2">
      <c r="A692" s="16" t="s">
        <v>2445</v>
      </c>
      <c r="B692" s="16" t="s">
        <v>2446</v>
      </c>
      <c r="C692" s="16" t="s">
        <v>2447</v>
      </c>
      <c r="D692" s="16" t="s">
        <v>3718</v>
      </c>
      <c r="E692" s="273">
        <v>45230</v>
      </c>
      <c r="F692" s="56" t="b">
        <v>0</v>
      </c>
      <c r="G692" s="205" t="s">
        <v>4698</v>
      </c>
      <c r="H692" s="323" t="s">
        <v>4699</v>
      </c>
      <c r="I692" s="56" t="b">
        <v>1</v>
      </c>
      <c r="J692" s="16" t="s">
        <v>3621</v>
      </c>
      <c r="K692" s="205" t="s">
        <v>4019</v>
      </c>
      <c r="L692" s="16"/>
      <c r="M692" s="16"/>
      <c r="N692" s="16"/>
      <c r="O692" s="16"/>
      <c r="P692" s="16"/>
      <c r="Q692" s="16"/>
      <c r="R692" s="16"/>
      <c r="S692" s="16"/>
      <c r="T692" s="16"/>
      <c r="U692" s="16"/>
      <c r="V692" s="16"/>
      <c r="W692" s="16"/>
      <c r="X692" s="16"/>
      <c r="Y692" s="16"/>
      <c r="Z692" s="16"/>
      <c r="AA692" s="16"/>
    </row>
    <row r="693" spans="1:27" ht="24" hidden="1" customHeight="1" outlineLevel="2">
      <c r="A693" s="16" t="s">
        <v>2448</v>
      </c>
      <c r="B693" s="16" t="s">
        <v>2449</v>
      </c>
      <c r="C693" s="16" t="s">
        <v>2450</v>
      </c>
      <c r="D693" s="16" t="s">
        <v>3718</v>
      </c>
      <c r="E693" s="273">
        <v>45230</v>
      </c>
      <c r="F693" s="56" t="b">
        <v>0</v>
      </c>
      <c r="G693" s="205" t="s">
        <v>4700</v>
      </c>
      <c r="H693" s="323" t="s">
        <v>4701</v>
      </c>
      <c r="I693" s="56" t="b">
        <v>1</v>
      </c>
      <c r="J693" s="16" t="s">
        <v>3621</v>
      </c>
      <c r="K693" s="205" t="s">
        <v>4702</v>
      </c>
      <c r="L693" s="16"/>
      <c r="M693" s="16"/>
      <c r="N693" s="16"/>
      <c r="O693" s="16"/>
      <c r="P693" s="16"/>
      <c r="Q693" s="16"/>
      <c r="R693" s="16"/>
      <c r="S693" s="16"/>
      <c r="T693" s="16"/>
      <c r="U693" s="16"/>
      <c r="V693" s="16"/>
      <c r="W693" s="16"/>
      <c r="X693" s="16"/>
      <c r="Y693" s="16"/>
      <c r="Z693" s="16"/>
      <c r="AA693" s="16"/>
    </row>
    <row r="694" spans="1:27" ht="24" hidden="1" customHeight="1" outlineLevel="2">
      <c r="A694" s="16" t="s">
        <v>2451</v>
      </c>
      <c r="B694" s="16" t="s">
        <v>2452</v>
      </c>
      <c r="C694" s="16" t="s">
        <v>2453</v>
      </c>
      <c r="D694" s="16" t="s">
        <v>3930</v>
      </c>
      <c r="E694" s="273">
        <v>45230</v>
      </c>
      <c r="F694" s="56" t="b">
        <v>0</v>
      </c>
      <c r="G694" s="205" t="s">
        <v>4703</v>
      </c>
      <c r="H694" s="323" t="s">
        <v>4704</v>
      </c>
      <c r="I694" s="56" t="b">
        <v>1</v>
      </c>
      <c r="J694" s="16" t="s">
        <v>3621</v>
      </c>
      <c r="K694" s="205" t="s">
        <v>4019</v>
      </c>
      <c r="L694" s="16"/>
      <c r="M694" s="16"/>
      <c r="N694" s="16"/>
      <c r="O694" s="16"/>
      <c r="P694" s="16"/>
      <c r="Q694" s="16"/>
      <c r="R694" s="16"/>
      <c r="S694" s="16"/>
      <c r="T694" s="16"/>
      <c r="U694" s="16"/>
      <c r="V694" s="16"/>
      <c r="W694" s="16"/>
      <c r="X694" s="16"/>
      <c r="Y694" s="16"/>
      <c r="Z694" s="16"/>
      <c r="AA694" s="16"/>
    </row>
    <row r="695" spans="1:27" ht="24" hidden="1" customHeight="1" outlineLevel="2">
      <c r="A695" s="16" t="s">
        <v>2454</v>
      </c>
      <c r="B695" s="16" t="s">
        <v>2456</v>
      </c>
      <c r="C695" s="16" t="s">
        <v>2457</v>
      </c>
      <c r="D695" s="16" t="s">
        <v>3930</v>
      </c>
      <c r="E695" s="273">
        <v>45230</v>
      </c>
      <c r="F695" s="56" t="b">
        <v>0</v>
      </c>
      <c r="G695" s="205" t="s">
        <v>4705</v>
      </c>
      <c r="H695" s="323" t="s">
        <v>4706</v>
      </c>
      <c r="I695" s="56" t="b">
        <v>1</v>
      </c>
      <c r="J695" s="16" t="s">
        <v>3621</v>
      </c>
      <c r="K695" s="205" t="s">
        <v>4019</v>
      </c>
      <c r="L695" s="16"/>
      <c r="M695" s="16"/>
      <c r="N695" s="16"/>
      <c r="O695" s="16"/>
      <c r="P695" s="16"/>
      <c r="Q695" s="16"/>
      <c r="R695" s="16"/>
      <c r="S695" s="16"/>
      <c r="T695" s="16"/>
      <c r="U695" s="16"/>
      <c r="V695" s="16"/>
      <c r="W695" s="16"/>
      <c r="X695" s="16"/>
      <c r="Y695" s="16"/>
      <c r="Z695" s="16"/>
      <c r="AA695" s="16"/>
    </row>
    <row r="696" spans="1:27" ht="18.75" hidden="1" outlineLevel="1" collapsed="1">
      <c r="A696" s="320" t="s">
        <v>4707</v>
      </c>
      <c r="B696" s="321">
        <v>74</v>
      </c>
      <c r="C696" s="321"/>
      <c r="D696" s="321"/>
      <c r="E696" s="321"/>
      <c r="F696" s="321"/>
      <c r="G696" s="322"/>
      <c r="H696" s="322"/>
      <c r="I696" s="321"/>
      <c r="J696" s="321"/>
      <c r="K696" s="322"/>
      <c r="L696" s="321"/>
      <c r="M696" s="321"/>
      <c r="N696" s="321"/>
      <c r="O696" s="321"/>
      <c r="P696" s="321"/>
      <c r="Q696" s="321"/>
      <c r="R696" s="321"/>
      <c r="S696" s="321"/>
      <c r="T696" s="321"/>
      <c r="U696" s="321"/>
      <c r="V696" s="321"/>
      <c r="W696" s="321"/>
      <c r="X696" s="321"/>
      <c r="Y696" s="321"/>
      <c r="Z696" s="321"/>
      <c r="AA696" s="321"/>
    </row>
    <row r="697" spans="1:27" ht="24" hidden="1" customHeight="1" outlineLevel="2">
      <c r="A697" s="16" t="s">
        <v>2458</v>
      </c>
      <c r="B697" s="16" t="s">
        <v>2459</v>
      </c>
      <c r="C697" s="16" t="s">
        <v>2460</v>
      </c>
      <c r="D697" s="16" t="s">
        <v>3718</v>
      </c>
      <c r="E697" s="273">
        <v>45231</v>
      </c>
      <c r="F697" s="56" t="b">
        <v>1</v>
      </c>
      <c r="G697" s="205" t="s">
        <v>4708</v>
      </c>
      <c r="H697" s="323" t="s">
        <v>4709</v>
      </c>
      <c r="I697" s="56" t="b">
        <v>1</v>
      </c>
      <c r="J697" s="16" t="s">
        <v>3621</v>
      </c>
      <c r="K697" s="205" t="s">
        <v>4019</v>
      </c>
      <c r="L697" s="16"/>
      <c r="M697" s="16"/>
      <c r="N697" s="16"/>
      <c r="O697" s="16"/>
      <c r="P697" s="16"/>
      <c r="Q697" s="16"/>
      <c r="R697" s="16"/>
      <c r="S697" s="16"/>
      <c r="T697" s="16"/>
      <c r="U697" s="16"/>
      <c r="V697" s="16"/>
      <c r="W697" s="16"/>
      <c r="X697" s="16"/>
      <c r="Y697" s="16"/>
      <c r="Z697" s="16"/>
      <c r="AA697" s="16"/>
    </row>
    <row r="698" spans="1:27" ht="24" hidden="1" customHeight="1" outlineLevel="2">
      <c r="A698" s="16" t="s">
        <v>2461</v>
      </c>
      <c r="B698" s="16" t="s">
        <v>2462</v>
      </c>
      <c r="C698" s="16" t="s">
        <v>2463</v>
      </c>
      <c r="D698" s="16" t="s">
        <v>3718</v>
      </c>
      <c r="E698" s="273">
        <v>45231</v>
      </c>
      <c r="F698" s="56" t="b">
        <v>1</v>
      </c>
      <c r="G698" s="205" t="s">
        <v>4710</v>
      </c>
      <c r="H698" s="323" t="s">
        <v>4711</v>
      </c>
      <c r="I698" s="56" t="b">
        <v>1</v>
      </c>
      <c r="J698" s="16" t="s">
        <v>3621</v>
      </c>
      <c r="K698" s="205" t="s">
        <v>4019</v>
      </c>
      <c r="L698" s="16"/>
      <c r="M698" s="16"/>
      <c r="N698" s="16"/>
      <c r="O698" s="16"/>
      <c r="P698" s="16"/>
      <c r="Q698" s="16"/>
      <c r="R698" s="16"/>
      <c r="S698" s="16"/>
      <c r="T698" s="16"/>
      <c r="U698" s="16"/>
      <c r="V698" s="16"/>
      <c r="W698" s="16"/>
      <c r="X698" s="16"/>
      <c r="Y698" s="16"/>
      <c r="Z698" s="16"/>
      <c r="AA698" s="16"/>
    </row>
    <row r="699" spans="1:27" ht="24" hidden="1" customHeight="1" outlineLevel="2">
      <c r="A699" s="16" t="s">
        <v>2464</v>
      </c>
      <c r="B699" s="16" t="s">
        <v>2465</v>
      </c>
      <c r="C699" s="16" t="s">
        <v>2466</v>
      </c>
      <c r="D699" s="16" t="s">
        <v>3718</v>
      </c>
      <c r="E699" s="273">
        <v>45233</v>
      </c>
      <c r="F699" s="56" t="b">
        <v>1</v>
      </c>
      <c r="G699" s="205" t="s">
        <v>4712</v>
      </c>
      <c r="H699" s="323" t="s">
        <v>4713</v>
      </c>
      <c r="I699" s="56" t="b">
        <v>1</v>
      </c>
      <c r="J699" s="16" t="s">
        <v>3621</v>
      </c>
      <c r="K699" s="205" t="s">
        <v>4019</v>
      </c>
      <c r="L699" s="16"/>
      <c r="M699" s="16"/>
      <c r="N699" s="16"/>
      <c r="O699" s="16"/>
      <c r="P699" s="16"/>
      <c r="Q699" s="16"/>
      <c r="R699" s="16"/>
      <c r="S699" s="16"/>
      <c r="T699" s="16"/>
      <c r="U699" s="16"/>
      <c r="V699" s="16"/>
      <c r="W699" s="16"/>
      <c r="X699" s="16"/>
      <c r="Y699" s="16"/>
      <c r="Z699" s="16"/>
      <c r="AA699" s="16"/>
    </row>
    <row r="700" spans="1:27" ht="24" hidden="1" customHeight="1" outlineLevel="2">
      <c r="A700" s="16" t="s">
        <v>2467</v>
      </c>
      <c r="B700" s="16" t="s">
        <v>2469</v>
      </c>
      <c r="C700" s="16" t="s">
        <v>2470</v>
      </c>
      <c r="D700" s="16" t="s">
        <v>3718</v>
      </c>
      <c r="E700" s="273">
        <v>45233</v>
      </c>
      <c r="F700" s="56" t="b">
        <v>1</v>
      </c>
      <c r="G700" s="205" t="s">
        <v>4714</v>
      </c>
      <c r="H700" s="323" t="s">
        <v>4715</v>
      </c>
      <c r="I700" s="56" t="b">
        <v>1</v>
      </c>
      <c r="J700" s="16" t="s">
        <v>3621</v>
      </c>
      <c r="K700" s="205" t="s">
        <v>4019</v>
      </c>
      <c r="L700" s="16"/>
      <c r="M700" s="16"/>
      <c r="N700" s="16"/>
      <c r="O700" s="16"/>
      <c r="P700" s="16"/>
      <c r="Q700" s="16"/>
      <c r="R700" s="16"/>
      <c r="S700" s="16"/>
      <c r="T700" s="16"/>
      <c r="U700" s="16"/>
      <c r="V700" s="16"/>
      <c r="W700" s="16"/>
      <c r="X700" s="16"/>
      <c r="Y700" s="16"/>
      <c r="Z700" s="16"/>
      <c r="AA700" s="16"/>
    </row>
    <row r="701" spans="1:27" ht="24" hidden="1" customHeight="1" outlineLevel="2">
      <c r="A701" s="16" t="s">
        <v>2471</v>
      </c>
      <c r="B701" s="16" t="s">
        <v>2472</v>
      </c>
      <c r="C701" s="16" t="s">
        <v>4716</v>
      </c>
      <c r="D701" s="16" t="s">
        <v>3692</v>
      </c>
      <c r="E701" s="273">
        <v>45233</v>
      </c>
      <c r="F701" s="56" t="b">
        <v>1</v>
      </c>
      <c r="G701" s="205" t="s">
        <v>4717</v>
      </c>
      <c r="H701" s="323" t="s">
        <v>4718</v>
      </c>
      <c r="I701" s="56" t="b">
        <v>1</v>
      </c>
      <c r="J701" s="16" t="s">
        <v>3745</v>
      </c>
      <c r="K701" s="205"/>
      <c r="L701" s="16"/>
      <c r="M701" s="16"/>
      <c r="N701" s="16"/>
      <c r="O701" s="16"/>
      <c r="P701" s="16"/>
      <c r="Q701" s="16"/>
      <c r="R701" s="16"/>
      <c r="S701" s="16"/>
      <c r="T701" s="16"/>
      <c r="U701" s="16"/>
      <c r="V701" s="16"/>
      <c r="W701" s="16"/>
      <c r="X701" s="16"/>
      <c r="Y701" s="16"/>
      <c r="Z701" s="16"/>
      <c r="AA701" s="16"/>
    </row>
    <row r="702" spans="1:27" ht="24" hidden="1" customHeight="1" outlineLevel="2">
      <c r="A702" s="16" t="s">
        <v>4719</v>
      </c>
      <c r="B702" s="16" t="s">
        <v>2476</v>
      </c>
      <c r="C702" s="16" t="s">
        <v>2477</v>
      </c>
      <c r="D702" s="16" t="s">
        <v>3718</v>
      </c>
      <c r="E702" s="204">
        <v>45236</v>
      </c>
      <c r="F702" s="56" t="b">
        <v>1</v>
      </c>
      <c r="G702" s="205" t="s">
        <v>4720</v>
      </c>
      <c r="H702" s="323" t="s">
        <v>4721</v>
      </c>
      <c r="I702" s="56" t="b">
        <v>1</v>
      </c>
      <c r="J702" s="16" t="s">
        <v>3621</v>
      </c>
      <c r="K702" s="205" t="s">
        <v>4019</v>
      </c>
      <c r="L702" s="16"/>
      <c r="M702" s="16"/>
      <c r="N702" s="16"/>
      <c r="O702" s="16"/>
      <c r="P702" s="16"/>
      <c r="Q702" s="16"/>
      <c r="R702" s="16"/>
      <c r="S702" s="16"/>
      <c r="T702" s="16"/>
      <c r="U702" s="16"/>
      <c r="V702" s="16"/>
      <c r="W702" s="16"/>
      <c r="X702" s="16"/>
      <c r="Y702" s="16"/>
      <c r="Z702" s="16"/>
      <c r="AA702" s="16"/>
    </row>
    <row r="703" spans="1:27" ht="24" hidden="1" customHeight="1" outlineLevel="2">
      <c r="A703" s="16" t="s">
        <v>1601</v>
      </c>
      <c r="B703" s="16" t="s">
        <v>1603</v>
      </c>
      <c r="C703" s="16" t="s">
        <v>1604</v>
      </c>
      <c r="D703" s="16" t="s">
        <v>4722</v>
      </c>
      <c r="E703" s="204">
        <v>45236</v>
      </c>
      <c r="F703" s="56" t="b">
        <v>1</v>
      </c>
      <c r="G703" s="205" t="s">
        <v>4723</v>
      </c>
      <c r="H703" s="323" t="s">
        <v>4724</v>
      </c>
      <c r="I703" s="56" t="b">
        <v>1</v>
      </c>
      <c r="J703" s="16" t="s">
        <v>4256</v>
      </c>
      <c r="K703" s="205"/>
      <c r="L703" s="16"/>
      <c r="M703" s="16"/>
      <c r="N703" s="16"/>
      <c r="O703" s="16"/>
      <c r="P703" s="16"/>
      <c r="Q703" s="16"/>
      <c r="R703" s="16"/>
      <c r="S703" s="16"/>
      <c r="T703" s="16"/>
      <c r="U703" s="16"/>
      <c r="V703" s="16"/>
      <c r="W703" s="16"/>
      <c r="X703" s="16"/>
      <c r="Y703" s="16"/>
      <c r="Z703" s="16"/>
      <c r="AA703" s="16"/>
    </row>
    <row r="704" spans="1:27" ht="24" hidden="1" customHeight="1" outlineLevel="2">
      <c r="A704" s="16" t="s">
        <v>2478</v>
      </c>
      <c r="B704" s="16" t="s">
        <v>2479</v>
      </c>
      <c r="C704" s="16" t="s">
        <v>2480</v>
      </c>
      <c r="D704" s="16" t="s">
        <v>3696</v>
      </c>
      <c r="E704" s="204">
        <v>45236</v>
      </c>
      <c r="F704" s="56" t="b">
        <v>1</v>
      </c>
      <c r="G704" s="205" t="s">
        <v>4725</v>
      </c>
      <c r="H704" s="323" t="s">
        <v>4726</v>
      </c>
      <c r="I704" s="56" t="b">
        <v>1</v>
      </c>
      <c r="J704" s="16" t="s">
        <v>4727</v>
      </c>
      <c r="K704" s="205"/>
      <c r="L704" s="16"/>
      <c r="M704" s="16"/>
      <c r="N704" s="16"/>
      <c r="O704" s="16"/>
      <c r="P704" s="16"/>
      <c r="Q704" s="16"/>
      <c r="R704" s="16"/>
      <c r="S704" s="16"/>
      <c r="T704" s="16"/>
      <c r="U704" s="16"/>
      <c r="V704" s="16"/>
      <c r="W704" s="16"/>
      <c r="X704" s="16"/>
      <c r="Y704" s="16"/>
      <c r="Z704" s="16"/>
      <c r="AA704" s="16"/>
    </row>
    <row r="705" spans="1:27" ht="24" hidden="1" customHeight="1" outlineLevel="2">
      <c r="A705" s="16" t="s">
        <v>2481</v>
      </c>
      <c r="B705" s="16" t="s">
        <v>2482</v>
      </c>
      <c r="C705" s="16" t="s">
        <v>2483</v>
      </c>
      <c r="D705" s="16" t="s">
        <v>3809</v>
      </c>
      <c r="E705" s="204">
        <v>45237</v>
      </c>
      <c r="F705" s="56" t="b">
        <v>1</v>
      </c>
      <c r="G705" s="205" t="s">
        <v>4728</v>
      </c>
      <c r="H705" s="323" t="s">
        <v>4729</v>
      </c>
      <c r="I705" s="56" t="b">
        <v>1</v>
      </c>
      <c r="J705" s="16" t="s">
        <v>4730</v>
      </c>
      <c r="K705" s="205"/>
      <c r="L705" s="16"/>
      <c r="M705" s="16"/>
      <c r="N705" s="16"/>
      <c r="O705" s="16"/>
      <c r="P705" s="16"/>
      <c r="Q705" s="16"/>
      <c r="R705" s="16"/>
      <c r="S705" s="16"/>
      <c r="T705" s="16"/>
      <c r="U705" s="16"/>
      <c r="V705" s="16"/>
      <c r="W705" s="16"/>
      <c r="X705" s="16"/>
      <c r="Y705" s="16"/>
      <c r="Z705" s="16"/>
      <c r="AA705" s="16"/>
    </row>
    <row r="706" spans="1:27" ht="24" hidden="1" customHeight="1" outlineLevel="2">
      <c r="A706" s="16" t="s">
        <v>2484</v>
      </c>
      <c r="B706" s="16" t="s">
        <v>2485</v>
      </c>
      <c r="C706" s="16" t="s">
        <v>2486</v>
      </c>
      <c r="D706" s="16" t="s">
        <v>3809</v>
      </c>
      <c r="E706" s="204">
        <v>45237</v>
      </c>
      <c r="F706" s="56" t="b">
        <v>1</v>
      </c>
      <c r="G706" s="205" t="s">
        <v>4731</v>
      </c>
      <c r="H706" s="323" t="s">
        <v>4732</v>
      </c>
      <c r="I706" s="56" t="b">
        <v>1</v>
      </c>
      <c r="J706" s="16" t="s">
        <v>4730</v>
      </c>
      <c r="K706" s="205"/>
      <c r="L706" s="16"/>
      <c r="M706" s="16"/>
      <c r="N706" s="16"/>
      <c r="O706" s="16"/>
      <c r="P706" s="16"/>
      <c r="Q706" s="16"/>
      <c r="R706" s="16"/>
      <c r="S706" s="16"/>
      <c r="T706" s="16"/>
      <c r="U706" s="16"/>
      <c r="V706" s="16"/>
      <c r="W706" s="16"/>
      <c r="X706" s="16"/>
      <c r="Y706" s="16"/>
      <c r="Z706" s="16"/>
      <c r="AA706" s="16"/>
    </row>
    <row r="707" spans="1:27" ht="24" hidden="1" customHeight="1" outlineLevel="2">
      <c r="A707" s="16" t="s">
        <v>2487</v>
      </c>
      <c r="B707" s="16" t="s">
        <v>2489</v>
      </c>
      <c r="C707" s="16" t="s">
        <v>2490</v>
      </c>
      <c r="D707" s="16" t="s">
        <v>3930</v>
      </c>
      <c r="E707" s="204">
        <v>45238</v>
      </c>
      <c r="F707" s="56" t="b">
        <v>1</v>
      </c>
      <c r="G707" s="205" t="s">
        <v>4733</v>
      </c>
      <c r="H707" s="324" t="s">
        <v>4734</v>
      </c>
      <c r="I707" s="56" t="b">
        <v>1</v>
      </c>
      <c r="J707" s="16" t="s">
        <v>3621</v>
      </c>
      <c r="K707" s="205"/>
      <c r="L707" s="16"/>
      <c r="M707" s="16"/>
      <c r="N707" s="16"/>
      <c r="O707" s="16"/>
      <c r="P707" s="16"/>
      <c r="Q707" s="16"/>
      <c r="R707" s="16"/>
      <c r="S707" s="16"/>
      <c r="T707" s="16"/>
      <c r="U707" s="16"/>
      <c r="V707" s="16"/>
      <c r="W707" s="16"/>
      <c r="X707" s="16"/>
      <c r="Y707" s="16"/>
      <c r="Z707" s="16"/>
      <c r="AA707" s="16"/>
    </row>
    <row r="708" spans="1:27" ht="24" hidden="1" customHeight="1" outlineLevel="2">
      <c r="A708" s="16" t="s">
        <v>2491</v>
      </c>
      <c r="B708" s="16" t="s">
        <v>2492</v>
      </c>
      <c r="C708" s="16" t="s">
        <v>2493</v>
      </c>
      <c r="D708" s="16" t="s">
        <v>3696</v>
      </c>
      <c r="E708" s="204">
        <v>45238</v>
      </c>
      <c r="F708" s="56" t="b">
        <v>1</v>
      </c>
      <c r="G708" s="205" t="s">
        <v>4735</v>
      </c>
      <c r="H708" s="323" t="s">
        <v>4736</v>
      </c>
      <c r="I708" s="56" t="b">
        <v>1</v>
      </c>
      <c r="J708" s="16" t="s">
        <v>4727</v>
      </c>
      <c r="K708" s="205"/>
      <c r="L708" s="16"/>
      <c r="M708" s="16"/>
      <c r="N708" s="16"/>
      <c r="O708" s="16"/>
      <c r="P708" s="16"/>
      <c r="Q708" s="16"/>
      <c r="R708" s="16"/>
      <c r="S708" s="16"/>
      <c r="T708" s="16"/>
      <c r="U708" s="16"/>
      <c r="V708" s="16"/>
      <c r="W708" s="16"/>
      <c r="X708" s="16"/>
      <c r="Y708" s="16"/>
      <c r="Z708" s="16"/>
      <c r="AA708" s="16"/>
    </row>
    <row r="709" spans="1:27" ht="24" hidden="1" customHeight="1" outlineLevel="2">
      <c r="A709" s="16" t="s">
        <v>2494</v>
      </c>
      <c r="B709" s="16" t="s">
        <v>2495</v>
      </c>
      <c r="C709" s="16" t="s">
        <v>2496</v>
      </c>
      <c r="D709" s="16" t="s">
        <v>3809</v>
      </c>
      <c r="E709" s="204">
        <v>45238</v>
      </c>
      <c r="F709" s="56" t="b">
        <v>1</v>
      </c>
      <c r="G709" s="205" t="s">
        <v>4737</v>
      </c>
      <c r="H709" s="323" t="s">
        <v>4738</v>
      </c>
      <c r="I709" s="56" t="b">
        <v>1</v>
      </c>
      <c r="J709" s="16" t="s">
        <v>4730</v>
      </c>
      <c r="K709" s="205"/>
      <c r="L709" s="16"/>
      <c r="M709" s="16"/>
      <c r="N709" s="16"/>
      <c r="O709" s="16"/>
      <c r="P709" s="16"/>
      <c r="Q709" s="16"/>
      <c r="R709" s="16"/>
      <c r="S709" s="16"/>
      <c r="T709" s="16"/>
      <c r="U709" s="16"/>
      <c r="V709" s="16"/>
      <c r="W709" s="16"/>
      <c r="X709" s="16"/>
      <c r="Y709" s="16"/>
      <c r="Z709" s="16"/>
      <c r="AA709" s="16"/>
    </row>
    <row r="710" spans="1:27" ht="24" hidden="1" customHeight="1" outlineLevel="2">
      <c r="A710" s="16" t="s">
        <v>2497</v>
      </c>
      <c r="B710" s="16" t="s">
        <v>2498</v>
      </c>
      <c r="C710" s="16" t="s">
        <v>2499</v>
      </c>
      <c r="D710" s="16" t="s">
        <v>4739</v>
      </c>
      <c r="E710" s="204">
        <v>45238</v>
      </c>
      <c r="F710" s="56" t="b">
        <v>1</v>
      </c>
      <c r="G710" s="205" t="s">
        <v>4740</v>
      </c>
      <c r="H710" s="205" t="s">
        <v>4741</v>
      </c>
      <c r="I710" s="56" t="b">
        <v>1</v>
      </c>
      <c r="J710" s="16" t="s">
        <v>4730</v>
      </c>
      <c r="K710" s="205"/>
      <c r="L710" s="16"/>
      <c r="M710" s="16"/>
      <c r="N710" s="16"/>
      <c r="O710" s="16"/>
      <c r="P710" s="16"/>
      <c r="Q710" s="16"/>
      <c r="R710" s="16"/>
      <c r="S710" s="16"/>
      <c r="T710" s="16"/>
      <c r="U710" s="16"/>
      <c r="V710" s="16"/>
      <c r="W710" s="16"/>
      <c r="X710" s="16"/>
      <c r="Y710" s="16"/>
      <c r="Z710" s="16"/>
      <c r="AA710" s="16"/>
    </row>
    <row r="711" spans="1:27" ht="24" hidden="1" customHeight="1" outlineLevel="2">
      <c r="A711" s="16" t="s">
        <v>2500</v>
      </c>
      <c r="B711" s="16" t="s">
        <v>2501</v>
      </c>
      <c r="C711" s="16" t="s">
        <v>2502</v>
      </c>
      <c r="D711" s="16" t="s">
        <v>3692</v>
      </c>
      <c r="E711" s="204">
        <v>45238</v>
      </c>
      <c r="F711" s="56" t="b">
        <v>1</v>
      </c>
      <c r="G711" s="205" t="s">
        <v>4742</v>
      </c>
      <c r="H711" s="323" t="s">
        <v>4743</v>
      </c>
      <c r="I711" s="56" t="b">
        <v>0</v>
      </c>
      <c r="J711" s="16" t="s">
        <v>3745</v>
      </c>
      <c r="K711" s="205"/>
      <c r="L711" s="16"/>
      <c r="M711" s="16"/>
      <c r="N711" s="16"/>
      <c r="O711" s="16"/>
      <c r="P711" s="16"/>
      <c r="Q711" s="16"/>
      <c r="R711" s="16"/>
      <c r="S711" s="16"/>
      <c r="T711" s="16"/>
      <c r="U711" s="16"/>
      <c r="V711" s="16"/>
      <c r="W711" s="16"/>
      <c r="X711" s="16"/>
      <c r="Y711" s="16"/>
      <c r="Z711" s="16"/>
      <c r="AA711" s="16"/>
    </row>
    <row r="712" spans="1:27" ht="24" hidden="1" customHeight="1" outlineLevel="2">
      <c r="A712" s="16" t="s">
        <v>2503</v>
      </c>
      <c r="B712" s="16" t="s">
        <v>2504</v>
      </c>
      <c r="C712" s="16" t="s">
        <v>4744</v>
      </c>
      <c r="D712" s="16" t="s">
        <v>3732</v>
      </c>
      <c r="E712" s="204">
        <v>45238</v>
      </c>
      <c r="F712" s="56" t="b">
        <v>1</v>
      </c>
      <c r="G712" s="205" t="s">
        <v>4745</v>
      </c>
      <c r="H712" s="323" t="s">
        <v>4746</v>
      </c>
      <c r="I712" s="56" t="b">
        <v>1</v>
      </c>
      <c r="J712" s="16" t="s">
        <v>3981</v>
      </c>
      <c r="K712" s="205"/>
      <c r="L712" s="16"/>
      <c r="M712" s="16"/>
      <c r="N712" s="16"/>
      <c r="O712" s="16"/>
      <c r="P712" s="16"/>
      <c r="Q712" s="16"/>
      <c r="R712" s="16"/>
      <c r="S712" s="16"/>
      <c r="T712" s="16"/>
      <c r="U712" s="16"/>
      <c r="V712" s="16"/>
      <c r="W712" s="16"/>
      <c r="X712" s="16"/>
      <c r="Y712" s="16"/>
      <c r="Z712" s="16"/>
      <c r="AA712" s="16"/>
    </row>
    <row r="713" spans="1:27" ht="24" hidden="1" customHeight="1" outlineLevel="2">
      <c r="A713" s="16" t="s">
        <v>2506</v>
      </c>
      <c r="B713" s="16" t="s">
        <v>2507</v>
      </c>
      <c r="C713" s="16" t="s">
        <v>2508</v>
      </c>
      <c r="D713" s="16" t="s">
        <v>4747</v>
      </c>
      <c r="E713" s="204">
        <v>45238</v>
      </c>
      <c r="F713" s="56" t="b">
        <v>1</v>
      </c>
      <c r="G713" s="205" t="s">
        <v>4748</v>
      </c>
      <c r="H713" s="323" t="s">
        <v>4749</v>
      </c>
      <c r="I713" s="56" t="b">
        <v>1</v>
      </c>
      <c r="J713" s="16" t="s">
        <v>3621</v>
      </c>
      <c r="K713" s="205"/>
      <c r="L713" s="16"/>
      <c r="M713" s="16"/>
      <c r="N713" s="16"/>
      <c r="O713" s="16"/>
      <c r="P713" s="16"/>
      <c r="Q713" s="16"/>
      <c r="R713" s="16"/>
      <c r="S713" s="16"/>
      <c r="T713" s="16"/>
      <c r="U713" s="16"/>
      <c r="V713" s="16"/>
      <c r="W713" s="16"/>
      <c r="X713" s="16"/>
      <c r="Y713" s="16"/>
      <c r="Z713" s="16"/>
      <c r="AA713" s="16"/>
    </row>
    <row r="714" spans="1:27" ht="24" hidden="1" customHeight="1" outlineLevel="2">
      <c r="A714" s="16" t="s">
        <v>2509</v>
      </c>
      <c r="B714" s="163" t="s">
        <v>2510</v>
      </c>
      <c r="C714" s="16" t="s">
        <v>2511</v>
      </c>
      <c r="D714" s="16" t="s">
        <v>3930</v>
      </c>
      <c r="E714" s="273">
        <v>45240</v>
      </c>
      <c r="F714" s="56" t="b">
        <v>1</v>
      </c>
      <c r="G714" s="205" t="s">
        <v>4750</v>
      </c>
      <c r="H714" s="323" t="s">
        <v>4751</v>
      </c>
      <c r="I714" s="56" t="b">
        <v>1</v>
      </c>
      <c r="J714" s="16" t="s">
        <v>3621</v>
      </c>
      <c r="K714" s="205"/>
      <c r="L714" s="16"/>
      <c r="M714" s="16"/>
      <c r="N714" s="16"/>
      <c r="O714" s="16"/>
      <c r="P714" s="16"/>
      <c r="Q714" s="16"/>
      <c r="R714" s="16"/>
      <c r="S714" s="16"/>
      <c r="T714" s="16"/>
      <c r="U714" s="16"/>
      <c r="V714" s="16"/>
      <c r="W714" s="16"/>
      <c r="X714" s="16"/>
      <c r="Y714" s="16"/>
      <c r="Z714" s="16"/>
      <c r="AA714" s="16"/>
    </row>
    <row r="715" spans="1:27" ht="24" hidden="1" customHeight="1" outlineLevel="2">
      <c r="A715" s="16" t="s">
        <v>2512</v>
      </c>
      <c r="B715" s="16" t="s">
        <v>2513</v>
      </c>
      <c r="C715" s="16" t="s">
        <v>2514</v>
      </c>
      <c r="D715" s="16" t="s">
        <v>3696</v>
      </c>
      <c r="E715" s="273">
        <v>45240</v>
      </c>
      <c r="F715" s="56" t="b">
        <v>1</v>
      </c>
      <c r="G715" s="205" t="s">
        <v>4752</v>
      </c>
      <c r="H715" s="324" t="s">
        <v>4753</v>
      </c>
      <c r="I715" s="56" t="b">
        <v>1</v>
      </c>
      <c r="J715" s="16" t="s">
        <v>4727</v>
      </c>
      <c r="K715" s="205"/>
      <c r="L715" s="16"/>
      <c r="M715" s="16"/>
      <c r="N715" s="16"/>
      <c r="O715" s="16"/>
      <c r="P715" s="16"/>
      <c r="Q715" s="16"/>
      <c r="R715" s="16"/>
      <c r="S715" s="16"/>
      <c r="T715" s="16"/>
      <c r="U715" s="16"/>
      <c r="V715" s="16"/>
      <c r="W715" s="16"/>
      <c r="X715" s="16"/>
      <c r="Y715" s="16"/>
      <c r="Z715" s="16"/>
      <c r="AA715" s="16"/>
    </row>
    <row r="716" spans="1:27" ht="24" hidden="1" customHeight="1" outlineLevel="2">
      <c r="A716" s="16" t="s">
        <v>2515</v>
      </c>
      <c r="B716" s="16" t="s">
        <v>2517</v>
      </c>
      <c r="C716" s="16" t="s">
        <v>2518</v>
      </c>
      <c r="D716" s="16" t="s">
        <v>3809</v>
      </c>
      <c r="E716" s="273">
        <v>45240</v>
      </c>
      <c r="F716" s="56" t="b">
        <v>1</v>
      </c>
      <c r="G716" s="205" t="s">
        <v>4754</v>
      </c>
      <c r="H716" s="323" t="s">
        <v>4755</v>
      </c>
      <c r="I716" s="56" t="b">
        <v>1</v>
      </c>
      <c r="J716" s="16" t="s">
        <v>4730</v>
      </c>
      <c r="K716" s="205"/>
      <c r="L716" s="16"/>
      <c r="M716" s="16"/>
      <c r="N716" s="16"/>
      <c r="O716" s="16"/>
      <c r="P716" s="16"/>
      <c r="Q716" s="16"/>
      <c r="R716" s="16"/>
      <c r="S716" s="16"/>
      <c r="T716" s="16"/>
      <c r="U716" s="16"/>
      <c r="V716" s="16"/>
      <c r="W716" s="16"/>
      <c r="X716" s="16"/>
      <c r="Y716" s="16"/>
      <c r="Z716" s="16"/>
      <c r="AA716" s="16"/>
    </row>
    <row r="717" spans="1:27" ht="24" hidden="1" customHeight="1" outlineLevel="2">
      <c r="A717" s="16" t="s">
        <v>2519</v>
      </c>
      <c r="B717" s="16" t="s">
        <v>2520</v>
      </c>
      <c r="C717" s="16" t="s">
        <v>2521</v>
      </c>
      <c r="D717" s="16" t="s">
        <v>3809</v>
      </c>
      <c r="E717" s="273">
        <v>45240</v>
      </c>
      <c r="F717" s="56" t="b">
        <v>1</v>
      </c>
      <c r="G717" s="205" t="s">
        <v>4756</v>
      </c>
      <c r="H717" s="324" t="s">
        <v>4757</v>
      </c>
      <c r="I717" s="56" t="b">
        <v>1</v>
      </c>
      <c r="J717" s="16" t="s">
        <v>4730</v>
      </c>
      <c r="K717" s="205"/>
      <c r="L717" s="16"/>
      <c r="M717" s="16"/>
      <c r="N717" s="16"/>
      <c r="O717" s="16"/>
      <c r="P717" s="16"/>
      <c r="Q717" s="16"/>
      <c r="R717" s="16"/>
      <c r="S717" s="16"/>
      <c r="T717" s="16"/>
      <c r="U717" s="16"/>
      <c r="V717" s="16"/>
      <c r="W717" s="16"/>
      <c r="X717" s="16"/>
      <c r="Y717" s="16"/>
      <c r="Z717" s="16"/>
      <c r="AA717" s="16"/>
    </row>
    <row r="718" spans="1:27" ht="24" hidden="1" customHeight="1" outlineLevel="2">
      <c r="A718" s="16" t="s">
        <v>2522</v>
      </c>
      <c r="B718" s="16" t="s">
        <v>2523</v>
      </c>
      <c r="C718" s="16" t="s">
        <v>2524</v>
      </c>
      <c r="D718" s="16" t="s">
        <v>3696</v>
      </c>
      <c r="E718" s="273">
        <v>45243</v>
      </c>
      <c r="F718" s="56" t="b">
        <v>1</v>
      </c>
      <c r="G718" s="205" t="s">
        <v>4758</v>
      </c>
      <c r="H718" s="323" t="s">
        <v>4759</v>
      </c>
      <c r="I718" s="56" t="b">
        <v>1</v>
      </c>
      <c r="J718" s="16" t="s">
        <v>4727</v>
      </c>
      <c r="K718" s="205"/>
      <c r="L718" s="16"/>
      <c r="M718" s="16"/>
      <c r="N718" s="16"/>
      <c r="O718" s="16"/>
      <c r="P718" s="16"/>
      <c r="Q718" s="16"/>
      <c r="R718" s="16"/>
      <c r="S718" s="16"/>
      <c r="T718" s="16"/>
      <c r="U718" s="16"/>
      <c r="V718" s="16"/>
      <c r="W718" s="16"/>
      <c r="X718" s="16"/>
      <c r="Y718" s="16"/>
      <c r="Z718" s="16"/>
      <c r="AA718" s="16"/>
    </row>
    <row r="719" spans="1:27" ht="24" hidden="1" customHeight="1" outlineLevel="2">
      <c r="A719" s="16" t="s">
        <v>2525</v>
      </c>
      <c r="B719" s="16" t="s">
        <v>2526</v>
      </c>
      <c r="C719" s="16" t="s">
        <v>2527</v>
      </c>
      <c r="D719" s="16" t="s">
        <v>3809</v>
      </c>
      <c r="E719" s="273">
        <v>45243</v>
      </c>
      <c r="F719" s="56" t="b">
        <v>1</v>
      </c>
      <c r="G719" s="205" t="s">
        <v>4760</v>
      </c>
      <c r="H719" s="323" t="s">
        <v>4761</v>
      </c>
      <c r="I719" s="56" t="b">
        <v>1</v>
      </c>
      <c r="J719" s="16" t="s">
        <v>4730</v>
      </c>
      <c r="K719" s="205"/>
      <c r="L719" s="16"/>
      <c r="M719" s="16"/>
      <c r="N719" s="16"/>
      <c r="O719" s="16"/>
      <c r="P719" s="16"/>
      <c r="Q719" s="16"/>
      <c r="R719" s="16"/>
      <c r="S719" s="16"/>
      <c r="T719" s="16"/>
      <c r="U719" s="16"/>
      <c r="V719" s="16"/>
      <c r="W719" s="16"/>
      <c r="X719" s="16"/>
      <c r="Y719" s="16"/>
      <c r="Z719" s="16"/>
      <c r="AA719" s="16"/>
    </row>
    <row r="720" spans="1:27" ht="24" hidden="1" customHeight="1" outlineLevel="2">
      <c r="A720" s="16" t="s">
        <v>2528</v>
      </c>
      <c r="B720" s="16" t="s">
        <v>2529</v>
      </c>
      <c r="C720" s="16" t="s">
        <v>2530</v>
      </c>
      <c r="D720" s="16" t="s">
        <v>3809</v>
      </c>
      <c r="E720" s="273">
        <v>45243</v>
      </c>
      <c r="F720" s="56" t="b">
        <v>1</v>
      </c>
      <c r="G720" s="205" t="s">
        <v>4762</v>
      </c>
      <c r="H720" s="323" t="s">
        <v>4763</v>
      </c>
      <c r="I720" s="56" t="b">
        <v>1</v>
      </c>
      <c r="J720" s="16" t="s">
        <v>4730</v>
      </c>
      <c r="K720" s="205"/>
      <c r="L720" s="16"/>
      <c r="M720" s="16"/>
      <c r="N720" s="16"/>
      <c r="O720" s="16"/>
      <c r="P720" s="16"/>
      <c r="Q720" s="16"/>
      <c r="R720" s="16"/>
      <c r="S720" s="16"/>
      <c r="T720" s="16"/>
      <c r="U720" s="16"/>
      <c r="V720" s="16"/>
      <c r="W720" s="16"/>
      <c r="X720" s="16"/>
      <c r="Y720" s="16"/>
      <c r="Z720" s="16"/>
      <c r="AA720" s="16"/>
    </row>
    <row r="721" spans="1:27" ht="24" hidden="1" customHeight="1" outlineLevel="2">
      <c r="A721" s="16" t="s">
        <v>2531</v>
      </c>
      <c r="B721" s="16" t="s">
        <v>2532</v>
      </c>
      <c r="C721" s="16" t="s">
        <v>4764</v>
      </c>
      <c r="D721" s="16" t="s">
        <v>4567</v>
      </c>
      <c r="E721" s="273">
        <v>45243</v>
      </c>
      <c r="F721" s="56" t="b">
        <v>1</v>
      </c>
      <c r="G721" s="205" t="s">
        <v>4765</v>
      </c>
      <c r="H721" s="205"/>
      <c r="I721" s="56" t="b">
        <v>1</v>
      </c>
      <c r="J721" s="16" t="s">
        <v>4084</v>
      </c>
      <c r="K721" s="205"/>
      <c r="L721" s="16"/>
      <c r="M721" s="16"/>
      <c r="N721" s="16"/>
      <c r="O721" s="16"/>
      <c r="P721" s="16"/>
      <c r="Q721" s="16"/>
      <c r="R721" s="16"/>
      <c r="S721" s="16"/>
      <c r="T721" s="16"/>
      <c r="U721" s="16"/>
      <c r="V721" s="16"/>
      <c r="W721" s="16"/>
      <c r="X721" s="16"/>
      <c r="Y721" s="16"/>
      <c r="Z721" s="16"/>
      <c r="AA721" s="16"/>
    </row>
    <row r="722" spans="1:27" ht="24" hidden="1" customHeight="1" outlineLevel="2">
      <c r="A722" s="16" t="s">
        <v>4766</v>
      </c>
      <c r="B722" s="16" t="s">
        <v>2535</v>
      </c>
      <c r="C722" s="16" t="s">
        <v>2536</v>
      </c>
      <c r="D722" s="16" t="s">
        <v>3692</v>
      </c>
      <c r="E722" s="273">
        <v>45244</v>
      </c>
      <c r="F722" s="56" t="b">
        <v>1</v>
      </c>
      <c r="G722" s="205" t="s">
        <v>4767</v>
      </c>
      <c r="H722" s="323" t="s">
        <v>4768</v>
      </c>
      <c r="I722" s="56" t="b">
        <v>1</v>
      </c>
      <c r="J722" s="16" t="s">
        <v>3745</v>
      </c>
      <c r="K722" s="205"/>
      <c r="L722" s="16"/>
      <c r="M722" s="16"/>
      <c r="N722" s="16"/>
      <c r="O722" s="16"/>
      <c r="P722" s="16"/>
      <c r="Q722" s="16"/>
      <c r="R722" s="16"/>
      <c r="S722" s="16"/>
      <c r="T722" s="16"/>
      <c r="U722" s="16"/>
      <c r="V722" s="16"/>
      <c r="W722" s="16"/>
      <c r="X722" s="16"/>
      <c r="Y722" s="16"/>
      <c r="Z722" s="16"/>
      <c r="AA722" s="16"/>
    </row>
    <row r="723" spans="1:27" ht="24" hidden="1" customHeight="1" outlineLevel="2">
      <c r="A723" s="16" t="s">
        <v>2537</v>
      </c>
      <c r="B723" s="16" t="s">
        <v>2538</v>
      </c>
      <c r="C723" s="16" t="s">
        <v>2539</v>
      </c>
      <c r="D723" s="16" t="s">
        <v>3809</v>
      </c>
      <c r="E723" s="273">
        <v>45245</v>
      </c>
      <c r="F723" s="56" t="b">
        <v>1</v>
      </c>
      <c r="G723" s="205" t="s">
        <v>4769</v>
      </c>
      <c r="H723" s="285" t="s">
        <v>4770</v>
      </c>
      <c r="I723" s="56" t="b">
        <v>1</v>
      </c>
      <c r="J723" s="16" t="s">
        <v>4730</v>
      </c>
      <c r="K723" s="205"/>
      <c r="L723" s="16"/>
      <c r="M723" s="16"/>
      <c r="N723" s="16"/>
      <c r="O723" s="16"/>
      <c r="P723" s="16"/>
      <c r="Q723" s="16"/>
      <c r="R723" s="16"/>
      <c r="S723" s="16"/>
      <c r="T723" s="16"/>
      <c r="U723" s="16"/>
      <c r="V723" s="16"/>
      <c r="W723" s="16"/>
      <c r="X723" s="16"/>
      <c r="Y723" s="16"/>
      <c r="Z723" s="16"/>
      <c r="AA723" s="16"/>
    </row>
    <row r="724" spans="1:27" ht="24" hidden="1" customHeight="1" outlineLevel="2">
      <c r="A724" s="16" t="s">
        <v>2540</v>
      </c>
      <c r="B724" s="16" t="s">
        <v>2541</v>
      </c>
      <c r="C724" s="16" t="s">
        <v>2542</v>
      </c>
      <c r="D724" s="16" t="s">
        <v>4528</v>
      </c>
      <c r="E724" s="273">
        <v>45245</v>
      </c>
      <c r="F724" s="56" t="b">
        <v>1</v>
      </c>
      <c r="G724" s="205" t="s">
        <v>4771</v>
      </c>
      <c r="H724" s="323" t="s">
        <v>4772</v>
      </c>
      <c r="I724" s="56" t="b">
        <v>1</v>
      </c>
      <c r="J724" s="16" t="s">
        <v>4084</v>
      </c>
      <c r="K724" s="205"/>
      <c r="L724" s="16"/>
      <c r="M724" s="16"/>
      <c r="N724" s="16"/>
      <c r="O724" s="16"/>
      <c r="P724" s="16"/>
      <c r="Q724" s="16"/>
      <c r="R724" s="16"/>
      <c r="S724" s="16"/>
      <c r="T724" s="16"/>
      <c r="U724" s="16"/>
      <c r="V724" s="16"/>
      <c r="W724" s="16"/>
      <c r="X724" s="16"/>
      <c r="Y724" s="16"/>
      <c r="Z724" s="16"/>
      <c r="AA724" s="16"/>
    </row>
    <row r="725" spans="1:27" ht="24" hidden="1" customHeight="1" outlineLevel="2">
      <c r="A725" s="16" t="s">
        <v>2543</v>
      </c>
      <c r="B725" s="16" t="s">
        <v>2544</v>
      </c>
      <c r="C725" s="16" t="s">
        <v>2545</v>
      </c>
      <c r="D725" s="16" t="s">
        <v>3718</v>
      </c>
      <c r="E725" s="273">
        <v>45245</v>
      </c>
      <c r="F725" s="56" t="b">
        <v>1</v>
      </c>
      <c r="G725" s="205" t="s">
        <v>4773</v>
      </c>
      <c r="H725" s="323" t="s">
        <v>4774</v>
      </c>
      <c r="I725" s="56" t="b">
        <v>1</v>
      </c>
      <c r="J725" s="16" t="s">
        <v>4775</v>
      </c>
      <c r="K725" s="205" t="s">
        <v>4019</v>
      </c>
      <c r="L725" s="16"/>
      <c r="M725" s="16"/>
      <c r="N725" s="16"/>
      <c r="O725" s="16"/>
      <c r="P725" s="16"/>
      <c r="Q725" s="16"/>
      <c r="R725" s="16"/>
      <c r="S725" s="16"/>
      <c r="T725" s="16"/>
      <c r="U725" s="16"/>
      <c r="V725" s="16"/>
      <c r="W725" s="16"/>
      <c r="X725" s="16"/>
      <c r="Y725" s="16"/>
      <c r="Z725" s="16"/>
      <c r="AA725" s="16"/>
    </row>
    <row r="726" spans="1:27" ht="24" hidden="1" customHeight="1" outlineLevel="2">
      <c r="A726" s="16" t="s">
        <v>2546</v>
      </c>
      <c r="B726" s="16" t="s">
        <v>2547</v>
      </c>
      <c r="C726" s="16" t="s">
        <v>2548</v>
      </c>
      <c r="D726" s="16" t="s">
        <v>3696</v>
      </c>
      <c r="E726" s="273">
        <v>45246</v>
      </c>
      <c r="F726" s="56" t="b">
        <v>1</v>
      </c>
      <c r="G726" s="205" t="s">
        <v>4776</v>
      </c>
      <c r="H726" s="323" t="s">
        <v>4777</v>
      </c>
      <c r="I726" s="56" t="b">
        <v>1</v>
      </c>
      <c r="J726" s="16" t="s">
        <v>4727</v>
      </c>
      <c r="K726" s="205"/>
      <c r="L726" s="16"/>
      <c r="M726" s="16"/>
      <c r="N726" s="16"/>
      <c r="O726" s="16"/>
      <c r="P726" s="16"/>
      <c r="Q726" s="16"/>
      <c r="R726" s="16"/>
      <c r="S726" s="16"/>
      <c r="T726" s="16"/>
      <c r="U726" s="16"/>
      <c r="V726" s="16"/>
      <c r="W726" s="16"/>
      <c r="X726" s="16"/>
      <c r="Y726" s="16"/>
      <c r="Z726" s="16"/>
      <c r="AA726" s="16"/>
    </row>
    <row r="727" spans="1:27" ht="24" hidden="1" customHeight="1" outlineLevel="2">
      <c r="A727" s="16" t="s">
        <v>2549</v>
      </c>
      <c r="B727" s="16" t="s">
        <v>2551</v>
      </c>
      <c r="C727" s="16" t="s">
        <v>2552</v>
      </c>
      <c r="D727" s="16" t="s">
        <v>3696</v>
      </c>
      <c r="E727" s="273">
        <v>45246</v>
      </c>
      <c r="F727" s="56" t="b">
        <v>1</v>
      </c>
      <c r="G727" s="205" t="s">
        <v>4778</v>
      </c>
      <c r="H727" s="323" t="s">
        <v>4779</v>
      </c>
      <c r="I727" s="56" t="b">
        <v>1</v>
      </c>
      <c r="J727" s="16" t="s">
        <v>4727</v>
      </c>
      <c r="K727" s="205"/>
      <c r="L727" s="16"/>
      <c r="M727" s="16"/>
      <c r="N727" s="16"/>
      <c r="O727" s="16"/>
      <c r="P727" s="16"/>
      <c r="Q727" s="16"/>
      <c r="R727" s="16"/>
      <c r="S727" s="16"/>
      <c r="T727" s="16"/>
      <c r="U727" s="16"/>
      <c r="V727" s="16"/>
      <c r="W727" s="16"/>
      <c r="X727" s="16"/>
      <c r="Y727" s="16"/>
      <c r="Z727" s="16"/>
      <c r="AA727" s="16"/>
    </row>
    <row r="728" spans="1:27" ht="24" hidden="1" customHeight="1" outlineLevel="2">
      <c r="A728" s="16" t="s">
        <v>2553</v>
      </c>
      <c r="B728" s="16" t="s">
        <v>2555</v>
      </c>
      <c r="C728" s="16" t="s">
        <v>2556</v>
      </c>
      <c r="D728" s="16" t="s">
        <v>4747</v>
      </c>
      <c r="E728" s="273">
        <v>45246</v>
      </c>
      <c r="F728" s="56" t="b">
        <v>1</v>
      </c>
      <c r="G728" s="205" t="s">
        <v>4780</v>
      </c>
      <c r="H728" s="323" t="s">
        <v>4781</v>
      </c>
      <c r="I728" s="56" t="b">
        <v>1</v>
      </c>
      <c r="J728" s="16" t="s">
        <v>3621</v>
      </c>
      <c r="K728" s="205"/>
      <c r="L728" s="16"/>
      <c r="M728" s="16"/>
      <c r="N728" s="16"/>
      <c r="O728" s="16"/>
      <c r="P728" s="16"/>
      <c r="Q728" s="16"/>
      <c r="R728" s="16"/>
      <c r="S728" s="16"/>
      <c r="T728" s="16"/>
      <c r="U728" s="16"/>
      <c r="V728" s="16"/>
      <c r="W728" s="16"/>
      <c r="X728" s="16"/>
      <c r="Y728" s="16"/>
      <c r="Z728" s="16"/>
      <c r="AA728" s="16"/>
    </row>
    <row r="729" spans="1:27" ht="24" hidden="1" customHeight="1" outlineLevel="2">
      <c r="A729" s="16" t="s">
        <v>2557</v>
      </c>
      <c r="B729" s="16" t="s">
        <v>2558</v>
      </c>
      <c r="C729" s="16" t="s">
        <v>2559</v>
      </c>
      <c r="D729" s="16" t="s">
        <v>4747</v>
      </c>
      <c r="E729" s="273">
        <v>45246</v>
      </c>
      <c r="F729" s="56" t="b">
        <v>1</v>
      </c>
      <c r="G729" s="205" t="s">
        <v>4782</v>
      </c>
      <c r="H729" s="323" t="s">
        <v>4783</v>
      </c>
      <c r="I729" s="56" t="b">
        <v>1</v>
      </c>
      <c r="J729" s="16" t="s">
        <v>3621</v>
      </c>
      <c r="K729" s="205"/>
      <c r="L729" s="16"/>
      <c r="M729" s="16"/>
      <c r="N729" s="16"/>
      <c r="O729" s="16"/>
      <c r="P729" s="16"/>
      <c r="Q729" s="16"/>
      <c r="R729" s="16"/>
      <c r="S729" s="16"/>
      <c r="T729" s="16"/>
      <c r="U729" s="16"/>
      <c r="V729" s="16"/>
      <c r="W729" s="16"/>
      <c r="X729" s="16"/>
      <c r="Y729" s="16"/>
      <c r="Z729" s="16"/>
      <c r="AA729" s="16"/>
    </row>
    <row r="730" spans="1:27" ht="24" hidden="1" customHeight="1" outlineLevel="2">
      <c r="A730" s="16" t="s">
        <v>2560</v>
      </c>
      <c r="B730" s="16" t="s">
        <v>2562</v>
      </c>
      <c r="C730" s="16" t="s">
        <v>2563</v>
      </c>
      <c r="D730" s="16" t="s">
        <v>3809</v>
      </c>
      <c r="E730" s="273">
        <v>45247</v>
      </c>
      <c r="F730" s="56" t="b">
        <v>1</v>
      </c>
      <c r="G730" s="205" t="s">
        <v>4784</v>
      </c>
      <c r="H730" s="323" t="s">
        <v>4785</v>
      </c>
      <c r="I730" s="56" t="b">
        <v>1</v>
      </c>
      <c r="J730" s="16" t="s">
        <v>4730</v>
      </c>
      <c r="K730" s="205"/>
      <c r="L730" s="16"/>
      <c r="M730" s="16"/>
      <c r="N730" s="16"/>
      <c r="O730" s="16"/>
      <c r="P730" s="16"/>
      <c r="Q730" s="16"/>
      <c r="R730" s="16"/>
      <c r="S730" s="16"/>
      <c r="T730" s="16"/>
      <c r="U730" s="16"/>
      <c r="V730" s="16"/>
      <c r="W730" s="16"/>
      <c r="X730" s="16"/>
      <c r="Y730" s="16"/>
      <c r="Z730" s="16"/>
      <c r="AA730" s="16"/>
    </row>
    <row r="731" spans="1:27" ht="24" hidden="1" customHeight="1" outlineLevel="2">
      <c r="A731" s="16" t="s">
        <v>2564</v>
      </c>
      <c r="B731" s="16" t="s">
        <v>2565</v>
      </c>
      <c r="C731" s="16" t="s">
        <v>2566</v>
      </c>
      <c r="D731" s="16" t="s">
        <v>3790</v>
      </c>
      <c r="E731" s="273">
        <v>45247</v>
      </c>
      <c r="F731" s="56" t="b">
        <v>1</v>
      </c>
      <c r="G731" s="205" t="s">
        <v>4786</v>
      </c>
      <c r="H731" s="323" t="s">
        <v>4787</v>
      </c>
      <c r="I731" s="56" t="b">
        <v>1</v>
      </c>
      <c r="J731" s="16" t="s">
        <v>4256</v>
      </c>
      <c r="K731" s="205"/>
      <c r="L731" s="16"/>
      <c r="M731" s="16"/>
      <c r="N731" s="16"/>
      <c r="O731" s="16"/>
      <c r="P731" s="16"/>
      <c r="Q731" s="16"/>
      <c r="R731" s="16"/>
      <c r="S731" s="16"/>
      <c r="T731" s="16"/>
      <c r="U731" s="16"/>
      <c r="V731" s="16"/>
      <c r="W731" s="16"/>
      <c r="X731" s="16"/>
      <c r="Y731" s="16"/>
      <c r="Z731" s="16"/>
      <c r="AA731" s="16"/>
    </row>
    <row r="732" spans="1:27" ht="24" hidden="1" customHeight="1" outlineLevel="2">
      <c r="A732" s="16" t="s">
        <v>2567</v>
      </c>
      <c r="B732" s="16" t="s">
        <v>2568</v>
      </c>
      <c r="C732" s="16" t="s">
        <v>2569</v>
      </c>
      <c r="D732" s="16" t="s">
        <v>4747</v>
      </c>
      <c r="E732" s="273">
        <v>45247</v>
      </c>
      <c r="F732" s="56" t="b">
        <v>1</v>
      </c>
      <c r="G732" s="205" t="s">
        <v>4788</v>
      </c>
      <c r="H732" s="323" t="s">
        <v>4789</v>
      </c>
      <c r="I732" s="56" t="b">
        <v>1</v>
      </c>
      <c r="J732" s="16" t="s">
        <v>3621</v>
      </c>
      <c r="K732" s="205"/>
      <c r="L732" s="16"/>
      <c r="M732" s="16"/>
      <c r="N732" s="16"/>
      <c r="O732" s="16"/>
      <c r="P732" s="16"/>
      <c r="Q732" s="16"/>
      <c r="R732" s="16"/>
      <c r="S732" s="16"/>
      <c r="T732" s="16"/>
      <c r="U732" s="16"/>
      <c r="V732" s="16"/>
      <c r="W732" s="16"/>
      <c r="X732" s="16"/>
      <c r="Y732" s="16"/>
      <c r="Z732" s="16"/>
      <c r="AA732" s="16"/>
    </row>
    <row r="733" spans="1:27" ht="24" hidden="1" customHeight="1" outlineLevel="2">
      <c r="A733" s="16" t="s">
        <v>2570</v>
      </c>
      <c r="B733" s="16" t="s">
        <v>2572</v>
      </c>
      <c r="C733" s="16" t="s">
        <v>2573</v>
      </c>
      <c r="D733" s="16" t="s">
        <v>3809</v>
      </c>
      <c r="E733" s="273">
        <v>45247</v>
      </c>
      <c r="F733" s="56" t="b">
        <v>1</v>
      </c>
      <c r="G733" s="205" t="s">
        <v>4790</v>
      </c>
      <c r="H733" s="323" t="s">
        <v>4791</v>
      </c>
      <c r="I733" s="56" t="b">
        <v>1</v>
      </c>
      <c r="J733" s="16" t="s">
        <v>4730</v>
      </c>
      <c r="K733" s="205"/>
      <c r="L733" s="16"/>
      <c r="M733" s="16"/>
      <c r="N733" s="16"/>
      <c r="O733" s="16"/>
      <c r="P733" s="16"/>
      <c r="Q733" s="16"/>
      <c r="R733" s="16"/>
      <c r="S733" s="16"/>
      <c r="T733" s="16"/>
      <c r="U733" s="16"/>
      <c r="V733" s="16"/>
      <c r="W733" s="16"/>
      <c r="X733" s="16"/>
      <c r="Y733" s="16"/>
      <c r="Z733" s="16"/>
      <c r="AA733" s="16"/>
    </row>
    <row r="734" spans="1:27" ht="24" hidden="1" customHeight="1" outlineLevel="2">
      <c r="A734" s="16" t="s">
        <v>2574</v>
      </c>
      <c r="B734" s="16" t="s">
        <v>2576</v>
      </c>
      <c r="C734" s="16" t="s">
        <v>2577</v>
      </c>
      <c r="D734" s="16" t="s">
        <v>3809</v>
      </c>
      <c r="E734" s="273">
        <v>45247</v>
      </c>
      <c r="F734" s="56" t="b">
        <v>1</v>
      </c>
      <c r="G734" s="205" t="s">
        <v>4792</v>
      </c>
      <c r="H734" s="323" t="s">
        <v>4793</v>
      </c>
      <c r="I734" s="56" t="b">
        <v>1</v>
      </c>
      <c r="J734" s="16" t="s">
        <v>4730</v>
      </c>
      <c r="K734" s="205"/>
      <c r="L734" s="16"/>
      <c r="M734" s="16"/>
      <c r="N734" s="16"/>
      <c r="O734" s="16"/>
      <c r="P734" s="16"/>
      <c r="Q734" s="16"/>
      <c r="R734" s="16"/>
      <c r="S734" s="16"/>
      <c r="T734" s="16"/>
      <c r="U734" s="16"/>
      <c r="V734" s="16"/>
      <c r="W734" s="16"/>
      <c r="X734" s="16"/>
      <c r="Y734" s="16"/>
      <c r="Z734" s="16"/>
      <c r="AA734" s="16"/>
    </row>
    <row r="735" spans="1:27" ht="24" hidden="1" customHeight="1" outlineLevel="2">
      <c r="A735" s="16" t="s">
        <v>2578</v>
      </c>
      <c r="B735" s="16" t="s">
        <v>2579</v>
      </c>
      <c r="C735" s="16" t="s">
        <v>2580</v>
      </c>
      <c r="D735" s="16" t="s">
        <v>3930</v>
      </c>
      <c r="E735" s="273">
        <v>45247</v>
      </c>
      <c r="F735" s="56" t="b">
        <v>1</v>
      </c>
      <c r="G735" s="205" t="s">
        <v>4794</v>
      </c>
      <c r="H735" s="323" t="s">
        <v>4795</v>
      </c>
      <c r="I735" s="56" t="b">
        <v>1</v>
      </c>
      <c r="J735" s="16" t="s">
        <v>3621</v>
      </c>
      <c r="K735" s="205"/>
      <c r="L735" s="16"/>
      <c r="M735" s="16"/>
      <c r="N735" s="16"/>
      <c r="O735" s="16"/>
      <c r="P735" s="16"/>
      <c r="Q735" s="16"/>
      <c r="R735" s="16"/>
      <c r="S735" s="16"/>
      <c r="T735" s="16"/>
      <c r="U735" s="16"/>
      <c r="V735" s="16"/>
      <c r="W735" s="16"/>
      <c r="X735" s="16"/>
      <c r="Y735" s="16"/>
      <c r="Z735" s="16"/>
      <c r="AA735" s="16"/>
    </row>
    <row r="736" spans="1:27" ht="24" hidden="1" customHeight="1" outlineLevel="2">
      <c r="A736" s="16" t="s">
        <v>2581</v>
      </c>
      <c r="B736" s="16" t="s">
        <v>2582</v>
      </c>
      <c r="C736" s="16" t="s">
        <v>2583</v>
      </c>
      <c r="D736" s="16" t="s">
        <v>4747</v>
      </c>
      <c r="E736" s="273">
        <v>45247</v>
      </c>
      <c r="F736" s="56" t="b">
        <v>1</v>
      </c>
      <c r="G736" s="205" t="s">
        <v>4796</v>
      </c>
      <c r="H736" s="323" t="s">
        <v>4797</v>
      </c>
      <c r="I736" s="56" t="b">
        <v>1</v>
      </c>
      <c r="J736" s="16" t="s">
        <v>3621</v>
      </c>
      <c r="K736" s="205"/>
      <c r="L736" s="16"/>
      <c r="M736" s="16"/>
      <c r="N736" s="16"/>
      <c r="O736" s="16"/>
      <c r="P736" s="16"/>
      <c r="Q736" s="16"/>
      <c r="R736" s="16"/>
      <c r="S736" s="16"/>
      <c r="T736" s="16"/>
      <c r="U736" s="16"/>
      <c r="V736" s="16"/>
      <c r="W736" s="16"/>
      <c r="X736" s="16"/>
      <c r="Y736" s="16"/>
      <c r="Z736" s="16"/>
      <c r="AA736" s="16"/>
    </row>
    <row r="737" spans="1:27" ht="24" hidden="1" customHeight="1" outlineLevel="2">
      <c r="A737" s="16" t="s">
        <v>2584</v>
      </c>
      <c r="B737" s="16" t="s">
        <v>2585</v>
      </c>
      <c r="C737" s="16" t="s">
        <v>2586</v>
      </c>
      <c r="D737" s="16" t="s">
        <v>3809</v>
      </c>
      <c r="E737" s="273">
        <v>45247</v>
      </c>
      <c r="F737" s="56" t="b">
        <v>1</v>
      </c>
      <c r="G737" s="205" t="s">
        <v>4798</v>
      </c>
      <c r="H737" s="323" t="s">
        <v>4799</v>
      </c>
      <c r="I737" s="56" t="b">
        <v>1</v>
      </c>
      <c r="J737" s="16" t="s">
        <v>4730</v>
      </c>
      <c r="K737" s="205"/>
      <c r="L737" s="16"/>
      <c r="M737" s="16"/>
      <c r="N737" s="16"/>
      <c r="O737" s="16"/>
      <c r="P737" s="16"/>
      <c r="Q737" s="16"/>
      <c r="R737" s="16"/>
      <c r="S737" s="16"/>
      <c r="T737" s="16"/>
      <c r="U737" s="16"/>
      <c r="V737" s="16"/>
      <c r="W737" s="16"/>
      <c r="X737" s="16"/>
      <c r="Y737" s="16"/>
      <c r="Z737" s="16"/>
      <c r="AA737" s="16"/>
    </row>
    <row r="738" spans="1:27" ht="24" hidden="1" customHeight="1" outlineLevel="2">
      <c r="A738" s="16" t="s">
        <v>2587</v>
      </c>
      <c r="B738" s="16" t="s">
        <v>2588</v>
      </c>
      <c r="C738" s="16" t="s">
        <v>2589</v>
      </c>
      <c r="D738" s="16" t="s">
        <v>4800</v>
      </c>
      <c r="E738" s="273">
        <v>45247</v>
      </c>
      <c r="F738" s="56" t="b">
        <v>1</v>
      </c>
      <c r="G738" s="205" t="s">
        <v>4801</v>
      </c>
      <c r="H738" s="323" t="s">
        <v>4802</v>
      </c>
      <c r="I738" s="56" t="b">
        <v>1</v>
      </c>
      <c r="J738" s="16" t="s">
        <v>3981</v>
      </c>
      <c r="K738" s="205"/>
      <c r="L738" s="16"/>
      <c r="M738" s="16"/>
      <c r="N738" s="16"/>
      <c r="O738" s="16"/>
      <c r="P738" s="16"/>
      <c r="Q738" s="16"/>
      <c r="R738" s="16"/>
      <c r="S738" s="16"/>
      <c r="T738" s="16"/>
      <c r="U738" s="16"/>
      <c r="V738" s="16"/>
      <c r="W738" s="16"/>
      <c r="X738" s="16"/>
      <c r="Y738" s="16"/>
      <c r="Z738" s="16"/>
      <c r="AA738" s="16"/>
    </row>
    <row r="739" spans="1:27" ht="24" hidden="1" customHeight="1" outlineLevel="2">
      <c r="A739" s="16" t="s">
        <v>2590</v>
      </c>
      <c r="B739" s="16" t="s">
        <v>2591</v>
      </c>
      <c r="C739" s="16" t="s">
        <v>2592</v>
      </c>
      <c r="D739" s="16" t="s">
        <v>3692</v>
      </c>
      <c r="E739" s="273">
        <v>45247</v>
      </c>
      <c r="F739" s="56" t="b">
        <v>1</v>
      </c>
      <c r="G739" s="205" t="s">
        <v>4803</v>
      </c>
      <c r="H739" s="323" t="s">
        <v>4804</v>
      </c>
      <c r="I739" s="56" t="b">
        <v>1</v>
      </c>
      <c r="J739" s="16" t="s">
        <v>3745</v>
      </c>
      <c r="K739" s="205"/>
      <c r="L739" s="16"/>
      <c r="M739" s="16"/>
      <c r="N739" s="16"/>
      <c r="O739" s="16"/>
      <c r="P739" s="16"/>
      <c r="Q739" s="16"/>
      <c r="R739" s="16"/>
      <c r="S739" s="16"/>
      <c r="T739" s="16"/>
      <c r="U739" s="16"/>
      <c r="V739" s="16"/>
      <c r="W739" s="16"/>
      <c r="X739" s="16"/>
      <c r="Y739" s="16"/>
      <c r="Z739" s="16"/>
      <c r="AA739" s="16"/>
    </row>
    <row r="740" spans="1:27" ht="24" hidden="1" customHeight="1" outlineLevel="2">
      <c r="A740" s="16" t="s">
        <v>2593</v>
      </c>
      <c r="B740" s="16" t="s">
        <v>2594</v>
      </c>
      <c r="C740" s="16" t="s">
        <v>2595</v>
      </c>
      <c r="D740" s="16" t="s">
        <v>3809</v>
      </c>
      <c r="E740" s="273">
        <v>45250</v>
      </c>
      <c r="F740" s="56" t="b">
        <v>1</v>
      </c>
      <c r="G740" s="205" t="s">
        <v>4805</v>
      </c>
      <c r="H740" s="323" t="s">
        <v>4806</v>
      </c>
      <c r="I740" s="56" t="b">
        <v>1</v>
      </c>
      <c r="J740" s="16" t="s">
        <v>4730</v>
      </c>
      <c r="K740" s="205"/>
      <c r="L740" s="16"/>
      <c r="M740" s="16"/>
      <c r="N740" s="16"/>
      <c r="O740" s="16"/>
      <c r="P740" s="16"/>
      <c r="Q740" s="16"/>
      <c r="R740" s="16"/>
      <c r="S740" s="16"/>
      <c r="T740" s="16"/>
      <c r="U740" s="16"/>
      <c r="V740" s="16"/>
      <c r="W740" s="16"/>
      <c r="X740" s="16"/>
      <c r="Y740" s="16"/>
      <c r="Z740" s="16"/>
      <c r="AA740" s="16"/>
    </row>
    <row r="741" spans="1:27" ht="24" hidden="1" customHeight="1" outlineLevel="2">
      <c r="A741" s="16" t="s">
        <v>4807</v>
      </c>
      <c r="B741" s="16" t="s">
        <v>2597</v>
      </c>
      <c r="C741" s="16" t="s">
        <v>2598</v>
      </c>
      <c r="D741" s="16" t="s">
        <v>3930</v>
      </c>
      <c r="E741" s="273">
        <v>45250</v>
      </c>
      <c r="F741" s="56" t="b">
        <v>1</v>
      </c>
      <c r="G741" s="205" t="s">
        <v>4808</v>
      </c>
      <c r="H741" s="323" t="s">
        <v>4809</v>
      </c>
      <c r="I741" s="56" t="b">
        <v>1</v>
      </c>
      <c r="J741" s="16" t="s">
        <v>3621</v>
      </c>
      <c r="K741" s="205"/>
      <c r="L741" s="16"/>
      <c r="M741" s="16"/>
      <c r="N741" s="16"/>
      <c r="O741" s="16"/>
      <c r="P741" s="16"/>
      <c r="Q741" s="16"/>
      <c r="R741" s="16"/>
      <c r="S741" s="16"/>
      <c r="T741" s="16"/>
      <c r="U741" s="16"/>
      <c r="V741" s="16"/>
      <c r="W741" s="16"/>
      <c r="X741" s="16"/>
      <c r="Y741" s="16"/>
      <c r="Z741" s="16"/>
      <c r="AA741" s="16"/>
    </row>
    <row r="742" spans="1:27" ht="24" hidden="1" customHeight="1" outlineLevel="2">
      <c r="A742" s="16" t="s">
        <v>2599</v>
      </c>
      <c r="B742" s="16" t="s">
        <v>2600</v>
      </c>
      <c r="C742" s="16" t="s">
        <v>2601</v>
      </c>
      <c r="D742" s="16" t="s">
        <v>3692</v>
      </c>
      <c r="E742" s="273">
        <v>45250</v>
      </c>
      <c r="F742" s="56" t="b">
        <v>1</v>
      </c>
      <c r="G742" s="205" t="s">
        <v>4810</v>
      </c>
      <c r="H742" s="323" t="s">
        <v>4811</v>
      </c>
      <c r="I742" s="56" t="b">
        <v>1</v>
      </c>
      <c r="J742" s="16" t="s">
        <v>3745</v>
      </c>
      <c r="K742" s="205"/>
      <c r="L742" s="16"/>
      <c r="M742" s="16"/>
      <c r="N742" s="16"/>
      <c r="O742" s="16"/>
      <c r="P742" s="16"/>
      <c r="Q742" s="16"/>
      <c r="R742" s="16"/>
      <c r="S742" s="16"/>
      <c r="T742" s="16"/>
      <c r="U742" s="16"/>
      <c r="V742" s="16"/>
      <c r="W742" s="16"/>
      <c r="X742" s="16"/>
      <c r="Y742" s="16"/>
      <c r="Z742" s="16"/>
      <c r="AA742" s="16"/>
    </row>
    <row r="743" spans="1:27" ht="24" hidden="1" customHeight="1" outlineLevel="2">
      <c r="A743" s="16" t="s">
        <v>2602</v>
      </c>
      <c r="B743" s="16" t="s">
        <v>2603</v>
      </c>
      <c r="C743" s="16" t="s">
        <v>4812</v>
      </c>
      <c r="D743" s="16" t="s">
        <v>3692</v>
      </c>
      <c r="E743" s="273">
        <v>45250</v>
      </c>
      <c r="F743" s="56" t="b">
        <v>1</v>
      </c>
      <c r="G743" s="205" t="s">
        <v>4813</v>
      </c>
      <c r="H743" s="323" t="s">
        <v>4814</v>
      </c>
      <c r="I743" s="56" t="b">
        <v>1</v>
      </c>
      <c r="J743" s="16" t="s">
        <v>3745</v>
      </c>
      <c r="K743" s="205"/>
      <c r="L743" s="16"/>
      <c r="M743" s="16"/>
      <c r="N743" s="16"/>
      <c r="O743" s="16"/>
      <c r="P743" s="16"/>
      <c r="Q743" s="16"/>
      <c r="R743" s="16"/>
      <c r="S743" s="16"/>
      <c r="T743" s="16"/>
      <c r="U743" s="16"/>
      <c r="V743" s="16"/>
      <c r="W743" s="16"/>
      <c r="X743" s="16"/>
      <c r="Y743" s="16"/>
      <c r="Z743" s="16"/>
      <c r="AA743" s="16"/>
    </row>
    <row r="744" spans="1:27" ht="24" hidden="1" customHeight="1" outlineLevel="2">
      <c r="A744" s="16" t="s">
        <v>2605</v>
      </c>
      <c r="B744" s="16" t="s">
        <v>2606</v>
      </c>
      <c r="C744" s="16" t="s">
        <v>2607</v>
      </c>
      <c r="D744" s="16" t="s">
        <v>4747</v>
      </c>
      <c r="E744" s="273">
        <v>45250</v>
      </c>
      <c r="F744" s="56" t="b">
        <v>1</v>
      </c>
      <c r="G744" s="205" t="s">
        <v>4815</v>
      </c>
      <c r="H744" s="323" t="s">
        <v>4816</v>
      </c>
      <c r="I744" s="56" t="b">
        <v>1</v>
      </c>
      <c r="J744" s="16" t="s">
        <v>3621</v>
      </c>
      <c r="K744" s="205"/>
      <c r="L744" s="16"/>
      <c r="M744" s="16"/>
      <c r="N744" s="16"/>
      <c r="O744" s="16"/>
      <c r="P744" s="16"/>
      <c r="Q744" s="16"/>
      <c r="R744" s="16"/>
      <c r="S744" s="16"/>
      <c r="T744" s="16"/>
      <c r="U744" s="16"/>
      <c r="V744" s="16"/>
      <c r="W744" s="16"/>
      <c r="X744" s="16"/>
      <c r="Y744" s="16"/>
      <c r="Z744" s="16"/>
      <c r="AA744" s="16"/>
    </row>
    <row r="745" spans="1:27" ht="24" hidden="1" customHeight="1" outlineLevel="2">
      <c r="A745" s="16" t="s">
        <v>2608</v>
      </c>
      <c r="B745" s="16" t="s">
        <v>4817</v>
      </c>
      <c r="C745" s="16" t="s">
        <v>2611</v>
      </c>
      <c r="D745" s="16" t="s">
        <v>3790</v>
      </c>
      <c r="E745" s="273">
        <v>45250</v>
      </c>
      <c r="F745" s="56" t="b">
        <v>1</v>
      </c>
      <c r="G745" s="205" t="s">
        <v>4818</v>
      </c>
      <c r="H745" s="323" t="s">
        <v>4819</v>
      </c>
      <c r="I745" s="56" t="b">
        <v>1</v>
      </c>
      <c r="J745" s="16" t="s">
        <v>4256</v>
      </c>
      <c r="K745" s="205"/>
      <c r="L745" s="16"/>
      <c r="M745" s="16"/>
      <c r="N745" s="16"/>
      <c r="O745" s="16"/>
      <c r="P745" s="16"/>
      <c r="Q745" s="16"/>
      <c r="R745" s="16"/>
      <c r="S745" s="16"/>
      <c r="T745" s="16"/>
      <c r="U745" s="16"/>
      <c r="V745" s="16"/>
      <c r="W745" s="16"/>
      <c r="X745" s="16"/>
      <c r="Y745" s="16"/>
      <c r="Z745" s="16"/>
      <c r="AA745" s="16"/>
    </row>
    <row r="746" spans="1:27" ht="24" hidden="1" customHeight="1" outlineLevel="2">
      <c r="A746" s="16" t="s">
        <v>2612</v>
      </c>
      <c r="B746" s="16" t="s">
        <v>2613</v>
      </c>
      <c r="C746" s="16" t="s">
        <v>2614</v>
      </c>
      <c r="D746" s="16" t="s">
        <v>3809</v>
      </c>
      <c r="E746" s="273">
        <v>45251</v>
      </c>
      <c r="F746" s="56" t="b">
        <v>1</v>
      </c>
      <c r="G746" s="205" t="s">
        <v>4820</v>
      </c>
      <c r="H746" s="323" t="s">
        <v>4821</v>
      </c>
      <c r="I746" s="56" t="b">
        <v>1</v>
      </c>
      <c r="J746" s="16" t="s">
        <v>4730</v>
      </c>
      <c r="K746" s="205"/>
      <c r="L746" s="16"/>
      <c r="M746" s="16"/>
      <c r="N746" s="16"/>
      <c r="O746" s="16"/>
      <c r="P746" s="16"/>
      <c r="Q746" s="16"/>
      <c r="R746" s="16"/>
      <c r="S746" s="16"/>
      <c r="T746" s="16"/>
      <c r="U746" s="16"/>
      <c r="V746" s="16"/>
      <c r="W746" s="16"/>
      <c r="X746" s="16"/>
      <c r="Y746" s="16"/>
      <c r="Z746" s="16"/>
      <c r="AA746" s="16"/>
    </row>
    <row r="747" spans="1:27" ht="24" hidden="1" customHeight="1" outlineLevel="2">
      <c r="A747" s="116" t="s">
        <v>4822</v>
      </c>
      <c r="B747" s="116" t="s">
        <v>2617</v>
      </c>
      <c r="C747" s="116" t="s">
        <v>4823</v>
      </c>
      <c r="D747" s="116" t="s">
        <v>4824</v>
      </c>
      <c r="E747" s="273">
        <v>45251</v>
      </c>
      <c r="F747" s="56" t="b">
        <v>1</v>
      </c>
      <c r="G747" s="205" t="s">
        <v>4825</v>
      </c>
      <c r="H747" s="323" t="s">
        <v>4826</v>
      </c>
      <c r="I747" s="56" t="b">
        <v>1</v>
      </c>
      <c r="J747" s="16" t="s">
        <v>4730</v>
      </c>
      <c r="K747" s="205"/>
      <c r="L747" s="16"/>
      <c r="M747" s="16"/>
      <c r="N747" s="16"/>
      <c r="O747" s="16"/>
      <c r="P747" s="16"/>
      <c r="Q747" s="16"/>
      <c r="R747" s="16"/>
      <c r="S747" s="16"/>
      <c r="T747" s="16"/>
      <c r="U747" s="16"/>
      <c r="V747" s="16"/>
      <c r="W747" s="16"/>
      <c r="X747" s="16"/>
      <c r="Y747" s="16"/>
      <c r="Z747" s="16"/>
      <c r="AA747" s="16"/>
    </row>
    <row r="748" spans="1:27" ht="24" hidden="1" customHeight="1" outlineLevel="2">
      <c r="A748" s="16" t="s">
        <v>2619</v>
      </c>
      <c r="B748" s="16" t="s">
        <v>2620</v>
      </c>
      <c r="C748" s="16" t="s">
        <v>2621</v>
      </c>
      <c r="D748" s="16" t="s">
        <v>3930</v>
      </c>
      <c r="E748" s="273">
        <v>45251</v>
      </c>
      <c r="F748" s="56" t="b">
        <v>1</v>
      </c>
      <c r="G748" s="205" t="s">
        <v>4827</v>
      </c>
      <c r="H748" s="323" t="s">
        <v>4828</v>
      </c>
      <c r="I748" s="56" t="b">
        <v>1</v>
      </c>
      <c r="J748" s="16" t="s">
        <v>3621</v>
      </c>
      <c r="K748" s="205"/>
      <c r="L748" s="16"/>
      <c r="M748" s="16"/>
      <c r="N748" s="16"/>
      <c r="O748" s="16"/>
      <c r="P748" s="16"/>
      <c r="Q748" s="16"/>
      <c r="R748" s="16"/>
      <c r="S748" s="16"/>
      <c r="T748" s="16"/>
      <c r="U748" s="16"/>
      <c r="V748" s="16"/>
      <c r="W748" s="16"/>
      <c r="X748" s="16"/>
      <c r="Y748" s="16"/>
      <c r="Z748" s="16"/>
      <c r="AA748" s="16"/>
    </row>
    <row r="749" spans="1:27" ht="24" hidden="1" customHeight="1" outlineLevel="2">
      <c r="A749" s="16" t="s">
        <v>2622</v>
      </c>
      <c r="B749" s="16" t="s">
        <v>2623</v>
      </c>
      <c r="C749" s="16" t="s">
        <v>2624</v>
      </c>
      <c r="D749" s="16" t="s">
        <v>3696</v>
      </c>
      <c r="E749" s="273">
        <v>45251</v>
      </c>
      <c r="F749" s="56" t="b">
        <v>1</v>
      </c>
      <c r="G749" s="205" t="s">
        <v>4829</v>
      </c>
      <c r="H749" s="323" t="s">
        <v>4830</v>
      </c>
      <c r="I749" s="56" t="b">
        <v>1</v>
      </c>
      <c r="J749" s="16" t="s">
        <v>4727</v>
      </c>
      <c r="K749" s="205"/>
      <c r="L749" s="16"/>
      <c r="M749" s="16"/>
      <c r="N749" s="16"/>
      <c r="O749" s="16"/>
      <c r="P749" s="16"/>
      <c r="Q749" s="16"/>
      <c r="R749" s="16"/>
      <c r="S749" s="16"/>
      <c r="T749" s="16"/>
      <c r="U749" s="16"/>
      <c r="V749" s="16"/>
      <c r="W749" s="16"/>
      <c r="X749" s="16"/>
      <c r="Y749" s="16"/>
      <c r="Z749" s="16"/>
      <c r="AA749" s="16"/>
    </row>
    <row r="750" spans="1:27" ht="24" hidden="1" customHeight="1" outlineLevel="2">
      <c r="A750" s="16" t="s">
        <v>2625</v>
      </c>
      <c r="B750" s="16" t="s">
        <v>4831</v>
      </c>
      <c r="C750" s="16" t="s">
        <v>4832</v>
      </c>
      <c r="D750" s="16" t="s">
        <v>3930</v>
      </c>
      <c r="E750" s="273">
        <v>45251</v>
      </c>
      <c r="F750" s="56" t="b">
        <v>1</v>
      </c>
      <c r="G750" s="205" t="s">
        <v>4833</v>
      </c>
      <c r="H750" s="324" t="s">
        <v>4834</v>
      </c>
      <c r="I750" s="56" t="b">
        <v>1</v>
      </c>
      <c r="J750" s="16" t="s">
        <v>3621</v>
      </c>
      <c r="K750" s="205"/>
      <c r="L750" s="16"/>
      <c r="M750" s="16"/>
      <c r="N750" s="16"/>
      <c r="O750" s="16"/>
      <c r="P750" s="16"/>
      <c r="Q750" s="16"/>
      <c r="R750" s="16"/>
      <c r="S750" s="16"/>
      <c r="T750" s="16"/>
      <c r="U750" s="16"/>
      <c r="V750" s="16"/>
      <c r="W750" s="16"/>
      <c r="X750" s="16"/>
      <c r="Y750" s="16"/>
      <c r="Z750" s="16"/>
      <c r="AA750" s="16"/>
    </row>
    <row r="751" spans="1:27" ht="24" hidden="1" customHeight="1" outlineLevel="2">
      <c r="A751" s="16" t="s">
        <v>2629</v>
      </c>
      <c r="B751" s="16" t="s">
        <v>2630</v>
      </c>
      <c r="C751" s="16" t="s">
        <v>2631</v>
      </c>
      <c r="D751" s="16" t="s">
        <v>3696</v>
      </c>
      <c r="E751" s="273">
        <v>45252</v>
      </c>
      <c r="F751" s="56" t="b">
        <v>1</v>
      </c>
      <c r="G751" s="205" t="s">
        <v>4835</v>
      </c>
      <c r="H751" s="323" t="s">
        <v>4836</v>
      </c>
      <c r="I751" s="56" t="b">
        <v>1</v>
      </c>
      <c r="J751" s="16" t="s">
        <v>4727</v>
      </c>
      <c r="K751" s="205"/>
      <c r="L751" s="16"/>
      <c r="M751" s="16"/>
      <c r="N751" s="16"/>
      <c r="O751" s="16"/>
      <c r="P751" s="16"/>
      <c r="Q751" s="16"/>
      <c r="R751" s="16"/>
      <c r="S751" s="16"/>
      <c r="T751" s="16"/>
      <c r="U751" s="16"/>
      <c r="V751" s="16"/>
      <c r="W751" s="16"/>
      <c r="X751" s="16"/>
      <c r="Y751" s="16"/>
      <c r="Z751" s="16"/>
      <c r="AA751" s="16"/>
    </row>
    <row r="752" spans="1:27" ht="24" hidden="1" customHeight="1" outlineLevel="2">
      <c r="A752" s="16" t="s">
        <v>2632</v>
      </c>
      <c r="B752" s="16" t="s">
        <v>2633</v>
      </c>
      <c r="C752" s="16" t="s">
        <v>2634</v>
      </c>
      <c r="D752" s="16" t="s">
        <v>3809</v>
      </c>
      <c r="E752" s="273">
        <v>45252</v>
      </c>
      <c r="F752" s="56" t="b">
        <v>1</v>
      </c>
      <c r="G752" s="205" t="s">
        <v>4837</v>
      </c>
      <c r="H752" s="323" t="s">
        <v>4838</v>
      </c>
      <c r="I752" s="56" t="b">
        <v>1</v>
      </c>
      <c r="J752" s="16" t="s">
        <v>4730</v>
      </c>
      <c r="K752" s="205"/>
      <c r="L752" s="16"/>
      <c r="M752" s="16"/>
      <c r="N752" s="16"/>
      <c r="O752" s="16"/>
      <c r="P752" s="16"/>
      <c r="Q752" s="16"/>
      <c r="R752" s="16"/>
      <c r="S752" s="16"/>
      <c r="T752" s="16"/>
      <c r="U752" s="16"/>
      <c r="V752" s="16"/>
      <c r="W752" s="16"/>
      <c r="X752" s="16"/>
      <c r="Y752" s="16"/>
      <c r="Z752" s="16"/>
      <c r="AA752" s="16"/>
    </row>
    <row r="753" spans="1:27" ht="24" hidden="1" customHeight="1" outlineLevel="2">
      <c r="A753" s="16" t="s">
        <v>2635</v>
      </c>
      <c r="B753" s="16" t="s">
        <v>2636</v>
      </c>
      <c r="C753" s="16" t="s">
        <v>2637</v>
      </c>
      <c r="D753" s="16" t="s">
        <v>4747</v>
      </c>
      <c r="E753" s="273">
        <v>45253</v>
      </c>
      <c r="F753" s="56" t="b">
        <v>1</v>
      </c>
      <c r="G753" s="205" t="s">
        <v>4839</v>
      </c>
      <c r="H753" s="323" t="s">
        <v>4840</v>
      </c>
      <c r="I753" s="56" t="b">
        <v>1</v>
      </c>
      <c r="J753" s="16" t="s">
        <v>3621</v>
      </c>
      <c r="K753" s="205"/>
      <c r="L753" s="16"/>
      <c r="M753" s="16"/>
      <c r="N753" s="16"/>
      <c r="O753" s="16"/>
      <c r="P753" s="16"/>
      <c r="Q753" s="16"/>
      <c r="R753" s="16"/>
      <c r="S753" s="16"/>
      <c r="T753" s="16"/>
      <c r="U753" s="16"/>
      <c r="V753" s="16"/>
      <c r="W753" s="16"/>
      <c r="X753" s="16"/>
      <c r="Y753" s="16"/>
      <c r="Z753" s="16"/>
      <c r="AA753" s="16"/>
    </row>
    <row r="754" spans="1:27" ht="24" hidden="1" customHeight="1" outlineLevel="2">
      <c r="A754" s="16" t="s">
        <v>4841</v>
      </c>
      <c r="B754" s="16" t="s">
        <v>2639</v>
      </c>
      <c r="C754" s="16" t="s">
        <v>2640</v>
      </c>
      <c r="D754" s="16" t="s">
        <v>3718</v>
      </c>
      <c r="E754" s="273">
        <v>45253</v>
      </c>
      <c r="F754" s="56" t="b">
        <v>1</v>
      </c>
      <c r="G754" s="205" t="s">
        <v>4842</v>
      </c>
      <c r="H754" s="323" t="s">
        <v>4843</v>
      </c>
      <c r="I754" s="56" t="b">
        <v>1</v>
      </c>
      <c r="J754" s="16" t="s">
        <v>4775</v>
      </c>
      <c r="K754" s="205"/>
      <c r="L754" s="16"/>
      <c r="M754" s="16"/>
      <c r="N754" s="16"/>
      <c r="O754" s="16"/>
      <c r="P754" s="16"/>
      <c r="Q754" s="16"/>
      <c r="R754" s="16"/>
      <c r="S754" s="16"/>
      <c r="T754" s="16"/>
      <c r="U754" s="16"/>
      <c r="V754" s="16"/>
      <c r="W754" s="16"/>
      <c r="X754" s="16"/>
      <c r="Y754" s="16"/>
      <c r="Z754" s="16"/>
      <c r="AA754" s="16"/>
    </row>
    <row r="755" spans="1:27" ht="24" hidden="1" customHeight="1" outlineLevel="2">
      <c r="A755" s="16" t="s">
        <v>2641</v>
      </c>
      <c r="B755" s="16" t="s">
        <v>2642</v>
      </c>
      <c r="C755" s="16" t="s">
        <v>2643</v>
      </c>
      <c r="D755" s="16" t="s">
        <v>4747</v>
      </c>
      <c r="E755" s="273">
        <v>45253</v>
      </c>
      <c r="F755" s="56" t="b">
        <v>1</v>
      </c>
      <c r="G755" s="205" t="s">
        <v>4844</v>
      </c>
      <c r="H755" s="323" t="s">
        <v>4845</v>
      </c>
      <c r="I755" s="56" t="b">
        <v>1</v>
      </c>
      <c r="J755" s="16" t="s">
        <v>3621</v>
      </c>
      <c r="K755" s="205"/>
      <c r="L755" s="16"/>
      <c r="M755" s="16"/>
      <c r="N755" s="16"/>
      <c r="O755" s="16"/>
      <c r="P755" s="16"/>
      <c r="Q755" s="16"/>
      <c r="R755" s="16"/>
      <c r="S755" s="16"/>
      <c r="T755" s="16"/>
      <c r="U755" s="16"/>
      <c r="V755" s="16"/>
      <c r="W755" s="16"/>
      <c r="X755" s="16"/>
      <c r="Y755" s="16"/>
      <c r="Z755" s="16"/>
      <c r="AA755" s="16"/>
    </row>
    <row r="756" spans="1:27" ht="24" hidden="1" customHeight="1" outlineLevel="2">
      <c r="A756" s="16" t="s">
        <v>4846</v>
      </c>
      <c r="B756" s="16" t="s">
        <v>2646</v>
      </c>
      <c r="C756" s="16" t="s">
        <v>2647</v>
      </c>
      <c r="D756" s="16" t="s">
        <v>4747</v>
      </c>
      <c r="E756" s="273">
        <v>45253</v>
      </c>
      <c r="F756" s="56" t="b">
        <v>1</v>
      </c>
      <c r="G756" s="205" t="s">
        <v>4847</v>
      </c>
      <c r="H756" s="323" t="s">
        <v>4848</v>
      </c>
      <c r="I756" s="56" t="b">
        <v>1</v>
      </c>
      <c r="J756" s="16" t="s">
        <v>3621</v>
      </c>
      <c r="K756" s="205"/>
      <c r="L756" s="16"/>
      <c r="M756" s="16"/>
      <c r="N756" s="16"/>
      <c r="O756" s="16"/>
      <c r="P756" s="16"/>
      <c r="Q756" s="16"/>
      <c r="R756" s="16"/>
      <c r="S756" s="16"/>
      <c r="T756" s="16"/>
      <c r="U756" s="16"/>
      <c r="V756" s="16"/>
      <c r="W756" s="16"/>
      <c r="X756" s="16"/>
      <c r="Y756" s="16"/>
      <c r="Z756" s="16"/>
      <c r="AA756" s="16"/>
    </row>
    <row r="757" spans="1:27" ht="24" hidden="1" customHeight="1" outlineLevel="2">
      <c r="A757" s="16" t="s">
        <v>2648</v>
      </c>
      <c r="B757" s="16" t="s">
        <v>2649</v>
      </c>
      <c r="C757" s="16" t="s">
        <v>2650</v>
      </c>
      <c r="D757" s="16" t="s">
        <v>3790</v>
      </c>
      <c r="E757" s="273">
        <v>45254</v>
      </c>
      <c r="F757" s="56" t="b">
        <v>1</v>
      </c>
      <c r="G757" s="205" t="s">
        <v>4849</v>
      </c>
      <c r="H757" s="205"/>
      <c r="I757" s="56" t="b">
        <v>1</v>
      </c>
      <c r="J757" s="16" t="s">
        <v>4256</v>
      </c>
      <c r="K757" s="205"/>
      <c r="L757" s="16"/>
      <c r="M757" s="16"/>
      <c r="N757" s="16"/>
      <c r="O757" s="16"/>
      <c r="P757" s="16"/>
      <c r="Q757" s="16"/>
      <c r="R757" s="16"/>
      <c r="S757" s="16"/>
      <c r="T757" s="16"/>
      <c r="U757" s="16"/>
      <c r="V757" s="16"/>
      <c r="W757" s="16"/>
      <c r="X757" s="16"/>
      <c r="Y757" s="16"/>
      <c r="Z757" s="16"/>
      <c r="AA757" s="16"/>
    </row>
    <row r="758" spans="1:27" ht="24" hidden="1" customHeight="1" outlineLevel="2">
      <c r="A758" s="16" t="s">
        <v>2651</v>
      </c>
      <c r="B758" s="16" t="s">
        <v>2652</v>
      </c>
      <c r="C758" s="16" t="s">
        <v>2653</v>
      </c>
      <c r="D758" s="16" t="s">
        <v>3809</v>
      </c>
      <c r="E758" s="273">
        <v>45257</v>
      </c>
      <c r="F758" s="56" t="b">
        <v>1</v>
      </c>
      <c r="G758" s="205" t="s">
        <v>4850</v>
      </c>
      <c r="H758" s="323" t="s">
        <v>4851</v>
      </c>
      <c r="I758" s="56" t="b">
        <v>1</v>
      </c>
      <c r="J758" s="16" t="s">
        <v>4730</v>
      </c>
      <c r="K758" s="205"/>
      <c r="L758" s="16"/>
      <c r="M758" s="16"/>
      <c r="N758" s="16"/>
      <c r="O758" s="16"/>
      <c r="P758" s="16"/>
      <c r="Q758" s="16"/>
      <c r="R758" s="16"/>
      <c r="S758" s="16"/>
      <c r="T758" s="16"/>
      <c r="U758" s="16"/>
      <c r="V758" s="16"/>
      <c r="W758" s="16"/>
      <c r="X758" s="16"/>
      <c r="Y758" s="16"/>
      <c r="Z758" s="16"/>
      <c r="AA758" s="16"/>
    </row>
    <row r="759" spans="1:27" ht="24" hidden="1" customHeight="1" outlineLevel="2">
      <c r="A759" s="16" t="s">
        <v>2655</v>
      </c>
      <c r="B759" s="16" t="s">
        <v>2656</v>
      </c>
      <c r="C759" s="16" t="s">
        <v>2657</v>
      </c>
      <c r="D759" s="16" t="s">
        <v>3833</v>
      </c>
      <c r="E759" s="273">
        <v>45257</v>
      </c>
      <c r="F759" s="56" t="b">
        <v>1</v>
      </c>
      <c r="G759" s="205" t="s">
        <v>4852</v>
      </c>
      <c r="H759" s="323" t="s">
        <v>4853</v>
      </c>
      <c r="I759" s="56" t="b">
        <v>1</v>
      </c>
      <c r="J759" s="16" t="s">
        <v>4281</v>
      </c>
      <c r="K759" s="205"/>
      <c r="L759" s="16"/>
      <c r="M759" s="16"/>
      <c r="N759" s="16"/>
      <c r="O759" s="16"/>
      <c r="P759" s="16"/>
      <c r="Q759" s="16"/>
      <c r="R759" s="16"/>
      <c r="S759" s="16"/>
      <c r="T759" s="16"/>
      <c r="U759" s="16"/>
      <c r="V759" s="16"/>
      <c r="W759" s="16"/>
      <c r="X759" s="16"/>
      <c r="Y759" s="16"/>
      <c r="Z759" s="16"/>
      <c r="AA759" s="16"/>
    </row>
    <row r="760" spans="1:27" ht="24" hidden="1" customHeight="1" outlineLevel="2">
      <c r="A760" s="16" t="s">
        <v>2658</v>
      </c>
      <c r="B760" s="16" t="s">
        <v>2659</v>
      </c>
      <c r="C760" s="16" t="s">
        <v>2660</v>
      </c>
      <c r="D760" s="16" t="s">
        <v>4747</v>
      </c>
      <c r="E760" s="273">
        <v>45257</v>
      </c>
      <c r="F760" s="56" t="b">
        <v>1</v>
      </c>
      <c r="G760" s="205" t="s">
        <v>4854</v>
      </c>
      <c r="H760" s="323" t="s">
        <v>4855</v>
      </c>
      <c r="I760" s="56" t="b">
        <v>1</v>
      </c>
      <c r="J760" s="16" t="s">
        <v>3621</v>
      </c>
      <c r="K760" s="205"/>
      <c r="L760" s="16"/>
      <c r="M760" s="16"/>
      <c r="N760" s="16"/>
      <c r="O760" s="16"/>
      <c r="P760" s="16"/>
      <c r="Q760" s="16"/>
      <c r="R760" s="16"/>
      <c r="S760" s="16"/>
      <c r="T760" s="16"/>
      <c r="U760" s="16"/>
      <c r="V760" s="16"/>
      <c r="W760" s="16"/>
      <c r="X760" s="16"/>
      <c r="Y760" s="16"/>
      <c r="Z760" s="16"/>
      <c r="AA760" s="16"/>
    </row>
    <row r="761" spans="1:27" ht="24" hidden="1" customHeight="1" outlineLevel="2">
      <c r="A761" s="16" t="s">
        <v>2661</v>
      </c>
      <c r="B761" s="16" t="s">
        <v>2662</v>
      </c>
      <c r="C761" s="16" t="s">
        <v>2663</v>
      </c>
      <c r="D761" s="16" t="s">
        <v>4747</v>
      </c>
      <c r="E761" s="273">
        <v>45257</v>
      </c>
      <c r="F761" s="56" t="b">
        <v>1</v>
      </c>
      <c r="G761" s="205" t="s">
        <v>4856</v>
      </c>
      <c r="H761" s="323" t="s">
        <v>4857</v>
      </c>
      <c r="I761" s="56" t="b">
        <v>1</v>
      </c>
      <c r="J761" s="16" t="s">
        <v>3621</v>
      </c>
      <c r="K761" s="205"/>
      <c r="L761" s="16"/>
      <c r="M761" s="16"/>
      <c r="N761" s="16"/>
      <c r="O761" s="16"/>
      <c r="P761" s="16"/>
      <c r="Q761" s="16"/>
      <c r="R761" s="16"/>
      <c r="S761" s="16"/>
      <c r="T761" s="16"/>
      <c r="U761" s="16"/>
      <c r="V761" s="16"/>
      <c r="W761" s="16"/>
      <c r="X761" s="16"/>
      <c r="Y761" s="16"/>
      <c r="Z761" s="16"/>
      <c r="AA761" s="16"/>
    </row>
    <row r="762" spans="1:27" ht="24" hidden="1" customHeight="1" outlineLevel="2">
      <c r="A762" s="16" t="s">
        <v>2664</v>
      </c>
      <c r="B762" s="16" t="s">
        <v>2665</v>
      </c>
      <c r="C762" s="16" t="s">
        <v>2666</v>
      </c>
      <c r="D762" s="16" t="s">
        <v>4747</v>
      </c>
      <c r="E762" s="273">
        <v>45257</v>
      </c>
      <c r="F762" s="56" t="b">
        <v>1</v>
      </c>
      <c r="G762" s="205" t="s">
        <v>4858</v>
      </c>
      <c r="H762" s="323" t="s">
        <v>4859</v>
      </c>
      <c r="I762" s="56" t="b">
        <v>1</v>
      </c>
      <c r="J762" s="16" t="s">
        <v>3621</v>
      </c>
      <c r="K762" s="205"/>
      <c r="L762" s="16"/>
      <c r="M762" s="16"/>
      <c r="N762" s="16"/>
      <c r="O762" s="16"/>
      <c r="P762" s="16"/>
      <c r="Q762" s="16"/>
      <c r="R762" s="16"/>
      <c r="S762" s="16"/>
      <c r="T762" s="16"/>
      <c r="U762" s="16"/>
      <c r="V762" s="16"/>
      <c r="W762" s="16"/>
      <c r="X762" s="16"/>
      <c r="Y762" s="16"/>
      <c r="Z762" s="16"/>
      <c r="AA762" s="16"/>
    </row>
    <row r="763" spans="1:27" ht="24" hidden="1" customHeight="1" outlineLevel="2">
      <c r="A763" s="16" t="s">
        <v>4860</v>
      </c>
      <c r="B763" s="16" t="s">
        <v>2669</v>
      </c>
      <c r="C763" s="16" t="s">
        <v>2670</v>
      </c>
      <c r="D763" s="16" t="s">
        <v>4747</v>
      </c>
      <c r="E763" s="273">
        <v>45257</v>
      </c>
      <c r="F763" s="56" t="b">
        <v>1</v>
      </c>
      <c r="G763" s="205" t="s">
        <v>4861</v>
      </c>
      <c r="H763" s="323" t="s">
        <v>4862</v>
      </c>
      <c r="I763" s="56" t="b">
        <v>1</v>
      </c>
      <c r="J763" s="16" t="s">
        <v>3621</v>
      </c>
      <c r="K763" s="205"/>
      <c r="L763" s="16"/>
      <c r="M763" s="16"/>
      <c r="N763" s="16"/>
      <c r="O763" s="16"/>
      <c r="P763" s="16"/>
      <c r="Q763" s="16"/>
      <c r="R763" s="16"/>
      <c r="S763" s="16"/>
      <c r="T763" s="16"/>
      <c r="U763" s="16"/>
      <c r="V763" s="16"/>
      <c r="W763" s="16"/>
      <c r="X763" s="16"/>
      <c r="Y763" s="16"/>
      <c r="Z763" s="16"/>
      <c r="AA763" s="16"/>
    </row>
    <row r="764" spans="1:27" ht="24" hidden="1" customHeight="1" outlineLevel="2">
      <c r="A764" s="16" t="s">
        <v>2671</v>
      </c>
      <c r="B764" s="16" t="s">
        <v>2672</v>
      </c>
      <c r="C764" s="16" t="s">
        <v>2673</v>
      </c>
      <c r="D764" s="16" t="s">
        <v>3809</v>
      </c>
      <c r="E764" s="273">
        <v>45257</v>
      </c>
      <c r="F764" s="56" t="b">
        <v>1</v>
      </c>
      <c r="G764" s="205" t="s">
        <v>4863</v>
      </c>
      <c r="H764" s="323" t="s">
        <v>4864</v>
      </c>
      <c r="I764" s="56" t="b">
        <v>1</v>
      </c>
      <c r="J764" s="16" t="s">
        <v>4730</v>
      </c>
      <c r="K764" s="205"/>
      <c r="L764" s="16"/>
      <c r="M764" s="16"/>
      <c r="N764" s="16"/>
      <c r="O764" s="16"/>
      <c r="P764" s="16"/>
      <c r="Q764" s="16"/>
      <c r="R764" s="16"/>
      <c r="S764" s="16"/>
      <c r="T764" s="16"/>
      <c r="U764" s="16"/>
      <c r="V764" s="16"/>
      <c r="W764" s="16"/>
      <c r="X764" s="16"/>
      <c r="Y764" s="16"/>
      <c r="Z764" s="16"/>
      <c r="AA764" s="16"/>
    </row>
    <row r="765" spans="1:27" ht="24" hidden="1" customHeight="1" outlineLevel="2">
      <c r="A765" s="16" t="s">
        <v>2674</v>
      </c>
      <c r="B765" s="16" t="s">
        <v>2675</v>
      </c>
      <c r="C765" s="16" t="s">
        <v>2676</v>
      </c>
      <c r="D765" s="16" t="s">
        <v>3809</v>
      </c>
      <c r="E765" s="273">
        <v>45258</v>
      </c>
      <c r="F765" s="56" t="b">
        <v>1</v>
      </c>
      <c r="G765" s="205" t="s">
        <v>4865</v>
      </c>
      <c r="H765" s="323" t="s">
        <v>4866</v>
      </c>
      <c r="I765" s="56" t="b">
        <v>1</v>
      </c>
      <c r="J765" s="16" t="s">
        <v>4730</v>
      </c>
      <c r="K765" s="205"/>
      <c r="L765" s="16"/>
      <c r="M765" s="16"/>
      <c r="N765" s="16"/>
      <c r="O765" s="16"/>
      <c r="P765" s="16"/>
      <c r="Q765" s="16"/>
      <c r="R765" s="16"/>
      <c r="S765" s="16"/>
      <c r="T765" s="16"/>
      <c r="U765" s="16"/>
      <c r="V765" s="16"/>
      <c r="W765" s="16"/>
      <c r="X765" s="16"/>
      <c r="Y765" s="16"/>
      <c r="Z765" s="16"/>
      <c r="AA765" s="16"/>
    </row>
    <row r="766" spans="1:27" ht="24" hidden="1" customHeight="1" outlineLevel="2">
      <c r="A766" s="16" t="s">
        <v>2677</v>
      </c>
      <c r="B766" s="16" t="s">
        <v>2678</v>
      </c>
      <c r="C766" s="16" t="s">
        <v>2679</v>
      </c>
      <c r="D766" s="16" t="s">
        <v>4747</v>
      </c>
      <c r="E766" s="273">
        <v>45258</v>
      </c>
      <c r="F766" s="56" t="b">
        <v>1</v>
      </c>
      <c r="G766" s="205" t="s">
        <v>4867</v>
      </c>
      <c r="H766" s="323" t="s">
        <v>4868</v>
      </c>
      <c r="I766" s="56" t="b">
        <v>1</v>
      </c>
      <c r="J766" s="16" t="s">
        <v>3621</v>
      </c>
      <c r="K766" s="205"/>
      <c r="L766" s="16"/>
      <c r="M766" s="16"/>
      <c r="N766" s="16"/>
      <c r="O766" s="16"/>
      <c r="P766" s="16"/>
      <c r="Q766" s="16"/>
      <c r="R766" s="16"/>
      <c r="S766" s="16"/>
      <c r="T766" s="16"/>
      <c r="U766" s="16"/>
      <c r="V766" s="16"/>
      <c r="W766" s="16"/>
      <c r="X766" s="16"/>
      <c r="Y766" s="16"/>
      <c r="Z766" s="16"/>
      <c r="AA766" s="16"/>
    </row>
    <row r="767" spans="1:27" ht="24" hidden="1" customHeight="1" outlineLevel="2">
      <c r="A767" s="16" t="s">
        <v>2680</v>
      </c>
      <c r="B767" s="16" t="s">
        <v>2681</v>
      </c>
      <c r="C767" s="16" t="s">
        <v>2682</v>
      </c>
      <c r="D767" s="16" t="s">
        <v>3809</v>
      </c>
      <c r="E767" s="273">
        <v>45258</v>
      </c>
      <c r="F767" s="56" t="b">
        <v>1</v>
      </c>
      <c r="G767" s="205" t="s">
        <v>4869</v>
      </c>
      <c r="H767" s="323" t="s">
        <v>4870</v>
      </c>
      <c r="I767" s="56" t="b">
        <v>1</v>
      </c>
      <c r="J767" s="16" t="s">
        <v>4730</v>
      </c>
      <c r="K767" s="205"/>
      <c r="L767" s="16"/>
      <c r="M767" s="16"/>
      <c r="N767" s="16"/>
      <c r="O767" s="16"/>
      <c r="P767" s="16"/>
      <c r="Q767" s="16"/>
      <c r="R767" s="16"/>
      <c r="S767" s="16"/>
      <c r="T767" s="16"/>
      <c r="U767" s="16"/>
      <c r="V767" s="16"/>
      <c r="W767" s="16"/>
      <c r="X767" s="16"/>
      <c r="Y767" s="16"/>
      <c r="Z767" s="16"/>
      <c r="AA767" s="16"/>
    </row>
    <row r="768" spans="1:27" ht="24" hidden="1" customHeight="1" outlineLevel="2">
      <c r="A768" s="16" t="s">
        <v>2683</v>
      </c>
      <c r="B768" s="16" t="s">
        <v>2685</v>
      </c>
      <c r="C768" s="16" t="s">
        <v>2686</v>
      </c>
      <c r="D768" s="16" t="s">
        <v>4747</v>
      </c>
      <c r="E768" s="273">
        <v>45259</v>
      </c>
      <c r="F768" s="56" t="b">
        <v>1</v>
      </c>
      <c r="G768" s="205" t="s">
        <v>4871</v>
      </c>
      <c r="H768" s="323" t="s">
        <v>4872</v>
      </c>
      <c r="I768" s="56" t="b">
        <v>1</v>
      </c>
      <c r="J768" s="16" t="s">
        <v>3621</v>
      </c>
      <c r="K768" s="205"/>
      <c r="L768" s="16"/>
      <c r="M768" s="16"/>
      <c r="N768" s="16"/>
      <c r="O768" s="16"/>
      <c r="P768" s="16"/>
      <c r="Q768" s="16"/>
      <c r="R768" s="16"/>
      <c r="S768" s="16"/>
      <c r="T768" s="16"/>
      <c r="U768" s="16"/>
      <c r="V768" s="16"/>
      <c r="W768" s="16"/>
      <c r="X768" s="16"/>
      <c r="Y768" s="16"/>
      <c r="Z768" s="16"/>
      <c r="AA768" s="16"/>
    </row>
    <row r="769" spans="1:27" ht="24" hidden="1" customHeight="1" outlineLevel="2">
      <c r="A769" s="16" t="s">
        <v>2687</v>
      </c>
      <c r="B769" s="16" t="s">
        <v>2689</v>
      </c>
      <c r="C769" s="16" t="s">
        <v>4873</v>
      </c>
      <c r="D769" s="16" t="s">
        <v>3809</v>
      </c>
      <c r="E769" s="273">
        <v>45259</v>
      </c>
      <c r="F769" s="56" t="b">
        <v>1</v>
      </c>
      <c r="G769" s="205" t="s">
        <v>4874</v>
      </c>
      <c r="H769" s="323" t="s">
        <v>4875</v>
      </c>
      <c r="I769" s="56" t="b">
        <v>1</v>
      </c>
      <c r="J769" s="16" t="s">
        <v>4730</v>
      </c>
      <c r="K769" s="205"/>
      <c r="L769" s="16"/>
      <c r="M769" s="16"/>
      <c r="N769" s="16"/>
      <c r="O769" s="16"/>
      <c r="P769" s="16"/>
      <c r="Q769" s="16"/>
      <c r="R769" s="16"/>
      <c r="S769" s="16"/>
      <c r="T769" s="16"/>
      <c r="U769" s="16"/>
      <c r="V769" s="16"/>
      <c r="W769" s="16"/>
      <c r="X769" s="16"/>
      <c r="Y769" s="16"/>
      <c r="Z769" s="16"/>
      <c r="AA769" s="16"/>
    </row>
    <row r="770" spans="1:27" ht="24" hidden="1" customHeight="1" outlineLevel="2">
      <c r="A770" s="16" t="s">
        <v>2692</v>
      </c>
      <c r="B770" s="16" t="s">
        <v>2693</v>
      </c>
      <c r="C770" s="16" t="s">
        <v>2694</v>
      </c>
      <c r="D770" s="16" t="s">
        <v>4747</v>
      </c>
      <c r="E770" s="273">
        <v>45260</v>
      </c>
      <c r="F770" s="56" t="b">
        <v>1</v>
      </c>
      <c r="G770" s="205" t="s">
        <v>4876</v>
      </c>
      <c r="H770" s="323" t="s">
        <v>4877</v>
      </c>
      <c r="I770" s="56" t="b">
        <v>1</v>
      </c>
      <c r="J770" s="16" t="s">
        <v>3621</v>
      </c>
      <c r="K770" s="205"/>
      <c r="L770" s="16"/>
      <c r="M770" s="16"/>
      <c r="N770" s="16"/>
      <c r="O770" s="16"/>
      <c r="P770" s="16"/>
      <c r="Q770" s="16"/>
      <c r="R770" s="16"/>
      <c r="S770" s="16"/>
      <c r="T770" s="16"/>
      <c r="U770" s="16"/>
      <c r="V770" s="16"/>
      <c r="W770" s="16"/>
      <c r="X770" s="16"/>
      <c r="Y770" s="16"/>
      <c r="Z770" s="16"/>
      <c r="AA770" s="16"/>
    </row>
    <row r="771" spans="1:27" ht="24" hidden="1" customHeight="1" outlineLevel="1">
      <c r="A771" s="278" t="s">
        <v>4878</v>
      </c>
      <c r="B771" s="162">
        <v>25</v>
      </c>
      <c r="C771" s="162"/>
      <c r="D771" s="162"/>
      <c r="E771" s="162"/>
      <c r="F771" s="162"/>
      <c r="G771" s="280"/>
      <c r="H771" s="280"/>
      <c r="I771" s="162"/>
      <c r="J771" s="162"/>
      <c r="K771" s="280"/>
      <c r="L771" s="162"/>
      <c r="M771" s="162"/>
      <c r="N771" s="162"/>
      <c r="O771" s="162"/>
      <c r="P771" s="162"/>
      <c r="Q771" s="162"/>
      <c r="R771" s="162"/>
      <c r="S771" s="162"/>
      <c r="T771" s="162"/>
      <c r="U771" s="162"/>
      <c r="V771" s="162"/>
      <c r="W771" s="162"/>
      <c r="X771" s="162"/>
      <c r="Y771" s="162"/>
      <c r="Z771" s="162"/>
      <c r="AA771" s="162"/>
    </row>
    <row r="772" spans="1:27" ht="24" hidden="1" customHeight="1" outlineLevel="1">
      <c r="A772" s="16" t="s">
        <v>2695</v>
      </c>
      <c r="B772" s="16" t="s">
        <v>2696</v>
      </c>
      <c r="C772" s="16" t="s">
        <v>2697</v>
      </c>
      <c r="D772" s="16" t="s">
        <v>3809</v>
      </c>
      <c r="E772" s="273">
        <v>45261</v>
      </c>
      <c r="F772" s="56" t="b">
        <v>1</v>
      </c>
      <c r="G772" s="205" t="s">
        <v>4879</v>
      </c>
      <c r="H772" s="323" t="s">
        <v>4880</v>
      </c>
      <c r="I772" s="56" t="b">
        <v>1</v>
      </c>
      <c r="J772" s="16" t="s">
        <v>4730</v>
      </c>
      <c r="K772" s="205"/>
      <c r="L772" s="16"/>
      <c r="M772" s="16"/>
      <c r="N772" s="16"/>
      <c r="O772" s="16"/>
      <c r="P772" s="16"/>
      <c r="Q772" s="16"/>
      <c r="R772" s="16"/>
      <c r="S772" s="16"/>
      <c r="T772" s="16"/>
      <c r="U772" s="16"/>
      <c r="V772" s="16"/>
      <c r="W772" s="16"/>
      <c r="X772" s="16"/>
      <c r="Y772" s="16"/>
      <c r="Z772" s="16"/>
      <c r="AA772" s="16"/>
    </row>
    <row r="773" spans="1:27" ht="24" hidden="1" customHeight="1" outlineLevel="1">
      <c r="A773" s="16" t="s">
        <v>2699</v>
      </c>
      <c r="B773" s="16" t="s">
        <v>2701</v>
      </c>
      <c r="C773" s="16" t="s">
        <v>2702</v>
      </c>
      <c r="D773" s="16" t="s">
        <v>3809</v>
      </c>
      <c r="E773" s="273">
        <v>45261</v>
      </c>
      <c r="F773" s="56" t="b">
        <v>1</v>
      </c>
      <c r="G773" s="205" t="s">
        <v>4881</v>
      </c>
      <c r="H773" s="323" t="s">
        <v>4882</v>
      </c>
      <c r="I773" s="56" t="b">
        <v>1</v>
      </c>
      <c r="J773" s="16" t="s">
        <v>4730</v>
      </c>
      <c r="K773" s="205"/>
      <c r="L773" s="16"/>
      <c r="M773" s="16"/>
      <c r="N773" s="16"/>
      <c r="O773" s="16"/>
      <c r="P773" s="16"/>
      <c r="Q773" s="16"/>
      <c r="R773" s="16"/>
      <c r="S773" s="16"/>
      <c r="T773" s="16"/>
      <c r="U773" s="16"/>
      <c r="V773" s="16"/>
      <c r="W773" s="16"/>
      <c r="X773" s="16"/>
      <c r="Y773" s="16"/>
      <c r="Z773" s="16"/>
      <c r="AA773" s="16"/>
    </row>
    <row r="774" spans="1:27" ht="24" hidden="1" customHeight="1" outlineLevel="1">
      <c r="A774" s="16" t="s">
        <v>4883</v>
      </c>
      <c r="B774" s="16" t="s">
        <v>2705</v>
      </c>
      <c r="C774" s="16" t="s">
        <v>2706</v>
      </c>
      <c r="D774" s="16" t="s">
        <v>4747</v>
      </c>
      <c r="E774" s="273">
        <v>45261</v>
      </c>
      <c r="F774" s="56" t="b">
        <v>1</v>
      </c>
      <c r="G774" s="205" t="s">
        <v>4884</v>
      </c>
      <c r="H774" s="323" t="s">
        <v>4885</v>
      </c>
      <c r="I774" s="56" t="b">
        <v>1</v>
      </c>
      <c r="J774" s="16" t="s">
        <v>3621</v>
      </c>
      <c r="K774" s="205"/>
      <c r="L774" s="16"/>
      <c r="M774" s="16"/>
      <c r="N774" s="16"/>
      <c r="O774" s="16"/>
      <c r="P774" s="16"/>
      <c r="Q774" s="16"/>
      <c r="R774" s="16"/>
      <c r="S774" s="16"/>
      <c r="T774" s="16"/>
      <c r="U774" s="16"/>
      <c r="V774" s="16"/>
      <c r="W774" s="16"/>
      <c r="X774" s="16"/>
      <c r="Y774" s="16"/>
      <c r="Z774" s="16"/>
      <c r="AA774" s="16"/>
    </row>
    <row r="775" spans="1:27" ht="24" hidden="1" customHeight="1" outlineLevel="1">
      <c r="A775" s="16" t="s">
        <v>2707</v>
      </c>
      <c r="B775" s="16" t="s">
        <v>2708</v>
      </c>
      <c r="C775" s="16" t="s">
        <v>2709</v>
      </c>
      <c r="D775" s="16" t="s">
        <v>4747</v>
      </c>
      <c r="E775" s="273">
        <v>45264</v>
      </c>
      <c r="F775" s="56" t="b">
        <v>1</v>
      </c>
      <c r="G775" s="205" t="s">
        <v>4886</v>
      </c>
      <c r="H775" s="323" t="s">
        <v>4887</v>
      </c>
      <c r="I775" s="56" t="b">
        <v>1</v>
      </c>
      <c r="J775" s="16" t="s">
        <v>3621</v>
      </c>
      <c r="K775" s="205"/>
      <c r="L775" s="16"/>
      <c r="M775" s="16"/>
      <c r="N775" s="16"/>
      <c r="O775" s="16"/>
      <c r="P775" s="16"/>
      <c r="Q775" s="16"/>
      <c r="R775" s="16"/>
      <c r="S775" s="16"/>
      <c r="T775" s="16"/>
      <c r="U775" s="16"/>
      <c r="V775" s="16"/>
      <c r="W775" s="16"/>
      <c r="X775" s="16"/>
      <c r="Y775" s="16"/>
      <c r="Z775" s="16"/>
      <c r="AA775" s="16"/>
    </row>
    <row r="776" spans="1:27" ht="24" hidden="1" customHeight="1" outlineLevel="1">
      <c r="A776" s="16" t="s">
        <v>2710</v>
      </c>
      <c r="B776" s="16" t="s">
        <v>2711</v>
      </c>
      <c r="C776" s="16" t="s">
        <v>2712</v>
      </c>
      <c r="D776" s="16" t="s">
        <v>4747</v>
      </c>
      <c r="E776" s="273">
        <v>45264</v>
      </c>
      <c r="F776" s="56" t="b">
        <v>0</v>
      </c>
      <c r="G776" s="205" t="s">
        <v>4888</v>
      </c>
      <c r="H776" s="323" t="s">
        <v>4889</v>
      </c>
      <c r="I776" s="56" t="b">
        <v>1</v>
      </c>
      <c r="J776" s="16" t="s">
        <v>3621</v>
      </c>
      <c r="K776" s="205"/>
      <c r="L776" s="16"/>
      <c r="M776" s="16"/>
      <c r="N776" s="16"/>
      <c r="O776" s="16"/>
      <c r="P776" s="16"/>
      <c r="Q776" s="16"/>
      <c r="R776" s="16"/>
      <c r="S776" s="16"/>
      <c r="T776" s="16"/>
      <c r="U776" s="16"/>
      <c r="V776" s="16"/>
      <c r="W776" s="16"/>
      <c r="X776" s="16"/>
      <c r="Y776" s="16"/>
      <c r="Z776" s="16"/>
      <c r="AA776" s="16"/>
    </row>
    <row r="777" spans="1:27" ht="24" hidden="1" customHeight="1" outlineLevel="1">
      <c r="A777" s="16" t="s">
        <v>4890</v>
      </c>
      <c r="B777" s="16" t="s">
        <v>2714</v>
      </c>
      <c r="C777" s="16" t="s">
        <v>2715</v>
      </c>
      <c r="D777" s="16" t="s">
        <v>3809</v>
      </c>
      <c r="E777" s="273">
        <v>45264</v>
      </c>
      <c r="F777" s="56" t="b">
        <v>1</v>
      </c>
      <c r="G777" s="205" t="s">
        <v>4891</v>
      </c>
      <c r="H777" s="323" t="s">
        <v>4892</v>
      </c>
      <c r="I777" s="56" t="b">
        <v>1</v>
      </c>
      <c r="J777" s="16" t="s">
        <v>4730</v>
      </c>
      <c r="K777" s="205"/>
      <c r="L777" s="16"/>
      <c r="M777" s="16"/>
      <c r="N777" s="16"/>
      <c r="O777" s="16"/>
      <c r="P777" s="16"/>
      <c r="Q777" s="16"/>
      <c r="R777" s="16"/>
      <c r="S777" s="16"/>
      <c r="T777" s="16"/>
      <c r="U777" s="16"/>
      <c r="V777" s="16"/>
      <c r="W777" s="16"/>
      <c r="X777" s="16"/>
      <c r="Y777" s="16"/>
      <c r="Z777" s="16"/>
      <c r="AA777" s="16"/>
    </row>
    <row r="778" spans="1:27" ht="24" hidden="1" customHeight="1" outlineLevel="1">
      <c r="A778" s="16" t="s">
        <v>2716</v>
      </c>
      <c r="B778" s="16" t="s">
        <v>2718</v>
      </c>
      <c r="C778" s="16" t="s">
        <v>2719</v>
      </c>
      <c r="D778" s="16" t="s">
        <v>3809</v>
      </c>
      <c r="E778" s="273">
        <v>45265</v>
      </c>
      <c r="F778" s="56" t="b">
        <v>0</v>
      </c>
      <c r="G778" s="205" t="s">
        <v>4893</v>
      </c>
      <c r="H778" s="323" t="s">
        <v>4894</v>
      </c>
      <c r="I778" s="56" t="b">
        <v>1</v>
      </c>
      <c r="J778" s="16" t="s">
        <v>4730</v>
      </c>
      <c r="K778" s="205"/>
      <c r="L778" s="16"/>
      <c r="M778" s="16"/>
      <c r="N778" s="16"/>
      <c r="O778" s="16"/>
      <c r="P778" s="16"/>
      <c r="Q778" s="16"/>
      <c r="R778" s="16"/>
      <c r="S778" s="16"/>
      <c r="T778" s="16"/>
      <c r="U778" s="16"/>
      <c r="V778" s="16"/>
      <c r="W778" s="16"/>
      <c r="X778" s="16"/>
      <c r="Y778" s="16"/>
      <c r="Z778" s="16"/>
      <c r="AA778" s="16"/>
    </row>
    <row r="779" spans="1:27" ht="24" hidden="1" customHeight="1" outlineLevel="1">
      <c r="A779" s="16" t="s">
        <v>663</v>
      </c>
      <c r="B779" s="16" t="s">
        <v>2722</v>
      </c>
      <c r="C779" s="16" t="s">
        <v>2723</v>
      </c>
      <c r="D779" s="16" t="s">
        <v>3718</v>
      </c>
      <c r="E779" s="273">
        <v>45265</v>
      </c>
      <c r="F779" s="56" t="b">
        <v>0</v>
      </c>
      <c r="G779" s="205" t="s">
        <v>4895</v>
      </c>
      <c r="H779" s="323" t="s">
        <v>4896</v>
      </c>
      <c r="I779" s="56" t="b">
        <v>1</v>
      </c>
      <c r="J779" s="16" t="s">
        <v>4775</v>
      </c>
      <c r="K779" s="205"/>
      <c r="L779" s="16"/>
      <c r="M779" s="16"/>
      <c r="N779" s="16"/>
      <c r="O779" s="16"/>
      <c r="P779" s="16"/>
      <c r="Q779" s="16"/>
      <c r="R779" s="16"/>
      <c r="S779" s="16"/>
      <c r="T779" s="16"/>
      <c r="U779" s="16"/>
      <c r="V779" s="16"/>
      <c r="W779" s="16"/>
      <c r="X779" s="16"/>
      <c r="Y779" s="16"/>
      <c r="Z779" s="16"/>
      <c r="AA779" s="16"/>
    </row>
    <row r="780" spans="1:27" ht="24" hidden="1" customHeight="1" outlineLevel="1">
      <c r="A780" s="16" t="s">
        <v>2724</v>
      </c>
      <c r="B780" s="16" t="s">
        <v>2725</v>
      </c>
      <c r="C780" s="16" t="s">
        <v>2726</v>
      </c>
      <c r="D780" s="16" t="s">
        <v>3790</v>
      </c>
      <c r="E780" s="273">
        <v>45265</v>
      </c>
      <c r="F780" s="56" t="b">
        <v>1</v>
      </c>
      <c r="G780" s="205" t="s">
        <v>4897</v>
      </c>
      <c r="H780" s="323" t="s">
        <v>4898</v>
      </c>
      <c r="I780" s="56" t="b">
        <v>1</v>
      </c>
      <c r="J780" s="16" t="s">
        <v>4256</v>
      </c>
      <c r="K780" s="205"/>
      <c r="L780" s="16"/>
      <c r="M780" s="16"/>
      <c r="N780" s="16"/>
      <c r="O780" s="16"/>
      <c r="P780" s="16"/>
      <c r="Q780" s="16"/>
      <c r="R780" s="16"/>
      <c r="S780" s="16"/>
      <c r="T780" s="16"/>
      <c r="U780" s="16"/>
      <c r="V780" s="16"/>
      <c r="W780" s="16"/>
      <c r="X780" s="16"/>
      <c r="Y780" s="16"/>
      <c r="Z780" s="16"/>
      <c r="AA780" s="16"/>
    </row>
    <row r="781" spans="1:27" ht="24" hidden="1" customHeight="1" outlineLevel="1">
      <c r="A781" s="16" t="s">
        <v>2727</v>
      </c>
      <c r="B781" s="16" t="s">
        <v>2729</v>
      </c>
      <c r="C781" s="16" t="s">
        <v>2730</v>
      </c>
      <c r="D781" s="16" t="s">
        <v>3692</v>
      </c>
      <c r="E781" s="273">
        <v>45268</v>
      </c>
      <c r="F781" s="56" t="b">
        <v>0</v>
      </c>
      <c r="G781" s="205" t="s">
        <v>4899</v>
      </c>
      <c r="H781" s="323" t="s">
        <v>4900</v>
      </c>
      <c r="I781" s="56" t="b">
        <v>1</v>
      </c>
      <c r="J781" s="16" t="s">
        <v>3745</v>
      </c>
      <c r="K781" s="205"/>
      <c r="L781" s="16"/>
      <c r="M781" s="16"/>
      <c r="N781" s="16"/>
      <c r="O781" s="16"/>
      <c r="P781" s="16"/>
      <c r="Q781" s="16"/>
      <c r="R781" s="16"/>
      <c r="S781" s="16"/>
      <c r="T781" s="16"/>
      <c r="U781" s="16"/>
      <c r="V781" s="16"/>
      <c r="W781" s="16"/>
      <c r="X781" s="16"/>
      <c r="Y781" s="16"/>
      <c r="Z781" s="16"/>
      <c r="AA781" s="16"/>
    </row>
    <row r="782" spans="1:27" ht="24" hidden="1" customHeight="1" outlineLevel="1">
      <c r="A782" s="16" t="s">
        <v>2732</v>
      </c>
      <c r="B782" s="16" t="s">
        <v>2733</v>
      </c>
      <c r="C782" s="16" t="s">
        <v>2734</v>
      </c>
      <c r="D782" s="16" t="s">
        <v>4747</v>
      </c>
      <c r="E782" s="273">
        <v>45271</v>
      </c>
      <c r="F782" s="56" t="b">
        <v>0</v>
      </c>
      <c r="G782" s="205" t="s">
        <v>4901</v>
      </c>
      <c r="H782" s="323" t="s">
        <v>4902</v>
      </c>
      <c r="I782" s="56" t="b">
        <v>1</v>
      </c>
      <c r="J782" s="16" t="s">
        <v>3621</v>
      </c>
      <c r="K782" s="205"/>
      <c r="L782" s="16"/>
      <c r="M782" s="16"/>
      <c r="N782" s="16"/>
      <c r="O782" s="16"/>
      <c r="P782" s="16"/>
      <c r="Q782" s="16"/>
      <c r="R782" s="16"/>
      <c r="S782" s="16"/>
      <c r="T782" s="16"/>
      <c r="U782" s="16"/>
      <c r="V782" s="16"/>
      <c r="W782" s="16"/>
      <c r="X782" s="16"/>
      <c r="Y782" s="16"/>
      <c r="Z782" s="16"/>
      <c r="AA782" s="16"/>
    </row>
    <row r="783" spans="1:27" ht="24" hidden="1" customHeight="1" outlineLevel="1">
      <c r="A783" s="16" t="s">
        <v>4903</v>
      </c>
      <c r="B783" s="16" t="s">
        <v>2737</v>
      </c>
      <c r="C783" s="16" t="s">
        <v>2738</v>
      </c>
      <c r="D783" s="16" t="s">
        <v>4747</v>
      </c>
      <c r="E783" s="273">
        <v>45272</v>
      </c>
      <c r="F783" s="56" t="b">
        <v>0</v>
      </c>
      <c r="G783" s="205" t="s">
        <v>4904</v>
      </c>
      <c r="H783" s="323" t="s">
        <v>4905</v>
      </c>
      <c r="I783" s="56" t="b">
        <v>1</v>
      </c>
      <c r="J783" s="16" t="s">
        <v>3621</v>
      </c>
      <c r="K783" s="205"/>
      <c r="L783" s="16"/>
      <c r="M783" s="16"/>
      <c r="N783" s="16"/>
      <c r="O783" s="16"/>
      <c r="P783" s="16"/>
      <c r="Q783" s="16"/>
      <c r="R783" s="16"/>
      <c r="S783" s="16"/>
      <c r="T783" s="16"/>
      <c r="U783" s="16"/>
      <c r="V783" s="16"/>
      <c r="W783" s="16"/>
      <c r="X783" s="16"/>
      <c r="Y783" s="16"/>
      <c r="Z783" s="16"/>
      <c r="AA783" s="16"/>
    </row>
    <row r="784" spans="1:27" ht="24" hidden="1" customHeight="1" outlineLevel="1">
      <c r="A784" s="16" t="s">
        <v>4906</v>
      </c>
      <c r="B784" s="16" t="s">
        <v>2740</v>
      </c>
      <c r="C784" s="16" t="s">
        <v>2741</v>
      </c>
      <c r="D784" s="16" t="s">
        <v>3979</v>
      </c>
      <c r="E784" s="273">
        <v>45272</v>
      </c>
      <c r="F784" s="56" t="b">
        <v>0</v>
      </c>
      <c r="G784" s="205" t="s">
        <v>4907</v>
      </c>
      <c r="H784" s="323" t="s">
        <v>4908</v>
      </c>
      <c r="I784" s="56" t="b">
        <v>1</v>
      </c>
      <c r="J784" s="16" t="s">
        <v>3981</v>
      </c>
      <c r="K784" s="205"/>
      <c r="L784" s="16"/>
      <c r="M784" s="16"/>
      <c r="N784" s="16"/>
      <c r="O784" s="16"/>
      <c r="P784" s="16"/>
      <c r="Q784" s="16"/>
      <c r="R784" s="16"/>
      <c r="S784" s="16"/>
      <c r="T784" s="16"/>
      <c r="U784" s="16"/>
      <c r="V784" s="16"/>
      <c r="W784" s="16"/>
      <c r="X784" s="16"/>
      <c r="Y784" s="16"/>
      <c r="Z784" s="16"/>
      <c r="AA784" s="16"/>
    </row>
    <row r="785" spans="1:27" ht="24" hidden="1" customHeight="1" outlineLevel="1">
      <c r="A785" s="16" t="s">
        <v>2742</v>
      </c>
      <c r="B785" s="16" t="s">
        <v>2743</v>
      </c>
      <c r="C785" s="16" t="s">
        <v>2744</v>
      </c>
      <c r="D785" s="16" t="s">
        <v>3739</v>
      </c>
      <c r="E785" s="273">
        <v>45272</v>
      </c>
      <c r="F785" s="56" t="b">
        <v>0</v>
      </c>
      <c r="G785" s="205" t="s">
        <v>4909</v>
      </c>
      <c r="H785" s="323" t="s">
        <v>4910</v>
      </c>
      <c r="I785" s="56" t="b">
        <v>1</v>
      </c>
      <c r="J785" s="16" t="s">
        <v>3786</v>
      </c>
      <c r="K785" s="205"/>
      <c r="L785" s="16"/>
      <c r="M785" s="16"/>
      <c r="N785" s="16"/>
      <c r="O785" s="16"/>
      <c r="P785" s="16"/>
      <c r="Q785" s="16"/>
      <c r="R785" s="16"/>
      <c r="S785" s="16"/>
      <c r="T785" s="16"/>
      <c r="U785" s="16"/>
      <c r="V785" s="16"/>
      <c r="W785" s="16"/>
      <c r="X785" s="16"/>
      <c r="Y785" s="16"/>
      <c r="Z785" s="16"/>
      <c r="AA785" s="16"/>
    </row>
    <row r="786" spans="1:27" ht="24" hidden="1" customHeight="1" outlineLevel="1">
      <c r="A786" s="16" t="s">
        <v>2745</v>
      </c>
      <c r="B786" s="16" t="s">
        <v>2746</v>
      </c>
      <c r="C786" s="16" t="s">
        <v>2747</v>
      </c>
      <c r="D786" s="16" t="s">
        <v>4747</v>
      </c>
      <c r="E786" s="273">
        <v>45273</v>
      </c>
      <c r="F786" s="56" t="b">
        <v>0</v>
      </c>
      <c r="G786" s="205" t="s">
        <v>4911</v>
      </c>
      <c r="H786" s="323" t="s">
        <v>4912</v>
      </c>
      <c r="I786" s="56" t="b">
        <v>1</v>
      </c>
      <c r="J786" s="16" t="s">
        <v>3621</v>
      </c>
      <c r="K786" s="205"/>
      <c r="L786" s="16"/>
      <c r="M786" s="16"/>
      <c r="N786" s="16"/>
      <c r="O786" s="16"/>
      <c r="P786" s="16"/>
      <c r="Q786" s="16"/>
      <c r="R786" s="16"/>
      <c r="S786" s="16"/>
      <c r="T786" s="16"/>
      <c r="U786" s="16"/>
      <c r="V786" s="16"/>
      <c r="W786" s="16"/>
      <c r="X786" s="16"/>
      <c r="Y786" s="16"/>
      <c r="Z786" s="16"/>
      <c r="AA786" s="16"/>
    </row>
    <row r="787" spans="1:27" ht="24" hidden="1" customHeight="1" outlineLevel="1">
      <c r="A787" s="16" t="s">
        <v>2749</v>
      </c>
      <c r="B787" s="16" t="s">
        <v>2750</v>
      </c>
      <c r="C787" s="16" t="s">
        <v>2751</v>
      </c>
      <c r="D787" s="16" t="s">
        <v>4747</v>
      </c>
      <c r="E787" s="273">
        <v>45273</v>
      </c>
      <c r="F787" s="56" t="b">
        <v>0</v>
      </c>
      <c r="G787" s="176" t="s">
        <v>4913</v>
      </c>
      <c r="H787" s="323" t="s">
        <v>4914</v>
      </c>
      <c r="I787" s="56" t="b">
        <v>1</v>
      </c>
      <c r="J787" s="16" t="s">
        <v>3621</v>
      </c>
      <c r="K787" s="205"/>
      <c r="L787" s="16"/>
      <c r="M787" s="16"/>
      <c r="N787" s="16"/>
      <c r="O787" s="16"/>
      <c r="P787" s="16"/>
      <c r="Q787" s="16"/>
      <c r="R787" s="16"/>
      <c r="S787" s="16"/>
      <c r="T787" s="16"/>
      <c r="U787" s="16"/>
      <c r="V787" s="16"/>
      <c r="W787" s="16"/>
      <c r="X787" s="16"/>
      <c r="Y787" s="16"/>
      <c r="Z787" s="16"/>
      <c r="AA787" s="16"/>
    </row>
    <row r="788" spans="1:27" ht="24" hidden="1" customHeight="1" outlineLevel="1">
      <c r="A788" s="16" t="s">
        <v>4915</v>
      </c>
      <c r="B788" s="16" t="s">
        <v>2753</v>
      </c>
      <c r="C788" s="16" t="s">
        <v>2754</v>
      </c>
      <c r="D788" s="16" t="s">
        <v>3930</v>
      </c>
      <c r="E788" s="273">
        <v>45273</v>
      </c>
      <c r="F788" s="56" t="b">
        <v>0</v>
      </c>
      <c r="G788" s="205" t="s">
        <v>4916</v>
      </c>
      <c r="H788" s="323" t="s">
        <v>4917</v>
      </c>
      <c r="I788" s="56" t="b">
        <v>1</v>
      </c>
      <c r="J788" s="16" t="s">
        <v>3621</v>
      </c>
      <c r="K788" s="205"/>
      <c r="L788" s="16"/>
      <c r="M788" s="16"/>
      <c r="N788" s="16"/>
      <c r="O788" s="16"/>
      <c r="P788" s="16"/>
      <c r="Q788" s="16"/>
      <c r="R788" s="16"/>
      <c r="S788" s="16"/>
      <c r="T788" s="16"/>
      <c r="U788" s="16"/>
      <c r="V788" s="16"/>
      <c r="W788" s="16"/>
      <c r="X788" s="16"/>
      <c r="Y788" s="16"/>
      <c r="Z788" s="16"/>
      <c r="AA788" s="16"/>
    </row>
    <row r="789" spans="1:27" ht="24" hidden="1" customHeight="1" outlineLevel="1">
      <c r="A789" s="16" t="s">
        <v>2755</v>
      </c>
      <c r="B789" s="16" t="s">
        <v>4918</v>
      </c>
      <c r="C789" s="16" t="s">
        <v>4919</v>
      </c>
      <c r="D789" s="16" t="s">
        <v>3809</v>
      </c>
      <c r="E789" s="273">
        <v>45275</v>
      </c>
      <c r="F789" s="56" t="b">
        <v>0</v>
      </c>
      <c r="G789" s="205" t="s">
        <v>4920</v>
      </c>
      <c r="H789" s="323" t="s">
        <v>4921</v>
      </c>
      <c r="I789" s="56" t="b">
        <v>1</v>
      </c>
      <c r="J789" s="16" t="s">
        <v>4730</v>
      </c>
      <c r="K789" s="205"/>
      <c r="L789" s="16"/>
      <c r="M789" s="16"/>
      <c r="N789" s="16"/>
      <c r="O789" s="16"/>
      <c r="P789" s="16"/>
      <c r="Q789" s="16"/>
      <c r="R789" s="16"/>
      <c r="S789" s="16"/>
      <c r="T789" s="16"/>
      <c r="U789" s="16"/>
      <c r="V789" s="16"/>
      <c r="W789" s="16"/>
      <c r="X789" s="16"/>
      <c r="Y789" s="16"/>
      <c r="Z789" s="16"/>
      <c r="AA789" s="16"/>
    </row>
    <row r="790" spans="1:27" ht="24" hidden="1" customHeight="1" outlineLevel="1">
      <c r="A790" s="16" t="s">
        <v>2759</v>
      </c>
      <c r="B790" s="16" t="s">
        <v>2761</v>
      </c>
      <c r="C790" s="16" t="s">
        <v>2762</v>
      </c>
      <c r="D790" s="16" t="s">
        <v>3930</v>
      </c>
      <c r="E790" s="273">
        <v>45275</v>
      </c>
      <c r="F790" s="56" t="b">
        <v>0</v>
      </c>
      <c r="G790" s="205" t="s">
        <v>4922</v>
      </c>
      <c r="H790" s="323" t="s">
        <v>4923</v>
      </c>
      <c r="I790" s="56" t="b">
        <v>1</v>
      </c>
      <c r="J790" s="16" t="s">
        <v>3621</v>
      </c>
      <c r="K790" s="205"/>
      <c r="L790" s="16"/>
      <c r="M790" s="16"/>
      <c r="N790" s="16"/>
      <c r="O790" s="16"/>
      <c r="P790" s="16"/>
      <c r="Q790" s="16"/>
      <c r="R790" s="16"/>
      <c r="S790" s="16"/>
      <c r="T790" s="16"/>
      <c r="U790" s="16"/>
      <c r="V790" s="16"/>
      <c r="W790" s="16"/>
      <c r="X790" s="16"/>
      <c r="Y790" s="16"/>
      <c r="Z790" s="16"/>
      <c r="AA790" s="16"/>
    </row>
    <row r="791" spans="1:27" ht="24" hidden="1" customHeight="1" outlineLevel="1">
      <c r="A791" s="16" t="s">
        <v>2764</v>
      </c>
      <c r="B791" s="16" t="s">
        <v>2765</v>
      </c>
      <c r="C791" s="16" t="s">
        <v>2766</v>
      </c>
      <c r="D791" s="16" t="s">
        <v>4747</v>
      </c>
      <c r="E791" s="273">
        <v>45275</v>
      </c>
      <c r="F791" s="56" t="b">
        <v>0</v>
      </c>
      <c r="G791" s="205" t="s">
        <v>4924</v>
      </c>
      <c r="H791" s="323" t="s">
        <v>4925</v>
      </c>
      <c r="I791" s="56" t="b">
        <v>1</v>
      </c>
      <c r="J791" s="16" t="s">
        <v>3621</v>
      </c>
      <c r="K791" s="205"/>
      <c r="L791" s="16"/>
      <c r="M791" s="16"/>
      <c r="N791" s="16"/>
      <c r="O791" s="16"/>
      <c r="P791" s="16"/>
      <c r="Q791" s="16"/>
      <c r="R791" s="16"/>
      <c r="S791" s="16"/>
      <c r="T791" s="16"/>
      <c r="U791" s="16"/>
      <c r="V791" s="16"/>
      <c r="W791" s="16"/>
      <c r="X791" s="16"/>
      <c r="Y791" s="16"/>
      <c r="Z791" s="16"/>
      <c r="AA791" s="16"/>
    </row>
    <row r="792" spans="1:27" ht="24" hidden="1" customHeight="1" outlineLevel="1">
      <c r="A792" s="16" t="s">
        <v>4926</v>
      </c>
      <c r="B792" s="16" t="s">
        <v>2768</v>
      </c>
      <c r="C792" s="16" t="s">
        <v>2769</v>
      </c>
      <c r="D792" s="16" t="s">
        <v>3696</v>
      </c>
      <c r="E792" s="273">
        <v>45276</v>
      </c>
      <c r="F792" s="56" t="b">
        <v>0</v>
      </c>
      <c r="G792" s="205" t="s">
        <v>4927</v>
      </c>
      <c r="H792" s="323" t="s">
        <v>4928</v>
      </c>
      <c r="I792" s="56" t="b">
        <v>1</v>
      </c>
      <c r="J792" s="16" t="s">
        <v>4727</v>
      </c>
      <c r="K792" s="205"/>
      <c r="L792" s="16"/>
      <c r="M792" s="16"/>
      <c r="N792" s="16"/>
      <c r="O792" s="16"/>
      <c r="P792" s="16"/>
      <c r="Q792" s="16"/>
      <c r="R792" s="16"/>
      <c r="S792" s="16"/>
      <c r="T792" s="16"/>
      <c r="U792" s="16"/>
      <c r="V792" s="16"/>
      <c r="W792" s="16"/>
      <c r="X792" s="16"/>
      <c r="Y792" s="16"/>
      <c r="Z792" s="16"/>
      <c r="AA792" s="16"/>
    </row>
    <row r="793" spans="1:27" ht="24" hidden="1" customHeight="1" outlineLevel="1">
      <c r="A793" s="16" t="s">
        <v>2771</v>
      </c>
      <c r="B793" s="16" t="s">
        <v>2772</v>
      </c>
      <c r="C793" s="16" t="s">
        <v>2773</v>
      </c>
      <c r="D793" s="16" t="s">
        <v>3739</v>
      </c>
      <c r="E793" s="273">
        <v>45279</v>
      </c>
      <c r="F793" s="56" t="b">
        <v>0</v>
      </c>
      <c r="G793" s="205" t="s">
        <v>4929</v>
      </c>
      <c r="H793" s="323" t="s">
        <v>4930</v>
      </c>
      <c r="I793" s="56" t="b">
        <v>1</v>
      </c>
      <c r="J793" s="16" t="s">
        <v>3786</v>
      </c>
      <c r="K793" s="205"/>
      <c r="L793" s="16"/>
      <c r="M793" s="16"/>
      <c r="N793" s="16"/>
      <c r="O793" s="16"/>
      <c r="P793" s="16"/>
      <c r="Q793" s="16"/>
      <c r="R793" s="16"/>
      <c r="S793" s="16"/>
      <c r="T793" s="16"/>
      <c r="U793" s="16"/>
      <c r="V793" s="16"/>
      <c r="W793" s="16"/>
      <c r="X793" s="16"/>
      <c r="Y793" s="16"/>
      <c r="Z793" s="16"/>
      <c r="AA793" s="16"/>
    </row>
    <row r="794" spans="1:27" ht="24" hidden="1" customHeight="1" outlineLevel="1">
      <c r="A794" s="16" t="s">
        <v>4931</v>
      </c>
      <c r="B794" s="16" t="s">
        <v>2775</v>
      </c>
      <c r="C794" s="16" t="s">
        <v>2776</v>
      </c>
      <c r="D794" s="16" t="s">
        <v>3833</v>
      </c>
      <c r="E794" s="273">
        <v>45280</v>
      </c>
      <c r="F794" s="56" t="b">
        <v>0</v>
      </c>
      <c r="G794" s="205" t="s">
        <v>4932</v>
      </c>
      <c r="H794" s="323" t="s">
        <v>4933</v>
      </c>
      <c r="I794" s="56" t="b">
        <v>0</v>
      </c>
      <c r="J794" s="16" t="s">
        <v>4281</v>
      </c>
      <c r="K794" s="205"/>
      <c r="L794" s="16"/>
      <c r="M794" s="16"/>
      <c r="N794" s="16"/>
      <c r="O794" s="16"/>
      <c r="P794" s="16"/>
      <c r="Q794" s="16"/>
      <c r="R794" s="16"/>
      <c r="S794" s="16"/>
      <c r="T794" s="16"/>
      <c r="U794" s="16"/>
      <c r="V794" s="16"/>
      <c r="W794" s="16"/>
      <c r="X794" s="16"/>
      <c r="Y794" s="16"/>
      <c r="Z794" s="16"/>
      <c r="AA794" s="16"/>
    </row>
    <row r="795" spans="1:27" ht="24" hidden="1" customHeight="1" outlineLevel="1">
      <c r="A795" s="16" t="s">
        <v>4934</v>
      </c>
      <c r="B795" s="16" t="s">
        <v>2778</v>
      </c>
      <c r="C795" s="16" t="s">
        <v>2779</v>
      </c>
      <c r="D795" s="16" t="s">
        <v>3809</v>
      </c>
      <c r="E795" s="273">
        <v>45280</v>
      </c>
      <c r="F795" s="56" t="b">
        <v>0</v>
      </c>
      <c r="G795" s="205" t="s">
        <v>4935</v>
      </c>
      <c r="H795" s="323" t="s">
        <v>4936</v>
      </c>
      <c r="I795" s="56" t="b">
        <v>1</v>
      </c>
      <c r="J795" s="16" t="s">
        <v>4730</v>
      </c>
      <c r="K795" s="205"/>
      <c r="L795" s="16"/>
      <c r="M795" s="16"/>
      <c r="N795" s="16"/>
      <c r="O795" s="16"/>
      <c r="P795" s="16"/>
      <c r="Q795" s="16"/>
      <c r="R795" s="16"/>
      <c r="S795" s="16"/>
      <c r="T795" s="16"/>
      <c r="U795" s="16"/>
      <c r="V795" s="16"/>
      <c r="W795" s="16"/>
      <c r="X795" s="16"/>
      <c r="Y795" s="16"/>
      <c r="Z795" s="16"/>
      <c r="AA795" s="16"/>
    </row>
    <row r="796" spans="1:27" ht="24" hidden="1" customHeight="1" outlineLevel="1">
      <c r="A796" s="16" t="s">
        <v>2780</v>
      </c>
      <c r="B796" s="16" t="s">
        <v>2782</v>
      </c>
      <c r="C796" s="16" t="s">
        <v>2783</v>
      </c>
      <c r="D796" s="16" t="s">
        <v>4747</v>
      </c>
      <c r="E796" s="273">
        <v>45280</v>
      </c>
      <c r="F796" s="56" t="b">
        <v>0</v>
      </c>
      <c r="G796" s="205" t="s">
        <v>4937</v>
      </c>
      <c r="H796" s="323" t="s">
        <v>4938</v>
      </c>
      <c r="I796" s="56" t="b">
        <v>1</v>
      </c>
      <c r="J796" s="16" t="s">
        <v>3621</v>
      </c>
      <c r="K796" s="205"/>
      <c r="L796" s="16"/>
      <c r="M796" s="16"/>
      <c r="N796" s="16"/>
      <c r="O796" s="16"/>
      <c r="P796" s="16"/>
      <c r="Q796" s="16"/>
      <c r="R796" s="16"/>
      <c r="S796" s="16"/>
      <c r="T796" s="16"/>
      <c r="U796" s="16"/>
      <c r="V796" s="16"/>
      <c r="W796" s="16"/>
      <c r="X796" s="16"/>
      <c r="Y796" s="16"/>
      <c r="Z796" s="16"/>
      <c r="AA796" s="16"/>
    </row>
    <row r="797" spans="1:27" ht="24" hidden="1" customHeight="1" outlineLevel="1">
      <c r="A797" s="16" t="s">
        <v>2784</v>
      </c>
      <c r="B797" s="16" t="s">
        <v>2786</v>
      </c>
      <c r="C797" s="16" t="s">
        <v>2787</v>
      </c>
      <c r="D797" s="16" t="s">
        <v>4939</v>
      </c>
      <c r="E797" s="273">
        <v>45282</v>
      </c>
      <c r="F797" s="56" t="b">
        <v>0</v>
      </c>
      <c r="G797" s="205" t="s">
        <v>4940</v>
      </c>
      <c r="H797" s="323" t="s">
        <v>4941</v>
      </c>
      <c r="I797" s="56" t="b">
        <v>1</v>
      </c>
      <c r="J797" s="16" t="s">
        <v>4730</v>
      </c>
      <c r="K797" s="205"/>
      <c r="L797" s="16"/>
      <c r="M797" s="16"/>
      <c r="N797" s="16"/>
      <c r="O797" s="16"/>
      <c r="P797" s="16"/>
      <c r="Q797" s="16"/>
      <c r="R797" s="16"/>
      <c r="S797" s="16"/>
      <c r="T797" s="16"/>
      <c r="U797" s="16"/>
      <c r="V797" s="16"/>
      <c r="W797" s="16"/>
      <c r="X797" s="16"/>
      <c r="Y797" s="16"/>
      <c r="Z797" s="16"/>
      <c r="AA797" s="16"/>
    </row>
    <row r="798" spans="1:27" ht="24" hidden="1" customHeight="1" outlineLevel="1">
      <c r="A798" s="16" t="s">
        <v>2788</v>
      </c>
      <c r="B798" s="16" t="s">
        <v>2789</v>
      </c>
      <c r="C798" s="16" t="s">
        <v>2790</v>
      </c>
      <c r="D798" s="16" t="s">
        <v>3692</v>
      </c>
      <c r="E798" s="273">
        <v>45282</v>
      </c>
      <c r="F798" s="56" t="b">
        <v>0</v>
      </c>
      <c r="G798" s="205" t="s">
        <v>4942</v>
      </c>
      <c r="H798" s="323" t="s">
        <v>4943</v>
      </c>
      <c r="I798" s="56" t="b">
        <v>1</v>
      </c>
      <c r="J798" s="16" t="s">
        <v>3745</v>
      </c>
      <c r="K798" s="205"/>
      <c r="L798" s="16"/>
      <c r="M798" s="16"/>
      <c r="N798" s="16"/>
      <c r="O798" s="16"/>
      <c r="P798" s="16"/>
      <c r="Q798" s="16"/>
      <c r="R798" s="16"/>
      <c r="S798" s="16"/>
      <c r="T798" s="16"/>
      <c r="U798" s="16"/>
      <c r="V798" s="16"/>
      <c r="W798" s="16"/>
      <c r="X798" s="16"/>
      <c r="Y798" s="16"/>
      <c r="Z798" s="16"/>
      <c r="AA798" s="16"/>
    </row>
    <row r="799" spans="1:27" ht="24" hidden="1" customHeight="1" outlineLevel="1">
      <c r="A799" s="16" t="s">
        <v>2791</v>
      </c>
      <c r="B799" s="16" t="s">
        <v>2792</v>
      </c>
      <c r="C799" s="16" t="s">
        <v>2793</v>
      </c>
      <c r="D799" s="16" t="s">
        <v>3732</v>
      </c>
      <c r="E799" s="273">
        <v>45282</v>
      </c>
      <c r="F799" s="56" t="b">
        <v>0</v>
      </c>
      <c r="G799" s="205" t="s">
        <v>4944</v>
      </c>
      <c r="H799" s="323" t="s">
        <v>4945</v>
      </c>
      <c r="I799" s="56" t="b">
        <v>1</v>
      </c>
      <c r="J799" s="16" t="s">
        <v>3981</v>
      </c>
      <c r="K799" s="205"/>
      <c r="L799" s="16"/>
      <c r="M799" s="16"/>
      <c r="N799" s="16"/>
      <c r="O799" s="16"/>
      <c r="P799" s="16"/>
      <c r="Q799" s="16"/>
      <c r="R799" s="16"/>
      <c r="S799" s="16"/>
      <c r="T799" s="16"/>
      <c r="U799" s="16"/>
      <c r="V799" s="16"/>
      <c r="W799" s="16"/>
      <c r="X799" s="16"/>
      <c r="Y799" s="16"/>
      <c r="Z799" s="16"/>
      <c r="AA799" s="16"/>
    </row>
    <row r="800" spans="1:27" ht="24" hidden="1" customHeight="1" outlineLevel="1">
      <c r="A800" s="16" t="s">
        <v>2794</v>
      </c>
      <c r="B800" s="16" t="s">
        <v>2796</v>
      </c>
      <c r="C800" s="16" t="s">
        <v>2797</v>
      </c>
      <c r="D800" s="16" t="s">
        <v>3718</v>
      </c>
      <c r="E800" s="273">
        <v>45282</v>
      </c>
      <c r="F800" s="56" t="b">
        <v>0</v>
      </c>
      <c r="G800" s="205" t="s">
        <v>4946</v>
      </c>
      <c r="H800" s="323" t="s">
        <v>4947</v>
      </c>
      <c r="I800" s="56" t="b">
        <v>1</v>
      </c>
      <c r="J800" s="16" t="s">
        <v>4775</v>
      </c>
      <c r="K800" s="205"/>
      <c r="L800" s="16"/>
      <c r="M800" s="16"/>
      <c r="N800" s="16"/>
      <c r="O800" s="16"/>
      <c r="P800" s="16"/>
      <c r="Q800" s="16"/>
      <c r="R800" s="16"/>
      <c r="S800" s="16"/>
      <c r="T800" s="16"/>
      <c r="U800" s="16"/>
      <c r="V800" s="16"/>
      <c r="W800" s="16"/>
      <c r="X800" s="16"/>
      <c r="Y800" s="16"/>
      <c r="Z800" s="16"/>
      <c r="AA800" s="16"/>
    </row>
    <row r="801" spans="1:27" ht="24" hidden="1" customHeight="1" outlineLevel="1">
      <c r="A801" s="16" t="s">
        <v>4948</v>
      </c>
      <c r="B801" s="16" t="s">
        <v>2799</v>
      </c>
      <c r="C801" s="16" t="s">
        <v>2800</v>
      </c>
      <c r="D801" s="16" t="s">
        <v>3718</v>
      </c>
      <c r="E801" s="273">
        <v>45282</v>
      </c>
      <c r="F801" s="56" t="b">
        <v>0</v>
      </c>
      <c r="G801" s="205" t="s">
        <v>4949</v>
      </c>
      <c r="H801" s="323" t="s">
        <v>4950</v>
      </c>
      <c r="I801" s="56" t="b">
        <v>0</v>
      </c>
      <c r="J801" s="16" t="s">
        <v>4775</v>
      </c>
      <c r="K801" s="205"/>
      <c r="L801" s="16"/>
      <c r="M801" s="16"/>
      <c r="N801" s="16"/>
      <c r="O801" s="16"/>
      <c r="P801" s="16"/>
      <c r="Q801" s="16"/>
      <c r="R801" s="16"/>
      <c r="S801" s="16"/>
      <c r="T801" s="16"/>
      <c r="U801" s="16"/>
      <c r="V801" s="16"/>
      <c r="W801" s="16"/>
      <c r="X801" s="16"/>
      <c r="Y801" s="16"/>
      <c r="Z801" s="16"/>
      <c r="AA801" s="16"/>
    </row>
    <row r="802" spans="1:27" ht="24" hidden="1" customHeight="1" outlineLevel="1">
      <c r="A802" s="16" t="s">
        <v>4951</v>
      </c>
      <c r="B802" s="16" t="s">
        <v>2802</v>
      </c>
      <c r="C802" s="16" t="s">
        <v>2803</v>
      </c>
      <c r="D802" s="16" t="s">
        <v>3696</v>
      </c>
      <c r="E802" s="273">
        <v>45282</v>
      </c>
      <c r="F802" s="56" t="b">
        <v>0</v>
      </c>
      <c r="G802" s="205" t="s">
        <v>4952</v>
      </c>
      <c r="H802" s="323" t="s">
        <v>4953</v>
      </c>
      <c r="I802" s="56" t="b">
        <v>1</v>
      </c>
      <c r="J802" s="16" t="s">
        <v>4727</v>
      </c>
      <c r="K802" s="205"/>
      <c r="L802" s="16"/>
      <c r="M802" s="16"/>
      <c r="N802" s="16"/>
      <c r="O802" s="16"/>
      <c r="P802" s="16"/>
      <c r="Q802" s="16"/>
      <c r="R802" s="16"/>
      <c r="S802" s="16"/>
      <c r="T802" s="16"/>
      <c r="U802" s="16"/>
      <c r="V802" s="16"/>
      <c r="W802" s="16"/>
      <c r="X802" s="16"/>
      <c r="Y802" s="16"/>
      <c r="Z802" s="16"/>
      <c r="AA802" s="16"/>
    </row>
    <row r="803" spans="1:27" ht="24" hidden="1" customHeight="1" outlineLevel="1">
      <c r="A803" s="16" t="s">
        <v>2804</v>
      </c>
      <c r="B803" s="16" t="s">
        <v>2806</v>
      </c>
      <c r="C803" s="16" t="s">
        <v>2807</v>
      </c>
      <c r="D803" s="16" t="s">
        <v>3809</v>
      </c>
      <c r="E803" s="273">
        <v>45282</v>
      </c>
      <c r="F803" s="56" t="b">
        <v>0</v>
      </c>
      <c r="G803" s="205" t="s">
        <v>4954</v>
      </c>
      <c r="H803" s="323" t="s">
        <v>4955</v>
      </c>
      <c r="I803" s="56" t="b">
        <v>1</v>
      </c>
      <c r="J803" s="16" t="s">
        <v>4730</v>
      </c>
      <c r="K803" s="205"/>
      <c r="L803" s="16"/>
      <c r="M803" s="16"/>
      <c r="N803" s="16"/>
      <c r="O803" s="16"/>
      <c r="P803" s="16"/>
      <c r="Q803" s="16"/>
      <c r="R803" s="16"/>
      <c r="S803" s="16"/>
      <c r="T803" s="16"/>
      <c r="U803" s="16"/>
      <c r="V803" s="16"/>
      <c r="W803" s="16"/>
      <c r="X803" s="16"/>
      <c r="Y803" s="16"/>
      <c r="Z803" s="16"/>
      <c r="AA803" s="16"/>
    </row>
    <row r="804" spans="1:27" ht="24" hidden="1" customHeight="1" outlineLevel="1">
      <c r="A804" s="16" t="s">
        <v>4956</v>
      </c>
      <c r="B804" s="16" t="s">
        <v>2809</v>
      </c>
      <c r="C804" s="16" t="s">
        <v>2810</v>
      </c>
      <c r="D804" s="16" t="s">
        <v>4747</v>
      </c>
      <c r="E804" s="273">
        <v>45282</v>
      </c>
      <c r="F804" s="56" t="b">
        <v>0</v>
      </c>
      <c r="G804" s="205" t="s">
        <v>4957</v>
      </c>
      <c r="H804" s="323" t="s">
        <v>4958</v>
      </c>
      <c r="I804" s="56" t="b">
        <v>1</v>
      </c>
      <c r="J804" s="16" t="s">
        <v>3621</v>
      </c>
      <c r="K804" s="205"/>
      <c r="L804" s="16"/>
      <c r="M804" s="16"/>
      <c r="N804" s="16"/>
      <c r="O804" s="16"/>
      <c r="P804" s="16"/>
      <c r="Q804" s="16"/>
      <c r="R804" s="16"/>
      <c r="S804" s="16"/>
      <c r="T804" s="16"/>
      <c r="U804" s="16"/>
      <c r="V804" s="16"/>
      <c r="W804" s="16"/>
      <c r="X804" s="16"/>
      <c r="Y804" s="16"/>
      <c r="Z804" s="16"/>
      <c r="AA804" s="16"/>
    </row>
    <row r="805" spans="1:27" ht="24" hidden="1" customHeight="1" outlineLevel="1">
      <c r="A805" s="16" t="s">
        <v>2811</v>
      </c>
      <c r="B805" s="16" t="s">
        <v>2813</v>
      </c>
      <c r="C805" s="16" t="s">
        <v>2814</v>
      </c>
      <c r="D805" s="16" t="s">
        <v>4959</v>
      </c>
      <c r="E805" s="273">
        <v>45285</v>
      </c>
      <c r="F805" s="56" t="b">
        <v>0</v>
      </c>
      <c r="G805" s="205" t="s">
        <v>4960</v>
      </c>
      <c r="H805" s="323" t="s">
        <v>4961</v>
      </c>
      <c r="I805" s="56" t="b">
        <v>1</v>
      </c>
      <c r="J805" s="16" t="s">
        <v>4727</v>
      </c>
      <c r="K805" s="205"/>
      <c r="L805" s="16"/>
      <c r="M805" s="16"/>
      <c r="N805" s="16"/>
      <c r="O805" s="16"/>
      <c r="P805" s="16"/>
      <c r="Q805" s="16"/>
      <c r="R805" s="16"/>
      <c r="S805" s="16"/>
      <c r="T805" s="16"/>
      <c r="U805" s="16"/>
      <c r="V805" s="16"/>
      <c r="W805" s="16"/>
      <c r="X805" s="16"/>
      <c r="Y805" s="16"/>
      <c r="Z805" s="16"/>
      <c r="AA805" s="16"/>
    </row>
    <row r="806" spans="1:27" ht="24" hidden="1" customHeight="1" outlineLevel="1">
      <c r="A806" s="16" t="s">
        <v>2815</v>
      </c>
      <c r="B806" s="16" t="s">
        <v>2816</v>
      </c>
      <c r="C806" s="16" t="s">
        <v>2817</v>
      </c>
      <c r="D806" s="16" t="s">
        <v>3739</v>
      </c>
      <c r="E806" s="273">
        <v>45285</v>
      </c>
      <c r="F806" s="56" t="b">
        <v>0</v>
      </c>
      <c r="G806" s="205" t="s">
        <v>4962</v>
      </c>
      <c r="H806" s="323" t="s">
        <v>4963</v>
      </c>
      <c r="I806" s="56" t="b">
        <v>1</v>
      </c>
      <c r="J806" s="16" t="s">
        <v>3786</v>
      </c>
      <c r="K806" s="205"/>
      <c r="L806" s="16"/>
      <c r="M806" s="16"/>
      <c r="N806" s="16"/>
      <c r="O806" s="16"/>
      <c r="P806" s="16"/>
      <c r="Q806" s="16"/>
      <c r="R806" s="16"/>
      <c r="S806" s="16"/>
      <c r="T806" s="16"/>
      <c r="U806" s="16"/>
      <c r="V806" s="16"/>
      <c r="W806" s="16"/>
      <c r="X806" s="16"/>
      <c r="Y806" s="16"/>
      <c r="Z806" s="16"/>
      <c r="AA806" s="16"/>
    </row>
    <row r="807" spans="1:27" ht="24" hidden="1" customHeight="1" outlineLevel="1">
      <c r="A807" s="16" t="s">
        <v>2818</v>
      </c>
      <c r="B807" s="16" t="s">
        <v>2819</v>
      </c>
      <c r="C807" s="16" t="s">
        <v>2820</v>
      </c>
      <c r="D807" s="16" t="s">
        <v>3809</v>
      </c>
      <c r="E807" s="273">
        <v>45285</v>
      </c>
      <c r="F807" s="56" t="b">
        <v>0</v>
      </c>
      <c r="G807" s="205" t="s">
        <v>4964</v>
      </c>
      <c r="H807" s="323" t="s">
        <v>4965</v>
      </c>
      <c r="I807" s="56" t="b">
        <v>1</v>
      </c>
      <c r="J807" s="16" t="s">
        <v>4730</v>
      </c>
      <c r="K807" s="205"/>
      <c r="L807" s="16"/>
      <c r="M807" s="16"/>
      <c r="N807" s="16"/>
      <c r="O807" s="16"/>
      <c r="P807" s="16"/>
      <c r="Q807" s="16"/>
      <c r="R807" s="16"/>
      <c r="S807" s="16"/>
      <c r="T807" s="16"/>
      <c r="U807" s="16"/>
      <c r="V807" s="16"/>
      <c r="W807" s="16"/>
      <c r="X807" s="16"/>
      <c r="Y807" s="16"/>
      <c r="Z807" s="16"/>
      <c r="AA807" s="16"/>
    </row>
    <row r="808" spans="1:27" ht="24" hidden="1" customHeight="1" outlineLevel="1">
      <c r="A808" s="16" t="s">
        <v>2821</v>
      </c>
      <c r="B808" s="16" t="s">
        <v>2822</v>
      </c>
      <c r="C808" s="16" t="s">
        <v>4966</v>
      </c>
      <c r="D808" s="16" t="s">
        <v>3732</v>
      </c>
      <c r="E808" s="273">
        <v>45286</v>
      </c>
      <c r="F808" s="56" t="b">
        <v>0</v>
      </c>
      <c r="G808" s="205" t="s">
        <v>4967</v>
      </c>
      <c r="H808" s="323" t="s">
        <v>4968</v>
      </c>
      <c r="I808" s="56" t="b">
        <v>1</v>
      </c>
      <c r="J808" s="16" t="s">
        <v>3981</v>
      </c>
      <c r="K808" s="205"/>
      <c r="L808" s="16"/>
      <c r="M808" s="16"/>
      <c r="N808" s="16"/>
      <c r="O808" s="16"/>
      <c r="P808" s="16"/>
      <c r="Q808" s="16"/>
      <c r="R808" s="16"/>
      <c r="S808" s="16"/>
      <c r="T808" s="16"/>
      <c r="U808" s="16"/>
      <c r="V808" s="16"/>
      <c r="W808" s="16"/>
      <c r="X808" s="16"/>
      <c r="Y808" s="16"/>
      <c r="Z808" s="16"/>
      <c r="AA808" s="16"/>
    </row>
    <row r="809" spans="1:27" ht="24" hidden="1" customHeight="1" outlineLevel="1">
      <c r="A809" s="16" t="s">
        <v>2824</v>
      </c>
      <c r="B809" s="16" t="s">
        <v>2825</v>
      </c>
      <c r="C809" s="16" t="s">
        <v>2826</v>
      </c>
      <c r="D809" s="16" t="s">
        <v>3809</v>
      </c>
      <c r="E809" s="273">
        <v>45286</v>
      </c>
      <c r="F809" s="56" t="b">
        <v>0</v>
      </c>
      <c r="G809" s="205" t="s">
        <v>4969</v>
      </c>
      <c r="H809" s="323" t="s">
        <v>4970</v>
      </c>
      <c r="I809" s="56" t="b">
        <v>1</v>
      </c>
      <c r="J809" s="16" t="s">
        <v>4730</v>
      </c>
      <c r="K809" s="205"/>
      <c r="L809" s="16"/>
      <c r="M809" s="16"/>
      <c r="N809" s="16"/>
      <c r="O809" s="16"/>
      <c r="P809" s="16"/>
      <c r="Q809" s="16"/>
      <c r="R809" s="16"/>
      <c r="S809" s="16"/>
      <c r="T809" s="16"/>
      <c r="U809" s="16"/>
      <c r="V809" s="16"/>
      <c r="W809" s="16"/>
      <c r="X809" s="16"/>
      <c r="Y809" s="16"/>
      <c r="Z809" s="16"/>
      <c r="AA809" s="16"/>
    </row>
    <row r="810" spans="1:27" ht="24" hidden="1" customHeight="1" outlineLevel="1">
      <c r="A810" s="16" t="s">
        <v>2827</v>
      </c>
      <c r="B810" s="16" t="s">
        <v>2828</v>
      </c>
      <c r="C810" s="16" t="s">
        <v>2829</v>
      </c>
      <c r="D810" s="16" t="s">
        <v>4971</v>
      </c>
      <c r="E810" s="273">
        <v>45286</v>
      </c>
      <c r="F810" s="56" t="b">
        <v>1</v>
      </c>
      <c r="G810" s="205" t="s">
        <v>4972</v>
      </c>
      <c r="H810" s="323" t="s">
        <v>4973</v>
      </c>
      <c r="I810" s="56" t="b">
        <v>1</v>
      </c>
      <c r="J810" s="16" t="s">
        <v>3745</v>
      </c>
      <c r="K810" s="205"/>
      <c r="L810" s="16"/>
      <c r="M810" s="16"/>
      <c r="N810" s="16"/>
      <c r="O810" s="16"/>
      <c r="P810" s="16"/>
      <c r="Q810" s="16"/>
      <c r="R810" s="16"/>
      <c r="S810" s="16"/>
      <c r="T810" s="16"/>
      <c r="U810" s="16"/>
      <c r="V810" s="16"/>
      <c r="W810" s="16"/>
      <c r="X810" s="16"/>
      <c r="Y810" s="16"/>
      <c r="Z810" s="16"/>
      <c r="AA810" s="16"/>
    </row>
    <row r="811" spans="1:27" ht="24" hidden="1" customHeight="1" outlineLevel="1">
      <c r="A811" s="16" t="s">
        <v>2830</v>
      </c>
      <c r="B811" s="16" t="s">
        <v>2831</v>
      </c>
      <c r="C811" s="16" t="s">
        <v>2832</v>
      </c>
      <c r="D811" s="16" t="s">
        <v>4747</v>
      </c>
      <c r="E811" s="273">
        <v>45287</v>
      </c>
      <c r="F811" s="56" t="b">
        <v>0</v>
      </c>
      <c r="G811" s="205" t="s">
        <v>4974</v>
      </c>
      <c r="H811" s="323" t="s">
        <v>4975</v>
      </c>
      <c r="I811" s="56" t="b">
        <v>1</v>
      </c>
      <c r="J811" s="16" t="s">
        <v>3621</v>
      </c>
      <c r="K811" s="205"/>
      <c r="L811" s="16"/>
      <c r="M811" s="16"/>
      <c r="N811" s="16"/>
      <c r="O811" s="16"/>
      <c r="P811" s="16"/>
      <c r="Q811" s="16"/>
      <c r="R811" s="16"/>
      <c r="S811" s="16"/>
      <c r="T811" s="16"/>
      <c r="U811" s="16"/>
      <c r="V811" s="16"/>
      <c r="W811" s="16"/>
      <c r="X811" s="16"/>
      <c r="Y811" s="16"/>
      <c r="Z811" s="16"/>
      <c r="AA811" s="16"/>
    </row>
    <row r="812" spans="1:27" ht="24" hidden="1" customHeight="1" outlineLevel="1">
      <c r="A812" s="16" t="s">
        <v>2833</v>
      </c>
      <c r="B812" s="16" t="s">
        <v>2834</v>
      </c>
      <c r="C812" s="16" t="s">
        <v>2835</v>
      </c>
      <c r="D812" s="16" t="s">
        <v>3930</v>
      </c>
      <c r="E812" s="273">
        <v>45287</v>
      </c>
      <c r="F812" s="56" t="b">
        <v>0</v>
      </c>
      <c r="G812" s="205" t="s">
        <v>4976</v>
      </c>
      <c r="H812" s="323" t="s">
        <v>4977</v>
      </c>
      <c r="I812" s="56" t="b">
        <v>1</v>
      </c>
      <c r="J812" s="16" t="s">
        <v>3621</v>
      </c>
      <c r="K812" s="205"/>
      <c r="L812" s="16"/>
      <c r="M812" s="16"/>
      <c r="N812" s="16"/>
      <c r="O812" s="16"/>
      <c r="P812" s="16"/>
      <c r="Q812" s="16"/>
      <c r="R812" s="16"/>
      <c r="S812" s="16"/>
      <c r="T812" s="16"/>
      <c r="U812" s="16"/>
      <c r="V812" s="16"/>
      <c r="W812" s="16"/>
      <c r="X812" s="16"/>
      <c r="Y812" s="16"/>
      <c r="Z812" s="16"/>
      <c r="AA812" s="16"/>
    </row>
    <row r="813" spans="1:27" ht="24" hidden="1" customHeight="1" outlineLevel="1">
      <c r="A813" s="16" t="s">
        <v>2836</v>
      </c>
      <c r="B813" s="16" t="s">
        <v>2837</v>
      </c>
      <c r="C813" s="16" t="s">
        <v>4978</v>
      </c>
      <c r="D813" s="16" t="s">
        <v>4979</v>
      </c>
      <c r="E813" s="273">
        <v>45287</v>
      </c>
      <c r="F813" s="56" t="b">
        <v>0</v>
      </c>
      <c r="G813" s="205" t="s">
        <v>4980</v>
      </c>
      <c r="H813" s="323" t="s">
        <v>4981</v>
      </c>
      <c r="I813" s="56" t="b">
        <v>1</v>
      </c>
      <c r="J813" s="16" t="s">
        <v>4727</v>
      </c>
      <c r="K813" s="205"/>
      <c r="L813" s="16"/>
      <c r="M813" s="16"/>
      <c r="N813" s="16"/>
      <c r="O813" s="16"/>
      <c r="P813" s="16"/>
      <c r="Q813" s="16"/>
      <c r="R813" s="16"/>
      <c r="S813" s="16"/>
      <c r="T813" s="16"/>
      <c r="U813" s="16"/>
      <c r="V813" s="16"/>
      <c r="W813" s="16"/>
      <c r="X813" s="16"/>
      <c r="Y813" s="16"/>
      <c r="Z813" s="16"/>
      <c r="AA813" s="16"/>
    </row>
    <row r="814" spans="1:27" ht="24" hidden="1" customHeight="1" outlineLevel="1">
      <c r="A814" s="16" t="s">
        <v>2839</v>
      </c>
      <c r="B814" s="16" t="s">
        <v>2840</v>
      </c>
      <c r="C814" s="16" t="s">
        <v>2841</v>
      </c>
      <c r="D814" s="16" t="s">
        <v>3739</v>
      </c>
      <c r="E814" s="273">
        <v>45289</v>
      </c>
      <c r="F814" s="56" t="b">
        <v>0</v>
      </c>
      <c r="G814" s="205" t="s">
        <v>4982</v>
      </c>
      <c r="H814" s="324" t="s">
        <v>4983</v>
      </c>
      <c r="I814" s="56" t="b">
        <v>1</v>
      </c>
      <c r="J814" s="16" t="s">
        <v>3786</v>
      </c>
      <c r="K814" s="205"/>
      <c r="L814" s="16"/>
      <c r="M814" s="16"/>
      <c r="N814" s="16"/>
      <c r="O814" s="16"/>
      <c r="P814" s="16"/>
      <c r="Q814" s="16"/>
      <c r="R814" s="16"/>
      <c r="S814" s="16"/>
      <c r="T814" s="16"/>
      <c r="U814" s="16"/>
      <c r="V814" s="16"/>
      <c r="W814" s="16"/>
      <c r="X814" s="16"/>
      <c r="Y814" s="16"/>
      <c r="Z814" s="16"/>
      <c r="AA814" s="16"/>
    </row>
    <row r="815" spans="1:27" ht="24" hidden="1" customHeight="1" outlineLevel="1">
      <c r="A815" s="16" t="s">
        <v>4984</v>
      </c>
      <c r="B815" s="16" t="s">
        <v>2843</v>
      </c>
      <c r="C815" s="16" t="s">
        <v>2844</v>
      </c>
      <c r="D815" s="16" t="s">
        <v>3696</v>
      </c>
      <c r="E815" s="273">
        <v>45289</v>
      </c>
      <c r="F815" s="56" t="b">
        <v>0</v>
      </c>
      <c r="G815" s="205" t="s">
        <v>4985</v>
      </c>
      <c r="H815" s="323" t="s">
        <v>4986</v>
      </c>
      <c r="I815" s="56" t="b">
        <v>1</v>
      </c>
      <c r="J815" s="16" t="s">
        <v>4727</v>
      </c>
      <c r="K815" s="205"/>
      <c r="L815" s="16"/>
      <c r="M815" s="16"/>
      <c r="N815" s="16"/>
      <c r="O815" s="16"/>
      <c r="P815" s="16"/>
      <c r="Q815" s="16"/>
      <c r="R815" s="16"/>
      <c r="S815" s="16"/>
      <c r="T815" s="16"/>
      <c r="U815" s="16"/>
      <c r="V815" s="16"/>
      <c r="W815" s="16"/>
      <c r="X815" s="16"/>
      <c r="Y815" s="16"/>
      <c r="Z815" s="16"/>
      <c r="AA815" s="16"/>
    </row>
    <row r="816" spans="1:27" ht="24" hidden="1" customHeight="1" outlineLevel="1">
      <c r="A816" s="16" t="s">
        <v>2846</v>
      </c>
      <c r="B816" s="16" t="s">
        <v>2847</v>
      </c>
      <c r="C816" s="16" t="s">
        <v>2848</v>
      </c>
      <c r="D816" s="16" t="s">
        <v>4987</v>
      </c>
      <c r="E816" s="273">
        <v>45289</v>
      </c>
      <c r="F816" s="56" t="b">
        <v>0</v>
      </c>
      <c r="G816" s="205" t="s">
        <v>4988</v>
      </c>
      <c r="H816" s="323" t="s">
        <v>4989</v>
      </c>
      <c r="I816" s="56" t="b">
        <v>1</v>
      </c>
      <c r="J816" s="16" t="s">
        <v>4730</v>
      </c>
      <c r="K816" s="205"/>
      <c r="L816" s="16"/>
      <c r="M816" s="16"/>
      <c r="N816" s="16"/>
      <c r="O816" s="16"/>
      <c r="P816" s="16"/>
      <c r="Q816" s="16"/>
      <c r="R816" s="16"/>
      <c r="S816" s="16"/>
      <c r="T816" s="16"/>
      <c r="U816" s="16"/>
      <c r="V816" s="16"/>
      <c r="W816" s="16"/>
      <c r="X816" s="16"/>
      <c r="Y816" s="16"/>
      <c r="Z816" s="16"/>
      <c r="AA816" s="16"/>
    </row>
    <row r="817" spans="1:27" ht="24" hidden="1" customHeight="1" outlineLevel="1">
      <c r="A817" s="16" t="s">
        <v>2849</v>
      </c>
      <c r="B817" s="16" t="s">
        <v>2850</v>
      </c>
      <c r="C817" s="16" t="s">
        <v>2851</v>
      </c>
      <c r="D817" s="16" t="s">
        <v>3692</v>
      </c>
      <c r="E817" s="273">
        <v>45289</v>
      </c>
      <c r="F817" s="56" t="b">
        <v>0</v>
      </c>
      <c r="G817" s="205" t="s">
        <v>4990</v>
      </c>
      <c r="H817" s="324" t="s">
        <v>4991</v>
      </c>
      <c r="I817" s="56" t="b">
        <v>1</v>
      </c>
      <c r="J817" s="16" t="s">
        <v>3745</v>
      </c>
      <c r="K817" s="205"/>
      <c r="L817" s="16"/>
      <c r="M817" s="16"/>
      <c r="N817" s="16"/>
      <c r="O817" s="16"/>
      <c r="P817" s="16"/>
      <c r="Q817" s="16"/>
      <c r="R817" s="16"/>
      <c r="S817" s="16"/>
      <c r="T817" s="16"/>
      <c r="U817" s="16"/>
      <c r="V817" s="16"/>
      <c r="W817" s="16"/>
      <c r="X817" s="16"/>
      <c r="Y817" s="16"/>
      <c r="Z817" s="16"/>
      <c r="AA817" s="16"/>
    </row>
    <row r="818" spans="1:27" ht="24" hidden="1" customHeight="1" outlineLevel="1">
      <c r="A818" s="16" t="s">
        <v>2852</v>
      </c>
      <c r="B818" s="16" t="s">
        <v>2853</v>
      </c>
      <c r="C818" s="16" t="s">
        <v>2854</v>
      </c>
      <c r="D818" s="16" t="s">
        <v>4747</v>
      </c>
      <c r="E818" s="273">
        <v>45289</v>
      </c>
      <c r="F818" s="56" t="b">
        <v>0</v>
      </c>
      <c r="G818" s="205" t="s">
        <v>4992</v>
      </c>
      <c r="H818" s="323" t="s">
        <v>4993</v>
      </c>
      <c r="I818" s="56" t="b">
        <v>1</v>
      </c>
      <c r="J818" s="16" t="s">
        <v>3621</v>
      </c>
      <c r="K818" s="205"/>
      <c r="L818" s="16"/>
      <c r="M818" s="16"/>
      <c r="N818" s="16"/>
      <c r="O818" s="16"/>
      <c r="P818" s="16"/>
      <c r="Q818" s="16"/>
      <c r="R818" s="16"/>
      <c r="S818" s="16"/>
      <c r="T818" s="16"/>
      <c r="U818" s="16"/>
      <c r="V818" s="16"/>
      <c r="W818" s="16"/>
      <c r="X818" s="16"/>
      <c r="Y818" s="16"/>
      <c r="Z818" s="16"/>
      <c r="AA818" s="16"/>
    </row>
    <row r="819" spans="1:27" ht="24" customHeight="1">
      <c r="A819" s="203" t="s">
        <v>4994</v>
      </c>
      <c r="B819" s="203"/>
      <c r="C819" s="16"/>
      <c r="D819" s="16"/>
      <c r="E819" s="204"/>
      <c r="F819" s="16"/>
      <c r="G819" s="205"/>
      <c r="H819" s="205"/>
      <c r="I819" s="16"/>
      <c r="J819" s="16"/>
      <c r="K819" s="205"/>
      <c r="L819" s="16"/>
      <c r="M819" s="16"/>
      <c r="N819" s="16"/>
      <c r="O819" s="16"/>
      <c r="P819" s="16"/>
      <c r="Q819" s="16"/>
      <c r="R819" s="16"/>
      <c r="S819" s="16"/>
      <c r="T819" s="16"/>
      <c r="U819" s="16"/>
      <c r="V819" s="16"/>
      <c r="W819" s="16"/>
      <c r="X819" s="16"/>
      <c r="Y819" s="16"/>
      <c r="Z819" s="16"/>
      <c r="AA819" s="16"/>
    </row>
    <row r="820" spans="1:27" ht="24" customHeight="1" collapsed="1">
      <c r="A820" s="278" t="s">
        <v>3</v>
      </c>
      <c r="B820" s="289"/>
      <c r="C820" s="162"/>
      <c r="D820" s="162"/>
      <c r="E820" s="279"/>
      <c r="F820" s="162"/>
      <c r="G820" s="280"/>
      <c r="H820" s="280"/>
      <c r="I820" s="162"/>
      <c r="J820" s="162"/>
      <c r="K820" s="280"/>
      <c r="L820" s="162"/>
      <c r="M820" s="162"/>
      <c r="N820" s="162"/>
      <c r="O820" s="162"/>
      <c r="P820" s="162"/>
      <c r="Q820" s="162"/>
      <c r="R820" s="162"/>
      <c r="S820" s="162"/>
      <c r="T820" s="162"/>
      <c r="U820" s="162"/>
      <c r="V820" s="162"/>
      <c r="W820" s="162"/>
      <c r="X820" s="162"/>
      <c r="Y820" s="162"/>
      <c r="Z820" s="162"/>
      <c r="AA820" s="162"/>
    </row>
    <row r="821" spans="1:27" ht="24" hidden="1" customHeight="1" outlineLevel="1">
      <c r="A821" s="16" t="s">
        <v>2855</v>
      </c>
      <c r="B821" s="16" t="s">
        <v>2856</v>
      </c>
      <c r="C821" s="16" t="s">
        <v>2857</v>
      </c>
      <c r="D821" s="16" t="s">
        <v>4496</v>
      </c>
      <c r="E821" s="204">
        <v>45293</v>
      </c>
      <c r="F821" s="56" t="b">
        <v>0</v>
      </c>
      <c r="G821" s="205" t="s">
        <v>4995</v>
      </c>
      <c r="H821" s="323" t="s">
        <v>4996</v>
      </c>
      <c r="I821" s="56" t="b">
        <v>1</v>
      </c>
      <c r="J821" s="187" t="s">
        <v>4997</v>
      </c>
      <c r="K821" s="205"/>
      <c r="L821" s="16"/>
      <c r="M821" s="16"/>
      <c r="N821" s="16"/>
      <c r="O821" s="16"/>
      <c r="P821" s="16"/>
      <c r="Q821" s="16"/>
      <c r="R821" s="16"/>
      <c r="S821" s="16"/>
      <c r="T821" s="16"/>
      <c r="U821" s="16"/>
      <c r="V821" s="16"/>
      <c r="W821" s="16"/>
      <c r="X821" s="16"/>
      <c r="Y821" s="16"/>
      <c r="Z821" s="16"/>
      <c r="AA821" s="16"/>
    </row>
    <row r="822" spans="1:27" ht="24" hidden="1" customHeight="1" outlineLevel="1">
      <c r="A822" s="16" t="s">
        <v>2859</v>
      </c>
      <c r="B822" s="16" t="s">
        <v>2860</v>
      </c>
      <c r="C822" s="16" t="s">
        <v>2861</v>
      </c>
      <c r="D822" s="16" t="s">
        <v>4747</v>
      </c>
      <c r="E822" s="204">
        <v>45294</v>
      </c>
      <c r="F822" s="56" t="b">
        <v>0</v>
      </c>
      <c r="G822" s="205" t="s">
        <v>4998</v>
      </c>
      <c r="H822" s="323" t="s">
        <v>4999</v>
      </c>
      <c r="I822" s="56" t="b">
        <v>1</v>
      </c>
      <c r="J822" s="16" t="s">
        <v>3621</v>
      </c>
      <c r="K822" s="205"/>
      <c r="L822" s="16"/>
      <c r="M822" s="16"/>
      <c r="N822" s="16"/>
      <c r="O822" s="16"/>
      <c r="P822" s="16"/>
      <c r="Q822" s="16"/>
      <c r="R822" s="16"/>
      <c r="S822" s="16"/>
      <c r="T822" s="16"/>
      <c r="U822" s="16"/>
      <c r="V822" s="16"/>
      <c r="W822" s="16"/>
      <c r="X822" s="16"/>
      <c r="Y822" s="16"/>
      <c r="Z822" s="16"/>
      <c r="AA822" s="16"/>
    </row>
    <row r="823" spans="1:27" ht="24" hidden="1" customHeight="1" outlineLevel="1">
      <c r="A823" s="16" t="s">
        <v>2862</v>
      </c>
      <c r="B823" s="16" t="s">
        <v>2863</v>
      </c>
      <c r="C823" s="16" t="s">
        <v>2864</v>
      </c>
      <c r="D823" s="16" t="s">
        <v>4747</v>
      </c>
      <c r="E823" s="204">
        <v>45294</v>
      </c>
      <c r="F823" s="56" t="b">
        <v>0</v>
      </c>
      <c r="G823" s="205" t="s">
        <v>5000</v>
      </c>
      <c r="H823" s="323" t="s">
        <v>5001</v>
      </c>
      <c r="I823" s="56" t="b">
        <v>1</v>
      </c>
      <c r="J823" s="16" t="s">
        <v>3621</v>
      </c>
      <c r="K823" s="205"/>
      <c r="L823" s="16"/>
      <c r="M823" s="16"/>
      <c r="N823" s="16"/>
      <c r="O823" s="16"/>
      <c r="P823" s="16"/>
      <c r="Q823" s="16"/>
      <c r="R823" s="16"/>
      <c r="S823" s="16"/>
      <c r="T823" s="16"/>
      <c r="U823" s="16"/>
      <c r="V823" s="16"/>
      <c r="W823" s="16"/>
      <c r="X823" s="16"/>
      <c r="Y823" s="16"/>
      <c r="Z823" s="16"/>
      <c r="AA823" s="16"/>
    </row>
    <row r="824" spans="1:27" ht="24" hidden="1" customHeight="1" outlineLevel="1">
      <c r="A824" s="16" t="s">
        <v>2865</v>
      </c>
      <c r="B824" s="16" t="s">
        <v>2867</v>
      </c>
      <c r="C824" s="16" t="s">
        <v>2868</v>
      </c>
      <c r="D824" s="16" t="s">
        <v>3732</v>
      </c>
      <c r="E824" s="204">
        <v>45294</v>
      </c>
      <c r="F824" s="56" t="b">
        <v>0</v>
      </c>
      <c r="G824" s="205" t="s">
        <v>5002</v>
      </c>
      <c r="H824" s="323" t="s">
        <v>5003</v>
      </c>
      <c r="I824" s="56" t="b">
        <v>1</v>
      </c>
      <c r="J824" s="16" t="s">
        <v>3981</v>
      </c>
      <c r="K824" s="205"/>
      <c r="L824" s="16"/>
      <c r="M824" s="16"/>
      <c r="N824" s="16"/>
      <c r="O824" s="16"/>
      <c r="P824" s="16"/>
      <c r="Q824" s="16"/>
      <c r="R824" s="16"/>
      <c r="S824" s="16"/>
      <c r="T824" s="16"/>
      <c r="U824" s="16"/>
      <c r="V824" s="16"/>
      <c r="W824" s="16"/>
      <c r="X824" s="16"/>
      <c r="Y824" s="16"/>
      <c r="Z824" s="16"/>
      <c r="AA824" s="16"/>
    </row>
    <row r="825" spans="1:27" ht="24" hidden="1" customHeight="1" outlineLevel="1">
      <c r="A825" s="16" t="s">
        <v>2869</v>
      </c>
      <c r="B825" s="16" t="s">
        <v>2870</v>
      </c>
      <c r="C825" s="16" t="s">
        <v>2871</v>
      </c>
      <c r="D825" s="16" t="s">
        <v>3930</v>
      </c>
      <c r="E825" s="204">
        <v>45296</v>
      </c>
      <c r="F825" s="56" t="b">
        <v>0</v>
      </c>
      <c r="G825" s="205" t="s">
        <v>5004</v>
      </c>
      <c r="H825" s="205" t="s">
        <v>5005</v>
      </c>
      <c r="I825" s="56" t="b">
        <v>1</v>
      </c>
      <c r="J825" s="16" t="s">
        <v>3621</v>
      </c>
      <c r="K825" s="205"/>
      <c r="L825" s="16"/>
      <c r="M825" s="16"/>
      <c r="N825" s="16"/>
      <c r="O825" s="16"/>
      <c r="P825" s="16"/>
      <c r="Q825" s="16"/>
      <c r="R825" s="16"/>
      <c r="S825" s="16"/>
      <c r="T825" s="16"/>
      <c r="U825" s="16"/>
      <c r="V825" s="16"/>
      <c r="W825" s="16"/>
      <c r="X825" s="16"/>
      <c r="Y825" s="16"/>
      <c r="Z825" s="16"/>
      <c r="AA825" s="16"/>
    </row>
    <row r="826" spans="1:27" ht="24" hidden="1" customHeight="1" outlineLevel="1">
      <c r="A826" s="16" t="s">
        <v>2872</v>
      </c>
      <c r="B826" s="16" t="s">
        <v>2873</v>
      </c>
      <c r="C826" s="16" t="s">
        <v>2874</v>
      </c>
      <c r="D826" s="16" t="s">
        <v>3696</v>
      </c>
      <c r="E826" s="204">
        <v>45299</v>
      </c>
      <c r="F826" s="56" t="b">
        <v>0</v>
      </c>
      <c r="G826" s="205" t="s">
        <v>5006</v>
      </c>
      <c r="H826" s="323" t="s">
        <v>5007</v>
      </c>
      <c r="I826" s="56" t="b">
        <v>1</v>
      </c>
      <c r="J826" s="16" t="s">
        <v>4727</v>
      </c>
      <c r="K826" s="205"/>
      <c r="L826" s="16"/>
      <c r="M826" s="16"/>
      <c r="N826" s="16"/>
      <c r="O826" s="16"/>
      <c r="P826" s="16"/>
      <c r="Q826" s="16"/>
      <c r="R826" s="16"/>
      <c r="S826" s="16"/>
      <c r="T826" s="16"/>
      <c r="U826" s="16"/>
      <c r="V826" s="16"/>
      <c r="W826" s="16"/>
      <c r="X826" s="16"/>
      <c r="Y826" s="16"/>
      <c r="Z826" s="16"/>
      <c r="AA826" s="16"/>
    </row>
    <row r="827" spans="1:27" ht="24" hidden="1" customHeight="1" outlineLevel="1">
      <c r="A827" s="16" t="s">
        <v>2875</v>
      </c>
      <c r="B827" s="16" t="s">
        <v>2876</v>
      </c>
      <c r="C827" s="16" t="s">
        <v>2877</v>
      </c>
      <c r="D827" s="16" t="s">
        <v>4747</v>
      </c>
      <c r="E827" s="204">
        <v>45299</v>
      </c>
      <c r="F827" s="56" t="b">
        <v>0</v>
      </c>
      <c r="G827" s="205" t="s">
        <v>5008</v>
      </c>
      <c r="H827" s="323" t="s">
        <v>5009</v>
      </c>
      <c r="I827" s="56" t="b">
        <v>1</v>
      </c>
      <c r="J827" s="16" t="s">
        <v>3621</v>
      </c>
      <c r="K827" s="205"/>
      <c r="L827" s="16"/>
      <c r="M827" s="16"/>
      <c r="N827" s="16"/>
      <c r="O827" s="16"/>
      <c r="P827" s="16"/>
      <c r="Q827" s="16"/>
      <c r="R827" s="16"/>
      <c r="S827" s="16"/>
      <c r="T827" s="16"/>
      <c r="U827" s="16"/>
      <c r="V827" s="16"/>
      <c r="W827" s="16"/>
      <c r="X827" s="16"/>
      <c r="Y827" s="16"/>
      <c r="Z827" s="16"/>
      <c r="AA827" s="16"/>
    </row>
    <row r="828" spans="1:27" ht="24" hidden="1" customHeight="1" outlineLevel="1">
      <c r="A828" s="16" t="s">
        <v>2878</v>
      </c>
      <c r="B828" s="16" t="s">
        <v>2879</v>
      </c>
      <c r="C828" s="16" t="s">
        <v>2880</v>
      </c>
      <c r="D828" s="16" t="s">
        <v>3930</v>
      </c>
      <c r="E828" s="204">
        <v>45299</v>
      </c>
      <c r="F828" s="56" t="b">
        <v>0</v>
      </c>
      <c r="G828" s="205" t="s">
        <v>5010</v>
      </c>
      <c r="H828" s="323" t="s">
        <v>5011</v>
      </c>
      <c r="I828" s="56" t="b">
        <v>1</v>
      </c>
      <c r="J828" s="16" t="s">
        <v>3621</v>
      </c>
      <c r="K828" s="205"/>
      <c r="L828" s="16"/>
      <c r="M828" s="16"/>
      <c r="N828" s="16"/>
      <c r="O828" s="16"/>
      <c r="P828" s="16"/>
      <c r="Q828" s="16"/>
      <c r="R828" s="16"/>
      <c r="S828" s="16"/>
      <c r="T828" s="16"/>
      <c r="U828" s="16"/>
      <c r="V828" s="16"/>
      <c r="W828" s="16"/>
      <c r="X828" s="16"/>
      <c r="Y828" s="16"/>
      <c r="Z828" s="16"/>
      <c r="AA828" s="16"/>
    </row>
    <row r="829" spans="1:27" ht="24" hidden="1" customHeight="1" outlineLevel="1">
      <c r="A829" s="16" t="s">
        <v>2881</v>
      </c>
      <c r="B829" s="16" t="s">
        <v>2882</v>
      </c>
      <c r="C829" s="16" t="s">
        <v>2883</v>
      </c>
      <c r="D829" s="16" t="s">
        <v>3696</v>
      </c>
      <c r="E829" s="204">
        <v>45299</v>
      </c>
      <c r="F829" s="56" t="b">
        <v>0</v>
      </c>
      <c r="G829" s="205" t="s">
        <v>5012</v>
      </c>
      <c r="H829" s="323" t="s">
        <v>5013</v>
      </c>
      <c r="I829" s="56" t="b">
        <v>1</v>
      </c>
      <c r="J829" s="16" t="s">
        <v>4727</v>
      </c>
      <c r="K829" s="205"/>
      <c r="L829" s="16"/>
      <c r="M829" s="16"/>
      <c r="N829" s="16"/>
      <c r="O829" s="16"/>
      <c r="P829" s="16"/>
      <c r="Q829" s="16"/>
      <c r="R829" s="16"/>
      <c r="S829" s="16"/>
      <c r="T829" s="16"/>
      <c r="U829" s="16"/>
      <c r="V829" s="16"/>
      <c r="W829" s="16"/>
      <c r="X829" s="16"/>
      <c r="Y829" s="16"/>
      <c r="Z829" s="16"/>
      <c r="AA829" s="16"/>
    </row>
    <row r="830" spans="1:27" ht="24" hidden="1" customHeight="1" outlineLevel="1">
      <c r="A830" s="16" t="s">
        <v>2884</v>
      </c>
      <c r="B830" s="16" t="s">
        <v>2885</v>
      </c>
      <c r="C830" s="16" t="s">
        <v>2886</v>
      </c>
      <c r="D830" s="16" t="s">
        <v>3694</v>
      </c>
      <c r="E830" s="204">
        <v>45300</v>
      </c>
      <c r="F830" s="56" t="b">
        <v>0</v>
      </c>
      <c r="G830" s="205" t="s">
        <v>5014</v>
      </c>
      <c r="H830" s="323" t="s">
        <v>5015</v>
      </c>
      <c r="I830" s="56" t="b">
        <v>1</v>
      </c>
      <c r="J830" s="16" t="s">
        <v>4730</v>
      </c>
      <c r="K830" s="205"/>
      <c r="L830" s="16"/>
      <c r="M830" s="16"/>
      <c r="N830" s="16"/>
      <c r="O830" s="16"/>
      <c r="P830" s="16"/>
      <c r="Q830" s="16"/>
      <c r="R830" s="16"/>
      <c r="S830" s="16"/>
      <c r="T830" s="16"/>
      <c r="U830" s="16"/>
      <c r="V830" s="16"/>
      <c r="W830" s="16"/>
      <c r="X830" s="16"/>
      <c r="Y830" s="16"/>
      <c r="Z830" s="16"/>
      <c r="AA830" s="16"/>
    </row>
    <row r="831" spans="1:27" ht="24" hidden="1" customHeight="1" outlineLevel="1">
      <c r="A831" s="16" t="s">
        <v>2887</v>
      </c>
      <c r="B831" s="16" t="s">
        <v>2888</v>
      </c>
      <c r="C831" s="16" t="s">
        <v>5016</v>
      </c>
      <c r="D831" s="16" t="s">
        <v>5017</v>
      </c>
      <c r="E831" s="204">
        <v>45301</v>
      </c>
      <c r="F831" s="56" t="b">
        <v>0</v>
      </c>
      <c r="G831" s="205" t="s">
        <v>5018</v>
      </c>
      <c r="H831" s="323" t="s">
        <v>5019</v>
      </c>
      <c r="I831" s="56" t="b">
        <v>1</v>
      </c>
      <c r="J831" s="16" t="s">
        <v>4775</v>
      </c>
      <c r="K831" s="205"/>
      <c r="L831" s="16"/>
      <c r="M831" s="16"/>
      <c r="N831" s="16"/>
      <c r="O831" s="16"/>
      <c r="P831" s="16"/>
      <c r="Q831" s="16"/>
      <c r="R831" s="16"/>
      <c r="S831" s="16"/>
      <c r="T831" s="16"/>
      <c r="U831" s="16"/>
      <c r="V831" s="16"/>
      <c r="W831" s="16"/>
      <c r="X831" s="16"/>
      <c r="Y831" s="16"/>
      <c r="Z831" s="16"/>
      <c r="AA831" s="16"/>
    </row>
    <row r="832" spans="1:27" ht="24" hidden="1" customHeight="1" outlineLevel="1">
      <c r="A832" s="16" t="s">
        <v>2890</v>
      </c>
      <c r="B832" s="16" t="s">
        <v>2891</v>
      </c>
      <c r="C832" s="16" t="s">
        <v>2892</v>
      </c>
      <c r="D832" s="16" t="s">
        <v>4572</v>
      </c>
      <c r="E832" s="204">
        <v>45301</v>
      </c>
      <c r="F832" s="56" t="b">
        <v>0</v>
      </c>
      <c r="G832" s="205" t="s">
        <v>5020</v>
      </c>
      <c r="H832" s="323" t="s">
        <v>5021</v>
      </c>
      <c r="I832" s="56" t="b">
        <v>1</v>
      </c>
      <c r="J832" s="16" t="s">
        <v>4775</v>
      </c>
      <c r="K832" s="205"/>
      <c r="L832" s="16"/>
      <c r="M832" s="16"/>
      <c r="N832" s="16"/>
      <c r="O832" s="16"/>
      <c r="P832" s="16"/>
      <c r="Q832" s="16"/>
      <c r="R832" s="16"/>
      <c r="S832" s="16"/>
      <c r="T832" s="16"/>
      <c r="U832" s="16"/>
      <c r="V832" s="16"/>
      <c r="W832" s="16"/>
      <c r="X832" s="16"/>
      <c r="Y832" s="16"/>
      <c r="Z832" s="16"/>
      <c r="AA832" s="16"/>
    </row>
    <row r="833" spans="1:27" ht="24" hidden="1" customHeight="1" outlineLevel="1">
      <c r="A833" s="16" t="s">
        <v>5022</v>
      </c>
      <c r="B833" s="16" t="s">
        <v>2894</v>
      </c>
      <c r="C833" s="16" t="s">
        <v>2895</v>
      </c>
      <c r="D833" s="16" t="s">
        <v>3696</v>
      </c>
      <c r="E833" s="204">
        <v>45301</v>
      </c>
      <c r="F833" s="56" t="b">
        <v>0</v>
      </c>
      <c r="G833" s="205" t="s">
        <v>5023</v>
      </c>
      <c r="H833" s="323" t="s">
        <v>5024</v>
      </c>
      <c r="I833" s="56" t="b">
        <v>1</v>
      </c>
      <c r="J833" s="16" t="s">
        <v>4727</v>
      </c>
      <c r="K833" s="205"/>
      <c r="L833" s="16"/>
      <c r="M833" s="16"/>
      <c r="N833" s="16"/>
      <c r="O833" s="16"/>
      <c r="P833" s="16"/>
      <c r="Q833" s="16"/>
      <c r="R833" s="16"/>
      <c r="S833" s="16"/>
      <c r="T833" s="16"/>
      <c r="U833" s="16"/>
      <c r="V833" s="16"/>
      <c r="W833" s="16"/>
      <c r="X833" s="16"/>
      <c r="Y833" s="16"/>
      <c r="Z833" s="16"/>
      <c r="AA833" s="16"/>
    </row>
    <row r="834" spans="1:27" ht="24" hidden="1" customHeight="1" outlineLevel="1">
      <c r="A834" s="16" t="s">
        <v>2896</v>
      </c>
      <c r="B834" s="16" t="s">
        <v>2898</v>
      </c>
      <c r="C834" s="16" t="s">
        <v>2899</v>
      </c>
      <c r="D834" s="16" t="s">
        <v>3718</v>
      </c>
      <c r="E834" s="204">
        <v>45303</v>
      </c>
      <c r="F834" s="56" t="b">
        <v>1</v>
      </c>
      <c r="G834" s="205" t="s">
        <v>5025</v>
      </c>
      <c r="H834" s="323" t="s">
        <v>5026</v>
      </c>
      <c r="I834" s="56" t="b">
        <v>1</v>
      </c>
      <c r="J834" s="16" t="s">
        <v>4775</v>
      </c>
      <c r="K834" s="205"/>
      <c r="L834" s="16"/>
      <c r="M834" s="16"/>
      <c r="N834" s="16"/>
      <c r="O834" s="16"/>
      <c r="P834" s="16"/>
      <c r="Q834" s="16"/>
      <c r="R834" s="16"/>
      <c r="S834" s="16"/>
      <c r="T834" s="16"/>
      <c r="U834" s="16"/>
      <c r="V834" s="16"/>
      <c r="W834" s="16"/>
      <c r="X834" s="16"/>
      <c r="Y834" s="16"/>
      <c r="Z834" s="16"/>
      <c r="AA834" s="16"/>
    </row>
    <row r="835" spans="1:27" ht="24" hidden="1" customHeight="1" outlineLevel="1">
      <c r="A835" s="16" t="s">
        <v>2900</v>
      </c>
      <c r="B835" s="16" t="s">
        <v>2901</v>
      </c>
      <c r="C835" s="16" t="s">
        <v>2902</v>
      </c>
      <c r="D835" s="16" t="s">
        <v>4513</v>
      </c>
      <c r="E835" s="204">
        <v>45306</v>
      </c>
      <c r="F835" s="56" t="b">
        <v>0</v>
      </c>
      <c r="G835" s="205" t="s">
        <v>5027</v>
      </c>
      <c r="H835" s="323" t="s">
        <v>5028</v>
      </c>
      <c r="I835" s="56" t="b">
        <v>0</v>
      </c>
      <c r="J835" s="16" t="s">
        <v>4084</v>
      </c>
      <c r="K835" s="205"/>
      <c r="L835" s="16"/>
      <c r="M835" s="16"/>
      <c r="N835" s="16"/>
      <c r="O835" s="16"/>
      <c r="P835" s="16"/>
      <c r="Q835" s="16"/>
      <c r="R835" s="16"/>
      <c r="S835" s="16"/>
      <c r="T835" s="16"/>
      <c r="U835" s="16"/>
      <c r="V835" s="16"/>
      <c r="W835" s="16"/>
      <c r="X835" s="16"/>
      <c r="Y835" s="16"/>
      <c r="Z835" s="16"/>
      <c r="AA835" s="16"/>
    </row>
    <row r="836" spans="1:27" ht="24" hidden="1" customHeight="1" outlineLevel="1">
      <c r="A836" s="16" t="s">
        <v>2903</v>
      </c>
      <c r="B836" s="16" t="s">
        <v>2904</v>
      </c>
      <c r="C836" s="16" t="s">
        <v>2905</v>
      </c>
      <c r="D836" s="16" t="s">
        <v>3809</v>
      </c>
      <c r="E836" s="204">
        <v>45307</v>
      </c>
      <c r="F836" s="56" t="b">
        <v>0</v>
      </c>
      <c r="G836" s="205" t="s">
        <v>5029</v>
      </c>
      <c r="H836" s="323" t="s">
        <v>5030</v>
      </c>
      <c r="I836" s="56" t="b">
        <v>1</v>
      </c>
      <c r="J836" s="16" t="s">
        <v>4730</v>
      </c>
      <c r="K836" s="205"/>
      <c r="L836" s="16"/>
      <c r="M836" s="16"/>
      <c r="N836" s="16"/>
      <c r="O836" s="16"/>
      <c r="P836" s="16"/>
      <c r="Q836" s="16"/>
      <c r="R836" s="16"/>
      <c r="S836" s="16"/>
      <c r="T836" s="16"/>
      <c r="U836" s="16"/>
      <c r="V836" s="16"/>
      <c r="W836" s="16"/>
      <c r="X836" s="16"/>
      <c r="Y836" s="16"/>
      <c r="Z836" s="16"/>
      <c r="AA836" s="16"/>
    </row>
    <row r="837" spans="1:27" ht="24" hidden="1" customHeight="1" outlineLevel="1">
      <c r="A837" s="16" t="s">
        <v>2906</v>
      </c>
      <c r="B837" s="16" t="s">
        <v>2907</v>
      </c>
      <c r="C837" s="16" t="s">
        <v>5031</v>
      </c>
      <c r="D837" s="16" t="s">
        <v>4567</v>
      </c>
      <c r="E837" s="204">
        <v>45307</v>
      </c>
      <c r="F837" s="56" t="b">
        <v>0</v>
      </c>
      <c r="G837" s="205" t="s">
        <v>5032</v>
      </c>
      <c r="H837" s="323" t="s">
        <v>5033</v>
      </c>
      <c r="I837" s="56" t="b">
        <v>1</v>
      </c>
      <c r="J837" s="16" t="s">
        <v>4084</v>
      </c>
      <c r="K837" s="205"/>
      <c r="L837" s="16"/>
      <c r="M837" s="16"/>
      <c r="N837" s="16"/>
      <c r="O837" s="16"/>
      <c r="P837" s="16"/>
      <c r="Q837" s="16"/>
      <c r="R837" s="16"/>
      <c r="S837" s="16"/>
      <c r="T837" s="16"/>
      <c r="U837" s="16"/>
      <c r="V837" s="16"/>
      <c r="W837" s="16"/>
      <c r="X837" s="16"/>
      <c r="Y837" s="16"/>
      <c r="Z837" s="16"/>
      <c r="AA837" s="16"/>
    </row>
    <row r="838" spans="1:27" ht="24" hidden="1" customHeight="1" outlineLevel="1">
      <c r="A838" s="16" t="s">
        <v>5034</v>
      </c>
      <c r="B838" s="16" t="s">
        <v>2910</v>
      </c>
      <c r="C838" s="16" t="s">
        <v>2911</v>
      </c>
      <c r="D838" s="16" t="s">
        <v>3790</v>
      </c>
      <c r="E838" s="204">
        <v>45307</v>
      </c>
      <c r="F838" s="56" t="b">
        <v>0</v>
      </c>
      <c r="G838" s="205" t="s">
        <v>5035</v>
      </c>
      <c r="H838" s="323" t="s">
        <v>5036</v>
      </c>
      <c r="I838" s="56" t="b">
        <v>1</v>
      </c>
      <c r="J838" s="16" t="s">
        <v>4256</v>
      </c>
      <c r="K838" s="205"/>
      <c r="L838" s="16"/>
      <c r="M838" s="16"/>
      <c r="N838" s="16"/>
      <c r="O838" s="16"/>
      <c r="P838" s="16"/>
      <c r="Q838" s="16"/>
      <c r="R838" s="16"/>
      <c r="S838" s="16"/>
      <c r="T838" s="16"/>
      <c r="U838" s="16"/>
      <c r="V838" s="16"/>
      <c r="W838" s="16"/>
      <c r="X838" s="16"/>
      <c r="Y838" s="16"/>
      <c r="Z838" s="16"/>
      <c r="AA838" s="16"/>
    </row>
    <row r="839" spans="1:27" ht="24" hidden="1" customHeight="1" outlineLevel="1">
      <c r="A839" s="16" t="s">
        <v>5037</v>
      </c>
      <c r="B839" s="16" t="s">
        <v>2913</v>
      </c>
      <c r="C839" s="16" t="s">
        <v>2914</v>
      </c>
      <c r="D839" s="16" t="s">
        <v>3809</v>
      </c>
      <c r="E839" s="204">
        <v>45307</v>
      </c>
      <c r="F839" s="56" t="b">
        <v>0</v>
      </c>
      <c r="G839" s="205" t="s">
        <v>5038</v>
      </c>
      <c r="H839" s="323" t="s">
        <v>5039</v>
      </c>
      <c r="I839" s="56" t="b">
        <v>1</v>
      </c>
      <c r="J839" s="16" t="s">
        <v>4730</v>
      </c>
      <c r="K839" s="205"/>
      <c r="L839" s="16"/>
      <c r="M839" s="16"/>
      <c r="N839" s="16"/>
      <c r="O839" s="16"/>
      <c r="P839" s="16"/>
      <c r="Q839" s="16"/>
      <c r="R839" s="16"/>
      <c r="S839" s="16"/>
      <c r="T839" s="16"/>
      <c r="U839" s="16"/>
      <c r="V839" s="16"/>
      <c r="W839" s="16"/>
      <c r="X839" s="16"/>
      <c r="Y839" s="16"/>
      <c r="Z839" s="16"/>
      <c r="AA839" s="16"/>
    </row>
    <row r="840" spans="1:27" ht="24" hidden="1" customHeight="1" outlineLevel="1">
      <c r="A840" s="16" t="s">
        <v>2915</v>
      </c>
      <c r="B840" s="16" t="s">
        <v>2917</v>
      </c>
      <c r="C840" s="16" t="s">
        <v>2918</v>
      </c>
      <c r="D840" s="16" t="s">
        <v>3809</v>
      </c>
      <c r="E840" s="204">
        <v>45307</v>
      </c>
      <c r="F840" s="56" t="b">
        <v>0</v>
      </c>
      <c r="G840" s="205" t="s">
        <v>5040</v>
      </c>
      <c r="H840" s="323" t="s">
        <v>5041</v>
      </c>
      <c r="I840" s="56" t="b">
        <v>1</v>
      </c>
      <c r="J840" s="16" t="s">
        <v>4730</v>
      </c>
      <c r="K840" s="205"/>
      <c r="L840" s="16"/>
      <c r="M840" s="16"/>
      <c r="N840" s="16"/>
      <c r="O840" s="16"/>
      <c r="P840" s="16"/>
      <c r="Q840" s="16"/>
      <c r="R840" s="16"/>
      <c r="S840" s="16"/>
      <c r="T840" s="16"/>
      <c r="U840" s="16"/>
      <c r="V840" s="16"/>
      <c r="W840" s="16"/>
      <c r="X840" s="16"/>
      <c r="Y840" s="16"/>
      <c r="Z840" s="16"/>
      <c r="AA840" s="16"/>
    </row>
    <row r="841" spans="1:27" ht="24" hidden="1" customHeight="1" outlineLevel="1">
      <c r="A841" s="16" t="s">
        <v>2919</v>
      </c>
      <c r="B841" s="16" t="s">
        <v>2920</v>
      </c>
      <c r="C841" s="16" t="s">
        <v>2921</v>
      </c>
      <c r="D841" s="16" t="s">
        <v>3696</v>
      </c>
      <c r="E841" s="204">
        <v>45308</v>
      </c>
      <c r="F841" s="56" t="b">
        <v>0</v>
      </c>
      <c r="G841" s="205" t="s">
        <v>5042</v>
      </c>
      <c r="H841" s="323" t="s">
        <v>5043</v>
      </c>
      <c r="I841" s="56" t="b">
        <v>1</v>
      </c>
      <c r="J841" s="16" t="s">
        <v>4727</v>
      </c>
      <c r="K841" s="205"/>
      <c r="L841" s="16"/>
      <c r="M841" s="16"/>
      <c r="N841" s="16"/>
      <c r="O841" s="16"/>
      <c r="P841" s="16"/>
      <c r="Q841" s="16"/>
      <c r="R841" s="16"/>
      <c r="S841" s="16"/>
      <c r="T841" s="16"/>
      <c r="U841" s="16"/>
      <c r="V841" s="16"/>
      <c r="W841" s="16"/>
      <c r="X841" s="16"/>
      <c r="Y841" s="16"/>
      <c r="Z841" s="16"/>
      <c r="AA841" s="16"/>
    </row>
    <row r="842" spans="1:27" ht="24" hidden="1" customHeight="1" outlineLevel="1">
      <c r="A842" s="16" t="s">
        <v>5044</v>
      </c>
      <c r="B842" s="16" t="s">
        <v>2923</v>
      </c>
      <c r="C842" s="16" t="s">
        <v>2924</v>
      </c>
      <c r="D842" s="16" t="s">
        <v>3809</v>
      </c>
      <c r="E842" s="204">
        <v>45308</v>
      </c>
      <c r="F842" s="56" t="b">
        <v>0</v>
      </c>
      <c r="G842" s="205" t="s">
        <v>5045</v>
      </c>
      <c r="H842" s="323" t="s">
        <v>5046</v>
      </c>
      <c r="I842" s="56" t="b">
        <v>1</v>
      </c>
      <c r="J842" s="16" t="s">
        <v>4730</v>
      </c>
      <c r="K842" s="205"/>
      <c r="L842" s="16"/>
      <c r="M842" s="16"/>
      <c r="N842" s="16"/>
      <c r="O842" s="16"/>
      <c r="P842" s="16"/>
      <c r="Q842" s="16"/>
      <c r="R842" s="16"/>
      <c r="S842" s="16"/>
      <c r="T842" s="16"/>
      <c r="U842" s="16"/>
      <c r="V842" s="16"/>
      <c r="W842" s="16"/>
      <c r="X842" s="16"/>
      <c r="Y842" s="16"/>
      <c r="Z842" s="16"/>
      <c r="AA842" s="16"/>
    </row>
    <row r="843" spans="1:27" ht="24" hidden="1" customHeight="1" outlineLevel="1">
      <c r="A843" s="16" t="s">
        <v>5047</v>
      </c>
      <c r="B843" s="16" t="s">
        <v>2926</v>
      </c>
      <c r="C843" s="16" t="s">
        <v>2927</v>
      </c>
      <c r="D843" s="16" t="s">
        <v>4567</v>
      </c>
      <c r="E843" s="204">
        <v>45308</v>
      </c>
      <c r="F843" s="56" t="b">
        <v>0</v>
      </c>
      <c r="G843" s="205" t="s">
        <v>5048</v>
      </c>
      <c r="H843" s="205" t="s">
        <v>5005</v>
      </c>
      <c r="I843" s="56" t="b">
        <v>1</v>
      </c>
      <c r="J843" s="187" t="s">
        <v>4997</v>
      </c>
      <c r="K843" s="205"/>
      <c r="L843" s="16"/>
      <c r="M843" s="16"/>
      <c r="N843" s="16"/>
      <c r="O843" s="16"/>
      <c r="P843" s="16"/>
      <c r="Q843" s="16"/>
      <c r="R843" s="16"/>
      <c r="S843" s="16"/>
      <c r="T843" s="16"/>
      <c r="U843" s="16"/>
      <c r="V843" s="16"/>
      <c r="W843" s="16"/>
      <c r="X843" s="16"/>
      <c r="Y843" s="16"/>
      <c r="Z843" s="16"/>
      <c r="AA843" s="16"/>
    </row>
    <row r="844" spans="1:27" ht="24" hidden="1" customHeight="1" outlineLevel="1">
      <c r="A844" s="16" t="s">
        <v>2928</v>
      </c>
      <c r="B844" s="16" t="s">
        <v>2929</v>
      </c>
      <c r="C844" s="16" t="s">
        <v>2930</v>
      </c>
      <c r="D844" s="16" t="s">
        <v>3809</v>
      </c>
      <c r="E844" s="204">
        <v>45308</v>
      </c>
      <c r="F844" s="56" t="b">
        <v>0</v>
      </c>
      <c r="G844" s="205" t="s">
        <v>5049</v>
      </c>
      <c r="H844" s="323" t="s">
        <v>5050</v>
      </c>
      <c r="I844" s="56" t="b">
        <v>1</v>
      </c>
      <c r="J844" s="16" t="s">
        <v>4730</v>
      </c>
      <c r="K844" s="205"/>
      <c r="L844" s="16"/>
      <c r="M844" s="16"/>
      <c r="N844" s="16"/>
      <c r="O844" s="16"/>
      <c r="P844" s="16"/>
      <c r="Q844" s="16"/>
      <c r="R844" s="16"/>
      <c r="S844" s="16"/>
      <c r="T844" s="16"/>
      <c r="U844" s="16"/>
      <c r="V844" s="16"/>
      <c r="W844" s="16"/>
      <c r="X844" s="16"/>
      <c r="Y844" s="16"/>
      <c r="Z844" s="16"/>
      <c r="AA844" s="16"/>
    </row>
    <row r="845" spans="1:27" ht="24" hidden="1" customHeight="1" outlineLevel="1">
      <c r="A845" s="16" t="s">
        <v>2931</v>
      </c>
      <c r="B845" s="16" t="s">
        <v>2932</v>
      </c>
      <c r="C845" s="16" t="s">
        <v>2933</v>
      </c>
      <c r="D845" s="16" t="s">
        <v>3930</v>
      </c>
      <c r="E845" s="204">
        <v>45308</v>
      </c>
      <c r="F845" s="56" t="b">
        <v>0</v>
      </c>
      <c r="G845" s="205" t="s">
        <v>5051</v>
      </c>
      <c r="H845" s="324" t="s">
        <v>5052</v>
      </c>
      <c r="I845" s="56" t="b">
        <v>1</v>
      </c>
      <c r="J845" s="16" t="s">
        <v>3621</v>
      </c>
      <c r="K845" s="205"/>
      <c r="L845" s="16"/>
      <c r="M845" s="16"/>
      <c r="N845" s="16"/>
      <c r="O845" s="16"/>
      <c r="P845" s="16"/>
      <c r="Q845" s="16"/>
      <c r="R845" s="16"/>
      <c r="S845" s="16"/>
      <c r="T845" s="16"/>
      <c r="U845" s="16"/>
      <c r="V845" s="16"/>
      <c r="W845" s="16"/>
      <c r="X845" s="16"/>
      <c r="Y845" s="16"/>
      <c r="Z845" s="16"/>
      <c r="AA845" s="16"/>
    </row>
    <row r="846" spans="1:27" ht="24" hidden="1" customHeight="1" outlineLevel="1">
      <c r="A846" s="16" t="s">
        <v>2934</v>
      </c>
      <c r="B846" s="16" t="s">
        <v>5053</v>
      </c>
      <c r="C846" s="16" t="s">
        <v>2936</v>
      </c>
      <c r="D846" s="16" t="s">
        <v>5054</v>
      </c>
      <c r="E846" s="204">
        <v>45309</v>
      </c>
      <c r="F846" s="56" t="b">
        <v>0</v>
      </c>
      <c r="G846" s="205" t="s">
        <v>5055</v>
      </c>
      <c r="H846" s="324" t="s">
        <v>5056</v>
      </c>
      <c r="I846" s="56" t="b">
        <v>1</v>
      </c>
      <c r="J846" s="16" t="s">
        <v>3981</v>
      </c>
      <c r="K846" s="205"/>
      <c r="L846" s="16"/>
      <c r="M846" s="16"/>
      <c r="N846" s="16"/>
      <c r="O846" s="16"/>
      <c r="P846" s="16"/>
      <c r="Q846" s="16"/>
      <c r="R846" s="16"/>
      <c r="S846" s="16"/>
      <c r="T846" s="16"/>
      <c r="U846" s="16"/>
      <c r="V846" s="16"/>
      <c r="W846" s="16"/>
      <c r="X846" s="16"/>
      <c r="Y846" s="16"/>
      <c r="Z846" s="16"/>
      <c r="AA846" s="16"/>
    </row>
    <row r="847" spans="1:27" ht="24" hidden="1" customHeight="1" outlineLevel="1">
      <c r="A847" s="16" t="s">
        <v>5057</v>
      </c>
      <c r="B847" s="16" t="s">
        <v>2938</v>
      </c>
      <c r="C847" s="16" t="s">
        <v>2939</v>
      </c>
      <c r="D847" s="16" t="s">
        <v>4572</v>
      </c>
      <c r="E847" s="204">
        <v>45309</v>
      </c>
      <c r="F847" s="56" t="b">
        <v>1</v>
      </c>
      <c r="G847" s="205" t="s">
        <v>5058</v>
      </c>
      <c r="H847" s="323" t="s">
        <v>5059</v>
      </c>
      <c r="I847" s="56" t="b">
        <v>1</v>
      </c>
      <c r="J847" s="16" t="s">
        <v>4775</v>
      </c>
      <c r="K847" s="205"/>
      <c r="L847" s="16"/>
      <c r="M847" s="16"/>
      <c r="N847" s="16"/>
      <c r="O847" s="16"/>
      <c r="P847" s="16"/>
      <c r="Q847" s="16"/>
      <c r="R847" s="16"/>
      <c r="S847" s="16"/>
      <c r="T847" s="16"/>
      <c r="U847" s="16"/>
      <c r="V847" s="16"/>
      <c r="W847" s="16"/>
      <c r="X847" s="16"/>
      <c r="Y847" s="16"/>
      <c r="Z847" s="16"/>
      <c r="AA847" s="16"/>
    </row>
    <row r="848" spans="1:27" ht="24" hidden="1" customHeight="1" outlineLevel="1">
      <c r="A848" s="16" t="s">
        <v>5060</v>
      </c>
      <c r="B848" s="16" t="s">
        <v>2942</v>
      </c>
      <c r="C848" s="16" t="s">
        <v>2943</v>
      </c>
      <c r="D848" s="16" t="s">
        <v>4747</v>
      </c>
      <c r="E848" s="204">
        <v>45310</v>
      </c>
      <c r="F848" s="56" t="b">
        <v>0</v>
      </c>
      <c r="G848" s="205" t="s">
        <v>5061</v>
      </c>
      <c r="H848" s="323" t="s">
        <v>5062</v>
      </c>
      <c r="I848" s="56" t="b">
        <v>1</v>
      </c>
      <c r="J848" s="16" t="s">
        <v>3621</v>
      </c>
      <c r="K848" s="205"/>
      <c r="L848" s="16"/>
      <c r="M848" s="16"/>
      <c r="N848" s="16"/>
      <c r="O848" s="16"/>
      <c r="P848" s="16"/>
      <c r="Q848" s="16"/>
      <c r="R848" s="16"/>
      <c r="S848" s="16"/>
      <c r="T848" s="16"/>
      <c r="U848" s="16"/>
      <c r="V848" s="16"/>
      <c r="W848" s="16"/>
      <c r="X848" s="16"/>
      <c r="Y848" s="16"/>
      <c r="Z848" s="16"/>
      <c r="AA848" s="16"/>
    </row>
    <row r="849" spans="1:27" ht="24" hidden="1" customHeight="1" outlineLevel="1">
      <c r="A849" s="16" t="s">
        <v>2944</v>
      </c>
      <c r="B849" s="16" t="s">
        <v>2945</v>
      </c>
      <c r="C849" s="16" t="s">
        <v>2946</v>
      </c>
      <c r="D849" s="16" t="s">
        <v>5054</v>
      </c>
      <c r="E849" s="204">
        <v>45311</v>
      </c>
      <c r="F849" s="56" t="b">
        <v>0</v>
      </c>
      <c r="G849" s="205" t="s">
        <v>5063</v>
      </c>
      <c r="H849" s="323" t="s">
        <v>5064</v>
      </c>
      <c r="I849" s="56" t="b">
        <v>1</v>
      </c>
      <c r="J849" s="16" t="s">
        <v>3981</v>
      </c>
      <c r="K849" s="205"/>
      <c r="L849" s="16"/>
      <c r="M849" s="16"/>
      <c r="N849" s="16"/>
      <c r="O849" s="16"/>
      <c r="P849" s="16"/>
      <c r="Q849" s="16"/>
      <c r="R849" s="16"/>
      <c r="S849" s="16"/>
      <c r="T849" s="16"/>
      <c r="U849" s="16"/>
      <c r="V849" s="16"/>
      <c r="W849" s="16"/>
      <c r="X849" s="16"/>
      <c r="Y849" s="16"/>
      <c r="Z849" s="16"/>
      <c r="AA849" s="16"/>
    </row>
    <row r="850" spans="1:27" ht="24" hidden="1" customHeight="1" outlineLevel="1">
      <c r="A850" s="16" t="s">
        <v>2947</v>
      </c>
      <c r="B850" s="16" t="s">
        <v>2948</v>
      </c>
      <c r="C850" s="16" t="s">
        <v>2949</v>
      </c>
      <c r="D850" s="16" t="s">
        <v>5065</v>
      </c>
      <c r="E850" s="204">
        <v>45313</v>
      </c>
      <c r="F850" s="56" t="b">
        <v>0</v>
      </c>
      <c r="G850" s="205" t="s">
        <v>5066</v>
      </c>
      <c r="H850" s="324" t="s">
        <v>5067</v>
      </c>
      <c r="I850" s="56" t="b">
        <v>1</v>
      </c>
      <c r="J850" s="187" t="s">
        <v>4997</v>
      </c>
      <c r="K850" s="205"/>
      <c r="L850" s="16"/>
      <c r="M850" s="16"/>
      <c r="N850" s="16"/>
      <c r="O850" s="16"/>
      <c r="P850" s="16"/>
      <c r="Q850" s="16"/>
      <c r="R850" s="16"/>
      <c r="S850" s="16"/>
      <c r="T850" s="16"/>
      <c r="U850" s="16"/>
      <c r="V850" s="16"/>
      <c r="W850" s="16"/>
      <c r="X850" s="16"/>
      <c r="Y850" s="16"/>
      <c r="Z850" s="16"/>
      <c r="AA850" s="16"/>
    </row>
    <row r="851" spans="1:27" ht="24" hidden="1" customHeight="1" outlineLevel="1">
      <c r="A851" s="16" t="s">
        <v>2950</v>
      </c>
      <c r="B851" s="16" t="s">
        <v>2951</v>
      </c>
      <c r="C851" s="16" t="s">
        <v>2952</v>
      </c>
      <c r="D851" s="16" t="s">
        <v>3809</v>
      </c>
      <c r="E851" s="204">
        <v>45313</v>
      </c>
      <c r="F851" s="56" t="b">
        <v>0</v>
      </c>
      <c r="G851" s="205" t="s">
        <v>5068</v>
      </c>
      <c r="H851" s="323" t="s">
        <v>5069</v>
      </c>
      <c r="I851" s="56" t="b">
        <v>1</v>
      </c>
      <c r="J851" s="16" t="s">
        <v>4730</v>
      </c>
      <c r="K851" s="205"/>
      <c r="L851" s="16"/>
      <c r="M851" s="16"/>
      <c r="N851" s="16"/>
      <c r="O851" s="16"/>
      <c r="P851" s="16"/>
      <c r="Q851" s="16"/>
      <c r="R851" s="16"/>
      <c r="S851" s="16"/>
      <c r="T851" s="16"/>
      <c r="U851" s="16"/>
      <c r="V851" s="16"/>
      <c r="W851" s="16"/>
      <c r="X851" s="16"/>
      <c r="Y851" s="16"/>
      <c r="Z851" s="16"/>
      <c r="AA851" s="16"/>
    </row>
    <row r="852" spans="1:27" ht="24" hidden="1" customHeight="1" outlineLevel="1">
      <c r="A852" s="16" t="s">
        <v>2953</v>
      </c>
      <c r="B852" s="16" t="s">
        <v>2954</v>
      </c>
      <c r="C852" s="16" t="s">
        <v>2955</v>
      </c>
      <c r="D852" s="16" t="s">
        <v>3732</v>
      </c>
      <c r="E852" s="204">
        <v>45313</v>
      </c>
      <c r="F852" s="56" t="b">
        <v>0</v>
      </c>
      <c r="G852" s="205" t="s">
        <v>5070</v>
      </c>
      <c r="H852" s="323" t="s">
        <v>5071</v>
      </c>
      <c r="I852" s="56" t="b">
        <v>1</v>
      </c>
      <c r="J852" s="16" t="s">
        <v>3981</v>
      </c>
      <c r="K852" s="205"/>
      <c r="L852" s="16"/>
      <c r="M852" s="16"/>
      <c r="N852" s="16"/>
      <c r="O852" s="16"/>
      <c r="P852" s="16"/>
      <c r="Q852" s="16"/>
      <c r="R852" s="16"/>
      <c r="S852" s="16"/>
      <c r="T852" s="16"/>
      <c r="U852" s="16"/>
      <c r="V852" s="16"/>
      <c r="W852" s="16"/>
      <c r="X852" s="16"/>
      <c r="Y852" s="16"/>
      <c r="Z852" s="16"/>
      <c r="AA852" s="16"/>
    </row>
    <row r="853" spans="1:27" ht="24" hidden="1" customHeight="1" outlineLevel="1">
      <c r="A853" s="16" t="s">
        <v>2956</v>
      </c>
      <c r="B853" s="16" t="s">
        <v>2957</v>
      </c>
      <c r="C853" s="16" t="s">
        <v>2958</v>
      </c>
      <c r="D853" s="16" t="s">
        <v>4747</v>
      </c>
      <c r="E853" s="204">
        <v>45313</v>
      </c>
      <c r="F853" s="56" t="b">
        <v>0</v>
      </c>
      <c r="G853" s="205" t="s">
        <v>5072</v>
      </c>
      <c r="H853" s="323" t="s">
        <v>5073</v>
      </c>
      <c r="I853" s="56" t="b">
        <v>1</v>
      </c>
      <c r="J853" s="16" t="s">
        <v>3621</v>
      </c>
      <c r="K853" s="205"/>
      <c r="L853" s="16"/>
      <c r="M853" s="16"/>
      <c r="N853" s="16"/>
      <c r="O853" s="16"/>
      <c r="P853" s="16"/>
      <c r="Q853" s="16"/>
      <c r="R853" s="16"/>
      <c r="S853" s="16"/>
      <c r="T853" s="16"/>
      <c r="U853" s="16"/>
      <c r="V853" s="16"/>
      <c r="W853" s="16"/>
      <c r="X853" s="16"/>
      <c r="Y853" s="16"/>
      <c r="Z853" s="16"/>
      <c r="AA853" s="16"/>
    </row>
    <row r="854" spans="1:27" ht="24" hidden="1" customHeight="1" outlineLevel="1">
      <c r="A854" s="16" t="s">
        <v>2959</v>
      </c>
      <c r="B854" s="16" t="s">
        <v>2960</v>
      </c>
      <c r="C854" s="16" t="s">
        <v>2961</v>
      </c>
      <c r="D854" s="16" t="s">
        <v>3809</v>
      </c>
      <c r="E854" s="204">
        <v>45313</v>
      </c>
      <c r="F854" s="56" t="b">
        <v>0</v>
      </c>
      <c r="G854" s="205" t="s">
        <v>5074</v>
      </c>
      <c r="H854" s="323" t="s">
        <v>5075</v>
      </c>
      <c r="I854" s="56" t="b">
        <v>1</v>
      </c>
      <c r="J854" s="16" t="s">
        <v>4730</v>
      </c>
      <c r="K854" s="205"/>
      <c r="L854" s="16"/>
      <c r="M854" s="16"/>
      <c r="N854" s="16"/>
      <c r="O854" s="16"/>
      <c r="P854" s="16"/>
      <c r="Q854" s="16"/>
      <c r="R854" s="16"/>
      <c r="S854" s="16"/>
      <c r="T854" s="16"/>
      <c r="U854" s="16"/>
      <c r="V854" s="16"/>
      <c r="W854" s="16"/>
      <c r="X854" s="16"/>
      <c r="Y854" s="16"/>
      <c r="Z854" s="16"/>
      <c r="AA854" s="16"/>
    </row>
    <row r="855" spans="1:27" ht="24" hidden="1" customHeight="1" outlineLevel="1">
      <c r="A855" s="16" t="s">
        <v>2962</v>
      </c>
      <c r="B855" s="16" t="s">
        <v>2963</v>
      </c>
      <c r="C855" s="16" t="s">
        <v>2964</v>
      </c>
      <c r="D855" s="16" t="s">
        <v>3809</v>
      </c>
      <c r="E855" s="204">
        <v>45313</v>
      </c>
      <c r="F855" s="56" t="b">
        <v>0</v>
      </c>
      <c r="G855" s="205" t="s">
        <v>5076</v>
      </c>
      <c r="H855" s="323" t="s">
        <v>5077</v>
      </c>
      <c r="I855" s="56" t="b">
        <v>1</v>
      </c>
      <c r="J855" s="16" t="s">
        <v>4730</v>
      </c>
      <c r="K855" s="205"/>
      <c r="L855" s="16"/>
      <c r="M855" s="16"/>
      <c r="N855" s="16"/>
      <c r="O855" s="16"/>
      <c r="P855" s="16"/>
      <c r="Q855" s="16"/>
      <c r="R855" s="16"/>
      <c r="S855" s="16"/>
      <c r="T855" s="16"/>
      <c r="U855" s="16"/>
      <c r="V855" s="16"/>
      <c r="W855" s="16"/>
      <c r="X855" s="16"/>
      <c r="Y855" s="16"/>
      <c r="Z855" s="16"/>
      <c r="AA855" s="16"/>
    </row>
    <row r="856" spans="1:27" ht="24" hidden="1" customHeight="1" outlineLevel="1">
      <c r="A856" s="16" t="s">
        <v>2965</v>
      </c>
      <c r="B856" s="16" t="s">
        <v>2966</v>
      </c>
      <c r="C856" s="16" t="s">
        <v>2967</v>
      </c>
      <c r="D856" s="16" t="s">
        <v>4747</v>
      </c>
      <c r="E856" s="204">
        <v>45313</v>
      </c>
      <c r="F856" s="56" t="b">
        <v>0</v>
      </c>
      <c r="G856" s="205" t="s">
        <v>5078</v>
      </c>
      <c r="H856" s="323" t="s">
        <v>5079</v>
      </c>
      <c r="I856" s="56" t="b">
        <v>1</v>
      </c>
      <c r="J856" s="16" t="s">
        <v>3621</v>
      </c>
      <c r="K856" s="205"/>
      <c r="L856" s="16"/>
      <c r="M856" s="16"/>
      <c r="N856" s="16"/>
      <c r="O856" s="16"/>
      <c r="P856" s="16"/>
      <c r="Q856" s="16"/>
      <c r="R856" s="16"/>
      <c r="S856" s="16"/>
      <c r="T856" s="16"/>
      <c r="U856" s="16"/>
      <c r="V856" s="16"/>
      <c r="W856" s="16"/>
      <c r="X856" s="16"/>
      <c r="Y856" s="16"/>
      <c r="Z856" s="16"/>
      <c r="AA856" s="16"/>
    </row>
    <row r="857" spans="1:27" ht="24" hidden="1" customHeight="1" outlineLevel="1">
      <c r="A857" s="16" t="s">
        <v>5080</v>
      </c>
      <c r="B857" s="16" t="s">
        <v>5081</v>
      </c>
      <c r="C857" s="16" t="s">
        <v>2970</v>
      </c>
      <c r="D857" s="16" t="s">
        <v>4747</v>
      </c>
      <c r="E857" s="204">
        <v>45313</v>
      </c>
      <c r="F857" s="56" t="b">
        <v>0</v>
      </c>
      <c r="G857" s="205" t="s">
        <v>5082</v>
      </c>
      <c r="H857" s="323" t="s">
        <v>5083</v>
      </c>
      <c r="I857" s="56" t="b">
        <v>1</v>
      </c>
      <c r="J857" s="16" t="s">
        <v>3621</v>
      </c>
      <c r="K857" s="205"/>
      <c r="L857" s="16"/>
      <c r="M857" s="16"/>
      <c r="N857" s="16"/>
      <c r="O857" s="16"/>
      <c r="P857" s="16"/>
      <c r="Q857" s="16"/>
      <c r="R857" s="16"/>
      <c r="S857" s="16"/>
      <c r="T857" s="16"/>
      <c r="U857" s="16"/>
      <c r="V857" s="16"/>
      <c r="W857" s="16"/>
      <c r="X857" s="16"/>
      <c r="Y857" s="16"/>
      <c r="Z857" s="16"/>
      <c r="AA857" s="16"/>
    </row>
    <row r="858" spans="1:27" ht="24" hidden="1" customHeight="1" outlineLevel="1">
      <c r="A858" s="16" t="s">
        <v>2971</v>
      </c>
      <c r="B858" s="16" t="s">
        <v>2972</v>
      </c>
      <c r="C858" s="16" t="s">
        <v>2973</v>
      </c>
      <c r="D858" s="16" t="s">
        <v>5054</v>
      </c>
      <c r="E858" s="204">
        <v>45313</v>
      </c>
      <c r="F858" s="56" t="b">
        <v>0</v>
      </c>
      <c r="G858" s="205" t="s">
        <v>5084</v>
      </c>
      <c r="H858" s="323" t="s">
        <v>5085</v>
      </c>
      <c r="I858" s="56" t="b">
        <v>1</v>
      </c>
      <c r="J858" s="16" t="s">
        <v>3981</v>
      </c>
      <c r="K858" s="205"/>
      <c r="L858" s="16"/>
      <c r="M858" s="16"/>
      <c r="N858" s="16"/>
      <c r="O858" s="16"/>
      <c r="P858" s="16"/>
      <c r="Q858" s="16"/>
      <c r="R858" s="16"/>
      <c r="S858" s="16"/>
      <c r="T858" s="16"/>
      <c r="U858" s="16"/>
      <c r="V858" s="16"/>
      <c r="W858" s="16"/>
      <c r="X858" s="16"/>
      <c r="Y858" s="16"/>
      <c r="Z858" s="16"/>
      <c r="AA858" s="16"/>
    </row>
    <row r="859" spans="1:27" ht="24" hidden="1" customHeight="1" outlineLevel="1">
      <c r="A859" s="16" t="s">
        <v>2974</v>
      </c>
      <c r="B859" s="16" t="s">
        <v>2976</v>
      </c>
      <c r="C859" s="16" t="s">
        <v>2977</v>
      </c>
      <c r="D859" s="16" t="s">
        <v>3930</v>
      </c>
      <c r="E859" s="204">
        <v>45313</v>
      </c>
      <c r="F859" s="56" t="b">
        <v>0</v>
      </c>
      <c r="G859" s="205" t="s">
        <v>5086</v>
      </c>
      <c r="H859" s="323" t="s">
        <v>5087</v>
      </c>
      <c r="I859" s="56" t="b">
        <v>1</v>
      </c>
      <c r="J859" s="16" t="s">
        <v>3621</v>
      </c>
      <c r="K859" s="205" t="s">
        <v>3683</v>
      </c>
      <c r="L859" s="16"/>
      <c r="M859" s="16"/>
      <c r="N859" s="16"/>
      <c r="O859" s="16"/>
      <c r="P859" s="16"/>
      <c r="Q859" s="16"/>
      <c r="R859" s="16"/>
      <c r="S859" s="16"/>
      <c r="T859" s="16"/>
      <c r="U859" s="16"/>
      <c r="V859" s="16"/>
      <c r="W859" s="16"/>
      <c r="X859" s="16"/>
      <c r="Y859" s="16"/>
      <c r="Z859" s="16"/>
      <c r="AA859" s="16"/>
    </row>
    <row r="860" spans="1:27" ht="24" hidden="1" customHeight="1" outlineLevel="1">
      <c r="A860" s="16" t="s">
        <v>5088</v>
      </c>
      <c r="B860" s="16" t="s">
        <v>2979</v>
      </c>
      <c r="C860" s="16" t="s">
        <v>2980</v>
      </c>
      <c r="D860" s="16" t="s">
        <v>3692</v>
      </c>
      <c r="E860" s="204">
        <v>45314</v>
      </c>
      <c r="F860" s="56" t="b">
        <v>0</v>
      </c>
      <c r="G860" s="205" t="s">
        <v>5089</v>
      </c>
      <c r="H860" s="323" t="s">
        <v>5090</v>
      </c>
      <c r="I860" s="56" t="b">
        <v>1</v>
      </c>
      <c r="J860" s="16" t="s">
        <v>3745</v>
      </c>
      <c r="K860" s="205"/>
      <c r="L860" s="16"/>
      <c r="M860" s="16"/>
      <c r="N860" s="16"/>
      <c r="O860" s="16"/>
      <c r="P860" s="16"/>
      <c r="Q860" s="16"/>
      <c r="R860" s="16"/>
      <c r="S860" s="16"/>
      <c r="T860" s="16"/>
      <c r="U860" s="16"/>
      <c r="V860" s="16"/>
      <c r="W860" s="16"/>
      <c r="X860" s="16"/>
      <c r="Y860" s="16"/>
      <c r="Z860" s="16"/>
      <c r="AA860" s="16"/>
    </row>
    <row r="861" spans="1:27" ht="24" hidden="1" customHeight="1" outlineLevel="1">
      <c r="A861" s="16" t="s">
        <v>2981</v>
      </c>
      <c r="B861" s="16" t="s">
        <v>2982</v>
      </c>
      <c r="C861" s="16" t="s">
        <v>2983</v>
      </c>
      <c r="D861" s="16" t="s">
        <v>3809</v>
      </c>
      <c r="E861" s="204">
        <v>45314</v>
      </c>
      <c r="F861" s="56" t="b">
        <v>0</v>
      </c>
      <c r="G861" s="205" t="s">
        <v>5091</v>
      </c>
      <c r="H861" s="205"/>
      <c r="I861" s="56" t="b">
        <v>1</v>
      </c>
      <c r="J861" s="16" t="s">
        <v>4730</v>
      </c>
      <c r="K861" s="205"/>
      <c r="L861" s="16"/>
      <c r="M861" s="16"/>
      <c r="N861" s="16"/>
      <c r="O861" s="16"/>
      <c r="P861" s="16"/>
      <c r="Q861" s="16"/>
      <c r="R861" s="16"/>
      <c r="S861" s="16"/>
      <c r="T861" s="16"/>
      <c r="U861" s="16"/>
      <c r="V861" s="16"/>
      <c r="W861" s="16"/>
      <c r="X861" s="16"/>
      <c r="Y861" s="16"/>
      <c r="Z861" s="16"/>
      <c r="AA861" s="16"/>
    </row>
    <row r="862" spans="1:27" ht="24" hidden="1" customHeight="1" outlineLevel="1">
      <c r="A862" s="16" t="s">
        <v>2984</v>
      </c>
      <c r="B862" s="16" t="s">
        <v>2985</v>
      </c>
      <c r="C862" s="16" t="s">
        <v>2986</v>
      </c>
      <c r="D862" s="16" t="s">
        <v>5092</v>
      </c>
      <c r="E862" s="204">
        <v>45314</v>
      </c>
      <c r="F862" s="56" t="b">
        <v>0</v>
      </c>
      <c r="G862" s="205" t="s">
        <v>5093</v>
      </c>
      <c r="H862" s="324" t="s">
        <v>5094</v>
      </c>
      <c r="I862" s="56" t="b">
        <v>1</v>
      </c>
      <c r="J862" s="187" t="s">
        <v>4997</v>
      </c>
      <c r="K862" s="205"/>
      <c r="L862" s="16"/>
      <c r="M862" s="16"/>
      <c r="N862" s="16"/>
      <c r="O862" s="16"/>
      <c r="P862" s="16"/>
      <c r="Q862" s="16"/>
      <c r="R862" s="16"/>
      <c r="S862" s="16"/>
      <c r="T862" s="16"/>
      <c r="U862" s="16"/>
      <c r="V862" s="16"/>
      <c r="W862" s="16"/>
      <c r="X862" s="16"/>
      <c r="Y862" s="16"/>
      <c r="Z862" s="16"/>
      <c r="AA862" s="16"/>
    </row>
    <row r="863" spans="1:27" ht="24" hidden="1" customHeight="1" outlineLevel="1">
      <c r="A863" s="16" t="s">
        <v>5095</v>
      </c>
      <c r="B863" s="16" t="s">
        <v>2989</v>
      </c>
      <c r="C863" s="16" t="s">
        <v>2990</v>
      </c>
      <c r="D863" s="16" t="s">
        <v>5096</v>
      </c>
      <c r="E863" s="204">
        <v>45314</v>
      </c>
      <c r="F863" s="56" t="b">
        <v>0</v>
      </c>
      <c r="G863" s="205" t="s">
        <v>5097</v>
      </c>
      <c r="H863" s="323" t="s">
        <v>5098</v>
      </c>
      <c r="I863" s="56" t="b">
        <v>1</v>
      </c>
      <c r="J863" s="187" t="s">
        <v>4997</v>
      </c>
      <c r="K863" s="205"/>
      <c r="L863" s="16"/>
      <c r="M863" s="16"/>
      <c r="N863" s="16"/>
      <c r="O863" s="16"/>
      <c r="P863" s="16"/>
      <c r="Q863" s="16"/>
      <c r="R863" s="16"/>
      <c r="S863" s="16"/>
      <c r="T863" s="16"/>
      <c r="U863" s="16"/>
      <c r="V863" s="16"/>
      <c r="W863" s="16"/>
      <c r="X863" s="16"/>
      <c r="Y863" s="16"/>
      <c r="Z863" s="16"/>
      <c r="AA863" s="16"/>
    </row>
    <row r="864" spans="1:27" ht="24" hidden="1" customHeight="1" outlineLevel="1">
      <c r="A864" s="16" t="s">
        <v>2991</v>
      </c>
      <c r="B864" s="16" t="s">
        <v>2992</v>
      </c>
      <c r="C864" s="16" t="s">
        <v>5099</v>
      </c>
      <c r="D864" s="16" t="s">
        <v>5100</v>
      </c>
      <c r="E864" s="204">
        <v>45315</v>
      </c>
      <c r="F864" s="56" t="b">
        <v>1</v>
      </c>
      <c r="G864" s="205" t="s">
        <v>5101</v>
      </c>
      <c r="H864" s="323" t="s">
        <v>5102</v>
      </c>
      <c r="I864" s="56" t="b">
        <v>1</v>
      </c>
      <c r="J864" s="16" t="s">
        <v>5103</v>
      </c>
      <c r="K864" s="205"/>
      <c r="L864" s="16"/>
      <c r="M864" s="16"/>
      <c r="N864" s="16"/>
      <c r="O864" s="16"/>
      <c r="P864" s="16"/>
      <c r="Q864" s="16"/>
      <c r="R864" s="16"/>
      <c r="S864" s="16"/>
      <c r="T864" s="16"/>
      <c r="U864" s="16"/>
      <c r="V864" s="16"/>
      <c r="W864" s="16"/>
      <c r="X864" s="16"/>
      <c r="Y864" s="16"/>
      <c r="Z864" s="16"/>
      <c r="AA864" s="16"/>
    </row>
    <row r="865" spans="1:27" ht="24" hidden="1" customHeight="1" outlineLevel="1">
      <c r="A865" s="16" t="s">
        <v>2994</v>
      </c>
      <c r="B865" s="16" t="s">
        <v>2995</v>
      </c>
      <c r="C865" s="16" t="s">
        <v>2996</v>
      </c>
      <c r="D865" s="16" t="s">
        <v>3809</v>
      </c>
      <c r="E865" s="204">
        <v>45315</v>
      </c>
      <c r="F865" s="56" t="b">
        <v>0</v>
      </c>
      <c r="G865" s="205" t="s">
        <v>5104</v>
      </c>
      <c r="H865" s="324" t="s">
        <v>5105</v>
      </c>
      <c r="I865" s="56" t="b">
        <v>1</v>
      </c>
      <c r="J865" s="16" t="s">
        <v>4730</v>
      </c>
      <c r="K865" s="205"/>
      <c r="L865" s="16"/>
      <c r="M865" s="16"/>
      <c r="N865" s="16"/>
      <c r="O865" s="16"/>
      <c r="P865" s="16"/>
      <c r="Q865" s="16"/>
      <c r="R865" s="16"/>
      <c r="S865" s="16"/>
      <c r="T865" s="16"/>
      <c r="U865" s="16"/>
      <c r="V865" s="16"/>
      <c r="W865" s="16"/>
      <c r="X865" s="16"/>
      <c r="Y865" s="16"/>
      <c r="Z865" s="16"/>
      <c r="AA865" s="16"/>
    </row>
    <row r="866" spans="1:27" ht="24" hidden="1" customHeight="1" outlineLevel="1">
      <c r="A866" s="16" t="s">
        <v>5106</v>
      </c>
      <c r="B866" s="16" t="s">
        <v>2998</v>
      </c>
      <c r="C866" s="16" t="s">
        <v>2999</v>
      </c>
      <c r="D866" s="16" t="s">
        <v>4747</v>
      </c>
      <c r="E866" s="204">
        <v>45315</v>
      </c>
      <c r="F866" s="56" t="b">
        <v>0</v>
      </c>
      <c r="G866" s="205" t="s">
        <v>5107</v>
      </c>
      <c r="H866" s="323" t="s">
        <v>5108</v>
      </c>
      <c r="I866" s="56" t="b">
        <v>1</v>
      </c>
      <c r="J866" s="16" t="s">
        <v>3621</v>
      </c>
      <c r="K866" s="205"/>
      <c r="L866" s="16"/>
      <c r="M866" s="16"/>
      <c r="N866" s="16"/>
      <c r="O866" s="16"/>
      <c r="P866" s="16"/>
      <c r="Q866" s="16"/>
      <c r="R866" s="16"/>
      <c r="S866" s="16"/>
      <c r="T866" s="16"/>
      <c r="U866" s="16"/>
      <c r="V866" s="16"/>
      <c r="W866" s="16"/>
      <c r="X866" s="16"/>
      <c r="Y866" s="16"/>
      <c r="Z866" s="16"/>
      <c r="AA866" s="16"/>
    </row>
    <row r="867" spans="1:27" ht="24" hidden="1" customHeight="1" outlineLevel="1">
      <c r="A867" s="16" t="s">
        <v>3000</v>
      </c>
      <c r="B867" s="16" t="s">
        <v>3002</v>
      </c>
      <c r="C867" s="16" t="s">
        <v>3003</v>
      </c>
      <c r="D867" s="16" t="s">
        <v>4747</v>
      </c>
      <c r="E867" s="204">
        <v>45315</v>
      </c>
      <c r="F867" s="56" t="b">
        <v>0</v>
      </c>
      <c r="G867" s="205" t="s">
        <v>5109</v>
      </c>
      <c r="H867" s="324" t="s">
        <v>5110</v>
      </c>
      <c r="I867" s="56" t="b">
        <v>1</v>
      </c>
      <c r="J867" s="16" t="s">
        <v>3621</v>
      </c>
      <c r="K867" s="205"/>
      <c r="L867" s="16"/>
      <c r="M867" s="16"/>
      <c r="N867" s="16"/>
      <c r="O867" s="16"/>
      <c r="P867" s="16"/>
      <c r="Q867" s="16"/>
      <c r="R867" s="16"/>
      <c r="S867" s="16"/>
      <c r="T867" s="16"/>
      <c r="U867" s="16"/>
      <c r="V867" s="16"/>
      <c r="W867" s="16"/>
      <c r="X867" s="16"/>
      <c r="Y867" s="16"/>
      <c r="Z867" s="16"/>
      <c r="AA867" s="16"/>
    </row>
    <row r="868" spans="1:27" ht="24" hidden="1" customHeight="1" outlineLevel="1">
      <c r="A868" s="16" t="s">
        <v>3004</v>
      </c>
      <c r="B868" s="16" t="s">
        <v>3006</v>
      </c>
      <c r="C868" s="16" t="s">
        <v>3007</v>
      </c>
      <c r="D868" s="16" t="s">
        <v>3809</v>
      </c>
      <c r="E868" s="204">
        <v>45315</v>
      </c>
      <c r="F868" s="56" t="b">
        <v>0</v>
      </c>
      <c r="G868" s="205" t="s">
        <v>5111</v>
      </c>
      <c r="H868" s="323" t="s">
        <v>5112</v>
      </c>
      <c r="I868" s="56" t="b">
        <v>1</v>
      </c>
      <c r="J868" s="16" t="s">
        <v>4730</v>
      </c>
      <c r="K868" s="205"/>
      <c r="L868" s="16"/>
      <c r="M868" s="16"/>
      <c r="N868" s="16"/>
      <c r="O868" s="16"/>
      <c r="P868" s="16"/>
      <c r="Q868" s="16"/>
      <c r="R868" s="16"/>
      <c r="S868" s="16"/>
      <c r="T868" s="16"/>
      <c r="U868" s="16"/>
      <c r="V868" s="16"/>
      <c r="W868" s="16"/>
      <c r="X868" s="16"/>
      <c r="Y868" s="16"/>
      <c r="Z868" s="16"/>
      <c r="AA868" s="16"/>
    </row>
    <row r="869" spans="1:27" ht="24" hidden="1" customHeight="1" outlineLevel="1">
      <c r="A869" s="16" t="s">
        <v>5113</v>
      </c>
      <c r="B869" s="16" t="s">
        <v>3009</v>
      </c>
      <c r="C869" s="16" t="s">
        <v>3010</v>
      </c>
      <c r="D869" s="16" t="s">
        <v>3739</v>
      </c>
      <c r="E869" s="204">
        <v>45316</v>
      </c>
      <c r="F869" s="56" t="b">
        <v>0</v>
      </c>
      <c r="G869" s="205" t="s">
        <v>5114</v>
      </c>
      <c r="H869" s="323" t="s">
        <v>5115</v>
      </c>
      <c r="I869" s="56" t="b">
        <v>1</v>
      </c>
      <c r="J869" s="16" t="s">
        <v>3786</v>
      </c>
      <c r="K869" s="205"/>
      <c r="L869" s="16"/>
      <c r="M869" s="16"/>
      <c r="N869" s="16"/>
      <c r="O869" s="16"/>
      <c r="P869" s="16"/>
      <c r="Q869" s="16"/>
      <c r="R869" s="16"/>
      <c r="S869" s="16"/>
      <c r="T869" s="16"/>
      <c r="U869" s="16"/>
      <c r="V869" s="16"/>
      <c r="W869" s="16"/>
      <c r="X869" s="16"/>
      <c r="Y869" s="16"/>
      <c r="Z869" s="16"/>
      <c r="AA869" s="16"/>
    </row>
    <row r="870" spans="1:27" ht="24" hidden="1" customHeight="1" outlineLevel="1">
      <c r="A870" s="16" t="s">
        <v>3011</v>
      </c>
      <c r="B870" s="16" t="s">
        <v>3012</v>
      </c>
      <c r="C870" s="16" t="s">
        <v>3013</v>
      </c>
      <c r="D870" s="16" t="s">
        <v>3930</v>
      </c>
      <c r="E870" s="204">
        <v>45316</v>
      </c>
      <c r="F870" s="56" t="b">
        <v>0</v>
      </c>
      <c r="G870" s="205" t="s">
        <v>5116</v>
      </c>
      <c r="H870" s="323" t="s">
        <v>5117</v>
      </c>
      <c r="I870" s="56" t="b">
        <v>1</v>
      </c>
      <c r="J870" s="16" t="s">
        <v>3621</v>
      </c>
      <c r="K870" s="205"/>
      <c r="L870" s="16"/>
      <c r="M870" s="16"/>
      <c r="N870" s="16"/>
      <c r="O870" s="16"/>
      <c r="P870" s="16"/>
      <c r="Q870" s="16"/>
      <c r="R870" s="16"/>
      <c r="S870" s="16"/>
      <c r="T870" s="16"/>
      <c r="U870" s="16"/>
      <c r="V870" s="16"/>
      <c r="W870" s="16"/>
      <c r="X870" s="16"/>
      <c r="Y870" s="16"/>
      <c r="Z870" s="16"/>
      <c r="AA870" s="16"/>
    </row>
    <row r="871" spans="1:27" ht="24" hidden="1" customHeight="1" outlineLevel="1">
      <c r="A871" s="16" t="s">
        <v>5118</v>
      </c>
      <c r="B871" s="16" t="s">
        <v>3015</v>
      </c>
      <c r="C871" s="16" t="s">
        <v>3016</v>
      </c>
      <c r="D871" s="16" t="s">
        <v>3739</v>
      </c>
      <c r="E871" s="204">
        <v>45317</v>
      </c>
      <c r="F871" s="56" t="b">
        <v>0</v>
      </c>
      <c r="G871" s="205" t="s">
        <v>5119</v>
      </c>
      <c r="H871" s="323" t="s">
        <v>5120</v>
      </c>
      <c r="I871" s="56" t="b">
        <v>1</v>
      </c>
      <c r="J871" s="16" t="s">
        <v>3786</v>
      </c>
      <c r="K871" s="205"/>
      <c r="L871" s="16"/>
      <c r="M871" s="16"/>
      <c r="N871" s="16"/>
      <c r="O871" s="16"/>
      <c r="P871" s="16"/>
      <c r="Q871" s="16"/>
      <c r="R871" s="16"/>
      <c r="S871" s="16"/>
      <c r="T871" s="16"/>
      <c r="U871" s="16"/>
      <c r="V871" s="16"/>
      <c r="W871" s="16"/>
      <c r="X871" s="16"/>
      <c r="Y871" s="16"/>
      <c r="Z871" s="16"/>
      <c r="AA871" s="16"/>
    </row>
    <row r="872" spans="1:27" ht="24" hidden="1" customHeight="1" outlineLevel="1">
      <c r="A872" s="16" t="s">
        <v>3017</v>
      </c>
      <c r="B872" s="16" t="s">
        <v>3018</v>
      </c>
      <c r="C872" s="16" t="s">
        <v>3019</v>
      </c>
      <c r="D872" s="16" t="s">
        <v>3809</v>
      </c>
      <c r="E872" s="204">
        <v>45317</v>
      </c>
      <c r="F872" s="56" t="b">
        <v>0</v>
      </c>
      <c r="G872" s="205" t="s">
        <v>5121</v>
      </c>
      <c r="H872" s="324" t="s">
        <v>5122</v>
      </c>
      <c r="I872" s="56" t="b">
        <v>1</v>
      </c>
      <c r="J872" s="16" t="s">
        <v>4730</v>
      </c>
      <c r="K872" s="205"/>
      <c r="L872" s="16"/>
      <c r="M872" s="16"/>
      <c r="N872" s="16"/>
      <c r="O872" s="16"/>
      <c r="P872" s="16"/>
      <c r="Q872" s="16"/>
      <c r="R872" s="16"/>
      <c r="S872" s="16"/>
      <c r="T872" s="16"/>
      <c r="U872" s="16"/>
      <c r="V872" s="16"/>
      <c r="W872" s="16"/>
      <c r="X872" s="16"/>
      <c r="Y872" s="16"/>
      <c r="Z872" s="16"/>
      <c r="AA872" s="16"/>
    </row>
    <row r="873" spans="1:27" ht="24" hidden="1" customHeight="1" outlineLevel="1">
      <c r="A873" s="16" t="s">
        <v>3020</v>
      </c>
      <c r="B873" s="16" t="s">
        <v>3022</v>
      </c>
      <c r="C873" s="16" t="s">
        <v>3023</v>
      </c>
      <c r="D873" s="16" t="s">
        <v>3696</v>
      </c>
      <c r="E873" s="204">
        <v>45317</v>
      </c>
      <c r="F873" s="56" t="b">
        <v>0</v>
      </c>
      <c r="G873" s="205" t="s">
        <v>5123</v>
      </c>
      <c r="H873" s="323" t="s">
        <v>5124</v>
      </c>
      <c r="I873" s="56" t="b">
        <v>1</v>
      </c>
      <c r="J873" s="16" t="s">
        <v>4727</v>
      </c>
      <c r="K873" s="205"/>
      <c r="L873" s="16"/>
      <c r="M873" s="16"/>
      <c r="N873" s="16"/>
      <c r="O873" s="16"/>
      <c r="P873" s="16"/>
      <c r="Q873" s="16"/>
      <c r="R873" s="16"/>
      <c r="S873" s="16"/>
      <c r="T873" s="16"/>
      <c r="U873" s="16"/>
      <c r="V873" s="16"/>
      <c r="W873" s="16"/>
      <c r="X873" s="16"/>
      <c r="Y873" s="16"/>
      <c r="Z873" s="16"/>
      <c r="AA873" s="16"/>
    </row>
    <row r="874" spans="1:27" ht="24" hidden="1" customHeight="1" outlineLevel="1">
      <c r="A874" s="16" t="s">
        <v>3024</v>
      </c>
      <c r="B874" s="16" t="s">
        <v>3025</v>
      </c>
      <c r="C874" s="16" t="s">
        <v>3026</v>
      </c>
      <c r="D874" s="16" t="s">
        <v>4747</v>
      </c>
      <c r="E874" s="204">
        <v>45317</v>
      </c>
      <c r="F874" s="56" t="b">
        <v>0</v>
      </c>
      <c r="G874" s="205" t="s">
        <v>5125</v>
      </c>
      <c r="H874" s="323" t="s">
        <v>5126</v>
      </c>
      <c r="I874" s="56" t="b">
        <v>1</v>
      </c>
      <c r="J874" s="16" t="s">
        <v>3621</v>
      </c>
      <c r="K874" s="205"/>
      <c r="L874" s="16"/>
      <c r="M874" s="16"/>
      <c r="N874" s="16"/>
      <c r="O874" s="16"/>
      <c r="P874" s="16"/>
      <c r="Q874" s="16"/>
      <c r="R874" s="16"/>
      <c r="S874" s="16"/>
      <c r="T874" s="16"/>
      <c r="U874" s="16"/>
      <c r="V874" s="16"/>
      <c r="W874" s="16"/>
      <c r="X874" s="16"/>
      <c r="Y874" s="16"/>
      <c r="Z874" s="16"/>
      <c r="AA874" s="16"/>
    </row>
    <row r="875" spans="1:27" ht="24" hidden="1" customHeight="1" outlineLevel="1">
      <c r="A875" s="16" t="s">
        <v>3027</v>
      </c>
      <c r="B875" s="16" t="s">
        <v>3028</v>
      </c>
      <c r="C875" s="16" t="s">
        <v>3029</v>
      </c>
      <c r="D875" s="16" t="s">
        <v>5054</v>
      </c>
      <c r="E875" s="204">
        <v>45317</v>
      </c>
      <c r="F875" s="56" t="b">
        <v>0</v>
      </c>
      <c r="G875" s="205" t="s">
        <v>5127</v>
      </c>
      <c r="H875" s="323" t="s">
        <v>5128</v>
      </c>
      <c r="I875" s="56" t="b">
        <v>1</v>
      </c>
      <c r="J875" s="16" t="s">
        <v>3981</v>
      </c>
      <c r="K875" s="205"/>
      <c r="L875" s="16"/>
      <c r="M875" s="16"/>
      <c r="N875" s="16"/>
      <c r="O875" s="16"/>
      <c r="P875" s="16"/>
      <c r="Q875" s="16"/>
      <c r="R875" s="16"/>
      <c r="S875" s="16"/>
      <c r="T875" s="16"/>
      <c r="U875" s="16"/>
      <c r="V875" s="16"/>
      <c r="W875" s="16"/>
      <c r="X875" s="16"/>
      <c r="Y875" s="16"/>
      <c r="Z875" s="16"/>
      <c r="AA875" s="16"/>
    </row>
    <row r="876" spans="1:27" ht="24" hidden="1" customHeight="1" outlineLevel="1">
      <c r="A876" s="16" t="s">
        <v>5129</v>
      </c>
      <c r="B876" s="16" t="s">
        <v>3031</v>
      </c>
      <c r="C876" s="16" t="s">
        <v>3032</v>
      </c>
      <c r="D876" s="16" t="s">
        <v>4747</v>
      </c>
      <c r="E876" s="204">
        <v>45318</v>
      </c>
      <c r="F876" s="56" t="b">
        <v>0</v>
      </c>
      <c r="G876" s="205" t="s">
        <v>5130</v>
      </c>
      <c r="H876" s="323" t="s">
        <v>5131</v>
      </c>
      <c r="I876" s="56" t="b">
        <v>1</v>
      </c>
      <c r="J876" s="16" t="s">
        <v>3621</v>
      </c>
      <c r="K876" s="205"/>
      <c r="L876" s="16"/>
      <c r="M876" s="16"/>
      <c r="N876" s="16"/>
      <c r="O876" s="16"/>
      <c r="P876" s="16"/>
      <c r="Q876" s="16"/>
      <c r="R876" s="16"/>
      <c r="S876" s="16"/>
      <c r="T876" s="16"/>
      <c r="U876" s="16"/>
      <c r="V876" s="16"/>
      <c r="W876" s="16"/>
      <c r="X876" s="16"/>
      <c r="Y876" s="16"/>
      <c r="Z876" s="16"/>
      <c r="AA876" s="16"/>
    </row>
    <row r="877" spans="1:27" ht="24" hidden="1" customHeight="1" outlineLevel="1">
      <c r="A877" s="16" t="s">
        <v>3033</v>
      </c>
      <c r="B877" s="16" t="s">
        <v>3034</v>
      </c>
      <c r="C877" s="16" t="s">
        <v>3035</v>
      </c>
      <c r="D877" s="16" t="s">
        <v>5096</v>
      </c>
      <c r="E877" s="204">
        <v>45320</v>
      </c>
      <c r="F877" s="56" t="b">
        <v>0</v>
      </c>
      <c r="G877" s="205" t="s">
        <v>5132</v>
      </c>
      <c r="H877" s="323" t="s">
        <v>5133</v>
      </c>
      <c r="I877" s="56" t="b">
        <v>1</v>
      </c>
      <c r="J877" s="187" t="s">
        <v>4997</v>
      </c>
      <c r="K877" s="205"/>
      <c r="L877" s="16"/>
      <c r="M877" s="16"/>
      <c r="N877" s="16"/>
      <c r="O877" s="16"/>
      <c r="P877" s="16"/>
      <c r="Q877" s="16"/>
      <c r="R877" s="16"/>
      <c r="S877" s="16"/>
      <c r="T877" s="16"/>
      <c r="U877" s="16"/>
      <c r="V877" s="16"/>
      <c r="W877" s="16"/>
      <c r="X877" s="16"/>
      <c r="Y877" s="16"/>
      <c r="Z877" s="16"/>
      <c r="AA877" s="16"/>
    </row>
    <row r="878" spans="1:27" ht="24" hidden="1" customHeight="1" outlineLevel="1">
      <c r="A878" s="16" t="s">
        <v>3036</v>
      </c>
      <c r="B878" s="16" t="s">
        <v>3037</v>
      </c>
      <c r="C878" s="16" t="s">
        <v>3038</v>
      </c>
      <c r="D878" s="16" t="s">
        <v>4747</v>
      </c>
      <c r="E878" s="204">
        <v>45320</v>
      </c>
      <c r="F878" s="56" t="b">
        <v>0</v>
      </c>
      <c r="G878" s="205" t="s">
        <v>5134</v>
      </c>
      <c r="H878" s="323" t="s">
        <v>5135</v>
      </c>
      <c r="I878" s="56" t="b">
        <v>1</v>
      </c>
      <c r="J878" s="16" t="s">
        <v>3621</v>
      </c>
      <c r="K878" s="205"/>
      <c r="L878" s="16"/>
      <c r="M878" s="16"/>
      <c r="N878" s="16"/>
      <c r="O878" s="16"/>
      <c r="P878" s="16"/>
      <c r="Q878" s="16"/>
      <c r="R878" s="16"/>
      <c r="S878" s="16"/>
      <c r="T878" s="16"/>
      <c r="U878" s="16"/>
      <c r="V878" s="16"/>
      <c r="W878" s="16"/>
      <c r="X878" s="16"/>
      <c r="Y878" s="16"/>
      <c r="Z878" s="16"/>
      <c r="AA878" s="16"/>
    </row>
    <row r="879" spans="1:27" ht="24" hidden="1" customHeight="1" outlineLevel="1">
      <c r="A879" s="16" t="s">
        <v>3039</v>
      </c>
      <c r="B879" s="16" t="s">
        <v>3040</v>
      </c>
      <c r="C879" s="16" t="s">
        <v>3041</v>
      </c>
      <c r="D879" s="16" t="s">
        <v>5136</v>
      </c>
      <c r="E879" s="204">
        <v>45320</v>
      </c>
      <c r="F879" s="56" t="b">
        <v>0</v>
      </c>
      <c r="G879" s="205" t="s">
        <v>5137</v>
      </c>
      <c r="H879" s="324" t="s">
        <v>5138</v>
      </c>
      <c r="I879" s="56" t="b">
        <v>1</v>
      </c>
      <c r="J879" s="16" t="s">
        <v>4730</v>
      </c>
      <c r="K879" s="205"/>
      <c r="L879" s="16"/>
      <c r="M879" s="16"/>
      <c r="N879" s="16"/>
      <c r="O879" s="16"/>
      <c r="P879" s="16"/>
      <c r="Q879" s="16"/>
      <c r="R879" s="16"/>
      <c r="S879" s="16"/>
      <c r="T879" s="16"/>
      <c r="U879" s="16"/>
      <c r="V879" s="16"/>
      <c r="W879" s="16"/>
      <c r="X879" s="16"/>
      <c r="Y879" s="16"/>
      <c r="Z879" s="16"/>
      <c r="AA879" s="16"/>
    </row>
    <row r="880" spans="1:27" ht="24" hidden="1" customHeight="1" outlineLevel="1">
      <c r="A880" s="16" t="s">
        <v>3042</v>
      </c>
      <c r="B880" s="16" t="s">
        <v>3043</v>
      </c>
      <c r="C880" s="16" t="s">
        <v>3044</v>
      </c>
      <c r="D880" s="16" t="s">
        <v>3809</v>
      </c>
      <c r="E880" s="204">
        <v>45320</v>
      </c>
      <c r="F880" s="56" t="b">
        <v>0</v>
      </c>
      <c r="G880" s="205" t="s">
        <v>5139</v>
      </c>
      <c r="H880" s="324" t="s">
        <v>5140</v>
      </c>
      <c r="I880" s="56" t="b">
        <v>1</v>
      </c>
      <c r="J880" s="16" t="s">
        <v>4730</v>
      </c>
      <c r="K880" s="205"/>
      <c r="L880" s="16"/>
      <c r="M880" s="16"/>
      <c r="N880" s="16"/>
      <c r="O880" s="16"/>
      <c r="P880" s="16"/>
      <c r="Q880" s="16"/>
      <c r="R880" s="16"/>
      <c r="S880" s="16"/>
      <c r="T880" s="16"/>
      <c r="U880" s="16"/>
      <c r="V880" s="16"/>
      <c r="W880" s="16"/>
      <c r="X880" s="16"/>
      <c r="Y880" s="16"/>
      <c r="Z880" s="16"/>
      <c r="AA880" s="16"/>
    </row>
    <row r="881" spans="1:27" ht="24" hidden="1" customHeight="1" outlineLevel="1">
      <c r="A881" s="16" t="s">
        <v>3045</v>
      </c>
      <c r="B881" s="16" t="s">
        <v>3046</v>
      </c>
      <c r="C881" s="16" t="s">
        <v>3047</v>
      </c>
      <c r="D881" s="16" t="s">
        <v>3930</v>
      </c>
      <c r="E881" s="204">
        <v>45321</v>
      </c>
      <c r="F881" s="56" t="b">
        <v>0</v>
      </c>
      <c r="G881" s="205" t="s">
        <v>5141</v>
      </c>
      <c r="H881" s="323" t="s">
        <v>5142</v>
      </c>
      <c r="I881" s="56" t="b">
        <v>1</v>
      </c>
      <c r="J881" s="16" t="s">
        <v>3621</v>
      </c>
      <c r="K881" s="205"/>
      <c r="L881" s="16"/>
      <c r="M881" s="16"/>
      <c r="N881" s="16"/>
      <c r="O881" s="16"/>
      <c r="P881" s="16"/>
      <c r="Q881" s="16"/>
      <c r="R881" s="16"/>
      <c r="S881" s="16"/>
      <c r="T881" s="16"/>
      <c r="U881" s="16"/>
      <c r="V881" s="16"/>
      <c r="W881" s="16"/>
      <c r="X881" s="16"/>
      <c r="Y881" s="16"/>
      <c r="Z881" s="16"/>
      <c r="AA881" s="16"/>
    </row>
    <row r="882" spans="1:27" ht="24" hidden="1" customHeight="1" outlineLevel="1">
      <c r="A882" s="16" t="s">
        <v>3048</v>
      </c>
      <c r="B882" s="16" t="s">
        <v>3050</v>
      </c>
      <c r="C882" s="16" t="s">
        <v>3051</v>
      </c>
      <c r="D882" s="16" t="s">
        <v>3930</v>
      </c>
      <c r="E882" s="204">
        <v>45321</v>
      </c>
      <c r="F882" s="56" t="b">
        <v>0</v>
      </c>
      <c r="G882" s="205" t="s">
        <v>5143</v>
      </c>
      <c r="H882" s="323" t="s">
        <v>5144</v>
      </c>
      <c r="I882" s="56" t="b">
        <v>1</v>
      </c>
      <c r="J882" s="16" t="s">
        <v>3621</v>
      </c>
      <c r="K882" s="205"/>
      <c r="L882" s="16"/>
      <c r="M882" s="16"/>
      <c r="N882" s="16"/>
      <c r="O882" s="16"/>
      <c r="P882" s="16"/>
      <c r="Q882" s="16"/>
      <c r="R882" s="16"/>
      <c r="S882" s="16"/>
      <c r="T882" s="16"/>
      <c r="U882" s="16"/>
      <c r="V882" s="16"/>
      <c r="W882" s="16"/>
      <c r="X882" s="16"/>
      <c r="Y882" s="16"/>
      <c r="Z882" s="16"/>
      <c r="AA882" s="16"/>
    </row>
    <row r="883" spans="1:27" ht="24" hidden="1" customHeight="1" outlineLevel="1">
      <c r="A883" s="16" t="s">
        <v>5145</v>
      </c>
      <c r="B883" s="16" t="s">
        <v>3053</v>
      </c>
      <c r="C883" s="16" t="s">
        <v>3054</v>
      </c>
      <c r="D883" s="16" t="s">
        <v>3930</v>
      </c>
      <c r="E883" s="204">
        <v>45322</v>
      </c>
      <c r="F883" s="56" t="b">
        <v>0</v>
      </c>
      <c r="G883" s="205" t="s">
        <v>5146</v>
      </c>
      <c r="H883" s="323" t="s">
        <v>5147</v>
      </c>
      <c r="I883" s="56" t="b">
        <v>1</v>
      </c>
      <c r="J883" s="16" t="s">
        <v>3621</v>
      </c>
      <c r="K883" s="205"/>
      <c r="L883" s="16"/>
      <c r="M883" s="16"/>
      <c r="N883" s="16"/>
      <c r="O883" s="16"/>
      <c r="P883" s="16"/>
      <c r="Q883" s="16"/>
      <c r="R883" s="16"/>
      <c r="S883" s="16"/>
      <c r="T883" s="16"/>
      <c r="U883" s="16"/>
      <c r="V883" s="16"/>
      <c r="W883" s="16"/>
      <c r="X883" s="16"/>
      <c r="Y883" s="16"/>
      <c r="Z883" s="16"/>
      <c r="AA883" s="16"/>
    </row>
    <row r="884" spans="1:27" ht="24" hidden="1" customHeight="1" outlineLevel="1">
      <c r="A884" s="16" t="s">
        <v>3055</v>
      </c>
      <c r="B884" s="16" t="s">
        <v>3056</v>
      </c>
      <c r="C884" s="16" t="s">
        <v>3057</v>
      </c>
      <c r="D884" s="16" t="s">
        <v>3809</v>
      </c>
      <c r="E884" s="204">
        <v>45322</v>
      </c>
      <c r="F884" s="56" t="b">
        <v>1</v>
      </c>
      <c r="G884" s="205" t="s">
        <v>5148</v>
      </c>
      <c r="H884" s="324" t="s">
        <v>5149</v>
      </c>
      <c r="I884" s="56" t="b">
        <v>1</v>
      </c>
      <c r="J884" s="16" t="s">
        <v>4730</v>
      </c>
      <c r="K884" s="205"/>
      <c r="L884" s="16"/>
      <c r="M884" s="16"/>
      <c r="N884" s="16"/>
      <c r="O884" s="16"/>
      <c r="P884" s="16"/>
      <c r="Q884" s="16"/>
      <c r="R884" s="16"/>
      <c r="S884" s="16"/>
      <c r="T884" s="16"/>
      <c r="U884" s="16"/>
      <c r="V884" s="16"/>
      <c r="W884" s="16"/>
      <c r="X884" s="16"/>
      <c r="Y884" s="16"/>
      <c r="Z884" s="16"/>
      <c r="AA884" s="16"/>
    </row>
    <row r="885" spans="1:27" ht="24" customHeight="1" collapsed="1">
      <c r="A885" s="278" t="s">
        <v>2</v>
      </c>
      <c r="B885" s="289"/>
      <c r="C885" s="162"/>
      <c r="D885" s="162"/>
      <c r="E885" s="279"/>
      <c r="F885" s="162"/>
      <c r="G885" s="280"/>
      <c r="H885" s="280"/>
      <c r="I885" s="162"/>
      <c r="J885" s="162"/>
      <c r="K885" s="280"/>
      <c r="L885" s="162"/>
      <c r="M885" s="162"/>
      <c r="N885" s="162"/>
      <c r="O885" s="162"/>
      <c r="P885" s="162"/>
      <c r="Q885" s="162"/>
      <c r="R885" s="162"/>
      <c r="S885" s="162"/>
      <c r="T885" s="162"/>
      <c r="U885" s="162"/>
      <c r="V885" s="162"/>
      <c r="W885" s="162"/>
      <c r="X885" s="162"/>
      <c r="Y885" s="162"/>
      <c r="Z885" s="162"/>
      <c r="AA885" s="162"/>
    </row>
    <row r="886" spans="1:27" ht="24" hidden="1" customHeight="1" outlineLevel="1">
      <c r="A886" s="16" t="s">
        <v>3058</v>
      </c>
      <c r="B886" s="16" t="s">
        <v>3059</v>
      </c>
      <c r="C886" s="16" t="s">
        <v>3060</v>
      </c>
      <c r="D886" s="16" t="s">
        <v>5150</v>
      </c>
      <c r="E886" s="204">
        <v>45323</v>
      </c>
      <c r="F886" s="56" t="b">
        <v>1</v>
      </c>
      <c r="G886" s="205" t="s">
        <v>5151</v>
      </c>
      <c r="H886" s="323" t="s">
        <v>5152</v>
      </c>
      <c r="I886" s="56" t="b">
        <v>1</v>
      </c>
      <c r="J886" s="187" t="s">
        <v>4997</v>
      </c>
      <c r="K886" s="205"/>
      <c r="L886" s="16"/>
      <c r="M886" s="16"/>
      <c r="N886" s="16"/>
      <c r="O886" s="16"/>
      <c r="P886" s="16"/>
      <c r="Q886" s="16"/>
      <c r="R886" s="16"/>
      <c r="S886" s="16"/>
      <c r="T886" s="16"/>
      <c r="U886" s="16"/>
      <c r="V886" s="16"/>
      <c r="W886" s="16"/>
      <c r="X886" s="16"/>
      <c r="Y886" s="16"/>
      <c r="Z886" s="16"/>
      <c r="AA886" s="16"/>
    </row>
    <row r="887" spans="1:27" ht="24" hidden="1" customHeight="1" outlineLevel="1">
      <c r="A887" s="16" t="s">
        <v>3062</v>
      </c>
      <c r="B887" s="16" t="s">
        <v>3063</v>
      </c>
      <c r="C887" s="16" t="s">
        <v>3064</v>
      </c>
      <c r="D887" s="16" t="s">
        <v>3739</v>
      </c>
      <c r="E887" s="204">
        <v>45324</v>
      </c>
      <c r="F887" s="56" t="b">
        <v>1</v>
      </c>
      <c r="G887" s="205" t="s">
        <v>5153</v>
      </c>
      <c r="H887" s="324" t="s">
        <v>5154</v>
      </c>
      <c r="I887" s="56" t="b">
        <v>1</v>
      </c>
      <c r="J887" s="16" t="s">
        <v>3786</v>
      </c>
      <c r="K887" s="205"/>
      <c r="L887" s="16"/>
      <c r="M887" s="16"/>
      <c r="N887" s="16"/>
      <c r="O887" s="16"/>
      <c r="P887" s="16"/>
      <c r="Q887" s="16"/>
      <c r="R887" s="16"/>
      <c r="S887" s="16"/>
      <c r="T887" s="16"/>
      <c r="U887" s="16"/>
      <c r="V887" s="16"/>
      <c r="W887" s="16"/>
      <c r="X887" s="16"/>
      <c r="Y887" s="16"/>
      <c r="Z887" s="16"/>
      <c r="AA887" s="16"/>
    </row>
    <row r="888" spans="1:27" ht="24" hidden="1" customHeight="1" outlineLevel="1">
      <c r="A888" s="16" t="s">
        <v>3065</v>
      </c>
      <c r="B888" s="16" t="s">
        <v>3066</v>
      </c>
      <c r="C888" s="16" t="s">
        <v>3067</v>
      </c>
      <c r="D888" s="16" t="s">
        <v>3809</v>
      </c>
      <c r="E888" s="204">
        <v>45324</v>
      </c>
      <c r="F888" s="56" t="b">
        <v>1</v>
      </c>
      <c r="G888" s="205" t="s">
        <v>5155</v>
      </c>
      <c r="H888" s="324" t="s">
        <v>5156</v>
      </c>
      <c r="I888" s="56" t="b">
        <v>1</v>
      </c>
      <c r="J888" s="16" t="s">
        <v>4730</v>
      </c>
      <c r="K888" s="205"/>
      <c r="L888" s="16"/>
      <c r="M888" s="16"/>
      <c r="N888" s="16"/>
      <c r="O888" s="16"/>
      <c r="P888" s="16"/>
      <c r="Q888" s="16"/>
      <c r="R888" s="16"/>
      <c r="S888" s="16"/>
      <c r="T888" s="16"/>
      <c r="U888" s="16"/>
      <c r="V888" s="16"/>
      <c r="W888" s="16"/>
      <c r="X888" s="16"/>
      <c r="Y888" s="16"/>
      <c r="Z888" s="16"/>
      <c r="AA888" s="16"/>
    </row>
    <row r="889" spans="1:27" ht="24" hidden="1" customHeight="1" outlineLevel="1">
      <c r="A889" s="16" t="s">
        <v>5157</v>
      </c>
      <c r="B889" s="16" t="s">
        <v>3069</v>
      </c>
      <c r="C889" s="16" t="s">
        <v>3070</v>
      </c>
      <c r="D889" s="16" t="s">
        <v>4747</v>
      </c>
      <c r="E889" s="204">
        <v>45324</v>
      </c>
      <c r="F889" s="56" t="b">
        <v>1</v>
      </c>
      <c r="G889" s="205" t="s">
        <v>5158</v>
      </c>
      <c r="H889" s="323" t="s">
        <v>5159</v>
      </c>
      <c r="I889" s="56" t="b">
        <v>1</v>
      </c>
      <c r="J889" s="16" t="s">
        <v>3621</v>
      </c>
      <c r="K889" s="205"/>
      <c r="L889" s="16"/>
      <c r="M889" s="16"/>
      <c r="N889" s="16"/>
      <c r="O889" s="16"/>
      <c r="P889" s="16"/>
      <c r="Q889" s="16"/>
      <c r="R889" s="16"/>
      <c r="S889" s="16"/>
      <c r="T889" s="16"/>
      <c r="U889" s="16"/>
      <c r="V889" s="16"/>
      <c r="W889" s="16"/>
      <c r="X889" s="16"/>
      <c r="Y889" s="16"/>
      <c r="Z889" s="16"/>
      <c r="AA889" s="16"/>
    </row>
    <row r="890" spans="1:27" ht="24" hidden="1" customHeight="1" outlineLevel="1">
      <c r="A890" s="16" t="s">
        <v>3071</v>
      </c>
      <c r="B890" s="16" t="s">
        <v>3072</v>
      </c>
      <c r="C890" s="16" t="s">
        <v>3073</v>
      </c>
      <c r="D890" s="16" t="s">
        <v>3809</v>
      </c>
      <c r="E890" s="204">
        <v>45327</v>
      </c>
      <c r="F890" s="56" t="b">
        <v>1</v>
      </c>
      <c r="G890" s="205" t="s">
        <v>5160</v>
      </c>
      <c r="H890" s="324" t="s">
        <v>5161</v>
      </c>
      <c r="I890" s="56" t="b">
        <v>1</v>
      </c>
      <c r="J890" s="16" t="s">
        <v>4730</v>
      </c>
      <c r="K890" s="205"/>
      <c r="L890" s="16"/>
      <c r="M890" s="16"/>
      <c r="N890" s="16"/>
      <c r="O890" s="16"/>
      <c r="P890" s="16"/>
      <c r="Q890" s="16"/>
      <c r="R890" s="16"/>
      <c r="S890" s="16"/>
      <c r="T890" s="16"/>
      <c r="U890" s="16"/>
      <c r="V890" s="16"/>
      <c r="W890" s="16"/>
      <c r="X890" s="16"/>
      <c r="Y890" s="16"/>
      <c r="Z890" s="16"/>
      <c r="AA890" s="16"/>
    </row>
    <row r="891" spans="1:27" ht="24" hidden="1" customHeight="1" outlineLevel="1">
      <c r="A891" s="16" t="s">
        <v>3074</v>
      </c>
      <c r="B891" s="16" t="s">
        <v>3075</v>
      </c>
      <c r="C891" s="16" t="s">
        <v>3076</v>
      </c>
      <c r="D891" s="16" t="s">
        <v>5162</v>
      </c>
      <c r="E891" s="204">
        <v>45327</v>
      </c>
      <c r="F891" s="56" t="b">
        <v>0</v>
      </c>
      <c r="G891" s="205" t="s">
        <v>5163</v>
      </c>
      <c r="H891" s="323" t="s">
        <v>5164</v>
      </c>
      <c r="I891" s="56" t="b">
        <v>1</v>
      </c>
      <c r="J891" s="16" t="s">
        <v>4281</v>
      </c>
      <c r="K891" s="205"/>
      <c r="L891" s="16"/>
      <c r="M891" s="16"/>
      <c r="N891" s="16"/>
      <c r="O891" s="16"/>
      <c r="P891" s="16"/>
      <c r="Q891" s="16"/>
      <c r="R891" s="16"/>
      <c r="S891" s="16"/>
      <c r="T891" s="16"/>
      <c r="U891" s="16"/>
      <c r="V891" s="16"/>
      <c r="W891" s="16"/>
      <c r="X891" s="16"/>
      <c r="Y891" s="16"/>
      <c r="Z891" s="16"/>
      <c r="AA891" s="16"/>
    </row>
    <row r="892" spans="1:27" ht="24" hidden="1" customHeight="1" outlineLevel="1">
      <c r="A892" s="16" t="s">
        <v>3077</v>
      </c>
      <c r="B892" s="16" t="s">
        <v>3078</v>
      </c>
      <c r="C892" s="16" t="s">
        <v>3079</v>
      </c>
      <c r="D892" s="16" t="s">
        <v>4215</v>
      </c>
      <c r="E892" s="204">
        <v>45328</v>
      </c>
      <c r="F892" s="56" t="b">
        <v>1</v>
      </c>
      <c r="G892" s="205" t="s">
        <v>5165</v>
      </c>
      <c r="H892" s="323" t="s">
        <v>5166</v>
      </c>
      <c r="I892" s="56" t="b">
        <v>1</v>
      </c>
      <c r="J892" s="16" t="s">
        <v>4775</v>
      </c>
      <c r="K892" s="205"/>
      <c r="L892" s="16"/>
      <c r="M892" s="16"/>
      <c r="N892" s="16"/>
      <c r="O892" s="16"/>
      <c r="P892" s="16"/>
      <c r="Q892" s="16"/>
      <c r="R892" s="16"/>
      <c r="S892" s="16"/>
      <c r="T892" s="16"/>
      <c r="U892" s="16"/>
      <c r="V892" s="16"/>
      <c r="W892" s="16"/>
      <c r="X892" s="16"/>
      <c r="Y892" s="16"/>
      <c r="Z892" s="16"/>
      <c r="AA892" s="16"/>
    </row>
    <row r="893" spans="1:27" ht="24" hidden="1" customHeight="1" outlineLevel="1">
      <c r="A893" s="16" t="s">
        <v>5167</v>
      </c>
      <c r="B893" s="16" t="s">
        <v>3081</v>
      </c>
      <c r="C893" s="16" t="s">
        <v>3082</v>
      </c>
      <c r="D893" s="16" t="s">
        <v>3790</v>
      </c>
      <c r="E893" s="204">
        <v>45328</v>
      </c>
      <c r="F893" s="56" t="b">
        <v>1</v>
      </c>
      <c r="G893" s="205" t="s">
        <v>5168</v>
      </c>
      <c r="H893" s="323" t="s">
        <v>5169</v>
      </c>
      <c r="I893" s="56" t="b">
        <v>1</v>
      </c>
      <c r="J893" s="16" t="s">
        <v>4256</v>
      </c>
      <c r="K893" s="205"/>
      <c r="L893" s="16"/>
      <c r="M893" s="16"/>
      <c r="N893" s="16"/>
      <c r="O893" s="16"/>
      <c r="P893" s="16"/>
      <c r="Q893" s="16"/>
      <c r="R893" s="16"/>
      <c r="S893" s="16"/>
      <c r="T893" s="16"/>
      <c r="U893" s="16"/>
      <c r="V893" s="16"/>
      <c r="W893" s="16"/>
      <c r="X893" s="16"/>
      <c r="Y893" s="16"/>
      <c r="Z893" s="16"/>
      <c r="AA893" s="16"/>
    </row>
    <row r="894" spans="1:27" ht="24" hidden="1" customHeight="1" outlineLevel="1">
      <c r="A894" s="16" t="s">
        <v>3083</v>
      </c>
      <c r="B894" s="16" t="s">
        <v>3084</v>
      </c>
      <c r="C894" s="16" t="s">
        <v>3085</v>
      </c>
      <c r="D894" s="16" t="s">
        <v>4215</v>
      </c>
      <c r="E894" s="204">
        <v>45329</v>
      </c>
      <c r="F894" s="56" t="b">
        <v>0</v>
      </c>
      <c r="G894" s="205" t="s">
        <v>5170</v>
      </c>
      <c r="H894" s="323" t="s">
        <v>5171</v>
      </c>
      <c r="I894" s="56" t="b">
        <v>1</v>
      </c>
      <c r="J894" s="16" t="s">
        <v>4775</v>
      </c>
      <c r="K894" s="205"/>
      <c r="L894" s="16"/>
      <c r="M894" s="16"/>
      <c r="N894" s="16"/>
      <c r="O894" s="16"/>
      <c r="P894" s="16"/>
      <c r="Q894" s="16"/>
      <c r="R894" s="16"/>
      <c r="S894" s="16"/>
      <c r="T894" s="16"/>
      <c r="U894" s="16"/>
      <c r="V894" s="16"/>
      <c r="W894" s="16"/>
      <c r="X894" s="16"/>
      <c r="Y894" s="16"/>
      <c r="Z894" s="16"/>
      <c r="AA894" s="16"/>
    </row>
    <row r="895" spans="1:27" ht="24" hidden="1" customHeight="1" outlineLevel="1">
      <c r="A895" s="16" t="s">
        <v>3086</v>
      </c>
      <c r="B895" s="16" t="s">
        <v>3087</v>
      </c>
      <c r="C895" s="16" t="s">
        <v>3088</v>
      </c>
      <c r="D895" s="16" t="s">
        <v>3930</v>
      </c>
      <c r="E895" s="204">
        <v>45330</v>
      </c>
      <c r="F895" s="56" t="b">
        <v>0</v>
      </c>
      <c r="G895" s="205" t="s">
        <v>5172</v>
      </c>
      <c r="H895" s="323" t="s">
        <v>5173</v>
      </c>
      <c r="I895" s="56" t="b">
        <v>1</v>
      </c>
      <c r="J895" s="16" t="s">
        <v>3621</v>
      </c>
      <c r="K895" s="205"/>
      <c r="L895" s="16"/>
      <c r="M895" s="16"/>
      <c r="N895" s="16"/>
      <c r="O895" s="16"/>
      <c r="P895" s="16"/>
      <c r="Q895" s="16"/>
      <c r="R895" s="16"/>
      <c r="S895" s="16"/>
      <c r="T895" s="16"/>
      <c r="U895" s="16"/>
      <c r="V895" s="16"/>
      <c r="W895" s="16"/>
      <c r="X895" s="16"/>
      <c r="Y895" s="16"/>
      <c r="Z895" s="16"/>
      <c r="AA895" s="16"/>
    </row>
    <row r="896" spans="1:27" ht="24" hidden="1" customHeight="1" outlineLevel="1">
      <c r="A896" s="16" t="s">
        <v>3089</v>
      </c>
      <c r="B896" s="16" t="s">
        <v>3090</v>
      </c>
      <c r="C896" s="16" t="s">
        <v>3091</v>
      </c>
      <c r="D896" s="16" t="s">
        <v>4412</v>
      </c>
      <c r="E896" s="204">
        <v>45330</v>
      </c>
      <c r="F896" s="56" t="b">
        <v>0</v>
      </c>
      <c r="G896" s="205" t="s">
        <v>5174</v>
      </c>
      <c r="H896" s="323" t="s">
        <v>5175</v>
      </c>
      <c r="I896" s="56" t="b">
        <v>1</v>
      </c>
      <c r="J896" s="16" t="s">
        <v>3981</v>
      </c>
      <c r="K896" s="205"/>
      <c r="L896" s="16"/>
      <c r="M896" s="16"/>
      <c r="N896" s="16"/>
      <c r="O896" s="16"/>
      <c r="P896" s="16"/>
      <c r="Q896" s="16"/>
      <c r="R896" s="16"/>
      <c r="S896" s="16"/>
      <c r="T896" s="16"/>
      <c r="U896" s="16"/>
      <c r="V896" s="16"/>
      <c r="W896" s="16"/>
      <c r="X896" s="16"/>
      <c r="Y896" s="16"/>
      <c r="Z896" s="16"/>
      <c r="AA896" s="16"/>
    </row>
    <row r="897" spans="1:27" ht="24" hidden="1" customHeight="1" outlineLevel="1">
      <c r="A897" s="16" t="s">
        <v>3092</v>
      </c>
      <c r="B897" s="16" t="s">
        <v>3093</v>
      </c>
      <c r="C897" s="16" t="s">
        <v>3094</v>
      </c>
      <c r="D897" s="16" t="s">
        <v>5176</v>
      </c>
      <c r="E897" s="204">
        <v>45331</v>
      </c>
      <c r="F897" s="56" t="b">
        <v>1</v>
      </c>
      <c r="G897" s="205" t="s">
        <v>5177</v>
      </c>
      <c r="H897" s="323" t="s">
        <v>5178</v>
      </c>
      <c r="I897" s="56" t="b">
        <v>1</v>
      </c>
      <c r="J897" s="16" t="s">
        <v>4775</v>
      </c>
      <c r="K897" s="205"/>
      <c r="L897" s="16"/>
      <c r="M897" s="16"/>
      <c r="N897" s="16"/>
      <c r="O897" s="16"/>
      <c r="P897" s="16"/>
      <c r="Q897" s="16"/>
      <c r="R897" s="16"/>
      <c r="S897" s="16"/>
      <c r="T897" s="16"/>
      <c r="U897" s="16"/>
      <c r="V897" s="16"/>
      <c r="W897" s="16"/>
      <c r="X897" s="16"/>
      <c r="Y897" s="16"/>
      <c r="Z897" s="16"/>
      <c r="AA897" s="16"/>
    </row>
    <row r="898" spans="1:27" ht="24" hidden="1" customHeight="1" outlineLevel="1">
      <c r="A898" s="16" t="s">
        <v>5179</v>
      </c>
      <c r="B898" s="16" t="s">
        <v>3096</v>
      </c>
      <c r="C898" s="16" t="s">
        <v>3097</v>
      </c>
      <c r="D898" s="16" t="s">
        <v>3696</v>
      </c>
      <c r="E898" s="204">
        <v>45331</v>
      </c>
      <c r="F898" s="56"/>
      <c r="G898" s="205" t="s">
        <v>5180</v>
      </c>
      <c r="H898" s="323" t="s">
        <v>5181</v>
      </c>
      <c r="I898" s="56" t="b">
        <v>1</v>
      </c>
      <c r="J898" s="16" t="s">
        <v>4727</v>
      </c>
      <c r="K898" s="205"/>
      <c r="L898" s="16"/>
      <c r="M898" s="16"/>
      <c r="N898" s="16"/>
      <c r="O898" s="16"/>
      <c r="P898" s="16"/>
      <c r="Q898" s="16"/>
      <c r="R898" s="16"/>
      <c r="S898" s="16"/>
      <c r="T898" s="16"/>
      <c r="U898" s="16"/>
      <c r="V898" s="16"/>
      <c r="W898" s="16"/>
      <c r="X898" s="16"/>
      <c r="Y898" s="16"/>
      <c r="Z898" s="16"/>
      <c r="AA898" s="16"/>
    </row>
    <row r="899" spans="1:27" ht="24" hidden="1" customHeight="1" outlineLevel="1">
      <c r="A899" s="16" t="s">
        <v>3098</v>
      </c>
      <c r="B899" s="16" t="s">
        <v>3100</v>
      </c>
      <c r="C899" s="16" t="s">
        <v>3101</v>
      </c>
      <c r="D899" s="16" t="s">
        <v>5182</v>
      </c>
      <c r="E899" s="204">
        <v>45332</v>
      </c>
      <c r="F899" s="56" t="b">
        <v>0</v>
      </c>
      <c r="G899" s="205" t="s">
        <v>5183</v>
      </c>
      <c r="H899" s="323" t="s">
        <v>5184</v>
      </c>
      <c r="I899" s="56" t="b">
        <v>1</v>
      </c>
      <c r="J899" s="16" t="s">
        <v>4730</v>
      </c>
      <c r="K899" s="205"/>
      <c r="L899" s="16"/>
      <c r="M899" s="16"/>
      <c r="N899" s="16"/>
      <c r="O899" s="16"/>
      <c r="P899" s="16"/>
      <c r="Q899" s="16"/>
      <c r="R899" s="16"/>
      <c r="S899" s="16"/>
      <c r="T899" s="16"/>
      <c r="U899" s="16"/>
      <c r="V899" s="16"/>
      <c r="W899" s="16"/>
      <c r="X899" s="16"/>
      <c r="Y899" s="16"/>
      <c r="Z899" s="16"/>
      <c r="AA899" s="16"/>
    </row>
    <row r="900" spans="1:27" ht="24" hidden="1" customHeight="1" outlineLevel="1">
      <c r="A900" s="16" t="s">
        <v>3102</v>
      </c>
      <c r="B900" s="16" t="s">
        <v>3103</v>
      </c>
      <c r="C900" s="16" t="s">
        <v>5185</v>
      </c>
      <c r="D900" s="16" t="s">
        <v>3790</v>
      </c>
      <c r="E900" s="204">
        <v>45334</v>
      </c>
      <c r="F900" s="56" t="b">
        <v>0</v>
      </c>
      <c r="G900" s="205" t="s">
        <v>5186</v>
      </c>
      <c r="H900" s="323" t="s">
        <v>5187</v>
      </c>
      <c r="I900" s="56" t="b">
        <v>1</v>
      </c>
      <c r="J900" s="16" t="s">
        <v>4256</v>
      </c>
      <c r="K900" s="205"/>
      <c r="L900" s="16"/>
      <c r="M900" s="16"/>
      <c r="N900" s="16"/>
      <c r="O900" s="16"/>
      <c r="P900" s="16"/>
      <c r="Q900" s="16"/>
      <c r="R900" s="16"/>
      <c r="S900" s="16"/>
      <c r="T900" s="16"/>
      <c r="U900" s="16"/>
      <c r="V900" s="16"/>
      <c r="W900" s="16"/>
      <c r="X900" s="16"/>
      <c r="Y900" s="16"/>
      <c r="Z900" s="16"/>
      <c r="AA900" s="16"/>
    </row>
    <row r="901" spans="1:27" ht="24" hidden="1" customHeight="1" outlineLevel="1">
      <c r="A901" s="16" t="s">
        <v>3105</v>
      </c>
      <c r="B901" s="16" t="s">
        <v>3106</v>
      </c>
      <c r="C901" s="16" t="s">
        <v>3107</v>
      </c>
      <c r="D901" s="16" t="s">
        <v>4747</v>
      </c>
      <c r="E901" s="204">
        <v>45334</v>
      </c>
      <c r="F901" s="56" t="b">
        <v>0</v>
      </c>
      <c r="G901" s="205" t="s">
        <v>5188</v>
      </c>
      <c r="H901" s="323" t="s">
        <v>5189</v>
      </c>
      <c r="I901" s="56" t="b">
        <v>1</v>
      </c>
      <c r="J901" s="16" t="s">
        <v>5190</v>
      </c>
      <c r="K901" s="205"/>
      <c r="L901" s="16"/>
      <c r="M901" s="16"/>
      <c r="N901" s="16"/>
      <c r="O901" s="16"/>
      <c r="P901" s="16"/>
      <c r="Q901" s="16"/>
      <c r="R901" s="16"/>
      <c r="S901" s="16"/>
      <c r="T901" s="16"/>
      <c r="U901" s="16"/>
      <c r="V901" s="16"/>
      <c r="W901" s="16"/>
      <c r="X901" s="16"/>
      <c r="Y901" s="16"/>
      <c r="Z901" s="16"/>
      <c r="AA901" s="16"/>
    </row>
    <row r="902" spans="1:27" ht="24" hidden="1" customHeight="1" outlineLevel="1">
      <c r="A902" s="16" t="s">
        <v>3108</v>
      </c>
      <c r="B902" s="76" t="s">
        <v>3109</v>
      </c>
      <c r="C902" s="16" t="s">
        <v>3110</v>
      </c>
      <c r="D902" s="16" t="s">
        <v>4747</v>
      </c>
      <c r="E902" s="204">
        <v>45334</v>
      </c>
      <c r="F902" s="56" t="b">
        <v>1</v>
      </c>
      <c r="G902" s="205" t="s">
        <v>5191</v>
      </c>
      <c r="H902" s="323" t="s">
        <v>5192</v>
      </c>
      <c r="I902" s="56" t="b">
        <v>1</v>
      </c>
      <c r="J902" s="16" t="s">
        <v>5190</v>
      </c>
      <c r="K902" s="205"/>
      <c r="L902" s="16"/>
      <c r="M902" s="16"/>
      <c r="N902" s="16"/>
      <c r="O902" s="16"/>
      <c r="P902" s="16"/>
      <c r="Q902" s="16"/>
      <c r="R902" s="16"/>
      <c r="S902" s="16"/>
      <c r="T902" s="16"/>
      <c r="U902" s="16"/>
      <c r="V902" s="16"/>
      <c r="W902" s="16"/>
      <c r="X902" s="16"/>
      <c r="Y902" s="16"/>
      <c r="Z902" s="16"/>
      <c r="AA902" s="16"/>
    </row>
    <row r="903" spans="1:27" ht="24" hidden="1" customHeight="1" outlineLevel="1">
      <c r="A903" s="16" t="s">
        <v>3111</v>
      </c>
      <c r="B903" s="16" t="s">
        <v>3112</v>
      </c>
      <c r="C903" s="16" t="s">
        <v>3113</v>
      </c>
      <c r="D903" s="16" t="s">
        <v>4747</v>
      </c>
      <c r="E903" s="204">
        <v>45334</v>
      </c>
      <c r="F903" s="56" t="b">
        <v>1</v>
      </c>
      <c r="G903" s="205" t="s">
        <v>5193</v>
      </c>
      <c r="H903" s="324" t="s">
        <v>5194</v>
      </c>
      <c r="I903" s="56" t="b">
        <v>1</v>
      </c>
      <c r="J903" s="16" t="s">
        <v>3621</v>
      </c>
      <c r="K903" s="205"/>
      <c r="L903" s="16"/>
      <c r="M903" s="16"/>
      <c r="N903" s="16"/>
      <c r="O903" s="16"/>
      <c r="P903" s="16"/>
      <c r="Q903" s="16"/>
      <c r="R903" s="16"/>
      <c r="S903" s="16"/>
      <c r="T903" s="16"/>
      <c r="U903" s="16"/>
      <c r="V903" s="16"/>
      <c r="W903" s="16"/>
      <c r="X903" s="16"/>
      <c r="Y903" s="16"/>
      <c r="Z903" s="16"/>
      <c r="AA903" s="16"/>
    </row>
    <row r="904" spans="1:27" ht="24" hidden="1" customHeight="1" outlineLevel="1">
      <c r="A904" s="16" t="s">
        <v>3114</v>
      </c>
      <c r="B904" s="16" t="s">
        <v>3116</v>
      </c>
      <c r="C904" s="16" t="s">
        <v>3117</v>
      </c>
      <c r="D904" s="16" t="s">
        <v>4536</v>
      </c>
      <c r="E904" s="204">
        <v>45335</v>
      </c>
      <c r="F904" s="56" t="b">
        <v>1</v>
      </c>
      <c r="G904" s="205" t="s">
        <v>5195</v>
      </c>
      <c r="H904" s="323" t="s">
        <v>5196</v>
      </c>
      <c r="I904" s="56" t="b">
        <v>1</v>
      </c>
      <c r="J904" s="221" t="s">
        <v>4997</v>
      </c>
      <c r="K904" s="205"/>
      <c r="L904" s="16"/>
      <c r="M904" s="16"/>
      <c r="N904" s="16"/>
      <c r="O904" s="16"/>
      <c r="P904" s="16"/>
      <c r="Q904" s="16"/>
      <c r="R904" s="16"/>
      <c r="S904" s="16"/>
      <c r="T904" s="16"/>
      <c r="U904" s="16"/>
      <c r="V904" s="16"/>
      <c r="W904" s="16"/>
      <c r="X904" s="16"/>
      <c r="Y904" s="16"/>
      <c r="Z904" s="16"/>
      <c r="AA904" s="16"/>
    </row>
    <row r="905" spans="1:27" ht="24" hidden="1" customHeight="1" outlineLevel="1">
      <c r="A905" s="16" t="s">
        <v>3118</v>
      </c>
      <c r="B905" s="16" t="s">
        <v>3119</v>
      </c>
      <c r="C905" s="16" t="s">
        <v>3120</v>
      </c>
      <c r="D905" s="16" t="s">
        <v>4747</v>
      </c>
      <c r="E905" s="204">
        <v>45335</v>
      </c>
      <c r="F905" s="56" t="b">
        <v>1</v>
      </c>
      <c r="G905" s="205" t="s">
        <v>5197</v>
      </c>
      <c r="H905" s="323" t="s">
        <v>5198</v>
      </c>
      <c r="I905" s="56" t="b">
        <v>1</v>
      </c>
      <c r="J905" s="16" t="s">
        <v>5190</v>
      </c>
      <c r="K905" s="205" t="s">
        <v>5199</v>
      </c>
      <c r="L905" s="16"/>
      <c r="M905" s="16"/>
      <c r="N905" s="16"/>
      <c r="O905" s="16"/>
      <c r="P905" s="16"/>
      <c r="Q905" s="16"/>
      <c r="R905" s="16"/>
      <c r="S905" s="16"/>
      <c r="T905" s="16"/>
      <c r="U905" s="16"/>
      <c r="V905" s="16"/>
      <c r="W905" s="16"/>
      <c r="X905" s="16"/>
      <c r="Y905" s="16"/>
      <c r="Z905" s="16"/>
      <c r="AA905" s="16"/>
    </row>
    <row r="906" spans="1:27" ht="24" hidden="1" customHeight="1" outlineLevel="1">
      <c r="A906" s="16" t="s">
        <v>3121</v>
      </c>
      <c r="B906" s="16" t="s">
        <v>3122</v>
      </c>
      <c r="C906" s="16" t="s">
        <v>3123</v>
      </c>
      <c r="D906" s="16" t="s">
        <v>3790</v>
      </c>
      <c r="E906" s="204">
        <v>45336</v>
      </c>
      <c r="F906" s="56" t="b">
        <v>1</v>
      </c>
      <c r="G906" s="205" t="s">
        <v>5200</v>
      </c>
      <c r="H906" s="323" t="s">
        <v>5201</v>
      </c>
      <c r="I906" s="56" t="b">
        <v>1</v>
      </c>
      <c r="J906" s="16" t="s">
        <v>4256</v>
      </c>
      <c r="K906" s="205"/>
      <c r="L906" s="16"/>
      <c r="M906" s="16"/>
      <c r="N906" s="16"/>
      <c r="O906" s="16"/>
      <c r="P906" s="16"/>
      <c r="Q906" s="16"/>
      <c r="R906" s="16"/>
      <c r="S906" s="16"/>
      <c r="T906" s="16"/>
      <c r="U906" s="16"/>
      <c r="V906" s="16"/>
      <c r="W906" s="16"/>
      <c r="X906" s="16"/>
      <c r="Y906" s="16"/>
      <c r="Z906" s="16"/>
      <c r="AA906" s="16"/>
    </row>
    <row r="907" spans="1:27" ht="24" hidden="1" customHeight="1" outlineLevel="1">
      <c r="A907" s="16" t="s">
        <v>3124</v>
      </c>
      <c r="B907" s="16" t="s">
        <v>3125</v>
      </c>
      <c r="C907" s="16" t="s">
        <v>3126</v>
      </c>
      <c r="D907" s="16" t="s">
        <v>4747</v>
      </c>
      <c r="E907" s="204">
        <v>45336</v>
      </c>
      <c r="F907" s="56" t="b">
        <v>1</v>
      </c>
      <c r="G907" s="205" t="s">
        <v>5202</v>
      </c>
      <c r="H907" s="323" t="s">
        <v>5203</v>
      </c>
      <c r="I907" s="56" t="b">
        <v>1</v>
      </c>
      <c r="J907" s="16" t="s">
        <v>5190</v>
      </c>
      <c r="K907" s="205" t="s">
        <v>5204</v>
      </c>
      <c r="L907" s="16"/>
      <c r="M907" s="16"/>
      <c r="N907" s="16"/>
      <c r="O907" s="16"/>
      <c r="P907" s="16"/>
      <c r="Q907" s="16"/>
      <c r="R907" s="16"/>
      <c r="S907" s="16"/>
      <c r="T907" s="16"/>
      <c r="U907" s="16"/>
      <c r="V907" s="16"/>
      <c r="W907" s="16"/>
      <c r="X907" s="16"/>
      <c r="Y907" s="16"/>
      <c r="Z907" s="16"/>
      <c r="AA907" s="16"/>
    </row>
    <row r="908" spans="1:27" ht="24" hidden="1" customHeight="1" outlineLevel="1">
      <c r="A908" s="16" t="s">
        <v>3127</v>
      </c>
      <c r="B908" s="16" t="s">
        <v>3128</v>
      </c>
      <c r="C908" s="16" t="s">
        <v>3129</v>
      </c>
      <c r="D908" s="16" t="s">
        <v>5205</v>
      </c>
      <c r="E908" s="204">
        <v>45336</v>
      </c>
      <c r="F908" s="56" t="b">
        <v>1</v>
      </c>
      <c r="G908" s="205" t="s">
        <v>5206</v>
      </c>
      <c r="H908" s="323" t="s">
        <v>5207</v>
      </c>
      <c r="I908" s="56" t="b">
        <v>1</v>
      </c>
      <c r="J908" s="16" t="s">
        <v>4730</v>
      </c>
      <c r="K908" s="205"/>
      <c r="L908" s="16"/>
      <c r="M908" s="16"/>
      <c r="N908" s="16"/>
      <c r="O908" s="16"/>
      <c r="P908" s="16"/>
      <c r="Q908" s="16"/>
      <c r="R908" s="16"/>
      <c r="S908" s="16"/>
      <c r="T908" s="16"/>
      <c r="U908" s="16"/>
      <c r="V908" s="16"/>
      <c r="W908" s="16"/>
      <c r="X908" s="16"/>
      <c r="Y908" s="16"/>
      <c r="Z908" s="16"/>
      <c r="AA908" s="16"/>
    </row>
    <row r="909" spans="1:27" ht="24" hidden="1" customHeight="1" outlineLevel="1">
      <c r="A909" s="16" t="s">
        <v>3130</v>
      </c>
      <c r="B909" s="16" t="s">
        <v>3131</v>
      </c>
      <c r="C909" s="16" t="s">
        <v>3132</v>
      </c>
      <c r="D909" s="16" t="s">
        <v>4747</v>
      </c>
      <c r="E909" s="204">
        <v>45337</v>
      </c>
      <c r="F909" s="56" t="b">
        <v>1</v>
      </c>
      <c r="G909" s="205" t="s">
        <v>5208</v>
      </c>
      <c r="H909" s="323" t="s">
        <v>5209</v>
      </c>
      <c r="I909" s="56" t="b">
        <v>1</v>
      </c>
      <c r="J909" s="16" t="s">
        <v>5190</v>
      </c>
      <c r="K909" s="205" t="s">
        <v>5210</v>
      </c>
      <c r="L909" s="16"/>
      <c r="M909" s="16"/>
      <c r="N909" s="16"/>
      <c r="O909" s="16"/>
      <c r="P909" s="16"/>
      <c r="Q909" s="16"/>
      <c r="R909" s="16"/>
      <c r="S909" s="16"/>
      <c r="T909" s="16"/>
      <c r="U909" s="16"/>
      <c r="V909" s="16"/>
      <c r="W909" s="16"/>
      <c r="X909" s="16"/>
      <c r="Y909" s="16"/>
      <c r="Z909" s="16"/>
      <c r="AA909" s="16"/>
    </row>
    <row r="910" spans="1:27" ht="24" hidden="1" customHeight="1" outlineLevel="1">
      <c r="A910" s="16" t="s">
        <v>3133</v>
      </c>
      <c r="B910" s="16" t="s">
        <v>3134</v>
      </c>
      <c r="C910" s="16" t="s">
        <v>3135</v>
      </c>
      <c r="D910" s="16" t="s">
        <v>3809</v>
      </c>
      <c r="E910" s="204">
        <v>45337</v>
      </c>
      <c r="F910" s="56" t="b">
        <v>1</v>
      </c>
      <c r="G910" s="205" t="s">
        <v>5211</v>
      </c>
      <c r="H910" s="323" t="s">
        <v>5212</v>
      </c>
      <c r="I910" s="56" t="b">
        <v>1</v>
      </c>
      <c r="J910" s="16" t="s">
        <v>4730</v>
      </c>
      <c r="K910" s="205"/>
      <c r="L910" s="16"/>
      <c r="M910" s="16"/>
      <c r="N910" s="16"/>
      <c r="O910" s="16"/>
      <c r="P910" s="16"/>
      <c r="Q910" s="16"/>
      <c r="R910" s="16"/>
      <c r="S910" s="16"/>
      <c r="T910" s="16"/>
      <c r="U910" s="16"/>
      <c r="V910" s="16"/>
      <c r="W910" s="16"/>
      <c r="X910" s="16"/>
      <c r="Y910" s="16"/>
      <c r="Z910" s="16"/>
      <c r="AA910" s="16"/>
    </row>
    <row r="911" spans="1:27" ht="24" hidden="1" customHeight="1" outlineLevel="1">
      <c r="A911" s="16" t="s">
        <v>3136</v>
      </c>
      <c r="B911" s="16" t="s">
        <v>3138</v>
      </c>
      <c r="C911" s="16" t="s">
        <v>3139</v>
      </c>
      <c r="D911" s="16" t="s">
        <v>3696</v>
      </c>
      <c r="E911" s="204">
        <v>45337</v>
      </c>
      <c r="F911" s="56" t="b">
        <v>1</v>
      </c>
      <c r="G911" s="205" t="s">
        <v>5213</v>
      </c>
      <c r="H911" s="326" t="s">
        <v>5214</v>
      </c>
      <c r="I911" s="56" t="b">
        <v>1</v>
      </c>
      <c r="J911" s="16" t="s">
        <v>4727</v>
      </c>
      <c r="K911" s="205"/>
      <c r="L911" s="16"/>
      <c r="M911" s="16"/>
      <c r="N911" s="16"/>
      <c r="O911" s="16"/>
      <c r="P911" s="16"/>
      <c r="Q911" s="16"/>
      <c r="R911" s="16"/>
      <c r="S911" s="16"/>
      <c r="T911" s="16"/>
      <c r="U911" s="16"/>
      <c r="V911" s="16"/>
      <c r="W911" s="16"/>
      <c r="X911" s="16"/>
      <c r="Y911" s="16"/>
      <c r="Z911" s="16"/>
      <c r="AA911" s="16"/>
    </row>
    <row r="912" spans="1:27" ht="24" hidden="1" customHeight="1" outlineLevel="1">
      <c r="A912" s="16" t="s">
        <v>3140</v>
      </c>
      <c r="B912" s="16" t="s">
        <v>3142</v>
      </c>
      <c r="C912" s="16" t="s">
        <v>3143</v>
      </c>
      <c r="D912" s="16" t="s">
        <v>3930</v>
      </c>
      <c r="E912" s="204">
        <v>45341</v>
      </c>
      <c r="F912" s="56" t="b">
        <v>1</v>
      </c>
      <c r="G912" s="205" t="s">
        <v>5215</v>
      </c>
      <c r="H912" s="326" t="s">
        <v>5216</v>
      </c>
      <c r="I912" s="56" t="b">
        <v>1</v>
      </c>
      <c r="J912" s="16" t="s">
        <v>3621</v>
      </c>
      <c r="K912" s="205"/>
      <c r="L912" s="16"/>
      <c r="M912" s="16"/>
      <c r="N912" s="16"/>
      <c r="O912" s="16"/>
      <c r="P912" s="16"/>
      <c r="Q912" s="16"/>
      <c r="R912" s="16"/>
      <c r="S912" s="16"/>
      <c r="T912" s="16"/>
      <c r="U912" s="16"/>
      <c r="V912" s="16"/>
      <c r="W912" s="16"/>
      <c r="X912" s="16"/>
      <c r="Y912" s="16"/>
      <c r="Z912" s="16"/>
      <c r="AA912" s="16"/>
    </row>
    <row r="913" spans="1:27" ht="24" hidden="1" customHeight="1" outlineLevel="1">
      <c r="A913" s="16" t="s">
        <v>3144</v>
      </c>
      <c r="B913" s="16" t="s">
        <v>3145</v>
      </c>
      <c r="C913" s="16" t="s">
        <v>3146</v>
      </c>
      <c r="D913" s="16" t="s">
        <v>3696</v>
      </c>
      <c r="E913" s="204">
        <v>45342</v>
      </c>
      <c r="F913" s="56" t="b">
        <v>1</v>
      </c>
      <c r="G913" s="205" t="s">
        <v>5217</v>
      </c>
      <c r="H913" s="323" t="s">
        <v>5218</v>
      </c>
      <c r="I913" s="56" t="b">
        <v>1</v>
      </c>
      <c r="J913" s="16" t="s">
        <v>5219</v>
      </c>
      <c r="K913" s="205"/>
      <c r="L913" s="16"/>
      <c r="M913" s="16"/>
      <c r="N913" s="16"/>
      <c r="O913" s="16"/>
      <c r="P913" s="16"/>
      <c r="Q913" s="16"/>
      <c r="R913" s="16"/>
      <c r="S913" s="16"/>
      <c r="T913" s="16"/>
      <c r="U913" s="16"/>
      <c r="V913" s="16"/>
      <c r="W913" s="16"/>
      <c r="X913" s="16"/>
      <c r="Y913" s="16"/>
      <c r="Z913" s="16"/>
      <c r="AA913" s="16"/>
    </row>
    <row r="914" spans="1:27" ht="24" hidden="1" customHeight="1" outlineLevel="1">
      <c r="A914" s="16" t="s">
        <v>3147</v>
      </c>
      <c r="B914" s="16" t="s">
        <v>3148</v>
      </c>
      <c r="C914" s="16" t="s">
        <v>3149</v>
      </c>
      <c r="D914" s="16" t="s">
        <v>4747</v>
      </c>
      <c r="E914" s="204">
        <v>45342</v>
      </c>
      <c r="F914" s="56" t="b">
        <v>1</v>
      </c>
      <c r="G914" s="205" t="s">
        <v>5220</v>
      </c>
      <c r="H914" s="323" t="s">
        <v>5221</v>
      </c>
      <c r="I914" s="56" t="b">
        <v>1</v>
      </c>
      <c r="J914" s="16" t="s">
        <v>5190</v>
      </c>
      <c r="K914" s="205"/>
      <c r="L914" s="16"/>
      <c r="M914" s="16"/>
      <c r="N914" s="16"/>
      <c r="O914" s="16"/>
      <c r="P914" s="16"/>
      <c r="Q914" s="16"/>
      <c r="R914" s="16"/>
      <c r="S914" s="16"/>
      <c r="T914" s="16"/>
      <c r="U914" s="16"/>
      <c r="V914" s="16"/>
      <c r="W914" s="16"/>
      <c r="X914" s="16"/>
      <c r="Y914" s="16"/>
      <c r="Z914" s="16"/>
      <c r="AA914" s="16"/>
    </row>
    <row r="915" spans="1:27" ht="24" hidden="1" customHeight="1" outlineLevel="1">
      <c r="A915" s="16" t="s">
        <v>3150</v>
      </c>
      <c r="B915" s="16" t="s">
        <v>3151</v>
      </c>
      <c r="C915" s="16" t="s">
        <v>3152</v>
      </c>
      <c r="D915" s="16" t="s">
        <v>3790</v>
      </c>
      <c r="E915" s="204">
        <v>45343</v>
      </c>
      <c r="F915" s="56" t="b">
        <v>1</v>
      </c>
      <c r="G915" s="205" t="s">
        <v>5222</v>
      </c>
      <c r="H915" s="323" t="s">
        <v>5223</v>
      </c>
      <c r="I915" s="56" t="b">
        <v>1</v>
      </c>
      <c r="J915" s="16" t="s">
        <v>4256</v>
      </c>
      <c r="K915" s="205"/>
      <c r="L915" s="16"/>
      <c r="M915" s="16"/>
      <c r="N915" s="16"/>
      <c r="O915" s="16"/>
      <c r="P915" s="16"/>
      <c r="Q915" s="16"/>
      <c r="R915" s="16"/>
      <c r="S915" s="16"/>
      <c r="T915" s="16"/>
      <c r="U915" s="16"/>
      <c r="V915" s="16"/>
      <c r="W915" s="16"/>
      <c r="X915" s="16"/>
      <c r="Y915" s="16"/>
      <c r="Z915" s="16"/>
      <c r="AA915" s="16"/>
    </row>
    <row r="916" spans="1:27" ht="24" hidden="1" customHeight="1" outlineLevel="1">
      <c r="A916" s="16" t="s">
        <v>3153</v>
      </c>
      <c r="B916" s="16" t="s">
        <v>3154</v>
      </c>
      <c r="C916" s="16" t="s">
        <v>3155</v>
      </c>
      <c r="D916" s="16" t="s">
        <v>4747</v>
      </c>
      <c r="E916" s="204">
        <v>45344</v>
      </c>
      <c r="F916" s="56" t="b">
        <v>1</v>
      </c>
      <c r="G916" s="205" t="s">
        <v>5224</v>
      </c>
      <c r="H916" s="323" t="s">
        <v>5225</v>
      </c>
      <c r="I916" s="56" t="b">
        <v>1</v>
      </c>
      <c r="J916" s="16" t="s">
        <v>5190</v>
      </c>
      <c r="K916" s="205"/>
      <c r="L916" s="16"/>
      <c r="M916" s="16"/>
      <c r="N916" s="16"/>
      <c r="O916" s="16"/>
      <c r="P916" s="16"/>
      <c r="Q916" s="16"/>
      <c r="R916" s="16"/>
      <c r="S916" s="16"/>
      <c r="T916" s="16"/>
      <c r="U916" s="16"/>
      <c r="V916" s="16"/>
      <c r="W916" s="16"/>
      <c r="X916" s="16"/>
      <c r="Y916" s="16"/>
      <c r="Z916" s="16"/>
      <c r="AA916" s="16"/>
    </row>
    <row r="917" spans="1:27" ht="24" hidden="1" customHeight="1" outlineLevel="1">
      <c r="A917" s="16" t="s">
        <v>3156</v>
      </c>
      <c r="B917" s="16" t="s">
        <v>3157</v>
      </c>
      <c r="C917" s="16" t="s">
        <v>3158</v>
      </c>
      <c r="D917" s="16" t="s">
        <v>5226</v>
      </c>
      <c r="E917" s="204">
        <v>45344</v>
      </c>
      <c r="F917" s="56" t="b">
        <v>1</v>
      </c>
      <c r="G917" s="205" t="s">
        <v>5227</v>
      </c>
      <c r="H917" s="323" t="s">
        <v>5228</v>
      </c>
      <c r="I917" s="56" t="b">
        <v>1</v>
      </c>
      <c r="J917" s="221" t="s">
        <v>5229</v>
      </c>
      <c r="K917" s="205"/>
      <c r="L917" s="16"/>
      <c r="M917" s="16"/>
      <c r="N917" s="16"/>
      <c r="O917" s="16"/>
      <c r="P917" s="16"/>
      <c r="Q917" s="16"/>
      <c r="R917" s="16"/>
      <c r="S917" s="16"/>
      <c r="T917" s="16"/>
      <c r="U917" s="16"/>
      <c r="V917" s="16"/>
      <c r="W917" s="16"/>
      <c r="X917" s="16"/>
      <c r="Y917" s="16"/>
      <c r="Z917" s="16"/>
      <c r="AA917" s="16"/>
    </row>
    <row r="918" spans="1:27" ht="24" hidden="1" customHeight="1" outlineLevel="1">
      <c r="A918" s="16" t="s">
        <v>3159</v>
      </c>
      <c r="B918" s="16" t="s">
        <v>3160</v>
      </c>
      <c r="C918" s="16" t="s">
        <v>3161</v>
      </c>
      <c r="D918" s="16" t="s">
        <v>4270</v>
      </c>
      <c r="E918" s="204">
        <v>45344</v>
      </c>
      <c r="F918" s="56" t="b">
        <v>1</v>
      </c>
      <c r="G918" s="205" t="s">
        <v>5230</v>
      </c>
      <c r="H918" s="323" t="s">
        <v>5231</v>
      </c>
      <c r="I918" s="56" t="b">
        <v>1</v>
      </c>
      <c r="J918" s="16" t="s">
        <v>3981</v>
      </c>
      <c r="K918" s="205"/>
      <c r="L918" s="16"/>
      <c r="M918" s="16"/>
      <c r="N918" s="16"/>
      <c r="O918" s="16"/>
      <c r="P918" s="16"/>
      <c r="Q918" s="16"/>
      <c r="R918" s="16"/>
      <c r="S918" s="16"/>
      <c r="T918" s="16"/>
      <c r="U918" s="16"/>
      <c r="V918" s="16"/>
      <c r="W918" s="16"/>
      <c r="X918" s="16"/>
      <c r="Y918" s="16"/>
      <c r="Z918" s="16"/>
      <c r="AA918" s="16"/>
    </row>
    <row r="919" spans="1:27" ht="24" hidden="1" customHeight="1" outlineLevel="1">
      <c r="A919" s="16" t="s">
        <v>3162</v>
      </c>
      <c r="B919" s="16" t="s">
        <v>3164</v>
      </c>
      <c r="C919" s="16" t="s">
        <v>3165</v>
      </c>
      <c r="D919" s="16" t="s">
        <v>3809</v>
      </c>
      <c r="E919" s="204">
        <v>45344</v>
      </c>
      <c r="F919" s="56" t="b">
        <v>0</v>
      </c>
      <c r="G919" s="205" t="s">
        <v>5232</v>
      </c>
      <c r="H919" s="324" t="s">
        <v>5233</v>
      </c>
      <c r="I919" s="56" t="b">
        <v>1</v>
      </c>
      <c r="J919" s="16" t="s">
        <v>4730</v>
      </c>
      <c r="K919" s="205"/>
      <c r="L919" s="16"/>
      <c r="M919" s="16"/>
      <c r="N919" s="16"/>
      <c r="O919" s="16"/>
      <c r="P919" s="16"/>
      <c r="Q919" s="16"/>
      <c r="R919" s="16"/>
      <c r="S919" s="16"/>
      <c r="T919" s="16"/>
      <c r="U919" s="16"/>
      <c r="V919" s="16"/>
      <c r="W919" s="16"/>
      <c r="X919" s="16"/>
      <c r="Y919" s="16"/>
      <c r="Z919" s="16"/>
      <c r="AA919" s="16"/>
    </row>
    <row r="920" spans="1:27" ht="24" hidden="1" customHeight="1" outlineLevel="1">
      <c r="A920" s="16" t="s">
        <v>3166</v>
      </c>
      <c r="B920" s="16" t="s">
        <v>3167</v>
      </c>
      <c r="C920" s="16" t="s">
        <v>3168</v>
      </c>
      <c r="D920" s="16" t="s">
        <v>4747</v>
      </c>
      <c r="E920" s="204">
        <v>45345</v>
      </c>
      <c r="F920" s="56" t="b">
        <v>1</v>
      </c>
      <c r="G920" s="205" t="s">
        <v>5234</v>
      </c>
      <c r="H920" s="205" t="s">
        <v>5235</v>
      </c>
      <c r="I920" s="56" t="b">
        <v>1</v>
      </c>
      <c r="J920" s="16" t="s">
        <v>5190</v>
      </c>
      <c r="K920" s="205"/>
      <c r="L920" s="16"/>
      <c r="M920" s="16"/>
      <c r="N920" s="16"/>
      <c r="O920" s="16"/>
      <c r="P920" s="16"/>
      <c r="Q920" s="16"/>
      <c r="R920" s="16"/>
      <c r="S920" s="16"/>
      <c r="T920" s="16"/>
      <c r="U920" s="16"/>
      <c r="V920" s="16"/>
      <c r="W920" s="16"/>
      <c r="X920" s="16"/>
      <c r="Y920" s="16"/>
      <c r="Z920" s="16"/>
      <c r="AA920" s="16"/>
    </row>
    <row r="921" spans="1:27" ht="24" hidden="1" customHeight="1" outlineLevel="1">
      <c r="A921" s="16" t="s">
        <v>3169</v>
      </c>
      <c r="B921" s="16" t="s">
        <v>3170</v>
      </c>
      <c r="C921" s="16" t="s">
        <v>3171</v>
      </c>
      <c r="D921" s="16" t="s">
        <v>3790</v>
      </c>
      <c r="E921" s="204">
        <v>45345</v>
      </c>
      <c r="F921" s="56" t="b">
        <v>1</v>
      </c>
      <c r="G921" s="205" t="s">
        <v>5236</v>
      </c>
      <c r="H921" s="323" t="s">
        <v>5237</v>
      </c>
      <c r="I921" s="56" t="b">
        <v>1</v>
      </c>
      <c r="J921" s="16" t="s">
        <v>4256</v>
      </c>
      <c r="K921" s="205"/>
      <c r="L921" s="16"/>
      <c r="M921" s="16"/>
      <c r="N921" s="16"/>
      <c r="O921" s="16"/>
      <c r="P921" s="16"/>
      <c r="Q921" s="16"/>
      <c r="R921" s="16"/>
      <c r="S921" s="16"/>
      <c r="T921" s="16"/>
      <c r="U921" s="16"/>
      <c r="V921" s="16"/>
      <c r="W921" s="16"/>
      <c r="X921" s="16"/>
      <c r="Y921" s="16"/>
      <c r="Z921" s="16"/>
      <c r="AA921" s="16"/>
    </row>
    <row r="922" spans="1:27" ht="24" hidden="1" customHeight="1" outlineLevel="1">
      <c r="A922" s="16" t="s">
        <v>3172</v>
      </c>
      <c r="B922" s="16" t="s">
        <v>3173</v>
      </c>
      <c r="C922" s="16" t="s">
        <v>3174</v>
      </c>
      <c r="D922" s="16" t="s">
        <v>4747</v>
      </c>
      <c r="E922" s="204">
        <v>45349</v>
      </c>
      <c r="F922" s="56" t="b">
        <v>1</v>
      </c>
      <c r="G922" s="205" t="s">
        <v>5238</v>
      </c>
      <c r="H922" s="323" t="s">
        <v>5239</v>
      </c>
      <c r="I922" s="56" t="b">
        <v>1</v>
      </c>
      <c r="J922" s="16" t="s">
        <v>5190</v>
      </c>
      <c r="K922" s="205"/>
      <c r="L922" s="16"/>
      <c r="M922" s="16"/>
      <c r="N922" s="16"/>
      <c r="O922" s="16"/>
      <c r="P922" s="16"/>
      <c r="Q922" s="16"/>
      <c r="R922" s="16"/>
      <c r="S922" s="16"/>
      <c r="T922" s="16"/>
      <c r="U922" s="16"/>
      <c r="V922" s="16"/>
      <c r="W922" s="16"/>
      <c r="X922" s="16"/>
      <c r="Y922" s="16"/>
      <c r="Z922" s="16"/>
      <c r="AA922" s="16"/>
    </row>
    <row r="923" spans="1:27" ht="24" hidden="1" customHeight="1" outlineLevel="1">
      <c r="A923" s="16" t="s">
        <v>3175</v>
      </c>
      <c r="B923" s="16" t="s">
        <v>3176</v>
      </c>
      <c r="C923" s="16" t="s">
        <v>3177</v>
      </c>
      <c r="D923" s="16" t="s">
        <v>3696</v>
      </c>
      <c r="E923" s="204">
        <v>45350</v>
      </c>
      <c r="F923" s="56" t="b">
        <v>0</v>
      </c>
      <c r="G923" s="205" t="s">
        <v>5240</v>
      </c>
      <c r="H923" s="323" t="s">
        <v>5241</v>
      </c>
      <c r="I923" s="56" t="b">
        <v>1</v>
      </c>
      <c r="J923" s="16" t="s">
        <v>5219</v>
      </c>
      <c r="K923" s="205"/>
      <c r="L923" s="16"/>
      <c r="M923" s="16"/>
      <c r="N923" s="16"/>
      <c r="O923" s="16"/>
      <c r="P923" s="16"/>
      <c r="Q923" s="16"/>
      <c r="R923" s="16"/>
      <c r="S923" s="16"/>
      <c r="T923" s="16"/>
      <c r="U923" s="16"/>
      <c r="V923" s="16"/>
      <c r="W923" s="16"/>
      <c r="X923" s="16"/>
      <c r="Y923" s="16"/>
      <c r="Z923" s="16"/>
      <c r="AA923" s="16"/>
    </row>
    <row r="924" spans="1:27" ht="24" hidden="1" customHeight="1" outlineLevel="1">
      <c r="A924" s="16" t="s">
        <v>3178</v>
      </c>
      <c r="B924" s="16" t="s">
        <v>3180</v>
      </c>
      <c r="C924" s="16" t="s">
        <v>3181</v>
      </c>
      <c r="D924" s="16" t="s">
        <v>3694</v>
      </c>
      <c r="E924" s="204">
        <v>45350</v>
      </c>
      <c r="F924" s="56" t="b">
        <v>1</v>
      </c>
      <c r="G924" s="205" t="s">
        <v>5242</v>
      </c>
      <c r="H924" s="323" t="s">
        <v>5243</v>
      </c>
      <c r="I924" s="56" t="b">
        <v>1</v>
      </c>
      <c r="J924" s="16" t="s">
        <v>4730</v>
      </c>
      <c r="K924" s="205"/>
      <c r="L924" s="16"/>
      <c r="M924" s="16"/>
      <c r="N924" s="16"/>
      <c r="O924" s="16"/>
      <c r="P924" s="16"/>
      <c r="Q924" s="16"/>
      <c r="R924" s="16"/>
      <c r="S924" s="16"/>
      <c r="T924" s="16"/>
      <c r="U924" s="16"/>
      <c r="V924" s="16"/>
      <c r="W924" s="16"/>
      <c r="X924" s="16"/>
      <c r="Y924" s="16"/>
      <c r="Z924" s="16"/>
      <c r="AA924" s="16"/>
    </row>
    <row r="925" spans="1:27" ht="24" hidden="1" customHeight="1" outlineLevel="1">
      <c r="A925" s="16" t="s">
        <v>3182</v>
      </c>
      <c r="B925" s="16" t="s">
        <v>3183</v>
      </c>
      <c r="C925" s="16" t="s">
        <v>3184</v>
      </c>
      <c r="D925" s="16" t="s">
        <v>4412</v>
      </c>
      <c r="E925" s="204">
        <v>45351</v>
      </c>
      <c r="F925" s="56" t="b">
        <v>1</v>
      </c>
      <c r="G925" s="205" t="s">
        <v>5244</v>
      </c>
      <c r="H925" s="323" t="s">
        <v>5245</v>
      </c>
      <c r="I925" s="56" t="b">
        <v>1</v>
      </c>
      <c r="J925" s="16" t="s">
        <v>3981</v>
      </c>
      <c r="K925" s="205"/>
      <c r="L925" s="16"/>
      <c r="M925" s="16"/>
      <c r="N925" s="16"/>
      <c r="O925" s="16"/>
      <c r="P925" s="16"/>
      <c r="Q925" s="16"/>
      <c r="R925" s="16"/>
      <c r="S925" s="16"/>
      <c r="T925" s="16"/>
      <c r="U925" s="16"/>
      <c r="V925" s="16"/>
      <c r="W925" s="16"/>
      <c r="X925" s="16"/>
      <c r="Y925" s="16"/>
      <c r="Z925" s="16"/>
      <c r="AA925" s="16"/>
    </row>
    <row r="926" spans="1:27" ht="24" hidden="1" customHeight="1" outlineLevel="1">
      <c r="A926" s="16" t="s">
        <v>3185</v>
      </c>
      <c r="B926" s="16" t="s">
        <v>3186</v>
      </c>
      <c r="C926" s="16" t="s">
        <v>5246</v>
      </c>
      <c r="D926" s="16" t="s">
        <v>5247</v>
      </c>
      <c r="E926" s="204">
        <v>45351</v>
      </c>
      <c r="F926" s="56" t="b">
        <v>1</v>
      </c>
      <c r="G926" s="205" t="s">
        <v>5248</v>
      </c>
      <c r="H926" s="323" t="s">
        <v>5249</v>
      </c>
      <c r="I926" s="56" t="b">
        <v>1</v>
      </c>
      <c r="J926" s="221" t="s">
        <v>4997</v>
      </c>
      <c r="K926" s="205"/>
      <c r="L926" s="16"/>
      <c r="M926" s="16"/>
      <c r="N926" s="16"/>
      <c r="O926" s="16"/>
      <c r="P926" s="16"/>
      <c r="Q926" s="16"/>
      <c r="R926" s="16"/>
      <c r="S926" s="16"/>
      <c r="T926" s="16"/>
      <c r="U926" s="16"/>
      <c r="V926" s="16"/>
      <c r="W926" s="16"/>
      <c r="X926" s="16"/>
      <c r="Y926" s="16"/>
      <c r="Z926" s="16"/>
      <c r="AA926" s="16"/>
    </row>
    <row r="927" spans="1:27" ht="24" hidden="1" customHeight="1" outlineLevel="1">
      <c r="A927" s="16" t="s">
        <v>3188</v>
      </c>
      <c r="B927" s="16" t="s">
        <v>3189</v>
      </c>
      <c r="C927" s="16" t="s">
        <v>3190</v>
      </c>
      <c r="D927" s="16" t="s">
        <v>3930</v>
      </c>
      <c r="E927" s="204">
        <v>45351</v>
      </c>
      <c r="F927" s="56" t="b">
        <v>1</v>
      </c>
      <c r="G927" s="205" t="s">
        <v>5250</v>
      </c>
      <c r="H927" s="323" t="s">
        <v>5251</v>
      </c>
      <c r="I927" s="56" t="b">
        <v>1</v>
      </c>
      <c r="J927" s="16" t="s">
        <v>3621</v>
      </c>
      <c r="K927" s="205"/>
      <c r="L927" s="16"/>
      <c r="M927" s="16"/>
      <c r="N927" s="16"/>
      <c r="O927" s="16"/>
      <c r="P927" s="16"/>
      <c r="Q927" s="16"/>
      <c r="R927" s="16"/>
      <c r="S927" s="16"/>
      <c r="T927" s="16"/>
      <c r="U927" s="16"/>
      <c r="V927" s="16"/>
      <c r="W927" s="16"/>
      <c r="X927" s="16"/>
      <c r="Y927" s="16"/>
      <c r="Z927" s="16"/>
      <c r="AA927" s="16"/>
    </row>
    <row r="928" spans="1:27" ht="24" customHeight="1">
      <c r="A928" s="327" t="s">
        <v>1</v>
      </c>
      <c r="B928" s="328"/>
      <c r="C928" s="104"/>
      <c r="D928" s="104"/>
      <c r="E928" s="329"/>
      <c r="F928" s="104"/>
      <c r="G928" s="330"/>
      <c r="H928" s="330"/>
      <c r="I928" s="104"/>
      <c r="J928" s="104"/>
      <c r="K928" s="330"/>
      <c r="L928" s="104"/>
      <c r="M928" s="104"/>
      <c r="N928" s="104"/>
      <c r="O928" s="104"/>
      <c r="P928" s="104"/>
      <c r="Q928" s="104"/>
      <c r="R928" s="104"/>
      <c r="S928" s="104"/>
      <c r="T928" s="104"/>
      <c r="U928" s="104"/>
      <c r="V928" s="104"/>
      <c r="W928" s="104"/>
      <c r="X928" s="104"/>
      <c r="Y928" s="104"/>
      <c r="Z928" s="104"/>
      <c r="AA928" s="104"/>
    </row>
    <row r="929" spans="1:27" ht="24" customHeight="1" outlineLevel="1">
      <c r="A929" s="16" t="s">
        <v>3191</v>
      </c>
      <c r="B929" s="16" t="s">
        <v>3192</v>
      </c>
      <c r="C929" s="16" t="s">
        <v>3193</v>
      </c>
      <c r="D929" s="16" t="s">
        <v>3694</v>
      </c>
      <c r="E929" s="204">
        <v>45352</v>
      </c>
      <c r="F929" s="56" t="b">
        <v>1</v>
      </c>
      <c r="G929" s="205" t="s">
        <v>5252</v>
      </c>
      <c r="H929" s="323" t="s">
        <v>5253</v>
      </c>
      <c r="I929" s="56" t="b">
        <v>1</v>
      </c>
      <c r="J929" s="16" t="s">
        <v>4730</v>
      </c>
      <c r="K929" s="205"/>
      <c r="L929" s="16"/>
      <c r="M929" s="16"/>
      <c r="N929" s="16"/>
      <c r="O929" s="16"/>
      <c r="P929" s="16"/>
      <c r="Q929" s="16"/>
      <c r="R929" s="16"/>
      <c r="S929" s="16"/>
      <c r="T929" s="16"/>
      <c r="U929" s="16"/>
      <c r="V929" s="16"/>
      <c r="W929" s="16"/>
      <c r="X929" s="16"/>
      <c r="Y929" s="16"/>
      <c r="Z929" s="16"/>
      <c r="AA929" s="16"/>
    </row>
    <row r="930" spans="1:27" ht="24" customHeight="1" outlineLevel="1">
      <c r="A930" s="16" t="s">
        <v>3195</v>
      </c>
      <c r="B930" s="16" t="s">
        <v>3196</v>
      </c>
      <c r="C930" s="16" t="s">
        <v>3197</v>
      </c>
      <c r="D930" s="16" t="s">
        <v>3790</v>
      </c>
      <c r="E930" s="204">
        <v>45355</v>
      </c>
      <c r="F930" s="56" t="b">
        <v>0</v>
      </c>
      <c r="G930" s="205" t="s">
        <v>5254</v>
      </c>
      <c r="H930" s="323" t="s">
        <v>5255</v>
      </c>
      <c r="I930" s="56" t="b">
        <v>1</v>
      </c>
      <c r="J930" s="16" t="s">
        <v>4256</v>
      </c>
      <c r="K930" s="205"/>
      <c r="L930" s="16"/>
      <c r="M930" s="16"/>
      <c r="N930" s="16"/>
      <c r="O930" s="16"/>
      <c r="P930" s="16"/>
      <c r="Q930" s="16"/>
      <c r="R930" s="16"/>
      <c r="S930" s="16"/>
      <c r="T930" s="16"/>
      <c r="U930" s="16"/>
      <c r="V930" s="16"/>
      <c r="W930" s="16"/>
      <c r="X930" s="16"/>
      <c r="Y930" s="16"/>
      <c r="Z930" s="16"/>
      <c r="AA930" s="16"/>
    </row>
    <row r="931" spans="1:27" ht="24" customHeight="1" outlineLevel="1">
      <c r="A931" s="16" t="s">
        <v>3198</v>
      </c>
      <c r="B931" s="16" t="s">
        <v>3199</v>
      </c>
      <c r="C931" s="16" t="s">
        <v>3200</v>
      </c>
      <c r="D931" s="16" t="s">
        <v>5256</v>
      </c>
      <c r="E931" s="204">
        <v>45355</v>
      </c>
      <c r="F931" s="56" t="b">
        <v>0</v>
      </c>
      <c r="G931" s="205" t="s">
        <v>5257</v>
      </c>
      <c r="H931" s="323" t="s">
        <v>5258</v>
      </c>
      <c r="I931" s="56" t="b">
        <v>1</v>
      </c>
      <c r="J931" s="16" t="s">
        <v>5219</v>
      </c>
      <c r="K931" s="205"/>
      <c r="L931" s="16"/>
      <c r="M931" s="16"/>
      <c r="N931" s="16"/>
      <c r="O931" s="16"/>
      <c r="P931" s="16"/>
      <c r="Q931" s="16"/>
      <c r="R931" s="16"/>
      <c r="S931" s="16"/>
      <c r="T931" s="16"/>
      <c r="U931" s="16"/>
      <c r="V931" s="16"/>
      <c r="W931" s="16"/>
      <c r="X931" s="16"/>
      <c r="Y931" s="16"/>
      <c r="Z931" s="16"/>
      <c r="AA931" s="16"/>
    </row>
    <row r="932" spans="1:27" ht="24" customHeight="1" outlineLevel="1">
      <c r="A932" s="16" t="s">
        <v>3201</v>
      </c>
      <c r="B932" s="16" t="s">
        <v>3202</v>
      </c>
      <c r="C932" s="16" t="s">
        <v>3203</v>
      </c>
      <c r="D932" s="16" t="s">
        <v>4747</v>
      </c>
      <c r="E932" s="204">
        <v>45355</v>
      </c>
      <c r="F932" s="56" t="b">
        <v>0</v>
      </c>
      <c r="G932" s="205" t="s">
        <v>5259</v>
      </c>
      <c r="H932" s="323" t="s">
        <v>5260</v>
      </c>
      <c r="I932" s="56" t="b">
        <v>1</v>
      </c>
      <c r="J932" s="16" t="s">
        <v>5190</v>
      </c>
      <c r="K932" s="205"/>
      <c r="L932" s="16"/>
      <c r="M932" s="16"/>
      <c r="N932" s="16"/>
      <c r="O932" s="16"/>
      <c r="P932" s="16"/>
      <c r="Q932" s="16"/>
      <c r="R932" s="16"/>
      <c r="S932" s="16"/>
      <c r="T932" s="16"/>
      <c r="U932" s="16"/>
      <c r="V932" s="16"/>
      <c r="W932" s="16"/>
      <c r="X932" s="16"/>
      <c r="Y932" s="16"/>
      <c r="Z932" s="16"/>
      <c r="AA932" s="16"/>
    </row>
    <row r="933" spans="1:27" ht="24" customHeight="1" outlineLevel="1">
      <c r="A933" s="16" t="s">
        <v>3204</v>
      </c>
      <c r="B933" s="16" t="s">
        <v>3205</v>
      </c>
      <c r="C933" s="16" t="s">
        <v>3206</v>
      </c>
      <c r="D933" s="16" t="s">
        <v>5261</v>
      </c>
      <c r="E933" s="204">
        <v>45356</v>
      </c>
      <c r="F933" s="56" t="b">
        <v>0</v>
      </c>
      <c r="G933" s="205" t="s">
        <v>5262</v>
      </c>
      <c r="H933" s="323" t="s">
        <v>5263</v>
      </c>
      <c r="I933" s="56" t="b">
        <v>1</v>
      </c>
      <c r="J933" s="16" t="s">
        <v>4730</v>
      </c>
      <c r="K933" s="205"/>
      <c r="L933" s="16"/>
      <c r="M933" s="16"/>
      <c r="N933" s="16"/>
      <c r="O933" s="16"/>
      <c r="P933" s="16"/>
      <c r="Q933" s="16"/>
      <c r="R933" s="16"/>
      <c r="S933" s="16"/>
      <c r="T933" s="16"/>
      <c r="U933" s="16"/>
      <c r="V933" s="16"/>
      <c r="W933" s="16"/>
      <c r="X933" s="16"/>
      <c r="Y933" s="16"/>
      <c r="Z933" s="16"/>
      <c r="AA933" s="16"/>
    </row>
    <row r="934" spans="1:27" ht="24" customHeight="1" outlineLevel="1">
      <c r="A934" s="16" t="s">
        <v>3207</v>
      </c>
      <c r="B934" s="16" t="s">
        <v>3208</v>
      </c>
      <c r="C934" s="16" t="s">
        <v>3209</v>
      </c>
      <c r="D934" s="16" t="s">
        <v>3718</v>
      </c>
      <c r="E934" s="204">
        <v>45357</v>
      </c>
      <c r="F934" s="56" t="b">
        <v>0</v>
      </c>
      <c r="G934" s="205" t="s">
        <v>5264</v>
      </c>
      <c r="H934" s="323" t="s">
        <v>5265</v>
      </c>
      <c r="I934" s="56" t="b">
        <v>1</v>
      </c>
      <c r="J934" s="16" t="s">
        <v>4775</v>
      </c>
      <c r="K934" s="205"/>
      <c r="L934" s="16"/>
      <c r="M934" s="16"/>
      <c r="N934" s="16"/>
      <c r="O934" s="16"/>
      <c r="P934" s="16"/>
      <c r="Q934" s="16"/>
      <c r="R934" s="16"/>
      <c r="S934" s="16"/>
      <c r="T934" s="16"/>
      <c r="U934" s="16"/>
      <c r="V934" s="16"/>
      <c r="W934" s="16"/>
      <c r="X934" s="16"/>
      <c r="Y934" s="16"/>
      <c r="Z934" s="16"/>
      <c r="AA934" s="16"/>
    </row>
    <row r="935" spans="1:27" ht="24" customHeight="1" outlineLevel="1">
      <c r="A935" s="16" t="s">
        <v>3210</v>
      </c>
      <c r="B935" s="16" t="s">
        <v>3211</v>
      </c>
      <c r="C935" s="16" t="s">
        <v>3212</v>
      </c>
      <c r="D935" s="16" t="s">
        <v>5266</v>
      </c>
      <c r="E935" s="204">
        <v>45358</v>
      </c>
      <c r="F935" s="56" t="b">
        <v>0</v>
      </c>
      <c r="G935" s="205" t="s">
        <v>5267</v>
      </c>
      <c r="H935" s="323" t="s">
        <v>5268</v>
      </c>
      <c r="I935" s="56" t="b">
        <v>1</v>
      </c>
      <c r="J935" s="16" t="s">
        <v>3981</v>
      </c>
      <c r="K935" s="205"/>
      <c r="L935" s="16"/>
      <c r="M935" s="16"/>
      <c r="N935" s="16"/>
      <c r="O935" s="16"/>
      <c r="P935" s="16"/>
      <c r="Q935" s="16"/>
      <c r="R935" s="16"/>
      <c r="S935" s="16"/>
      <c r="T935" s="16"/>
      <c r="U935" s="16"/>
      <c r="V935" s="16"/>
      <c r="W935" s="16"/>
      <c r="X935" s="16"/>
      <c r="Y935" s="16"/>
      <c r="Z935" s="16"/>
      <c r="AA935" s="16"/>
    </row>
    <row r="936" spans="1:27" ht="24" customHeight="1" outlineLevel="1">
      <c r="A936" s="16" t="s">
        <v>3213</v>
      </c>
      <c r="B936" s="16" t="s">
        <v>3214</v>
      </c>
      <c r="C936" s="16" t="s">
        <v>3215</v>
      </c>
      <c r="D936" s="16" t="s">
        <v>5266</v>
      </c>
      <c r="E936" s="204">
        <v>45358</v>
      </c>
      <c r="F936" s="56" t="b">
        <v>0</v>
      </c>
      <c r="G936" s="205" t="s">
        <v>5269</v>
      </c>
      <c r="H936" s="323" t="s">
        <v>5270</v>
      </c>
      <c r="I936" s="56" t="b">
        <v>1</v>
      </c>
      <c r="J936" s="16" t="s">
        <v>3981</v>
      </c>
      <c r="K936" s="205"/>
      <c r="L936" s="16"/>
      <c r="M936" s="16"/>
      <c r="N936" s="16"/>
      <c r="O936" s="16"/>
      <c r="P936" s="16"/>
      <c r="Q936" s="16"/>
      <c r="R936" s="16"/>
      <c r="S936" s="16"/>
      <c r="T936" s="16"/>
      <c r="U936" s="16"/>
      <c r="V936" s="16"/>
      <c r="W936" s="16"/>
      <c r="X936" s="16"/>
      <c r="Y936" s="16"/>
      <c r="Z936" s="16"/>
      <c r="AA936" s="16"/>
    </row>
    <row r="937" spans="1:27" ht="24" customHeight="1" outlineLevel="1">
      <c r="A937" s="16" t="s">
        <v>3216</v>
      </c>
      <c r="B937" s="16" t="s">
        <v>3217</v>
      </c>
      <c r="C937" s="16" t="s">
        <v>3218</v>
      </c>
      <c r="D937" s="16" t="s">
        <v>4412</v>
      </c>
      <c r="E937" s="204">
        <v>45358</v>
      </c>
      <c r="F937" s="56" t="b">
        <v>0</v>
      </c>
      <c r="G937" s="205" t="s">
        <v>5271</v>
      </c>
      <c r="H937" s="323" t="s">
        <v>5272</v>
      </c>
      <c r="I937" s="56" t="b">
        <v>1</v>
      </c>
      <c r="J937" s="16" t="s">
        <v>3981</v>
      </c>
      <c r="K937" s="205"/>
      <c r="L937" s="16"/>
      <c r="M937" s="16"/>
      <c r="N937" s="16"/>
      <c r="O937" s="16"/>
      <c r="P937" s="16"/>
      <c r="Q937" s="16"/>
      <c r="R937" s="16"/>
      <c r="S937" s="16"/>
      <c r="T937" s="16"/>
      <c r="U937" s="16"/>
      <c r="V937" s="16"/>
      <c r="W937" s="16"/>
      <c r="X937" s="16"/>
      <c r="Y937" s="16"/>
      <c r="Z937" s="16"/>
      <c r="AA937" s="16"/>
    </row>
    <row r="938" spans="1:27" ht="24" customHeight="1" outlineLevel="1">
      <c r="A938" s="16" t="s">
        <v>3219</v>
      </c>
      <c r="B938" s="16" t="s">
        <v>3220</v>
      </c>
      <c r="C938" s="16" t="s">
        <v>3221</v>
      </c>
      <c r="D938" s="16" t="s">
        <v>4747</v>
      </c>
      <c r="E938" s="204">
        <v>45359</v>
      </c>
      <c r="F938" s="56" t="b">
        <v>0</v>
      </c>
      <c r="G938" s="205" t="s">
        <v>5273</v>
      </c>
      <c r="H938" s="324" t="s">
        <v>5274</v>
      </c>
      <c r="I938" s="56" t="b">
        <v>1</v>
      </c>
      <c r="J938" s="16" t="s">
        <v>5190</v>
      </c>
      <c r="K938" s="205"/>
      <c r="L938" s="16"/>
      <c r="M938" s="16"/>
      <c r="N938" s="16"/>
      <c r="O938" s="16"/>
      <c r="P938" s="16"/>
      <c r="Q938" s="16"/>
      <c r="R938" s="16"/>
      <c r="S938" s="16"/>
      <c r="T938" s="16"/>
      <c r="U938" s="16"/>
      <c r="V938" s="16"/>
      <c r="W938" s="16"/>
      <c r="X938" s="16"/>
      <c r="Y938" s="16"/>
      <c r="Z938" s="16"/>
      <c r="AA938" s="16"/>
    </row>
    <row r="939" spans="1:27" ht="24" customHeight="1" outlineLevel="1">
      <c r="A939" s="16" t="s">
        <v>3222</v>
      </c>
      <c r="B939" s="16" t="s">
        <v>3223</v>
      </c>
      <c r="C939" s="16" t="s">
        <v>3224</v>
      </c>
      <c r="D939" s="16" t="s">
        <v>3718</v>
      </c>
      <c r="E939" s="204">
        <v>45362</v>
      </c>
      <c r="F939" s="56" t="b">
        <v>0</v>
      </c>
      <c r="G939" s="205" t="s">
        <v>5275</v>
      </c>
      <c r="H939" s="323" t="s">
        <v>5276</v>
      </c>
      <c r="I939" s="56" t="b">
        <v>1</v>
      </c>
      <c r="J939" s="16" t="s">
        <v>4775</v>
      </c>
      <c r="K939" s="205"/>
      <c r="L939" s="16"/>
      <c r="M939" s="16"/>
      <c r="N939" s="16"/>
      <c r="O939" s="16"/>
      <c r="P939" s="16"/>
      <c r="Q939" s="16"/>
      <c r="R939" s="16"/>
      <c r="S939" s="16"/>
      <c r="T939" s="16"/>
      <c r="U939" s="16"/>
      <c r="V939" s="16"/>
      <c r="W939" s="16"/>
      <c r="X939" s="16"/>
      <c r="Y939" s="16"/>
      <c r="Z939" s="16"/>
      <c r="AA939" s="16"/>
    </row>
    <row r="940" spans="1:27" ht="24" customHeight="1" outlineLevel="1">
      <c r="A940" s="227" t="s">
        <v>5277</v>
      </c>
      <c r="B940" s="227" t="s">
        <v>5278</v>
      </c>
      <c r="C940" s="227" t="s">
        <v>5279</v>
      </c>
      <c r="D940" s="227" t="s">
        <v>3790</v>
      </c>
      <c r="E940" s="228">
        <v>45362</v>
      </c>
      <c r="F940" s="331" t="b">
        <v>0</v>
      </c>
      <c r="G940" s="229" t="s">
        <v>5280</v>
      </c>
      <c r="H940" s="332" t="s">
        <v>5281</v>
      </c>
      <c r="I940" s="331" t="b">
        <v>1</v>
      </c>
      <c r="J940" s="227" t="s">
        <v>4256</v>
      </c>
      <c r="K940" s="205"/>
      <c r="L940" s="16"/>
      <c r="M940" s="16"/>
      <c r="N940" s="16"/>
      <c r="O940" s="16"/>
      <c r="P940" s="16"/>
      <c r="Q940" s="16"/>
      <c r="R940" s="16"/>
      <c r="S940" s="16"/>
      <c r="T940" s="16"/>
      <c r="U940" s="16"/>
      <c r="V940" s="16"/>
      <c r="W940" s="16"/>
      <c r="X940" s="16"/>
      <c r="Y940" s="16"/>
      <c r="Z940" s="16"/>
      <c r="AA940" s="16"/>
    </row>
    <row r="941" spans="1:27" ht="24" customHeight="1" outlineLevel="1">
      <c r="A941" s="16" t="s">
        <v>3225</v>
      </c>
      <c r="B941" s="16" t="s">
        <v>3226</v>
      </c>
      <c r="C941" s="16" t="s">
        <v>3227</v>
      </c>
      <c r="D941" s="16" t="s">
        <v>3930</v>
      </c>
      <c r="E941" s="204">
        <v>45362</v>
      </c>
      <c r="F941" s="56" t="b">
        <v>0</v>
      </c>
      <c r="G941" s="205" t="s">
        <v>5282</v>
      </c>
      <c r="H941" s="323" t="s">
        <v>5283</v>
      </c>
      <c r="I941" s="56" t="b">
        <v>1</v>
      </c>
      <c r="J941" s="16" t="s">
        <v>3621</v>
      </c>
      <c r="K941" s="205"/>
      <c r="L941" s="16"/>
      <c r="M941" s="16"/>
      <c r="N941" s="16"/>
      <c r="O941" s="16"/>
      <c r="P941" s="16"/>
      <c r="Q941" s="16"/>
      <c r="R941" s="16"/>
      <c r="S941" s="16"/>
      <c r="T941" s="16"/>
      <c r="U941" s="16"/>
      <c r="V941" s="16"/>
      <c r="W941" s="16"/>
      <c r="X941" s="16"/>
      <c r="Y941" s="16"/>
      <c r="Z941" s="16"/>
      <c r="AA941" s="16"/>
    </row>
    <row r="942" spans="1:27" ht="24" customHeight="1" outlineLevel="1">
      <c r="A942" s="16" t="s">
        <v>3228</v>
      </c>
      <c r="B942" s="16" t="s">
        <v>3230</v>
      </c>
      <c r="C942" s="16" t="s">
        <v>3231</v>
      </c>
      <c r="D942" s="16" t="s">
        <v>3694</v>
      </c>
      <c r="E942" s="204">
        <v>45362</v>
      </c>
      <c r="F942" s="56" t="b">
        <v>0</v>
      </c>
      <c r="G942" s="205" t="s">
        <v>5284</v>
      </c>
      <c r="H942" s="323" t="s">
        <v>5285</v>
      </c>
      <c r="I942" s="56" t="b">
        <v>1</v>
      </c>
      <c r="J942" s="16" t="s">
        <v>4730</v>
      </c>
      <c r="K942" s="205"/>
      <c r="L942" s="16"/>
      <c r="M942" s="16"/>
      <c r="N942" s="16"/>
      <c r="O942" s="16"/>
      <c r="P942" s="16"/>
      <c r="Q942" s="16"/>
      <c r="R942" s="16"/>
      <c r="S942" s="16"/>
      <c r="T942" s="16"/>
      <c r="U942" s="16"/>
      <c r="V942" s="16"/>
      <c r="W942" s="16"/>
      <c r="X942" s="16"/>
      <c r="Y942" s="16"/>
      <c r="Z942" s="16"/>
      <c r="AA942" s="16"/>
    </row>
    <row r="943" spans="1:27" ht="24" customHeight="1" outlineLevel="1">
      <c r="A943" s="16" t="s">
        <v>3232</v>
      </c>
      <c r="B943" s="16" t="s">
        <v>3233</v>
      </c>
      <c r="C943" s="16" t="s">
        <v>3234</v>
      </c>
      <c r="D943" s="16" t="s">
        <v>4412</v>
      </c>
      <c r="E943" s="204">
        <v>45362</v>
      </c>
      <c r="F943" s="56" t="b">
        <v>0</v>
      </c>
      <c r="G943" s="205" t="s">
        <v>5286</v>
      </c>
      <c r="H943" s="323" t="s">
        <v>5287</v>
      </c>
      <c r="I943" s="56" t="b">
        <v>1</v>
      </c>
      <c r="J943" s="16" t="s">
        <v>3981</v>
      </c>
      <c r="K943" s="205"/>
      <c r="L943" s="16"/>
      <c r="M943" s="16"/>
      <c r="N943" s="16"/>
      <c r="O943" s="16"/>
      <c r="P943" s="16"/>
      <c r="Q943" s="16"/>
      <c r="R943" s="16"/>
      <c r="S943" s="16"/>
      <c r="T943" s="16"/>
      <c r="U943" s="16"/>
      <c r="V943" s="16"/>
      <c r="W943" s="16"/>
      <c r="X943" s="16"/>
      <c r="Y943" s="16"/>
      <c r="Z943" s="16"/>
      <c r="AA943" s="16"/>
    </row>
    <row r="944" spans="1:27" ht="24" customHeight="1" outlineLevel="1">
      <c r="A944" s="16" t="s">
        <v>3235</v>
      </c>
      <c r="B944" s="16" t="s">
        <v>3236</v>
      </c>
      <c r="C944" s="16" t="s">
        <v>3237</v>
      </c>
      <c r="D944" s="16" t="s">
        <v>3696</v>
      </c>
      <c r="E944" s="204">
        <v>45362</v>
      </c>
      <c r="F944" s="56" t="b">
        <v>0</v>
      </c>
      <c r="G944" s="205" t="s">
        <v>5288</v>
      </c>
      <c r="H944" s="323" t="s">
        <v>5289</v>
      </c>
      <c r="I944" s="56" t="b">
        <v>1</v>
      </c>
      <c r="J944" s="16" t="s">
        <v>5219</v>
      </c>
      <c r="K944" s="205"/>
      <c r="L944" s="16"/>
      <c r="M944" s="16"/>
      <c r="N944" s="16"/>
      <c r="O944" s="16"/>
      <c r="P944" s="16"/>
      <c r="Q944" s="16"/>
      <c r="R944" s="16"/>
      <c r="S944" s="16"/>
      <c r="T944" s="16"/>
      <c r="U944" s="16"/>
      <c r="V944" s="16"/>
      <c r="W944" s="16"/>
      <c r="X944" s="16"/>
      <c r="Y944" s="16"/>
      <c r="Z944" s="16"/>
      <c r="AA944" s="16"/>
    </row>
    <row r="945" spans="1:27" ht="24" customHeight="1" outlineLevel="1">
      <c r="A945" s="76" t="s">
        <v>3238</v>
      </c>
      <c r="B945" s="16" t="s">
        <v>3239</v>
      </c>
      <c r="C945" s="16" t="s">
        <v>3240</v>
      </c>
      <c r="D945" s="16" t="s">
        <v>4747</v>
      </c>
      <c r="E945" s="204">
        <v>45363</v>
      </c>
      <c r="F945" s="56" t="b">
        <v>0</v>
      </c>
      <c r="G945" s="205" t="s">
        <v>5290</v>
      </c>
      <c r="H945" s="323" t="s">
        <v>5291</v>
      </c>
      <c r="I945" s="56" t="b">
        <v>1</v>
      </c>
      <c r="J945" s="16" t="s">
        <v>5190</v>
      </c>
      <c r="K945" s="205"/>
      <c r="L945" s="16"/>
      <c r="M945" s="16"/>
      <c r="N945" s="16"/>
      <c r="O945" s="16"/>
      <c r="P945" s="16"/>
      <c r="Q945" s="16"/>
      <c r="R945" s="16"/>
      <c r="S945" s="16"/>
      <c r="T945" s="16"/>
      <c r="U945" s="16"/>
      <c r="V945" s="16"/>
      <c r="W945" s="16"/>
      <c r="X945" s="16"/>
      <c r="Y945" s="16"/>
      <c r="Z945" s="16"/>
      <c r="AA945" s="16"/>
    </row>
    <row r="946" spans="1:27" ht="24" customHeight="1" outlineLevel="1">
      <c r="A946" s="16" t="s">
        <v>3241</v>
      </c>
      <c r="B946" s="16" t="s">
        <v>3242</v>
      </c>
      <c r="C946" s="16" t="s">
        <v>3243</v>
      </c>
      <c r="D946" s="16" t="s">
        <v>5292</v>
      </c>
      <c r="E946" s="204">
        <v>45363</v>
      </c>
      <c r="F946" s="56" t="b">
        <v>0</v>
      </c>
      <c r="G946" s="205" t="s">
        <v>5293</v>
      </c>
      <c r="H946" s="323" t="s">
        <v>5294</v>
      </c>
      <c r="I946" s="56" t="b">
        <v>1</v>
      </c>
      <c r="J946" s="16" t="s">
        <v>4730</v>
      </c>
      <c r="K946" s="205"/>
      <c r="L946" s="16"/>
      <c r="M946" s="16"/>
      <c r="N946" s="16"/>
      <c r="O946" s="16"/>
      <c r="P946" s="16"/>
      <c r="Q946" s="16"/>
      <c r="R946" s="16"/>
      <c r="S946" s="16"/>
      <c r="T946" s="16"/>
      <c r="U946" s="16"/>
      <c r="V946" s="16"/>
      <c r="W946" s="16"/>
      <c r="X946" s="16"/>
      <c r="Y946" s="16"/>
      <c r="Z946" s="16"/>
      <c r="AA946" s="16"/>
    </row>
    <row r="947" spans="1:27" ht="24" customHeight="1" outlineLevel="1">
      <c r="A947" s="16" t="s">
        <v>3244</v>
      </c>
      <c r="B947" s="16" t="s">
        <v>3245</v>
      </c>
      <c r="C947" s="16" t="s">
        <v>3246</v>
      </c>
      <c r="D947" s="16" t="s">
        <v>5295</v>
      </c>
      <c r="E947" s="204">
        <v>45364</v>
      </c>
      <c r="F947" s="56" t="b">
        <v>0</v>
      </c>
      <c r="G947" s="205" t="s">
        <v>5296</v>
      </c>
      <c r="H947" s="323" t="s">
        <v>5297</v>
      </c>
      <c r="I947" s="56" t="b">
        <v>1</v>
      </c>
      <c r="J947" s="221" t="s">
        <v>4997</v>
      </c>
      <c r="K947" s="205"/>
      <c r="L947" s="16"/>
      <c r="M947" s="16"/>
      <c r="N947" s="16"/>
      <c r="O947" s="16"/>
      <c r="P947" s="16"/>
      <c r="Q947" s="16"/>
      <c r="R947" s="16"/>
      <c r="S947" s="16"/>
      <c r="T947" s="16"/>
      <c r="U947" s="16"/>
      <c r="V947" s="16"/>
      <c r="W947" s="16"/>
      <c r="X947" s="16"/>
      <c r="Y947" s="16"/>
      <c r="Z947" s="16"/>
      <c r="AA947" s="16"/>
    </row>
    <row r="948" spans="1:27" ht="24" customHeight="1" outlineLevel="1">
      <c r="A948" s="16" t="s">
        <v>3247</v>
      </c>
      <c r="B948" s="16" t="s">
        <v>3249</v>
      </c>
      <c r="C948" s="16" t="s">
        <v>3250</v>
      </c>
      <c r="D948" s="16" t="s">
        <v>4412</v>
      </c>
      <c r="E948" s="204">
        <v>45364</v>
      </c>
      <c r="F948" s="56" t="b">
        <v>0</v>
      </c>
      <c r="G948" s="205" t="s">
        <v>5298</v>
      </c>
      <c r="H948" s="323" t="s">
        <v>5299</v>
      </c>
      <c r="I948" s="56" t="b">
        <v>1</v>
      </c>
      <c r="J948" s="16" t="s">
        <v>3981</v>
      </c>
      <c r="K948" s="205"/>
      <c r="L948" s="16"/>
      <c r="M948" s="16"/>
      <c r="N948" s="16"/>
      <c r="O948" s="16"/>
      <c r="P948" s="16"/>
      <c r="Q948" s="16"/>
      <c r="R948" s="16"/>
      <c r="S948" s="16"/>
      <c r="T948" s="16"/>
      <c r="U948" s="16"/>
      <c r="V948" s="16"/>
      <c r="W948" s="16"/>
      <c r="X948" s="16"/>
      <c r="Y948" s="16"/>
      <c r="Z948" s="16"/>
      <c r="AA948" s="16"/>
    </row>
    <row r="949" spans="1:27" ht="24" customHeight="1" outlineLevel="1">
      <c r="A949" s="16" t="s">
        <v>3251</v>
      </c>
      <c r="B949" s="16" t="s">
        <v>3253</v>
      </c>
      <c r="C949" s="16" t="s">
        <v>3254</v>
      </c>
      <c r="D949" s="16" t="s">
        <v>4747</v>
      </c>
      <c r="E949" s="204">
        <v>45364</v>
      </c>
      <c r="F949" s="56" t="b">
        <v>0</v>
      </c>
      <c r="G949" s="205" t="s">
        <v>5300</v>
      </c>
      <c r="H949" s="323" t="s">
        <v>5301</v>
      </c>
      <c r="I949" s="56" t="b">
        <v>1</v>
      </c>
      <c r="J949" s="16" t="s">
        <v>5190</v>
      </c>
      <c r="K949" s="205"/>
      <c r="L949" s="16"/>
      <c r="M949" s="16"/>
      <c r="N949" s="16"/>
      <c r="O949" s="16"/>
      <c r="P949" s="16"/>
      <c r="Q949" s="16"/>
      <c r="R949" s="16"/>
      <c r="S949" s="16"/>
      <c r="T949" s="16"/>
      <c r="U949" s="16"/>
      <c r="V949" s="16"/>
      <c r="W949" s="16"/>
      <c r="X949" s="16"/>
      <c r="Y949" s="16"/>
      <c r="Z949" s="16"/>
      <c r="AA949" s="16"/>
    </row>
    <row r="950" spans="1:27" ht="24" customHeight="1" outlineLevel="1">
      <c r="A950" s="16" t="s">
        <v>3255</v>
      </c>
      <c r="B950" s="16" t="s">
        <v>3256</v>
      </c>
      <c r="C950" s="16" t="s">
        <v>3257</v>
      </c>
      <c r="D950" s="16" t="s">
        <v>5176</v>
      </c>
      <c r="E950" s="204">
        <v>45364</v>
      </c>
      <c r="F950" s="56" t="b">
        <v>0</v>
      </c>
      <c r="G950" s="205" t="s">
        <v>5302</v>
      </c>
      <c r="H950" s="205" t="s">
        <v>5303</v>
      </c>
      <c r="I950" s="56" t="b">
        <v>1</v>
      </c>
      <c r="J950" s="16" t="s">
        <v>4775</v>
      </c>
      <c r="K950" s="205"/>
      <c r="L950" s="16"/>
      <c r="M950" s="16"/>
      <c r="N950" s="16"/>
      <c r="O950" s="16"/>
      <c r="P950" s="16"/>
      <c r="Q950" s="16"/>
      <c r="R950" s="16"/>
      <c r="S950" s="16"/>
      <c r="T950" s="16"/>
      <c r="U950" s="16"/>
      <c r="V950" s="16"/>
      <c r="W950" s="16"/>
      <c r="X950" s="16"/>
      <c r="Y950" s="16"/>
      <c r="Z950" s="16"/>
      <c r="AA950" s="16"/>
    </row>
    <row r="951" spans="1:27" ht="24" customHeight="1" outlineLevel="1">
      <c r="A951" s="16" t="s">
        <v>3258</v>
      </c>
      <c r="B951" s="16" t="s">
        <v>3259</v>
      </c>
      <c r="C951" s="16" t="s">
        <v>3260</v>
      </c>
      <c r="D951" s="16" t="s">
        <v>3696</v>
      </c>
      <c r="E951" s="204">
        <v>45365</v>
      </c>
      <c r="F951" s="56" t="b">
        <v>0</v>
      </c>
      <c r="G951" s="205" t="s">
        <v>5304</v>
      </c>
      <c r="H951" s="323" t="s">
        <v>5305</v>
      </c>
      <c r="I951" s="56" t="b">
        <v>1</v>
      </c>
      <c r="J951" s="16" t="s">
        <v>5219</v>
      </c>
      <c r="K951" s="205"/>
      <c r="L951" s="16"/>
      <c r="M951" s="16"/>
      <c r="N951" s="16"/>
      <c r="O951" s="16"/>
      <c r="P951" s="16"/>
      <c r="Q951" s="16"/>
      <c r="R951" s="16"/>
      <c r="S951" s="16"/>
      <c r="T951" s="16"/>
      <c r="U951" s="16"/>
      <c r="V951" s="16"/>
      <c r="W951" s="16"/>
      <c r="X951" s="16"/>
      <c r="Y951" s="16"/>
      <c r="Z951" s="16"/>
      <c r="AA951" s="16"/>
    </row>
    <row r="952" spans="1:27" ht="24" customHeight="1" outlineLevel="1">
      <c r="A952" s="16" t="s">
        <v>3261</v>
      </c>
      <c r="B952" s="16" t="s">
        <v>3262</v>
      </c>
      <c r="C952" s="16" t="s">
        <v>3263</v>
      </c>
      <c r="D952" s="16" t="s">
        <v>3696</v>
      </c>
      <c r="E952" s="204">
        <v>45365</v>
      </c>
      <c r="F952" s="56" t="b">
        <v>0</v>
      </c>
      <c r="G952" s="205" t="s">
        <v>5306</v>
      </c>
      <c r="H952" s="323" t="s">
        <v>5307</v>
      </c>
      <c r="I952" s="56" t="b">
        <v>1</v>
      </c>
      <c r="J952" s="16" t="s">
        <v>5219</v>
      </c>
      <c r="K952" s="205"/>
      <c r="L952" s="16"/>
      <c r="M952" s="16"/>
      <c r="N952" s="16"/>
      <c r="O952" s="16"/>
      <c r="P952" s="16"/>
      <c r="Q952" s="16"/>
      <c r="R952" s="16"/>
      <c r="S952" s="16"/>
      <c r="T952" s="16"/>
      <c r="U952" s="16"/>
      <c r="V952" s="16"/>
      <c r="W952" s="16"/>
      <c r="X952" s="16"/>
      <c r="Y952" s="16"/>
      <c r="Z952" s="16"/>
      <c r="AA952" s="16"/>
    </row>
    <row r="953" spans="1:27" ht="24" customHeight="1" outlineLevel="1">
      <c r="A953" s="16" t="s">
        <v>3264</v>
      </c>
      <c r="B953" s="16" t="s">
        <v>3266</v>
      </c>
      <c r="C953" s="16" t="s">
        <v>3267</v>
      </c>
      <c r="D953" s="16" t="s">
        <v>3694</v>
      </c>
      <c r="E953" s="204">
        <v>45365</v>
      </c>
      <c r="F953" s="56" t="b">
        <v>0</v>
      </c>
      <c r="G953" s="205" t="s">
        <v>5308</v>
      </c>
      <c r="H953" s="205" t="s">
        <v>5303</v>
      </c>
      <c r="I953" s="56" t="b">
        <v>1</v>
      </c>
      <c r="J953" s="16" t="s">
        <v>4730</v>
      </c>
      <c r="K953" s="205"/>
      <c r="L953" s="16"/>
      <c r="M953" s="16"/>
      <c r="N953" s="16"/>
      <c r="O953" s="16"/>
      <c r="P953" s="16"/>
      <c r="Q953" s="16"/>
      <c r="R953" s="16"/>
      <c r="S953" s="16"/>
      <c r="T953" s="16"/>
      <c r="U953" s="16"/>
      <c r="V953" s="16"/>
      <c r="W953" s="16"/>
      <c r="X953" s="16"/>
      <c r="Y953" s="16"/>
      <c r="Z953" s="16"/>
      <c r="AA953" s="16"/>
    </row>
    <row r="954" spans="1:27" ht="24" customHeight="1" outlineLevel="1">
      <c r="A954" s="16" t="s">
        <v>3268</v>
      </c>
      <c r="B954" s="16" t="s">
        <v>3269</v>
      </c>
      <c r="C954" s="16" t="s">
        <v>3270</v>
      </c>
      <c r="D954" s="16" t="s">
        <v>5292</v>
      </c>
      <c r="E954" s="204">
        <v>45366</v>
      </c>
      <c r="F954" s="56" t="b">
        <v>0</v>
      </c>
      <c r="G954" s="205" t="s">
        <v>5309</v>
      </c>
      <c r="H954" s="205" t="s">
        <v>5303</v>
      </c>
      <c r="I954" s="56" t="b">
        <v>1</v>
      </c>
      <c r="J954" s="16" t="s">
        <v>4730</v>
      </c>
      <c r="K954" s="205"/>
      <c r="L954" s="16"/>
      <c r="M954" s="16"/>
      <c r="N954" s="16"/>
      <c r="O954" s="16"/>
      <c r="P954" s="16"/>
      <c r="Q954" s="16"/>
      <c r="R954" s="16"/>
      <c r="S954" s="16"/>
      <c r="T954" s="16"/>
      <c r="U954" s="16"/>
      <c r="V954" s="16"/>
      <c r="W954" s="16"/>
      <c r="X954" s="16"/>
      <c r="Y954" s="16"/>
      <c r="Z954" s="16"/>
      <c r="AA954" s="16"/>
    </row>
    <row r="955" spans="1:27" ht="24" customHeight="1" outlineLevel="1">
      <c r="A955" s="16" t="s">
        <v>3271</v>
      </c>
      <c r="B955" s="16" t="s">
        <v>3272</v>
      </c>
      <c r="C955" s="16" t="s">
        <v>3273</v>
      </c>
      <c r="D955" s="16" t="s">
        <v>4747</v>
      </c>
      <c r="E955" s="204">
        <v>45366</v>
      </c>
      <c r="F955" s="56" t="b">
        <v>0</v>
      </c>
      <c r="G955" s="205" t="s">
        <v>5310</v>
      </c>
      <c r="H955" s="205" t="s">
        <v>5303</v>
      </c>
      <c r="I955" s="56" t="b">
        <v>1</v>
      </c>
      <c r="J955" s="16" t="s">
        <v>5190</v>
      </c>
      <c r="K955" s="205"/>
      <c r="L955" s="16"/>
      <c r="M955" s="16"/>
      <c r="N955" s="16"/>
      <c r="O955" s="16"/>
      <c r="P955" s="16"/>
      <c r="Q955" s="16"/>
      <c r="R955" s="16"/>
      <c r="S955" s="16"/>
      <c r="T955" s="16"/>
      <c r="U955" s="16"/>
      <c r="V955" s="16"/>
      <c r="W955" s="16"/>
      <c r="X955" s="16"/>
      <c r="Y955" s="16"/>
      <c r="Z955" s="16"/>
      <c r="AA955" s="16"/>
    </row>
    <row r="956" spans="1:27" ht="24" customHeight="1" outlineLevel="1">
      <c r="A956" s="16" t="s">
        <v>3274</v>
      </c>
      <c r="B956" s="16" t="s">
        <v>3275</v>
      </c>
      <c r="C956" s="16" t="s">
        <v>3276</v>
      </c>
      <c r="D956" s="16" t="s">
        <v>3696</v>
      </c>
      <c r="E956" s="204">
        <v>45369</v>
      </c>
      <c r="F956" s="56" t="b">
        <v>0</v>
      </c>
      <c r="G956" s="205" t="s">
        <v>5311</v>
      </c>
      <c r="H956" s="323" t="s">
        <v>5312</v>
      </c>
      <c r="I956" s="56" t="b">
        <v>1</v>
      </c>
      <c r="J956" s="16" t="s">
        <v>5219</v>
      </c>
      <c r="K956" s="205"/>
      <c r="L956" s="16"/>
      <c r="M956" s="16"/>
      <c r="N956" s="16"/>
      <c r="O956" s="16"/>
      <c r="P956" s="16"/>
      <c r="Q956" s="16"/>
      <c r="R956" s="16"/>
      <c r="S956" s="16"/>
      <c r="T956" s="16"/>
      <c r="U956" s="16"/>
      <c r="V956" s="16"/>
      <c r="W956" s="16"/>
      <c r="X956" s="16"/>
      <c r="Y956" s="16"/>
      <c r="Z956" s="16"/>
      <c r="AA956" s="16"/>
    </row>
    <row r="957" spans="1:27" ht="24" customHeight="1" outlineLevel="1">
      <c r="A957" s="16" t="s">
        <v>3277</v>
      </c>
      <c r="B957" s="16" t="s">
        <v>3278</v>
      </c>
      <c r="C957" s="16" t="s">
        <v>3279</v>
      </c>
      <c r="D957" s="16" t="s">
        <v>4747</v>
      </c>
      <c r="E957" s="204">
        <v>45369</v>
      </c>
      <c r="F957" s="56" t="b">
        <v>0</v>
      </c>
      <c r="G957" s="205" t="s">
        <v>5313</v>
      </c>
      <c r="H957" s="323" t="s">
        <v>5314</v>
      </c>
      <c r="I957" s="56" t="b">
        <v>1</v>
      </c>
      <c r="J957" s="16" t="s">
        <v>5190</v>
      </c>
      <c r="K957" s="205"/>
      <c r="L957" s="16"/>
      <c r="M957" s="16"/>
      <c r="N957" s="16"/>
      <c r="O957" s="16"/>
      <c r="P957" s="16"/>
      <c r="Q957" s="16"/>
      <c r="R957" s="16"/>
      <c r="S957" s="16"/>
      <c r="T957" s="16"/>
      <c r="U957" s="16"/>
      <c r="V957" s="16"/>
      <c r="W957" s="16"/>
      <c r="X957" s="16"/>
      <c r="Y957" s="16"/>
      <c r="Z957" s="16"/>
      <c r="AA957" s="16"/>
    </row>
    <row r="958" spans="1:27" ht="24" customHeight="1" outlineLevel="1">
      <c r="A958" s="227" t="s">
        <v>5315</v>
      </c>
      <c r="B958" s="227" t="s">
        <v>5316</v>
      </c>
      <c r="C958" s="227" t="s">
        <v>5317</v>
      </c>
      <c r="D958" s="227" t="s">
        <v>3718</v>
      </c>
      <c r="E958" s="228">
        <v>45370</v>
      </c>
      <c r="F958" s="331" t="b">
        <v>0</v>
      </c>
      <c r="G958" s="229" t="s">
        <v>5318</v>
      </c>
      <c r="H958" s="332" t="s">
        <v>5319</v>
      </c>
      <c r="I958" s="331" t="b">
        <v>1</v>
      </c>
      <c r="J958" s="227" t="s">
        <v>4775</v>
      </c>
      <c r="K958" s="229"/>
      <c r="L958" s="227"/>
      <c r="M958" s="227"/>
      <c r="N958" s="227"/>
      <c r="O958" s="227"/>
      <c r="P958" s="227"/>
      <c r="Q958" s="227"/>
      <c r="R958" s="227"/>
      <c r="S958" s="227"/>
      <c r="T958" s="227"/>
      <c r="U958" s="227"/>
      <c r="V958" s="227"/>
      <c r="W958" s="227"/>
      <c r="X958" s="227"/>
      <c r="Y958" s="227"/>
      <c r="Z958" s="227"/>
      <c r="AA958" s="227"/>
    </row>
    <row r="959" spans="1:27" ht="24" customHeight="1" outlineLevel="1">
      <c r="A959" s="16" t="s">
        <v>3280</v>
      </c>
      <c r="B959" s="16" t="s">
        <v>3281</v>
      </c>
      <c r="C959" s="16" t="s">
        <v>3282</v>
      </c>
      <c r="D959" s="16" t="s">
        <v>3694</v>
      </c>
      <c r="E959" s="204">
        <v>45370</v>
      </c>
      <c r="F959" s="56" t="b">
        <v>0</v>
      </c>
      <c r="G959" s="205" t="s">
        <v>5320</v>
      </c>
      <c r="H959" s="323" t="s">
        <v>5321</v>
      </c>
      <c r="I959" s="56" t="b">
        <v>1</v>
      </c>
      <c r="J959" s="16" t="s">
        <v>4730</v>
      </c>
      <c r="K959" s="205"/>
      <c r="L959" s="16"/>
      <c r="M959" s="16"/>
      <c r="N959" s="16"/>
      <c r="O959" s="16"/>
      <c r="P959" s="16"/>
      <c r="Q959" s="16"/>
      <c r="R959" s="16"/>
      <c r="S959" s="16"/>
      <c r="T959" s="16"/>
      <c r="U959" s="16"/>
      <c r="V959" s="16"/>
      <c r="W959" s="16"/>
      <c r="X959" s="16"/>
      <c r="Y959" s="16"/>
      <c r="Z959" s="16"/>
      <c r="AA959" s="16"/>
    </row>
    <row r="960" spans="1:27" ht="24" customHeight="1" outlineLevel="1">
      <c r="A960" s="16" t="s">
        <v>3283</v>
      </c>
      <c r="B960" s="16" t="s">
        <v>3284</v>
      </c>
      <c r="C960" s="16" t="s">
        <v>3285</v>
      </c>
      <c r="D960" s="16" t="s">
        <v>4747</v>
      </c>
      <c r="E960" s="204">
        <v>45370</v>
      </c>
      <c r="F960" s="56" t="b">
        <v>0</v>
      </c>
      <c r="G960" s="205" t="s">
        <v>5322</v>
      </c>
      <c r="H960" s="323" t="s">
        <v>5323</v>
      </c>
      <c r="I960" s="56" t="b">
        <v>1</v>
      </c>
      <c r="J960" s="16" t="s">
        <v>5190</v>
      </c>
      <c r="K960" s="205"/>
      <c r="L960" s="16"/>
      <c r="M960" s="16"/>
      <c r="N960" s="16"/>
      <c r="O960" s="16"/>
      <c r="P960" s="16"/>
      <c r="Q960" s="16"/>
      <c r="R960" s="16"/>
      <c r="S960" s="16"/>
      <c r="T960" s="16"/>
      <c r="U960" s="16"/>
      <c r="V960" s="16"/>
      <c r="W960" s="16"/>
      <c r="X960" s="16"/>
      <c r="Y960" s="16"/>
      <c r="Z960" s="16"/>
      <c r="AA960" s="16"/>
    </row>
    <row r="961" spans="1:27" ht="24" customHeight="1" outlineLevel="1">
      <c r="A961" s="16" t="s">
        <v>3286</v>
      </c>
      <c r="B961" s="16" t="s">
        <v>3288</v>
      </c>
      <c r="C961" s="16" t="s">
        <v>3289</v>
      </c>
      <c r="D961" s="16" t="s">
        <v>5324</v>
      </c>
      <c r="E961" s="204">
        <v>45371</v>
      </c>
      <c r="F961" s="56" t="b">
        <v>0</v>
      </c>
      <c r="G961" s="205" t="s">
        <v>5325</v>
      </c>
      <c r="H961" s="323" t="s">
        <v>5326</v>
      </c>
      <c r="I961" s="56" t="b">
        <v>1</v>
      </c>
      <c r="J961" s="16" t="s">
        <v>4775</v>
      </c>
      <c r="K961" s="205"/>
      <c r="L961" s="16"/>
      <c r="M961" s="16"/>
      <c r="N961" s="16"/>
      <c r="O961" s="16"/>
      <c r="P961" s="16"/>
      <c r="Q961" s="16"/>
      <c r="R961" s="16"/>
      <c r="S961" s="16"/>
      <c r="T961" s="16"/>
      <c r="U961" s="16"/>
      <c r="V961" s="16"/>
      <c r="W961" s="16"/>
      <c r="X961" s="16"/>
      <c r="Y961" s="16"/>
      <c r="Z961" s="16"/>
      <c r="AA961" s="16"/>
    </row>
    <row r="962" spans="1:27" ht="24" customHeight="1" outlineLevel="1">
      <c r="A962" s="16" t="s">
        <v>3290</v>
      </c>
      <c r="B962" s="285" t="s">
        <v>5327</v>
      </c>
      <c r="C962" s="16" t="s">
        <v>3293</v>
      </c>
      <c r="D962" s="16" t="s">
        <v>5328</v>
      </c>
      <c r="E962" s="204">
        <v>45371</v>
      </c>
      <c r="F962" s="56" t="b">
        <v>0</v>
      </c>
      <c r="G962" s="205" t="s">
        <v>5329</v>
      </c>
      <c r="H962" s="323" t="s">
        <v>5330</v>
      </c>
      <c r="I962" s="56" t="b">
        <v>1</v>
      </c>
      <c r="J962" s="16" t="s">
        <v>5190</v>
      </c>
      <c r="K962" s="205"/>
      <c r="L962" s="16"/>
      <c r="M962" s="16"/>
      <c r="N962" s="16"/>
      <c r="O962" s="16"/>
      <c r="P962" s="16"/>
      <c r="Q962" s="16"/>
      <c r="R962" s="16"/>
      <c r="S962" s="16"/>
      <c r="T962" s="16"/>
      <c r="U962" s="16"/>
      <c r="V962" s="16"/>
      <c r="W962" s="16"/>
      <c r="X962" s="16"/>
      <c r="Y962" s="16"/>
      <c r="Z962" s="16"/>
      <c r="AA962" s="16"/>
    </row>
    <row r="963" spans="1:27" ht="24" customHeight="1" outlineLevel="1">
      <c r="A963" s="16" t="s">
        <v>3294</v>
      </c>
      <c r="B963" s="16" t="s">
        <v>3296</v>
      </c>
      <c r="C963" s="16" t="s">
        <v>3297</v>
      </c>
      <c r="D963" s="16" t="s">
        <v>5331</v>
      </c>
      <c r="E963" s="204">
        <v>45372</v>
      </c>
      <c r="F963" s="56" t="b">
        <v>0</v>
      </c>
      <c r="G963" s="205" t="s">
        <v>5332</v>
      </c>
      <c r="H963" s="323" t="s">
        <v>5333</v>
      </c>
      <c r="I963" s="56" t="b">
        <v>1</v>
      </c>
      <c r="J963" s="16" t="s">
        <v>5190</v>
      </c>
      <c r="K963" s="205"/>
      <c r="L963" s="16"/>
      <c r="M963" s="16"/>
      <c r="N963" s="16"/>
      <c r="O963" s="16"/>
      <c r="P963" s="16"/>
      <c r="Q963" s="16"/>
      <c r="R963" s="16"/>
      <c r="S963" s="16"/>
      <c r="T963" s="16"/>
      <c r="U963" s="16"/>
      <c r="V963" s="16"/>
      <c r="W963" s="16"/>
      <c r="X963" s="16"/>
      <c r="Y963" s="16"/>
      <c r="Z963" s="16"/>
      <c r="AA963" s="16"/>
    </row>
    <row r="964" spans="1:27" ht="24" customHeight="1" outlineLevel="1">
      <c r="A964" s="16" t="s">
        <v>3298</v>
      </c>
      <c r="B964" s="16" t="s">
        <v>3300</v>
      </c>
      <c r="C964" s="16" t="s">
        <v>3301</v>
      </c>
      <c r="D964" s="16" t="s">
        <v>5331</v>
      </c>
      <c r="E964" s="204">
        <v>45372</v>
      </c>
      <c r="F964" s="56" t="b">
        <v>0</v>
      </c>
      <c r="G964" s="205" t="s">
        <v>5334</v>
      </c>
      <c r="H964" s="323" t="s">
        <v>5335</v>
      </c>
      <c r="I964" s="56" t="b">
        <v>1</v>
      </c>
      <c r="J964" s="16" t="s">
        <v>5190</v>
      </c>
      <c r="K964" s="205"/>
      <c r="L964" s="16"/>
      <c r="M964" s="16"/>
      <c r="N964" s="16"/>
      <c r="O964" s="16"/>
      <c r="P964" s="16"/>
      <c r="Q964" s="16"/>
      <c r="R964" s="16"/>
      <c r="S964" s="16"/>
      <c r="T964" s="16"/>
      <c r="U964" s="16"/>
      <c r="V964" s="16"/>
      <c r="W964" s="16"/>
      <c r="X964" s="16"/>
      <c r="Y964" s="16"/>
      <c r="Z964" s="16"/>
      <c r="AA964" s="16"/>
    </row>
    <row r="965" spans="1:27" ht="24" customHeight="1" outlineLevel="1">
      <c r="A965" s="16" t="s">
        <v>3302</v>
      </c>
      <c r="B965" s="16" t="s">
        <v>3303</v>
      </c>
      <c r="C965" s="16" t="s">
        <v>3304</v>
      </c>
      <c r="D965" s="16" t="s">
        <v>5331</v>
      </c>
      <c r="E965" s="204">
        <v>45373</v>
      </c>
      <c r="F965" s="56" t="b">
        <v>0</v>
      </c>
      <c r="G965" s="205" t="s">
        <v>5336</v>
      </c>
      <c r="H965" s="324" t="s">
        <v>5337</v>
      </c>
      <c r="I965" s="56" t="b">
        <v>1</v>
      </c>
      <c r="J965" s="16" t="s">
        <v>5190</v>
      </c>
      <c r="K965" s="205"/>
      <c r="L965" s="16"/>
      <c r="M965" s="16"/>
      <c r="N965" s="16"/>
      <c r="O965" s="16"/>
      <c r="P965" s="16"/>
      <c r="Q965" s="16"/>
      <c r="R965" s="16"/>
      <c r="S965" s="16"/>
      <c r="T965" s="16"/>
      <c r="U965" s="16"/>
      <c r="V965" s="16"/>
      <c r="W965" s="16"/>
      <c r="X965" s="16"/>
      <c r="Y965" s="16"/>
      <c r="Z965" s="16"/>
      <c r="AA965" s="16"/>
    </row>
    <row r="966" spans="1:27" ht="24" customHeight="1" outlineLevel="1">
      <c r="A966" s="16" t="s">
        <v>3305</v>
      </c>
      <c r="B966" s="16" t="s">
        <v>3306</v>
      </c>
      <c r="C966" s="16" t="s">
        <v>3307</v>
      </c>
      <c r="D966" s="16" t="s">
        <v>3790</v>
      </c>
      <c r="E966" s="204">
        <v>45373</v>
      </c>
      <c r="F966" s="56" t="b">
        <v>0</v>
      </c>
      <c r="G966" s="205" t="s">
        <v>5338</v>
      </c>
      <c r="H966" s="323" t="s">
        <v>5339</v>
      </c>
      <c r="I966" s="56" t="b">
        <v>1</v>
      </c>
      <c r="J966" s="16" t="s">
        <v>4256</v>
      </c>
      <c r="K966" s="205"/>
      <c r="L966" s="16"/>
      <c r="M966" s="16"/>
      <c r="N966" s="16"/>
      <c r="O966" s="16"/>
      <c r="P966" s="16"/>
      <c r="Q966" s="16"/>
      <c r="R966" s="16"/>
      <c r="S966" s="16"/>
      <c r="T966" s="16"/>
      <c r="U966" s="16"/>
      <c r="V966" s="16"/>
      <c r="W966" s="16"/>
      <c r="X966" s="16"/>
      <c r="Y966" s="16"/>
      <c r="Z966" s="16"/>
      <c r="AA966" s="16"/>
    </row>
    <row r="967" spans="1:27" ht="24" customHeight="1" outlineLevel="1">
      <c r="A967" s="16" t="s">
        <v>3308</v>
      </c>
      <c r="B967" s="16" t="s">
        <v>3309</v>
      </c>
      <c r="C967" s="16" t="s">
        <v>3310</v>
      </c>
      <c r="D967" s="16" t="s">
        <v>3694</v>
      </c>
      <c r="E967" s="204">
        <v>45373</v>
      </c>
      <c r="F967" s="56" t="b">
        <v>0</v>
      </c>
      <c r="G967" s="205" t="s">
        <v>5340</v>
      </c>
      <c r="H967" s="324" t="s">
        <v>5341</v>
      </c>
      <c r="I967" s="56" t="b">
        <v>1</v>
      </c>
      <c r="J967" s="16" t="s">
        <v>4730</v>
      </c>
      <c r="K967" s="205"/>
      <c r="L967" s="16"/>
      <c r="M967" s="16"/>
      <c r="N967" s="16"/>
      <c r="O967" s="16"/>
      <c r="P967" s="16"/>
      <c r="Q967" s="16"/>
      <c r="R967" s="16"/>
      <c r="S967" s="16"/>
      <c r="T967" s="16"/>
      <c r="U967" s="16"/>
      <c r="V967" s="16"/>
      <c r="W967" s="16"/>
      <c r="X967" s="16"/>
      <c r="Y967" s="16"/>
      <c r="Z967" s="16"/>
      <c r="AA967" s="16"/>
    </row>
    <row r="968" spans="1:27" ht="24" customHeight="1" outlineLevel="1">
      <c r="A968" s="16" t="s">
        <v>3311</v>
      </c>
      <c r="B968" s="16" t="s">
        <v>3312</v>
      </c>
      <c r="C968" s="16" t="s">
        <v>3313</v>
      </c>
      <c r="D968" s="16" t="s">
        <v>5342</v>
      </c>
      <c r="E968" s="204">
        <v>45376</v>
      </c>
      <c r="F968" s="56" t="b">
        <v>0</v>
      </c>
      <c r="G968" s="205" t="s">
        <v>5343</v>
      </c>
      <c r="H968" s="324" t="s">
        <v>5344</v>
      </c>
      <c r="I968" s="56" t="b">
        <v>1</v>
      </c>
      <c r="J968" s="221" t="s">
        <v>4997</v>
      </c>
      <c r="K968" s="205"/>
      <c r="L968" s="16"/>
      <c r="M968" s="16"/>
      <c r="N968" s="16"/>
      <c r="O968" s="16"/>
      <c r="P968" s="16"/>
      <c r="Q968" s="16"/>
      <c r="R968" s="16"/>
      <c r="S968" s="16"/>
      <c r="T968" s="16"/>
      <c r="U968" s="16"/>
      <c r="V968" s="16"/>
      <c r="W968" s="16"/>
      <c r="X968" s="16"/>
      <c r="Y968" s="16"/>
      <c r="Z968" s="16"/>
      <c r="AA968" s="16"/>
    </row>
    <row r="969" spans="1:27" ht="24" customHeight="1" outlineLevel="1">
      <c r="A969" s="16" t="s">
        <v>3314</v>
      </c>
      <c r="B969" s="16" t="s">
        <v>3315</v>
      </c>
      <c r="C969" s="16" t="s">
        <v>3316</v>
      </c>
      <c r="D969" s="16" t="s">
        <v>3696</v>
      </c>
      <c r="E969" s="204">
        <v>45376</v>
      </c>
      <c r="F969" s="56" t="b">
        <v>0</v>
      </c>
      <c r="G969" s="205" t="s">
        <v>5345</v>
      </c>
      <c r="H969" s="323" t="s">
        <v>5346</v>
      </c>
      <c r="I969" s="56" t="b">
        <v>1</v>
      </c>
      <c r="J969" s="16" t="s">
        <v>5219</v>
      </c>
      <c r="K969" s="205"/>
      <c r="L969" s="16"/>
      <c r="M969" s="16"/>
      <c r="N969" s="16"/>
      <c r="O969" s="16"/>
      <c r="P969" s="16"/>
      <c r="Q969" s="16"/>
      <c r="R969" s="16"/>
      <c r="S969" s="16"/>
      <c r="T969" s="16"/>
      <c r="U969" s="16"/>
      <c r="V969" s="16"/>
      <c r="W969" s="16"/>
      <c r="X969" s="16"/>
      <c r="Y969" s="16"/>
      <c r="Z969" s="16"/>
      <c r="AA969" s="16"/>
    </row>
    <row r="970" spans="1:27" ht="24" customHeight="1" outlineLevel="1">
      <c r="A970" s="16" t="s">
        <v>3317</v>
      </c>
      <c r="B970" s="16" t="s">
        <v>3318</v>
      </c>
      <c r="C970" s="16" t="s">
        <v>3319</v>
      </c>
      <c r="D970" s="16" t="s">
        <v>5331</v>
      </c>
      <c r="E970" s="204">
        <v>45377</v>
      </c>
      <c r="F970" s="56" t="b">
        <v>0</v>
      </c>
      <c r="G970" s="205" t="s">
        <v>5347</v>
      </c>
      <c r="H970" s="324" t="s">
        <v>5348</v>
      </c>
      <c r="I970" s="56" t="b">
        <v>1</v>
      </c>
      <c r="J970" s="16" t="s">
        <v>5190</v>
      </c>
      <c r="K970" s="205"/>
      <c r="L970" s="16"/>
      <c r="M970" s="16"/>
      <c r="N970" s="16"/>
      <c r="O970" s="16"/>
      <c r="P970" s="16"/>
      <c r="Q970" s="16"/>
      <c r="R970" s="16"/>
      <c r="S970" s="16"/>
      <c r="T970" s="16"/>
      <c r="U970" s="16"/>
      <c r="V970" s="16"/>
      <c r="W970" s="16"/>
      <c r="X970" s="16"/>
      <c r="Y970" s="16"/>
      <c r="Z970" s="16"/>
      <c r="AA970" s="16"/>
    </row>
    <row r="971" spans="1:27" ht="24" customHeight="1" outlineLevel="1">
      <c r="A971" s="16" t="s">
        <v>3320</v>
      </c>
      <c r="B971" s="16" t="s">
        <v>3321</v>
      </c>
      <c r="C971" s="16" t="s">
        <v>3322</v>
      </c>
      <c r="D971" s="16" t="s">
        <v>3739</v>
      </c>
      <c r="E971" s="204">
        <v>45378</v>
      </c>
      <c r="F971" s="56" t="b">
        <v>0</v>
      </c>
      <c r="G971" s="205" t="s">
        <v>5349</v>
      </c>
      <c r="H971" s="323" t="s">
        <v>5350</v>
      </c>
      <c r="I971" s="56" t="b">
        <v>1</v>
      </c>
      <c r="J971" s="16" t="s">
        <v>3786</v>
      </c>
      <c r="K971" s="205"/>
      <c r="L971" s="16"/>
      <c r="M971" s="16"/>
      <c r="N971" s="16"/>
      <c r="O971" s="16"/>
      <c r="P971" s="16"/>
      <c r="Q971" s="16"/>
      <c r="R971" s="16"/>
      <c r="S971" s="16"/>
      <c r="T971" s="16"/>
      <c r="U971" s="16"/>
      <c r="V971" s="16"/>
      <c r="W971" s="16"/>
      <c r="X971" s="16"/>
      <c r="Y971" s="16"/>
      <c r="Z971" s="16"/>
      <c r="AA971" s="16"/>
    </row>
    <row r="972" spans="1:27" ht="24" customHeight="1" outlineLevel="1">
      <c r="A972" s="16" t="s">
        <v>3323</v>
      </c>
      <c r="B972" s="16" t="s">
        <v>3324</v>
      </c>
      <c r="C972" s="16" t="s">
        <v>3325</v>
      </c>
      <c r="D972" s="16" t="s">
        <v>3739</v>
      </c>
      <c r="E972" s="204">
        <v>45379</v>
      </c>
      <c r="F972" s="56" t="b">
        <v>0</v>
      </c>
      <c r="G972" s="205" t="s">
        <v>5351</v>
      </c>
      <c r="H972" s="323" t="s">
        <v>5352</v>
      </c>
      <c r="I972" s="56" t="b">
        <v>1</v>
      </c>
      <c r="J972" s="16" t="s">
        <v>3786</v>
      </c>
      <c r="K972" s="205"/>
      <c r="L972" s="16"/>
      <c r="M972" s="16"/>
      <c r="N972" s="16"/>
      <c r="O972" s="16"/>
      <c r="P972" s="16"/>
      <c r="Q972" s="16"/>
      <c r="R972" s="16"/>
      <c r="S972" s="16"/>
      <c r="T972" s="16"/>
      <c r="U972" s="16"/>
      <c r="V972" s="16"/>
      <c r="W972" s="16"/>
      <c r="X972" s="16"/>
      <c r="Y972" s="16"/>
      <c r="Z972" s="16"/>
      <c r="AA972" s="16"/>
    </row>
    <row r="973" spans="1:27" ht="24" customHeight="1" outlineLevel="1">
      <c r="A973" s="16" t="s">
        <v>3326</v>
      </c>
      <c r="B973" s="16" t="s">
        <v>3327</v>
      </c>
      <c r="C973" s="16" t="s">
        <v>3328</v>
      </c>
      <c r="D973" s="16" t="s">
        <v>3790</v>
      </c>
      <c r="E973" s="204">
        <v>45379</v>
      </c>
      <c r="F973" s="56" t="b">
        <v>0</v>
      </c>
      <c r="G973" s="205" t="s">
        <v>5353</v>
      </c>
      <c r="H973" s="323" t="s">
        <v>5354</v>
      </c>
      <c r="I973" s="56" t="b">
        <v>1</v>
      </c>
      <c r="J973" s="16" t="s">
        <v>4256</v>
      </c>
      <c r="K973" s="205"/>
      <c r="L973" s="16"/>
      <c r="M973" s="16"/>
      <c r="N973" s="16"/>
      <c r="O973" s="16"/>
      <c r="P973" s="16"/>
      <c r="Q973" s="16"/>
      <c r="R973" s="16"/>
      <c r="S973" s="16"/>
      <c r="T973" s="16"/>
      <c r="U973" s="16"/>
      <c r="V973" s="16"/>
      <c r="W973" s="16"/>
      <c r="X973" s="16"/>
      <c r="Y973" s="16"/>
      <c r="Z973" s="16"/>
      <c r="AA973" s="16"/>
    </row>
    <row r="974" spans="1:27" ht="24" customHeight="1">
      <c r="A974" s="327" t="s">
        <v>5355</v>
      </c>
      <c r="B974" s="328"/>
      <c r="C974" s="104"/>
      <c r="D974" s="104"/>
      <c r="E974" s="329"/>
      <c r="F974" s="104"/>
      <c r="G974" s="330"/>
      <c r="H974" s="330"/>
      <c r="I974" s="104"/>
      <c r="J974" s="104"/>
      <c r="K974" s="330"/>
      <c r="L974" s="104"/>
      <c r="M974" s="104"/>
      <c r="N974" s="104"/>
      <c r="O974" s="104"/>
      <c r="P974" s="104"/>
      <c r="Q974" s="104"/>
      <c r="R974" s="104"/>
      <c r="S974" s="104"/>
      <c r="T974" s="104"/>
      <c r="U974" s="104"/>
      <c r="V974" s="104"/>
      <c r="W974" s="104"/>
      <c r="X974" s="104"/>
      <c r="Y974" s="104"/>
      <c r="Z974" s="104"/>
      <c r="AA974" s="104"/>
    </row>
    <row r="975" spans="1:27" ht="24" customHeight="1">
      <c r="A975" s="16" t="s">
        <v>3329</v>
      </c>
      <c r="B975" s="16" t="s">
        <v>3330</v>
      </c>
      <c r="C975" s="16" t="s">
        <v>3331</v>
      </c>
      <c r="D975" s="16" t="s">
        <v>5328</v>
      </c>
      <c r="E975" s="204">
        <v>45383</v>
      </c>
      <c r="F975" s="56" t="b">
        <v>0</v>
      </c>
      <c r="G975" s="205" t="s">
        <v>5356</v>
      </c>
      <c r="H975" s="323" t="s">
        <v>5357</v>
      </c>
      <c r="I975" s="56" t="b">
        <v>1</v>
      </c>
      <c r="J975" s="16" t="s">
        <v>5190</v>
      </c>
      <c r="K975" s="205"/>
      <c r="L975" s="16"/>
      <c r="M975" s="16"/>
      <c r="N975" s="16"/>
      <c r="O975" s="16"/>
      <c r="P975" s="16"/>
      <c r="Q975" s="16"/>
      <c r="R975" s="16"/>
      <c r="S975" s="16"/>
      <c r="T975" s="16"/>
      <c r="U975" s="16"/>
      <c r="V975" s="16"/>
      <c r="W975" s="16"/>
      <c r="X975" s="16"/>
      <c r="Y975" s="16"/>
      <c r="Z975" s="16"/>
      <c r="AA975" s="16"/>
    </row>
    <row r="976" spans="1:27" ht="24" customHeight="1">
      <c r="A976" s="16" t="s">
        <v>3333</v>
      </c>
      <c r="B976" s="16" t="s">
        <v>3334</v>
      </c>
      <c r="C976" s="16" t="s">
        <v>3335</v>
      </c>
      <c r="D976" s="16" t="s">
        <v>5358</v>
      </c>
      <c r="E976" s="204">
        <v>45383</v>
      </c>
      <c r="F976" s="56" t="b">
        <v>0</v>
      </c>
      <c r="G976" s="205" t="s">
        <v>5359</v>
      </c>
      <c r="H976" s="323" t="s">
        <v>5360</v>
      </c>
      <c r="I976" s="56" t="b">
        <v>1</v>
      </c>
      <c r="J976" s="221" t="s">
        <v>4997</v>
      </c>
      <c r="K976" s="205"/>
      <c r="L976" s="16"/>
      <c r="M976" s="16"/>
      <c r="N976" s="16"/>
      <c r="O976" s="16"/>
      <c r="P976" s="16"/>
      <c r="Q976" s="16"/>
      <c r="R976" s="16"/>
      <c r="S976" s="16"/>
      <c r="T976" s="16"/>
      <c r="U976" s="16"/>
      <c r="V976" s="16"/>
      <c r="W976" s="16"/>
      <c r="X976" s="16"/>
      <c r="Y976" s="16"/>
      <c r="Z976" s="16"/>
      <c r="AA976" s="16"/>
    </row>
    <row r="977" spans="1:27" ht="24" customHeight="1">
      <c r="A977" s="16" t="s">
        <v>3336</v>
      </c>
      <c r="B977" s="16" t="s">
        <v>3337</v>
      </c>
      <c r="C977" s="16" t="s">
        <v>3338</v>
      </c>
      <c r="D977" s="16" t="s">
        <v>5328</v>
      </c>
      <c r="E977" s="204">
        <v>45384</v>
      </c>
      <c r="F977" s="56" t="b">
        <v>0</v>
      </c>
      <c r="G977" s="205" t="s">
        <v>5361</v>
      </c>
      <c r="H977" s="323" t="s">
        <v>5362</v>
      </c>
      <c r="I977" s="56" t="b">
        <v>1</v>
      </c>
      <c r="J977" s="16" t="s">
        <v>5190</v>
      </c>
      <c r="K977" s="205"/>
      <c r="L977" s="16"/>
      <c r="M977" s="16"/>
      <c r="N977" s="16"/>
      <c r="O977" s="16"/>
      <c r="P977" s="16"/>
      <c r="Q977" s="16"/>
      <c r="R977" s="16"/>
      <c r="S977" s="16"/>
      <c r="T977" s="16"/>
      <c r="U977" s="16"/>
      <c r="V977" s="16"/>
      <c r="W977" s="16"/>
      <c r="X977" s="16"/>
      <c r="Y977" s="16"/>
      <c r="Z977" s="16"/>
      <c r="AA977" s="16"/>
    </row>
    <row r="978" spans="1:27" ht="24" customHeight="1">
      <c r="A978" s="16" t="s">
        <v>3339</v>
      </c>
      <c r="B978" s="16" t="s">
        <v>3340</v>
      </c>
      <c r="C978" s="198" t="s">
        <v>3341</v>
      </c>
      <c r="D978" s="16" t="s">
        <v>3696</v>
      </c>
      <c r="E978" s="204">
        <v>45384</v>
      </c>
      <c r="F978" s="56" t="b">
        <v>0</v>
      </c>
      <c r="G978" s="205" t="s">
        <v>5363</v>
      </c>
      <c r="H978" s="323" t="s">
        <v>5364</v>
      </c>
      <c r="I978" s="56" t="b">
        <v>1</v>
      </c>
      <c r="J978" s="16" t="s">
        <v>5219</v>
      </c>
      <c r="K978" s="205"/>
      <c r="L978" s="16"/>
      <c r="M978" s="16"/>
      <c r="N978" s="16"/>
      <c r="O978" s="16"/>
      <c r="P978" s="16"/>
      <c r="Q978" s="16"/>
      <c r="R978" s="16"/>
      <c r="S978" s="16"/>
      <c r="T978" s="16"/>
      <c r="U978" s="16"/>
      <c r="V978" s="16"/>
      <c r="W978" s="16"/>
      <c r="X978" s="16"/>
      <c r="Y978" s="16"/>
      <c r="Z978" s="16"/>
      <c r="AA978" s="16"/>
    </row>
    <row r="979" spans="1:27" ht="24" customHeight="1">
      <c r="A979" s="16" t="s">
        <v>3342</v>
      </c>
      <c r="B979" s="16" t="s">
        <v>3343</v>
      </c>
      <c r="C979" s="16" t="s">
        <v>3344</v>
      </c>
      <c r="D979" s="16" t="s">
        <v>3692</v>
      </c>
      <c r="E979" s="204">
        <v>45385</v>
      </c>
      <c r="F979" s="56" t="b">
        <v>0</v>
      </c>
      <c r="G979" s="205" t="s">
        <v>5365</v>
      </c>
      <c r="H979" s="323" t="s">
        <v>5366</v>
      </c>
      <c r="I979" s="56" t="b">
        <v>1</v>
      </c>
      <c r="J979" s="16" t="s">
        <v>3745</v>
      </c>
      <c r="K979" s="205"/>
      <c r="L979" s="16"/>
      <c r="M979" s="16"/>
      <c r="N979" s="16"/>
      <c r="O979" s="16"/>
      <c r="P979" s="16"/>
      <c r="Q979" s="16"/>
      <c r="R979" s="16"/>
      <c r="S979" s="16"/>
      <c r="T979" s="16"/>
      <c r="U979" s="16"/>
      <c r="V979" s="16"/>
      <c r="W979" s="16"/>
      <c r="X979" s="16"/>
      <c r="Y979" s="16"/>
      <c r="Z979" s="16"/>
      <c r="AA979" s="16"/>
    </row>
    <row r="980" spans="1:27" ht="24" customHeight="1">
      <c r="A980" s="16" t="s">
        <v>5367</v>
      </c>
      <c r="B980" s="16" t="s">
        <v>5368</v>
      </c>
      <c r="C980" s="16" t="s">
        <v>5369</v>
      </c>
      <c r="D980" s="16" t="s">
        <v>5370</v>
      </c>
      <c r="E980" s="204">
        <v>45386</v>
      </c>
      <c r="F980" s="56" t="b">
        <v>0</v>
      </c>
      <c r="G980" s="205" t="s">
        <v>5371</v>
      </c>
      <c r="H980" s="323" t="s">
        <v>5372</v>
      </c>
      <c r="I980" s="56" t="b">
        <v>1</v>
      </c>
      <c r="J980" s="16" t="s">
        <v>5190</v>
      </c>
      <c r="K980" s="229"/>
      <c r="L980" s="227"/>
      <c r="M980" s="227"/>
      <c r="N980" s="227"/>
      <c r="O980" s="227"/>
      <c r="P980" s="227"/>
      <c r="Q980" s="227"/>
      <c r="R980" s="227"/>
      <c r="S980" s="227"/>
      <c r="T980" s="227"/>
      <c r="U980" s="227"/>
      <c r="V980" s="227"/>
      <c r="W980" s="227"/>
      <c r="X980" s="227"/>
      <c r="Y980" s="227"/>
      <c r="Z980" s="227"/>
      <c r="AA980" s="227"/>
    </row>
    <row r="981" spans="1:27" ht="24" customHeight="1">
      <c r="A981" s="16" t="s">
        <v>3345</v>
      </c>
      <c r="B981" s="16" t="s">
        <v>3346</v>
      </c>
      <c r="C981" s="16" t="s">
        <v>3347</v>
      </c>
      <c r="D981" s="16" t="s">
        <v>3692</v>
      </c>
      <c r="E981" s="204">
        <v>45387</v>
      </c>
      <c r="F981" s="331" t="b">
        <v>0</v>
      </c>
      <c r="G981" s="205" t="s">
        <v>5373</v>
      </c>
      <c r="H981" s="324" t="s">
        <v>5374</v>
      </c>
      <c r="I981" s="331" t="b">
        <v>1</v>
      </c>
      <c r="J981" s="16" t="s">
        <v>3745</v>
      </c>
      <c r="K981" s="205"/>
      <c r="L981" s="16"/>
      <c r="M981" s="16"/>
      <c r="N981" s="16"/>
      <c r="O981" s="16"/>
      <c r="P981" s="16"/>
      <c r="Q981" s="16"/>
      <c r="R981" s="16"/>
      <c r="S981" s="16"/>
      <c r="T981" s="16"/>
      <c r="U981" s="16"/>
      <c r="V981" s="16"/>
      <c r="W981" s="16"/>
      <c r="X981" s="16"/>
      <c r="Y981" s="16"/>
      <c r="Z981" s="16"/>
      <c r="AA981" s="16"/>
    </row>
    <row r="982" spans="1:27" ht="24" customHeight="1">
      <c r="A982" s="16" t="s">
        <v>3348</v>
      </c>
      <c r="B982" s="16" t="s">
        <v>3349</v>
      </c>
      <c r="C982" s="16" t="s">
        <v>3350</v>
      </c>
      <c r="D982" s="16" t="s">
        <v>3739</v>
      </c>
      <c r="E982" s="204">
        <v>45390</v>
      </c>
      <c r="F982" s="331" t="b">
        <v>0</v>
      </c>
      <c r="G982" s="205" t="s">
        <v>5375</v>
      </c>
      <c r="H982" s="323" t="s">
        <v>5376</v>
      </c>
      <c r="I982" s="331" t="b">
        <v>1</v>
      </c>
      <c r="J982" s="16" t="s">
        <v>3786</v>
      </c>
      <c r="K982" s="205"/>
      <c r="L982" s="16"/>
      <c r="M982" s="16"/>
      <c r="N982" s="16"/>
      <c r="O982" s="16"/>
      <c r="P982" s="16"/>
      <c r="Q982" s="16"/>
      <c r="R982" s="16"/>
      <c r="S982" s="16"/>
      <c r="T982" s="16"/>
      <c r="U982" s="16"/>
      <c r="V982" s="16"/>
      <c r="W982" s="16"/>
      <c r="X982" s="16"/>
      <c r="Y982" s="16"/>
      <c r="Z982" s="16"/>
      <c r="AA982" s="16"/>
    </row>
    <row r="983" spans="1:27" ht="24" customHeight="1">
      <c r="A983" s="16" t="s">
        <v>3351</v>
      </c>
      <c r="B983" s="16" t="s">
        <v>3352</v>
      </c>
      <c r="C983" s="16" t="s">
        <v>3353</v>
      </c>
      <c r="D983" s="16" t="s">
        <v>3739</v>
      </c>
      <c r="E983" s="204">
        <v>45390</v>
      </c>
      <c r="F983" s="331" t="b">
        <v>0</v>
      </c>
      <c r="G983" s="205" t="s">
        <v>5377</v>
      </c>
      <c r="H983" s="323" t="s">
        <v>5378</v>
      </c>
      <c r="I983" s="331" t="b">
        <v>1</v>
      </c>
      <c r="J983" s="16" t="s">
        <v>3786</v>
      </c>
      <c r="K983" s="205"/>
      <c r="L983" s="16"/>
      <c r="M983" s="16"/>
      <c r="N983" s="16"/>
      <c r="O983" s="16"/>
      <c r="P983" s="16"/>
      <c r="Q983" s="16"/>
      <c r="R983" s="16"/>
      <c r="S983" s="16"/>
      <c r="T983" s="16"/>
      <c r="U983" s="16"/>
      <c r="V983" s="16"/>
      <c r="W983" s="16"/>
      <c r="X983" s="16"/>
      <c r="Y983" s="16"/>
      <c r="Z983" s="16"/>
      <c r="AA983" s="16"/>
    </row>
    <row r="984" spans="1:27" ht="24" customHeight="1">
      <c r="A984" s="16" t="s">
        <v>3354</v>
      </c>
      <c r="B984" s="16" t="s">
        <v>3355</v>
      </c>
      <c r="C984" s="16" t="s">
        <v>3356</v>
      </c>
      <c r="D984" s="16" t="s">
        <v>3718</v>
      </c>
      <c r="E984" s="204">
        <v>45392</v>
      </c>
      <c r="F984" s="331" t="b">
        <v>0</v>
      </c>
      <c r="G984" s="205" t="s">
        <v>5379</v>
      </c>
      <c r="H984" s="323" t="s">
        <v>5380</v>
      </c>
      <c r="I984" s="56" t="b">
        <v>1</v>
      </c>
      <c r="J984" s="16" t="s">
        <v>4775</v>
      </c>
      <c r="K984" s="205"/>
      <c r="L984" s="16"/>
      <c r="M984" s="16"/>
      <c r="N984" s="16"/>
      <c r="O984" s="16"/>
      <c r="P984" s="16"/>
      <c r="Q984" s="16"/>
      <c r="R984" s="16"/>
      <c r="S984" s="16"/>
      <c r="T984" s="16"/>
      <c r="U984" s="16"/>
      <c r="V984" s="16"/>
      <c r="W984" s="16"/>
      <c r="X984" s="16"/>
      <c r="Y984" s="16"/>
      <c r="Z984" s="16"/>
      <c r="AA984" s="16"/>
    </row>
    <row r="985" spans="1:27" ht="24" customHeight="1">
      <c r="A985" s="16" t="s">
        <v>3357</v>
      </c>
      <c r="B985" s="16" t="s">
        <v>3358</v>
      </c>
      <c r="C985" s="16" t="s">
        <v>3359</v>
      </c>
      <c r="D985" s="16" t="s">
        <v>3696</v>
      </c>
      <c r="E985" s="204">
        <v>45393</v>
      </c>
      <c r="F985" s="331" t="b">
        <v>0</v>
      </c>
      <c r="G985" s="205" t="s">
        <v>5381</v>
      </c>
      <c r="H985" s="323" t="s">
        <v>5382</v>
      </c>
      <c r="I985" s="331" t="b">
        <v>1</v>
      </c>
      <c r="J985" s="16" t="s">
        <v>5219</v>
      </c>
      <c r="K985" s="205"/>
      <c r="L985" s="16"/>
      <c r="M985" s="16"/>
      <c r="N985" s="16"/>
      <c r="O985" s="16"/>
      <c r="P985" s="16"/>
      <c r="Q985" s="16"/>
      <c r="R985" s="16"/>
      <c r="S985" s="16"/>
      <c r="T985" s="16"/>
      <c r="U985" s="16"/>
      <c r="V985" s="16"/>
      <c r="W985" s="16"/>
      <c r="X985" s="16"/>
      <c r="Y985" s="16"/>
      <c r="Z985" s="16"/>
      <c r="AA985" s="16"/>
    </row>
    <row r="986" spans="1:27" ht="24" customHeight="1">
      <c r="A986" s="16" t="s">
        <v>3360</v>
      </c>
      <c r="B986" s="16" t="s">
        <v>3361</v>
      </c>
      <c r="C986" s="16" t="s">
        <v>3362</v>
      </c>
      <c r="D986" s="16" t="s">
        <v>3790</v>
      </c>
      <c r="E986" s="204">
        <v>45393</v>
      </c>
      <c r="F986" s="331" t="b">
        <v>0</v>
      </c>
      <c r="G986" s="205" t="s">
        <v>5383</v>
      </c>
      <c r="H986" s="323" t="s">
        <v>5384</v>
      </c>
      <c r="I986" s="56" t="b">
        <v>1</v>
      </c>
      <c r="J986" s="16" t="s">
        <v>4256</v>
      </c>
      <c r="K986" s="205"/>
      <c r="L986" s="16"/>
      <c r="M986" s="16"/>
      <c r="N986" s="16"/>
      <c r="O986" s="16"/>
      <c r="P986" s="16"/>
      <c r="Q986" s="16"/>
      <c r="R986" s="16"/>
      <c r="S986" s="16"/>
      <c r="T986" s="16"/>
      <c r="U986" s="16"/>
      <c r="V986" s="16"/>
      <c r="W986" s="16"/>
      <c r="X986" s="16"/>
      <c r="Y986" s="16"/>
      <c r="Z986" s="16"/>
      <c r="AA986" s="16"/>
    </row>
    <row r="987" spans="1:27" ht="24" customHeight="1">
      <c r="A987" s="16" t="s">
        <v>3363</v>
      </c>
      <c r="B987" s="16" t="s">
        <v>3364</v>
      </c>
      <c r="C987" s="16" t="s">
        <v>3365</v>
      </c>
      <c r="D987" s="16" t="s">
        <v>5331</v>
      </c>
      <c r="E987" s="204">
        <v>45394</v>
      </c>
      <c r="F987" s="331" t="b">
        <v>0</v>
      </c>
      <c r="G987" s="205" t="s">
        <v>5385</v>
      </c>
      <c r="H987" s="323" t="s">
        <v>5386</v>
      </c>
      <c r="I987" s="331" t="b">
        <v>0</v>
      </c>
      <c r="J987" s="16" t="s">
        <v>5190</v>
      </c>
      <c r="K987" s="205"/>
      <c r="L987" s="16"/>
      <c r="M987" s="16"/>
      <c r="N987" s="16"/>
      <c r="O987" s="16"/>
      <c r="P987" s="16"/>
      <c r="Q987" s="16"/>
      <c r="R987" s="16"/>
      <c r="S987" s="16"/>
      <c r="T987" s="16"/>
      <c r="U987" s="16"/>
      <c r="V987" s="16"/>
      <c r="W987" s="16"/>
      <c r="X987" s="16"/>
      <c r="Y987" s="16"/>
      <c r="Z987" s="16"/>
      <c r="AA987" s="16"/>
    </row>
    <row r="988" spans="1:27" ht="24" customHeight="1">
      <c r="A988" s="16" t="s">
        <v>3366</v>
      </c>
      <c r="B988" s="16" t="s">
        <v>3367</v>
      </c>
      <c r="C988" s="16" t="s">
        <v>3368</v>
      </c>
      <c r="D988" s="16" t="s">
        <v>3790</v>
      </c>
      <c r="E988" s="204">
        <v>45394</v>
      </c>
      <c r="F988" s="331" t="b">
        <v>0</v>
      </c>
      <c r="G988" s="205" t="s">
        <v>5387</v>
      </c>
      <c r="H988" s="323" t="s">
        <v>5388</v>
      </c>
      <c r="I988" s="56" t="b">
        <v>1</v>
      </c>
      <c r="J988" s="16" t="s">
        <v>4256</v>
      </c>
      <c r="K988" s="205"/>
      <c r="L988" s="16"/>
      <c r="M988" s="16"/>
      <c r="N988" s="16"/>
      <c r="O988" s="16"/>
      <c r="P988" s="16"/>
      <c r="Q988" s="16"/>
      <c r="R988" s="16"/>
      <c r="S988" s="16"/>
      <c r="T988" s="16"/>
      <c r="U988" s="16"/>
      <c r="V988" s="16"/>
      <c r="W988" s="16"/>
      <c r="X988" s="16"/>
      <c r="Y988" s="16"/>
      <c r="Z988" s="16"/>
      <c r="AA988" s="16"/>
    </row>
    <row r="989" spans="1:27" ht="24" customHeight="1">
      <c r="A989" s="16" t="s">
        <v>5389</v>
      </c>
      <c r="B989" s="16" t="s">
        <v>5390</v>
      </c>
      <c r="C989" s="16" t="s">
        <v>5391</v>
      </c>
      <c r="D989" s="16" t="s">
        <v>3692</v>
      </c>
      <c r="E989" s="204">
        <v>45397</v>
      </c>
      <c r="F989" s="331" t="b">
        <v>0</v>
      </c>
      <c r="G989" s="205" t="s">
        <v>5392</v>
      </c>
      <c r="H989" s="323" t="s">
        <v>5393</v>
      </c>
      <c r="I989" s="331" t="b">
        <v>1</v>
      </c>
      <c r="J989" s="16" t="s">
        <v>3745</v>
      </c>
      <c r="K989" s="205"/>
      <c r="L989" s="16"/>
      <c r="M989" s="16"/>
      <c r="N989" s="16"/>
      <c r="O989" s="16"/>
      <c r="P989" s="16"/>
      <c r="Q989" s="16"/>
      <c r="R989" s="16"/>
      <c r="S989" s="16"/>
      <c r="T989" s="16"/>
      <c r="U989" s="16"/>
      <c r="V989" s="16"/>
      <c r="W989" s="16"/>
      <c r="X989" s="16"/>
      <c r="Y989" s="16"/>
      <c r="Z989" s="16"/>
      <c r="AA989" s="16"/>
    </row>
    <row r="990" spans="1:27" ht="24" customHeight="1">
      <c r="A990" s="16" t="s">
        <v>5394</v>
      </c>
      <c r="B990" s="16" t="s">
        <v>5395</v>
      </c>
      <c r="C990" s="16" t="s">
        <v>5396</v>
      </c>
      <c r="D990" s="16" t="s">
        <v>4270</v>
      </c>
      <c r="E990" s="204">
        <v>45398</v>
      </c>
      <c r="F990" s="331" t="b">
        <v>0</v>
      </c>
      <c r="G990" s="205" t="s">
        <v>5397</v>
      </c>
      <c r="H990" s="323" t="s">
        <v>5398</v>
      </c>
      <c r="I990" s="331" t="b">
        <v>1</v>
      </c>
      <c r="J990" s="16" t="s">
        <v>3981</v>
      </c>
      <c r="K990" s="205"/>
      <c r="L990" s="16"/>
      <c r="M990" s="16"/>
      <c r="N990" s="16"/>
      <c r="O990" s="16"/>
      <c r="P990" s="16"/>
      <c r="Q990" s="16"/>
      <c r="R990" s="16"/>
      <c r="S990" s="16"/>
      <c r="T990" s="16"/>
      <c r="U990" s="16"/>
      <c r="V990" s="16"/>
      <c r="W990" s="16"/>
      <c r="X990" s="16"/>
      <c r="Y990" s="16"/>
      <c r="Z990" s="16"/>
      <c r="AA990" s="16"/>
    </row>
    <row r="991" spans="1:27" ht="24" customHeight="1">
      <c r="A991" s="16" t="s">
        <v>5399</v>
      </c>
      <c r="B991" s="16" t="s">
        <v>5400</v>
      </c>
      <c r="C991" s="16" t="s">
        <v>5401</v>
      </c>
      <c r="D991" s="16" t="s">
        <v>3930</v>
      </c>
      <c r="E991" s="204">
        <v>45398</v>
      </c>
      <c r="F991" s="331" t="b">
        <v>0</v>
      </c>
      <c r="G991" s="205" t="s">
        <v>5402</v>
      </c>
      <c r="H991" s="323" t="s">
        <v>5403</v>
      </c>
      <c r="I991" s="331" t="b">
        <v>0</v>
      </c>
      <c r="J991" s="16" t="s">
        <v>3621</v>
      </c>
      <c r="K991" s="205"/>
      <c r="L991" s="16"/>
      <c r="M991" s="16"/>
      <c r="N991" s="16"/>
      <c r="O991" s="16"/>
      <c r="P991" s="16"/>
      <c r="Q991" s="16"/>
      <c r="R991" s="16"/>
      <c r="S991" s="16"/>
      <c r="T991" s="16"/>
      <c r="U991" s="16"/>
      <c r="V991" s="16"/>
      <c r="W991" s="16"/>
      <c r="X991" s="16"/>
      <c r="Y991" s="16"/>
      <c r="Z991" s="16"/>
      <c r="AA991" s="16"/>
    </row>
    <row r="992" spans="1:27" ht="24" customHeight="1">
      <c r="A992" s="16" t="s">
        <v>5404</v>
      </c>
      <c r="B992" s="16" t="s">
        <v>5405</v>
      </c>
      <c r="C992" s="16" t="s">
        <v>5406</v>
      </c>
      <c r="D992" s="16" t="s">
        <v>3692</v>
      </c>
      <c r="E992" s="204">
        <v>45398</v>
      </c>
      <c r="F992" s="331" t="b">
        <v>0</v>
      </c>
      <c r="G992" s="205" t="s">
        <v>5407</v>
      </c>
      <c r="H992" s="323" t="s">
        <v>5408</v>
      </c>
      <c r="I992" s="331" t="b">
        <v>0</v>
      </c>
      <c r="J992" s="16" t="s">
        <v>3745</v>
      </c>
      <c r="K992" s="205"/>
      <c r="L992" s="16"/>
      <c r="M992" s="16"/>
      <c r="N992" s="16"/>
      <c r="O992" s="16"/>
      <c r="P992" s="16"/>
      <c r="Q992" s="16"/>
      <c r="R992" s="16"/>
      <c r="S992" s="16"/>
      <c r="T992" s="16"/>
      <c r="U992" s="16"/>
      <c r="V992" s="16"/>
      <c r="W992" s="16"/>
      <c r="X992" s="16"/>
      <c r="Y992" s="16"/>
      <c r="Z992" s="16"/>
      <c r="AA992" s="16"/>
    </row>
    <row r="993" spans="1:27" ht="24" customHeight="1">
      <c r="A993" s="16"/>
      <c r="C993" s="16"/>
      <c r="D993" s="16"/>
      <c r="E993" s="16"/>
      <c r="F993" s="16"/>
      <c r="G993" s="205"/>
      <c r="H993" s="205"/>
      <c r="I993" s="16"/>
      <c r="J993" s="16"/>
      <c r="K993" s="205"/>
      <c r="L993" s="16"/>
      <c r="M993" s="16"/>
      <c r="N993" s="16"/>
      <c r="O993" s="16"/>
      <c r="P993" s="16"/>
      <c r="Q993" s="16"/>
      <c r="R993" s="16"/>
      <c r="S993" s="16"/>
      <c r="T993" s="16"/>
      <c r="U993" s="16"/>
      <c r="V993" s="16"/>
      <c r="W993" s="16"/>
      <c r="X993" s="16"/>
      <c r="Y993" s="16"/>
      <c r="Z993" s="16"/>
      <c r="AA993" s="16"/>
    </row>
    <row r="994" spans="1:27" ht="24" customHeight="1">
      <c r="A994" s="16"/>
      <c r="B994" s="16"/>
      <c r="C994" s="16"/>
      <c r="D994" s="16"/>
      <c r="E994" s="16"/>
      <c r="F994" s="16"/>
      <c r="G994" s="205"/>
      <c r="H994" s="205"/>
      <c r="I994" s="16"/>
      <c r="J994" s="16"/>
      <c r="K994" s="205"/>
      <c r="L994" s="16"/>
      <c r="M994" s="16"/>
      <c r="N994" s="16"/>
      <c r="O994" s="16"/>
      <c r="P994" s="16"/>
      <c r="Q994" s="16"/>
      <c r="R994" s="16"/>
      <c r="S994" s="16"/>
      <c r="T994" s="16"/>
      <c r="U994" s="16"/>
      <c r="V994" s="16"/>
      <c r="W994" s="16"/>
      <c r="X994" s="16"/>
      <c r="Y994" s="16"/>
      <c r="Z994" s="16"/>
      <c r="AA994" s="16"/>
    </row>
    <row r="995" spans="1:27" ht="24" customHeight="1">
      <c r="A995" s="16"/>
      <c r="B995" s="16"/>
      <c r="C995" s="16"/>
      <c r="D995" s="16"/>
      <c r="E995" s="16"/>
      <c r="F995" s="16"/>
      <c r="G995" s="205"/>
      <c r="H995" s="205"/>
      <c r="I995" s="16"/>
      <c r="J995" s="16"/>
      <c r="K995" s="205"/>
      <c r="L995" s="16"/>
      <c r="M995" s="16"/>
      <c r="N995" s="16"/>
      <c r="O995" s="16"/>
      <c r="P995" s="16"/>
      <c r="Q995" s="16"/>
      <c r="R995" s="16"/>
      <c r="S995" s="16"/>
      <c r="T995" s="16"/>
      <c r="U995" s="16"/>
      <c r="V995" s="16"/>
      <c r="W995" s="16"/>
      <c r="X995" s="16"/>
      <c r="Y995" s="16"/>
      <c r="Z995" s="16"/>
      <c r="AA995" s="16"/>
    </row>
    <row r="996" spans="1:27" ht="24" customHeight="1">
      <c r="A996" s="16"/>
      <c r="B996" s="16"/>
      <c r="C996" s="16"/>
      <c r="D996" s="16"/>
      <c r="E996" s="16"/>
      <c r="F996" s="16"/>
      <c r="G996" s="205"/>
      <c r="H996" s="205"/>
      <c r="I996" s="16"/>
      <c r="J996" s="16"/>
      <c r="K996" s="205"/>
      <c r="L996" s="16"/>
      <c r="M996" s="16"/>
      <c r="N996" s="16"/>
      <c r="O996" s="16"/>
      <c r="P996" s="16"/>
      <c r="Q996" s="16"/>
      <c r="R996" s="16"/>
      <c r="S996" s="16"/>
      <c r="T996" s="16"/>
      <c r="U996" s="16"/>
      <c r="V996" s="16"/>
      <c r="W996" s="16"/>
      <c r="X996" s="16"/>
      <c r="Y996" s="16"/>
      <c r="Z996" s="16"/>
      <c r="AA996" s="16"/>
    </row>
    <row r="997" spans="1:27" ht="24" customHeight="1">
      <c r="A997" s="16"/>
      <c r="B997" s="16"/>
      <c r="C997" s="16"/>
      <c r="D997" s="16"/>
      <c r="E997" s="16"/>
      <c r="F997" s="16"/>
      <c r="G997" s="205"/>
      <c r="H997" s="205"/>
      <c r="I997" s="16"/>
      <c r="J997" s="16"/>
      <c r="K997" s="205"/>
      <c r="L997" s="16"/>
      <c r="M997" s="16"/>
      <c r="N997" s="16"/>
      <c r="O997" s="16"/>
      <c r="P997" s="16"/>
      <c r="Q997" s="16"/>
      <c r="R997" s="16"/>
      <c r="S997" s="16"/>
      <c r="T997" s="16"/>
      <c r="U997" s="16"/>
      <c r="V997" s="16"/>
      <c r="W997" s="16"/>
      <c r="X997" s="16"/>
      <c r="Y997" s="16"/>
      <c r="Z997" s="16"/>
      <c r="AA997" s="16"/>
    </row>
    <row r="998" spans="1:27" ht="24" customHeight="1">
      <c r="A998" s="16"/>
      <c r="B998" s="16"/>
      <c r="C998" s="16"/>
      <c r="D998" s="16"/>
      <c r="E998" s="16"/>
      <c r="F998" s="16"/>
      <c r="G998" s="205"/>
      <c r="H998" s="205"/>
      <c r="I998" s="16"/>
      <c r="J998" s="16"/>
      <c r="K998" s="205"/>
      <c r="L998" s="16"/>
      <c r="M998" s="16"/>
      <c r="N998" s="16"/>
      <c r="O998" s="16"/>
      <c r="P998" s="16"/>
      <c r="Q998" s="16"/>
      <c r="R998" s="16"/>
      <c r="S998" s="16"/>
      <c r="T998" s="16"/>
      <c r="U998" s="16"/>
      <c r="V998" s="16"/>
      <c r="W998" s="16"/>
      <c r="X998" s="16"/>
      <c r="Y998" s="16"/>
      <c r="Z998" s="16"/>
      <c r="AA998" s="16"/>
    </row>
    <row r="999" spans="1:27" ht="24" customHeight="1">
      <c r="A999" s="16"/>
      <c r="B999" s="16"/>
      <c r="C999" s="16"/>
      <c r="D999" s="16"/>
      <c r="E999" s="16"/>
      <c r="F999" s="16"/>
      <c r="G999" s="205"/>
      <c r="H999" s="205"/>
      <c r="I999" s="16"/>
      <c r="J999" s="16"/>
      <c r="K999" s="205"/>
      <c r="L999" s="16"/>
      <c r="M999" s="16"/>
      <c r="N999" s="16"/>
      <c r="O999" s="16"/>
      <c r="P999" s="16"/>
      <c r="Q999" s="16"/>
      <c r="R999" s="16"/>
      <c r="S999" s="16"/>
      <c r="T999" s="16"/>
      <c r="U999" s="16"/>
      <c r="V999" s="16"/>
      <c r="W999" s="16"/>
      <c r="X999" s="16"/>
      <c r="Y999" s="16"/>
      <c r="Z999" s="16"/>
      <c r="AA999" s="16"/>
    </row>
    <row r="1000" spans="1:27" ht="24" customHeight="1">
      <c r="A1000" s="16"/>
      <c r="B1000" s="16"/>
      <c r="C1000" s="16"/>
      <c r="D1000" s="16"/>
      <c r="E1000" s="16"/>
      <c r="F1000" s="16"/>
      <c r="G1000" s="205"/>
      <c r="H1000" s="205"/>
      <c r="I1000" s="16"/>
      <c r="J1000" s="16"/>
      <c r="K1000" s="205"/>
      <c r="L1000" s="16"/>
      <c r="M1000" s="16"/>
      <c r="N1000" s="16"/>
      <c r="O1000" s="16"/>
      <c r="P1000" s="16"/>
      <c r="Q1000" s="16"/>
      <c r="R1000" s="16"/>
      <c r="S1000" s="16"/>
      <c r="T1000" s="16"/>
      <c r="U1000" s="16"/>
      <c r="V1000" s="16"/>
      <c r="W1000" s="16"/>
      <c r="X1000" s="16"/>
      <c r="Y1000" s="16"/>
      <c r="Z1000" s="16"/>
      <c r="AA1000" s="16"/>
    </row>
    <row r="1001" spans="1:27" ht="24" customHeight="1">
      <c r="A1001" s="16"/>
      <c r="B1001" s="16"/>
      <c r="C1001" s="16"/>
      <c r="D1001" s="16"/>
      <c r="E1001" s="16"/>
      <c r="F1001" s="16"/>
      <c r="G1001" s="205"/>
      <c r="H1001" s="205"/>
      <c r="I1001" s="16"/>
      <c r="J1001" s="16"/>
      <c r="K1001" s="205"/>
      <c r="L1001" s="16"/>
      <c r="M1001" s="16"/>
      <c r="N1001" s="16"/>
      <c r="O1001" s="16"/>
      <c r="P1001" s="16"/>
      <c r="Q1001" s="16"/>
      <c r="R1001" s="16"/>
      <c r="S1001" s="16"/>
      <c r="T1001" s="16"/>
      <c r="U1001" s="16"/>
      <c r="V1001" s="16"/>
      <c r="W1001" s="16"/>
      <c r="X1001" s="16"/>
      <c r="Y1001" s="16"/>
      <c r="Z1001" s="16"/>
      <c r="AA1001" s="16"/>
    </row>
    <row r="1002" spans="1:27" ht="24" customHeight="1">
      <c r="A1002" s="16"/>
      <c r="B1002" s="16"/>
      <c r="C1002" s="16"/>
      <c r="D1002" s="16"/>
      <c r="E1002" s="16"/>
      <c r="F1002" s="16"/>
      <c r="G1002" s="205"/>
      <c r="H1002" s="205"/>
      <c r="I1002" s="16"/>
      <c r="J1002" s="16"/>
      <c r="K1002" s="205"/>
      <c r="L1002" s="16"/>
      <c r="M1002" s="16"/>
      <c r="N1002" s="16"/>
      <c r="O1002" s="16"/>
      <c r="P1002" s="16"/>
      <c r="Q1002" s="16"/>
      <c r="R1002" s="16"/>
      <c r="S1002" s="16"/>
      <c r="T1002" s="16"/>
      <c r="U1002" s="16"/>
      <c r="V1002" s="16"/>
      <c r="W1002" s="16"/>
      <c r="X1002" s="16"/>
      <c r="Y1002" s="16"/>
      <c r="Z1002" s="16"/>
      <c r="AA1002" s="16"/>
    </row>
    <row r="1003" spans="1:27" ht="24" customHeight="1">
      <c r="A1003" s="16"/>
      <c r="B1003" s="16"/>
      <c r="C1003" s="16"/>
      <c r="D1003" s="16"/>
      <c r="E1003" s="16"/>
      <c r="F1003" s="16"/>
      <c r="G1003" s="205"/>
      <c r="H1003" s="205"/>
      <c r="I1003" s="16"/>
      <c r="J1003" s="16"/>
      <c r="K1003" s="205"/>
      <c r="L1003" s="16"/>
      <c r="M1003" s="16"/>
      <c r="N1003" s="16"/>
      <c r="O1003" s="16"/>
      <c r="P1003" s="16"/>
      <c r="Q1003" s="16"/>
      <c r="R1003" s="16"/>
      <c r="S1003" s="16"/>
      <c r="T1003" s="16"/>
      <c r="U1003" s="16"/>
      <c r="V1003" s="16"/>
      <c r="W1003" s="16"/>
      <c r="X1003" s="16"/>
      <c r="Y1003" s="16"/>
      <c r="Z1003" s="16"/>
      <c r="AA1003" s="16"/>
    </row>
    <row r="1004" spans="1:27" ht="24" customHeight="1">
      <c r="A1004" s="16"/>
      <c r="B1004" s="16"/>
      <c r="C1004" s="16"/>
      <c r="D1004" s="16"/>
      <c r="E1004" s="16"/>
      <c r="F1004" s="16"/>
      <c r="G1004" s="205"/>
      <c r="H1004" s="205"/>
      <c r="I1004" s="16"/>
      <c r="J1004" s="16"/>
      <c r="K1004" s="205"/>
      <c r="L1004" s="16"/>
      <c r="M1004" s="16"/>
      <c r="N1004" s="16"/>
      <c r="O1004" s="16"/>
      <c r="P1004" s="16"/>
      <c r="Q1004" s="16"/>
      <c r="R1004" s="16"/>
      <c r="S1004" s="16"/>
      <c r="T1004" s="16"/>
      <c r="U1004" s="16"/>
      <c r="V1004" s="16"/>
      <c r="W1004" s="16"/>
      <c r="X1004" s="16"/>
      <c r="Y1004" s="16"/>
      <c r="Z1004" s="16"/>
      <c r="AA1004" s="16"/>
    </row>
    <row r="1005" spans="1:27" ht="24" customHeight="1">
      <c r="A1005" s="16"/>
      <c r="B1005" s="16"/>
      <c r="C1005" s="16"/>
      <c r="D1005" s="16"/>
      <c r="E1005" s="16"/>
      <c r="F1005" s="16"/>
      <c r="G1005" s="205"/>
      <c r="H1005" s="205"/>
      <c r="I1005" s="16"/>
      <c r="J1005" s="16"/>
      <c r="K1005" s="205"/>
      <c r="L1005" s="16"/>
      <c r="M1005" s="16"/>
      <c r="N1005" s="16"/>
      <c r="O1005" s="16"/>
      <c r="P1005" s="16"/>
      <c r="Q1005" s="16"/>
      <c r="R1005" s="16"/>
      <c r="S1005" s="16"/>
      <c r="T1005" s="16"/>
      <c r="U1005" s="16"/>
      <c r="V1005" s="16"/>
      <c r="W1005" s="16"/>
      <c r="X1005" s="16"/>
      <c r="Y1005" s="16"/>
      <c r="Z1005" s="16"/>
      <c r="AA1005" s="16"/>
    </row>
    <row r="1006" spans="1:27" ht="24" customHeight="1">
      <c r="A1006" s="16"/>
      <c r="B1006" s="16"/>
      <c r="C1006" s="16"/>
      <c r="D1006" s="16"/>
      <c r="E1006" s="16"/>
      <c r="F1006" s="16"/>
      <c r="G1006" s="205"/>
      <c r="H1006" s="205"/>
      <c r="I1006" s="16"/>
      <c r="J1006" s="16"/>
      <c r="K1006" s="205"/>
      <c r="L1006" s="16"/>
      <c r="M1006" s="16"/>
      <c r="N1006" s="16"/>
      <c r="O1006" s="16"/>
      <c r="P1006" s="16"/>
      <c r="Q1006" s="16"/>
      <c r="R1006" s="16"/>
      <c r="S1006" s="16"/>
      <c r="T1006" s="16"/>
      <c r="U1006" s="16"/>
      <c r="V1006" s="16"/>
      <c r="W1006" s="16"/>
      <c r="X1006" s="16"/>
      <c r="Y1006" s="16"/>
      <c r="Z1006" s="16"/>
      <c r="AA1006" s="16"/>
    </row>
    <row r="1007" spans="1:27" ht="24" customHeight="1">
      <c r="A1007" s="16"/>
      <c r="B1007" s="16"/>
      <c r="C1007" s="16"/>
      <c r="D1007" s="16"/>
      <c r="E1007" s="16"/>
      <c r="F1007" s="16"/>
      <c r="G1007" s="205"/>
      <c r="H1007" s="205"/>
      <c r="I1007" s="16"/>
      <c r="J1007" s="16"/>
      <c r="K1007" s="205"/>
      <c r="L1007" s="16"/>
      <c r="M1007" s="16"/>
      <c r="N1007" s="16"/>
      <c r="O1007" s="16"/>
      <c r="P1007" s="16"/>
      <c r="Q1007" s="16"/>
      <c r="R1007" s="16"/>
      <c r="S1007" s="16"/>
      <c r="T1007" s="16"/>
      <c r="U1007" s="16"/>
      <c r="V1007" s="16"/>
      <c r="W1007" s="16"/>
      <c r="X1007" s="16"/>
      <c r="Y1007" s="16"/>
      <c r="Z1007" s="16"/>
      <c r="AA1007" s="16"/>
    </row>
    <row r="1008" spans="1:27" ht="24" customHeight="1">
      <c r="A1008" s="16"/>
      <c r="B1008" s="16"/>
      <c r="C1008" s="16"/>
      <c r="D1008" s="16"/>
      <c r="E1008" s="16"/>
      <c r="F1008" s="16"/>
      <c r="G1008" s="205"/>
      <c r="H1008" s="205"/>
      <c r="I1008" s="16"/>
      <c r="J1008" s="16"/>
      <c r="K1008" s="205"/>
      <c r="L1008" s="16"/>
      <c r="M1008" s="16"/>
      <c r="N1008" s="16"/>
      <c r="O1008" s="16"/>
      <c r="P1008" s="16"/>
      <c r="Q1008" s="16"/>
      <c r="R1008" s="16"/>
      <c r="S1008" s="16"/>
      <c r="T1008" s="16"/>
      <c r="U1008" s="16"/>
      <c r="V1008" s="16"/>
      <c r="W1008" s="16"/>
      <c r="X1008" s="16"/>
      <c r="Y1008" s="16"/>
      <c r="Z1008" s="16"/>
      <c r="AA1008" s="16"/>
    </row>
    <row r="1009" spans="1:27" ht="24" customHeight="1">
      <c r="A1009" s="16"/>
      <c r="B1009" s="16"/>
      <c r="C1009" s="16"/>
      <c r="D1009" s="16"/>
      <c r="E1009" s="16"/>
      <c r="F1009" s="16"/>
      <c r="G1009" s="205"/>
      <c r="H1009" s="205"/>
      <c r="I1009" s="16"/>
      <c r="J1009" s="16"/>
      <c r="K1009" s="205"/>
      <c r="L1009" s="16"/>
      <c r="M1009" s="16"/>
      <c r="N1009" s="16"/>
      <c r="O1009" s="16"/>
      <c r="P1009" s="16"/>
      <c r="Q1009" s="16"/>
      <c r="R1009" s="16"/>
      <c r="S1009" s="16"/>
      <c r="T1009" s="16"/>
      <c r="U1009" s="16"/>
      <c r="V1009" s="16"/>
      <c r="W1009" s="16"/>
      <c r="X1009" s="16"/>
      <c r="Y1009" s="16"/>
      <c r="Z1009" s="16"/>
      <c r="AA1009" s="16"/>
    </row>
    <row r="1010" spans="1:27" ht="24" customHeight="1">
      <c r="A1010" s="16"/>
      <c r="B1010" s="16"/>
      <c r="C1010" s="16"/>
      <c r="D1010" s="16"/>
      <c r="E1010" s="16"/>
      <c r="F1010" s="16"/>
      <c r="G1010" s="205"/>
      <c r="H1010" s="205"/>
      <c r="I1010" s="16"/>
      <c r="J1010" s="16"/>
      <c r="K1010" s="205"/>
      <c r="L1010" s="16"/>
      <c r="M1010" s="16"/>
      <c r="N1010" s="16"/>
      <c r="O1010" s="16"/>
      <c r="P1010" s="16"/>
      <c r="Q1010" s="16"/>
      <c r="R1010" s="16"/>
      <c r="S1010" s="16"/>
      <c r="T1010" s="16"/>
      <c r="U1010" s="16"/>
      <c r="V1010" s="16"/>
      <c r="W1010" s="16"/>
      <c r="X1010" s="16"/>
      <c r="Y1010" s="16"/>
      <c r="Z1010" s="16"/>
      <c r="AA1010" s="16"/>
    </row>
    <row r="1011" spans="1:27" ht="24" customHeight="1">
      <c r="A1011" s="16"/>
      <c r="B1011" s="16"/>
      <c r="C1011" s="16"/>
      <c r="D1011" s="16"/>
      <c r="E1011" s="16"/>
      <c r="F1011" s="16"/>
      <c r="G1011" s="205"/>
      <c r="H1011" s="205"/>
      <c r="I1011" s="16"/>
      <c r="J1011" s="16"/>
      <c r="K1011" s="205"/>
      <c r="L1011" s="16"/>
      <c r="M1011" s="16"/>
      <c r="N1011" s="16"/>
      <c r="O1011" s="16"/>
      <c r="P1011" s="16"/>
      <c r="Q1011" s="16"/>
      <c r="R1011" s="16"/>
      <c r="S1011" s="16"/>
      <c r="T1011" s="16"/>
      <c r="U1011" s="16"/>
      <c r="V1011" s="16"/>
      <c r="W1011" s="16"/>
      <c r="X1011" s="16"/>
      <c r="Y1011" s="16"/>
      <c r="Z1011" s="16"/>
      <c r="AA1011" s="16"/>
    </row>
    <row r="1012" spans="1:27" ht="24" customHeight="1">
      <c r="A1012" s="16"/>
      <c r="B1012" s="16"/>
      <c r="C1012" s="16"/>
      <c r="D1012" s="16"/>
      <c r="E1012" s="16"/>
      <c r="F1012" s="16"/>
      <c r="G1012" s="205"/>
      <c r="H1012" s="205"/>
      <c r="I1012" s="16"/>
      <c r="J1012" s="16"/>
      <c r="K1012" s="205"/>
      <c r="L1012" s="16"/>
      <c r="M1012" s="16"/>
      <c r="N1012" s="16"/>
      <c r="O1012" s="16"/>
      <c r="P1012" s="16"/>
      <c r="Q1012" s="16"/>
      <c r="R1012" s="16"/>
      <c r="S1012" s="16"/>
      <c r="T1012" s="16"/>
      <c r="U1012" s="16"/>
      <c r="V1012" s="16"/>
      <c r="W1012" s="16"/>
      <c r="X1012" s="16"/>
      <c r="Y1012" s="16"/>
      <c r="Z1012" s="16"/>
      <c r="AA1012" s="16"/>
    </row>
    <row r="1013" spans="1:27" ht="24" customHeight="1">
      <c r="A1013" s="16"/>
      <c r="B1013" s="16"/>
      <c r="C1013" s="16"/>
      <c r="D1013" s="16"/>
      <c r="E1013" s="16"/>
      <c r="F1013" s="16"/>
      <c r="G1013" s="205"/>
      <c r="H1013" s="205"/>
      <c r="I1013" s="16"/>
      <c r="J1013" s="16"/>
      <c r="K1013" s="205"/>
      <c r="L1013" s="16"/>
      <c r="M1013" s="16"/>
      <c r="N1013" s="16"/>
      <c r="O1013" s="16"/>
      <c r="P1013" s="16"/>
      <c r="Q1013" s="16"/>
      <c r="R1013" s="16"/>
      <c r="S1013" s="16"/>
      <c r="T1013" s="16"/>
      <c r="U1013" s="16"/>
      <c r="V1013" s="16"/>
      <c r="W1013" s="16"/>
      <c r="X1013" s="16"/>
      <c r="Y1013" s="16"/>
      <c r="Z1013" s="16"/>
      <c r="AA1013" s="16"/>
    </row>
    <row r="1014" spans="1:27" ht="24" customHeight="1">
      <c r="A1014" s="16"/>
      <c r="B1014" s="16"/>
      <c r="C1014" s="16"/>
      <c r="D1014" s="16"/>
      <c r="E1014" s="16"/>
      <c r="F1014" s="16"/>
      <c r="G1014" s="205"/>
      <c r="H1014" s="205"/>
      <c r="I1014" s="16"/>
      <c r="J1014" s="16"/>
      <c r="K1014" s="205"/>
      <c r="L1014" s="16"/>
      <c r="M1014" s="16"/>
      <c r="N1014" s="16"/>
      <c r="O1014" s="16"/>
      <c r="P1014" s="16"/>
      <c r="Q1014" s="16"/>
      <c r="R1014" s="16"/>
      <c r="S1014" s="16"/>
      <c r="T1014" s="16"/>
      <c r="U1014" s="16"/>
      <c r="V1014" s="16"/>
      <c r="W1014" s="16"/>
      <c r="X1014" s="16"/>
      <c r="Y1014" s="16"/>
      <c r="Z1014" s="16"/>
      <c r="AA1014" s="16"/>
    </row>
    <row r="1015" spans="1:27" ht="24" customHeight="1">
      <c r="A1015" s="16"/>
      <c r="B1015" s="16"/>
      <c r="C1015" s="16"/>
      <c r="D1015" s="16"/>
      <c r="E1015" s="16"/>
      <c r="F1015" s="16"/>
      <c r="G1015" s="205"/>
      <c r="H1015" s="205"/>
      <c r="I1015" s="16"/>
      <c r="J1015" s="16"/>
      <c r="K1015" s="205"/>
      <c r="L1015" s="16"/>
      <c r="M1015" s="16"/>
      <c r="N1015" s="16"/>
      <c r="O1015" s="16"/>
      <c r="P1015" s="16"/>
      <c r="Q1015" s="16"/>
      <c r="R1015" s="16"/>
      <c r="S1015" s="16"/>
      <c r="T1015" s="16"/>
      <c r="U1015" s="16"/>
      <c r="V1015" s="16"/>
      <c r="W1015" s="16"/>
      <c r="X1015" s="16"/>
      <c r="Y1015" s="16"/>
      <c r="Z1015" s="16"/>
      <c r="AA1015" s="16"/>
    </row>
    <row r="1016" spans="1:27" ht="24" customHeight="1">
      <c r="A1016" s="16"/>
      <c r="B1016" s="16"/>
      <c r="C1016" s="16"/>
      <c r="D1016" s="16"/>
      <c r="E1016" s="16"/>
      <c r="F1016" s="16"/>
      <c r="G1016" s="205"/>
      <c r="H1016" s="205"/>
      <c r="I1016" s="16"/>
      <c r="J1016" s="16"/>
      <c r="K1016" s="205"/>
      <c r="L1016" s="16"/>
      <c r="M1016" s="16"/>
      <c r="N1016" s="16"/>
      <c r="O1016" s="16"/>
      <c r="P1016" s="16"/>
      <c r="Q1016" s="16"/>
      <c r="R1016" s="16"/>
      <c r="S1016" s="16"/>
      <c r="T1016" s="16"/>
      <c r="U1016" s="16"/>
      <c r="V1016" s="16"/>
      <c r="W1016" s="16"/>
      <c r="X1016" s="16"/>
      <c r="Y1016" s="16"/>
      <c r="Z1016" s="16"/>
      <c r="AA1016" s="16"/>
    </row>
    <row r="1017" spans="1:27" ht="24" customHeight="1">
      <c r="A1017" s="16"/>
      <c r="B1017" s="16"/>
      <c r="C1017" s="16"/>
      <c r="D1017" s="16"/>
      <c r="E1017" s="16"/>
      <c r="F1017" s="16"/>
      <c r="G1017" s="205"/>
      <c r="H1017" s="205"/>
      <c r="I1017" s="16"/>
      <c r="J1017" s="16"/>
      <c r="K1017" s="205"/>
      <c r="L1017" s="16"/>
      <c r="M1017" s="16"/>
      <c r="N1017" s="16"/>
      <c r="O1017" s="16"/>
      <c r="P1017" s="16"/>
      <c r="Q1017" s="16"/>
      <c r="R1017" s="16"/>
      <c r="S1017" s="16"/>
      <c r="T1017" s="16"/>
      <c r="U1017" s="16"/>
      <c r="V1017" s="16"/>
      <c r="W1017" s="16"/>
      <c r="X1017" s="16"/>
      <c r="Y1017" s="16"/>
      <c r="Z1017" s="16"/>
      <c r="AA1017" s="16"/>
    </row>
    <row r="1018" spans="1:27" ht="24" customHeight="1">
      <c r="A1018" s="16"/>
      <c r="B1018" s="16"/>
      <c r="C1018" s="16"/>
      <c r="D1018" s="16"/>
      <c r="E1018" s="16"/>
      <c r="F1018" s="16"/>
      <c r="G1018" s="205"/>
      <c r="H1018" s="205"/>
      <c r="I1018" s="16"/>
      <c r="J1018" s="16"/>
      <c r="K1018" s="205"/>
      <c r="L1018" s="16"/>
      <c r="M1018" s="16"/>
      <c r="N1018" s="16"/>
      <c r="O1018" s="16"/>
      <c r="P1018" s="16"/>
      <c r="Q1018" s="16"/>
      <c r="R1018" s="16"/>
      <c r="S1018" s="16"/>
      <c r="T1018" s="16"/>
      <c r="U1018" s="16"/>
      <c r="V1018" s="16"/>
      <c r="W1018" s="16"/>
      <c r="X1018" s="16"/>
      <c r="Y1018" s="16"/>
      <c r="Z1018" s="16"/>
      <c r="AA1018" s="16"/>
    </row>
    <row r="1019" spans="1:27" ht="24" customHeight="1">
      <c r="A1019" s="16"/>
      <c r="B1019" s="16"/>
      <c r="C1019" s="16"/>
      <c r="D1019" s="16"/>
      <c r="E1019" s="16"/>
      <c r="F1019" s="16"/>
      <c r="G1019" s="205"/>
      <c r="H1019" s="205"/>
      <c r="I1019" s="16"/>
      <c r="J1019" s="16"/>
      <c r="K1019" s="205"/>
      <c r="L1019" s="16"/>
      <c r="M1019" s="16"/>
      <c r="N1019" s="16"/>
      <c r="O1019" s="16"/>
      <c r="P1019" s="16"/>
      <c r="Q1019" s="16"/>
      <c r="R1019" s="16"/>
      <c r="S1019" s="16"/>
      <c r="T1019" s="16"/>
      <c r="U1019" s="16"/>
      <c r="V1019" s="16"/>
      <c r="W1019" s="16"/>
      <c r="X1019" s="16"/>
      <c r="Y1019" s="16"/>
      <c r="Z1019" s="16"/>
      <c r="AA1019" s="16"/>
    </row>
    <row r="1020" spans="1:27" ht="24" customHeight="1">
      <c r="A1020" s="16"/>
      <c r="B1020" s="16"/>
      <c r="C1020" s="16"/>
      <c r="D1020" s="16"/>
      <c r="E1020" s="16"/>
      <c r="F1020" s="16"/>
      <c r="G1020" s="205"/>
      <c r="H1020" s="205"/>
      <c r="I1020" s="16"/>
      <c r="J1020" s="16"/>
      <c r="K1020" s="205"/>
      <c r="L1020" s="16"/>
      <c r="M1020" s="16"/>
      <c r="N1020" s="16"/>
      <c r="O1020" s="16"/>
      <c r="P1020" s="16"/>
      <c r="Q1020" s="16"/>
      <c r="R1020" s="16"/>
      <c r="S1020" s="16"/>
      <c r="T1020" s="16"/>
      <c r="U1020" s="16"/>
      <c r="V1020" s="16"/>
      <c r="W1020" s="16"/>
      <c r="X1020" s="16"/>
      <c r="Y1020" s="16"/>
      <c r="Z1020" s="16"/>
      <c r="AA1020" s="16"/>
    </row>
    <row r="1021" spans="1:27" ht="24" customHeight="1">
      <c r="A1021" s="16"/>
      <c r="B1021" s="16"/>
      <c r="C1021" s="16"/>
      <c r="D1021" s="16"/>
      <c r="E1021" s="16"/>
      <c r="F1021" s="16"/>
      <c r="G1021" s="205"/>
      <c r="H1021" s="205"/>
      <c r="I1021" s="16"/>
      <c r="J1021" s="16"/>
      <c r="K1021" s="205"/>
      <c r="L1021" s="16"/>
      <c r="M1021" s="16"/>
      <c r="N1021" s="16"/>
      <c r="O1021" s="16"/>
      <c r="P1021" s="16"/>
      <c r="Q1021" s="16"/>
      <c r="R1021" s="16"/>
      <c r="S1021" s="16"/>
      <c r="T1021" s="16"/>
      <c r="U1021" s="16"/>
      <c r="V1021" s="16"/>
      <c r="W1021" s="16"/>
      <c r="X1021" s="16"/>
      <c r="Y1021" s="16"/>
      <c r="Z1021" s="16"/>
      <c r="AA1021" s="16"/>
    </row>
    <row r="1022" spans="1:27" ht="24" customHeight="1">
      <c r="A1022" s="16"/>
      <c r="B1022" s="16"/>
      <c r="C1022" s="16"/>
      <c r="D1022" s="16"/>
      <c r="E1022" s="16"/>
      <c r="F1022" s="16"/>
      <c r="G1022" s="205"/>
      <c r="H1022" s="205"/>
      <c r="I1022" s="16"/>
      <c r="J1022" s="16"/>
      <c r="K1022" s="205"/>
      <c r="L1022" s="16"/>
      <c r="M1022" s="16"/>
      <c r="N1022" s="16"/>
      <c r="O1022" s="16"/>
      <c r="P1022" s="16"/>
      <c r="Q1022" s="16"/>
      <c r="R1022" s="16"/>
      <c r="S1022" s="16"/>
      <c r="T1022" s="16"/>
      <c r="U1022" s="16"/>
      <c r="V1022" s="16"/>
      <c r="W1022" s="16"/>
      <c r="X1022" s="16"/>
      <c r="Y1022" s="16"/>
      <c r="Z1022" s="16"/>
      <c r="AA1022" s="16"/>
    </row>
    <row r="1023" spans="1:27" ht="24" customHeight="1">
      <c r="A1023" s="16"/>
      <c r="B1023" s="16"/>
      <c r="C1023" s="16"/>
      <c r="D1023" s="16"/>
      <c r="E1023" s="16"/>
      <c r="F1023" s="16"/>
      <c r="G1023" s="205"/>
      <c r="H1023" s="205"/>
      <c r="I1023" s="16"/>
      <c r="J1023" s="16"/>
      <c r="K1023" s="205"/>
      <c r="L1023" s="16"/>
      <c r="M1023" s="16"/>
      <c r="N1023" s="16"/>
      <c r="O1023" s="16"/>
      <c r="P1023" s="16"/>
      <c r="Q1023" s="16"/>
      <c r="R1023" s="16"/>
      <c r="S1023" s="16"/>
      <c r="T1023" s="16"/>
      <c r="U1023" s="16"/>
      <c r="V1023" s="16"/>
      <c r="W1023" s="16"/>
      <c r="X1023" s="16"/>
      <c r="Y1023" s="16"/>
      <c r="Z1023" s="16"/>
      <c r="AA1023" s="16"/>
    </row>
    <row r="1024" spans="1:27" ht="24" customHeight="1">
      <c r="A1024" s="16"/>
      <c r="B1024" s="16"/>
      <c r="C1024" s="16"/>
      <c r="D1024" s="16"/>
      <c r="E1024" s="16"/>
      <c r="F1024" s="16"/>
      <c r="G1024" s="205"/>
      <c r="H1024" s="205"/>
      <c r="I1024" s="16"/>
      <c r="J1024" s="16"/>
      <c r="K1024" s="205"/>
      <c r="L1024" s="16"/>
      <c r="M1024" s="16"/>
      <c r="N1024" s="16"/>
      <c r="O1024" s="16"/>
      <c r="P1024" s="16"/>
      <c r="Q1024" s="16"/>
      <c r="R1024" s="16"/>
      <c r="S1024" s="16"/>
      <c r="T1024" s="16"/>
      <c r="U1024" s="16"/>
      <c r="V1024" s="16"/>
      <c r="W1024" s="16"/>
      <c r="X1024" s="16"/>
      <c r="Y1024" s="16"/>
      <c r="Z1024" s="16"/>
      <c r="AA1024" s="16"/>
    </row>
    <row r="1025" spans="1:27" ht="24" customHeight="1">
      <c r="A1025" s="16"/>
      <c r="B1025" s="16"/>
      <c r="C1025" s="16"/>
      <c r="D1025" s="16"/>
      <c r="E1025" s="16"/>
      <c r="F1025" s="16"/>
      <c r="G1025" s="205"/>
      <c r="H1025" s="205"/>
      <c r="I1025" s="16"/>
      <c r="J1025" s="16"/>
      <c r="K1025" s="205"/>
      <c r="L1025" s="16"/>
      <c r="M1025" s="16"/>
      <c r="N1025" s="16"/>
      <c r="O1025" s="16"/>
      <c r="P1025" s="16"/>
      <c r="Q1025" s="16"/>
      <c r="R1025" s="16"/>
      <c r="S1025" s="16"/>
      <c r="T1025" s="16"/>
      <c r="U1025" s="16"/>
      <c r="V1025" s="16"/>
      <c r="W1025" s="16"/>
      <c r="X1025" s="16"/>
      <c r="Y1025" s="16"/>
      <c r="Z1025" s="16"/>
      <c r="AA1025" s="16"/>
    </row>
    <row r="1026" spans="1:27" ht="24" customHeight="1">
      <c r="A1026" s="16"/>
      <c r="B1026" s="16"/>
      <c r="C1026" s="16"/>
      <c r="D1026" s="16"/>
      <c r="E1026" s="16"/>
      <c r="F1026" s="16"/>
      <c r="G1026" s="205"/>
      <c r="H1026" s="205"/>
      <c r="I1026" s="16"/>
      <c r="J1026" s="16"/>
      <c r="K1026" s="205"/>
      <c r="L1026" s="16"/>
      <c r="M1026" s="16"/>
      <c r="N1026" s="16"/>
      <c r="O1026" s="16"/>
      <c r="P1026" s="16"/>
      <c r="Q1026" s="16"/>
      <c r="R1026" s="16"/>
      <c r="S1026" s="16"/>
      <c r="T1026" s="16"/>
      <c r="U1026" s="16"/>
      <c r="V1026" s="16"/>
      <c r="W1026" s="16"/>
      <c r="X1026" s="16"/>
      <c r="Y1026" s="16"/>
      <c r="Z1026" s="16"/>
      <c r="AA1026" s="16"/>
    </row>
    <row r="1027" spans="1:27" ht="24" customHeight="1">
      <c r="A1027" s="16"/>
      <c r="B1027" s="16"/>
      <c r="C1027" s="16"/>
      <c r="D1027" s="16"/>
      <c r="E1027" s="16"/>
      <c r="F1027" s="16"/>
      <c r="G1027" s="205"/>
      <c r="H1027" s="205"/>
      <c r="I1027" s="16"/>
      <c r="J1027" s="16"/>
      <c r="K1027" s="205"/>
      <c r="L1027" s="16"/>
      <c r="M1027" s="16"/>
      <c r="N1027" s="16"/>
      <c r="O1027" s="16"/>
      <c r="P1027" s="16"/>
      <c r="Q1027" s="16"/>
      <c r="R1027" s="16"/>
      <c r="S1027" s="16"/>
      <c r="T1027" s="16"/>
      <c r="U1027" s="16"/>
      <c r="V1027" s="16"/>
      <c r="W1027" s="16"/>
      <c r="X1027" s="16"/>
      <c r="Y1027" s="16"/>
      <c r="Z1027" s="16"/>
      <c r="AA1027" s="16"/>
    </row>
    <row r="1028" spans="1:27" ht="24" customHeight="1">
      <c r="A1028" s="16"/>
      <c r="B1028" s="16"/>
      <c r="C1028" s="16"/>
      <c r="D1028" s="16"/>
      <c r="E1028" s="16"/>
      <c r="F1028" s="16"/>
      <c r="G1028" s="205"/>
      <c r="H1028" s="205"/>
      <c r="I1028" s="16"/>
      <c r="J1028" s="16"/>
      <c r="K1028" s="205"/>
      <c r="L1028" s="16"/>
      <c r="M1028" s="16"/>
      <c r="N1028" s="16"/>
      <c r="O1028" s="16"/>
      <c r="P1028" s="16"/>
      <c r="Q1028" s="16"/>
      <c r="R1028" s="16"/>
      <c r="S1028" s="16"/>
      <c r="T1028" s="16"/>
      <c r="U1028" s="16"/>
      <c r="V1028" s="16"/>
      <c r="W1028" s="16"/>
      <c r="X1028" s="16"/>
      <c r="Y1028" s="16"/>
      <c r="Z1028" s="16"/>
      <c r="AA1028" s="16"/>
    </row>
    <row r="1029" spans="1:27" ht="24" customHeight="1">
      <c r="A1029" s="16"/>
      <c r="B1029" s="16"/>
      <c r="C1029" s="16"/>
      <c r="D1029" s="16"/>
      <c r="E1029" s="16"/>
      <c r="F1029" s="16"/>
      <c r="G1029" s="205"/>
      <c r="H1029" s="205"/>
      <c r="I1029" s="16"/>
      <c r="J1029" s="16"/>
      <c r="K1029" s="205"/>
      <c r="L1029" s="16"/>
      <c r="M1029" s="16"/>
      <c r="N1029" s="16"/>
      <c r="O1029" s="16"/>
      <c r="P1029" s="16"/>
      <c r="Q1029" s="16"/>
      <c r="R1029" s="16"/>
      <c r="S1029" s="16"/>
      <c r="T1029" s="16"/>
      <c r="U1029" s="16"/>
      <c r="V1029" s="16"/>
      <c r="W1029" s="16"/>
      <c r="X1029" s="16"/>
      <c r="Y1029" s="16"/>
      <c r="Z1029" s="16"/>
      <c r="AA1029" s="16"/>
    </row>
    <row r="1030" spans="1:27" ht="24" customHeight="1">
      <c r="A1030" s="16"/>
      <c r="B1030" s="16"/>
      <c r="C1030" s="16"/>
      <c r="D1030" s="16"/>
      <c r="E1030" s="16"/>
      <c r="F1030" s="16"/>
      <c r="G1030" s="205"/>
      <c r="H1030" s="205"/>
      <c r="I1030" s="16"/>
      <c r="J1030" s="16"/>
      <c r="K1030" s="205"/>
      <c r="L1030" s="16"/>
      <c r="M1030" s="16"/>
      <c r="N1030" s="16"/>
      <c r="O1030" s="16"/>
      <c r="P1030" s="16"/>
      <c r="Q1030" s="16"/>
      <c r="R1030" s="16"/>
      <c r="S1030" s="16"/>
      <c r="T1030" s="16"/>
      <c r="U1030" s="16"/>
      <c r="V1030" s="16"/>
      <c r="W1030" s="16"/>
      <c r="X1030" s="16"/>
      <c r="Y1030" s="16"/>
      <c r="Z1030" s="16"/>
      <c r="AA1030" s="16"/>
    </row>
    <row r="1031" spans="1:27" ht="24" customHeight="1">
      <c r="A1031" s="16"/>
      <c r="B1031" s="16"/>
      <c r="C1031" s="16"/>
      <c r="D1031" s="16"/>
      <c r="E1031" s="16"/>
      <c r="F1031" s="16"/>
      <c r="G1031" s="205"/>
      <c r="H1031" s="205"/>
      <c r="I1031" s="16"/>
      <c r="J1031" s="16"/>
      <c r="K1031" s="205"/>
      <c r="L1031" s="16"/>
      <c r="M1031" s="16"/>
      <c r="N1031" s="16"/>
      <c r="O1031" s="16"/>
      <c r="P1031" s="16"/>
      <c r="Q1031" s="16"/>
      <c r="R1031" s="16"/>
      <c r="S1031" s="16"/>
      <c r="T1031" s="16"/>
      <c r="U1031" s="16"/>
      <c r="V1031" s="16"/>
      <c r="W1031" s="16"/>
      <c r="X1031" s="16"/>
      <c r="Y1031" s="16"/>
      <c r="Z1031" s="16"/>
      <c r="AA1031" s="16"/>
    </row>
    <row r="1032" spans="1:27" ht="24" customHeight="1">
      <c r="A1032" s="16"/>
      <c r="B1032" s="16"/>
      <c r="C1032" s="16"/>
      <c r="D1032" s="16"/>
      <c r="E1032" s="16"/>
      <c r="F1032" s="16"/>
      <c r="G1032" s="205"/>
      <c r="H1032" s="205"/>
      <c r="I1032" s="16"/>
      <c r="J1032" s="16"/>
      <c r="K1032" s="205"/>
      <c r="L1032" s="16"/>
      <c r="M1032" s="16"/>
      <c r="N1032" s="16"/>
      <c r="O1032" s="16"/>
      <c r="P1032" s="16"/>
      <c r="Q1032" s="16"/>
      <c r="R1032" s="16"/>
      <c r="S1032" s="16"/>
      <c r="T1032" s="16"/>
      <c r="U1032" s="16"/>
      <c r="V1032" s="16"/>
      <c r="W1032" s="16"/>
      <c r="X1032" s="16"/>
      <c r="Y1032" s="16"/>
      <c r="Z1032" s="16"/>
      <c r="AA1032" s="16"/>
    </row>
    <row r="1033" spans="1:27" ht="24" customHeight="1">
      <c r="A1033" s="16"/>
      <c r="B1033" s="16"/>
      <c r="C1033" s="16"/>
      <c r="D1033" s="16"/>
      <c r="E1033" s="16"/>
      <c r="F1033" s="16"/>
      <c r="G1033" s="205"/>
      <c r="H1033" s="205"/>
      <c r="I1033" s="16"/>
      <c r="J1033" s="16"/>
      <c r="K1033" s="205"/>
      <c r="L1033" s="16"/>
      <c r="M1033" s="16"/>
      <c r="N1033" s="16"/>
      <c r="O1033" s="16"/>
      <c r="P1033" s="16"/>
      <c r="Q1033" s="16"/>
      <c r="R1033" s="16"/>
      <c r="S1033" s="16"/>
      <c r="T1033" s="16"/>
      <c r="U1033" s="16"/>
      <c r="V1033" s="16"/>
      <c r="W1033" s="16"/>
      <c r="X1033" s="16"/>
      <c r="Y1033" s="16"/>
      <c r="Z1033" s="16"/>
      <c r="AA1033" s="16"/>
    </row>
    <row r="1034" spans="1:27" ht="24" customHeight="1">
      <c r="A1034" s="16"/>
      <c r="B1034" s="16"/>
      <c r="C1034" s="16"/>
      <c r="D1034" s="16"/>
      <c r="E1034" s="16"/>
      <c r="F1034" s="16"/>
      <c r="G1034" s="205"/>
      <c r="H1034" s="205"/>
      <c r="I1034" s="16"/>
      <c r="J1034" s="16"/>
      <c r="K1034" s="205"/>
      <c r="L1034" s="16"/>
      <c r="M1034" s="16"/>
      <c r="N1034" s="16"/>
      <c r="O1034" s="16"/>
      <c r="P1034" s="16"/>
      <c r="Q1034" s="16"/>
      <c r="R1034" s="16"/>
      <c r="S1034" s="16"/>
      <c r="T1034" s="16"/>
      <c r="U1034" s="16"/>
      <c r="V1034" s="16"/>
      <c r="W1034" s="16"/>
      <c r="X1034" s="16"/>
      <c r="Y1034" s="16"/>
      <c r="Z1034" s="16"/>
      <c r="AA1034" s="16"/>
    </row>
    <row r="1035" spans="1:27" ht="24" customHeight="1">
      <c r="A1035" s="16"/>
      <c r="B1035" s="16"/>
      <c r="C1035" s="16"/>
      <c r="D1035" s="16"/>
      <c r="E1035" s="16"/>
      <c r="F1035" s="16"/>
      <c r="G1035" s="205"/>
      <c r="H1035" s="205"/>
      <c r="I1035" s="16"/>
      <c r="J1035" s="16"/>
      <c r="K1035" s="205"/>
      <c r="L1035" s="16"/>
      <c r="M1035" s="16"/>
      <c r="N1035" s="16"/>
      <c r="O1035" s="16"/>
      <c r="P1035" s="16"/>
      <c r="Q1035" s="16"/>
      <c r="R1035" s="16"/>
      <c r="S1035" s="16"/>
      <c r="T1035" s="16"/>
      <c r="U1035" s="16"/>
      <c r="V1035" s="16"/>
      <c r="W1035" s="16"/>
      <c r="X1035" s="16"/>
      <c r="Y1035" s="16"/>
      <c r="Z1035" s="16"/>
      <c r="AA1035" s="16"/>
    </row>
    <row r="1036" spans="1:27" ht="24" customHeight="1">
      <c r="A1036" s="16"/>
      <c r="B1036" s="16"/>
      <c r="C1036" s="16"/>
      <c r="D1036" s="16"/>
      <c r="E1036" s="16"/>
      <c r="F1036" s="16"/>
      <c r="G1036" s="205"/>
      <c r="H1036" s="205"/>
      <c r="I1036" s="16"/>
      <c r="J1036" s="16"/>
      <c r="K1036" s="205"/>
      <c r="L1036" s="16"/>
      <c r="M1036" s="16"/>
      <c r="N1036" s="16"/>
      <c r="O1036" s="16"/>
      <c r="P1036" s="16"/>
      <c r="Q1036" s="16"/>
      <c r="R1036" s="16"/>
      <c r="S1036" s="16"/>
      <c r="T1036" s="16"/>
      <c r="U1036" s="16"/>
      <c r="V1036" s="16"/>
      <c r="W1036" s="16"/>
      <c r="X1036" s="16"/>
      <c r="Y1036" s="16"/>
      <c r="Z1036" s="16"/>
      <c r="AA1036" s="16"/>
    </row>
    <row r="1037" spans="1:27" ht="24" customHeight="1">
      <c r="A1037" s="16"/>
      <c r="B1037" s="16"/>
      <c r="C1037" s="16"/>
      <c r="D1037" s="16"/>
      <c r="E1037" s="16"/>
      <c r="F1037" s="16"/>
      <c r="G1037" s="205"/>
      <c r="H1037" s="205"/>
      <c r="I1037" s="16"/>
      <c r="J1037" s="16"/>
      <c r="K1037" s="205"/>
      <c r="L1037" s="16"/>
      <c r="M1037" s="16"/>
      <c r="N1037" s="16"/>
      <c r="O1037" s="16"/>
      <c r="P1037" s="16"/>
      <c r="Q1037" s="16"/>
      <c r="R1037" s="16"/>
      <c r="S1037" s="16"/>
      <c r="T1037" s="16"/>
      <c r="U1037" s="16"/>
      <c r="V1037" s="16"/>
      <c r="W1037" s="16"/>
      <c r="X1037" s="16"/>
      <c r="Y1037" s="16"/>
      <c r="Z1037" s="16"/>
      <c r="AA1037" s="16"/>
    </row>
    <row r="1038" spans="1:27" ht="24" customHeight="1">
      <c r="A1038" s="16"/>
      <c r="B1038" s="16"/>
      <c r="C1038" s="16"/>
      <c r="D1038" s="16"/>
      <c r="E1038" s="16"/>
      <c r="F1038" s="16"/>
      <c r="G1038" s="205"/>
      <c r="H1038" s="205"/>
      <c r="I1038" s="16"/>
      <c r="J1038" s="16"/>
      <c r="K1038" s="205"/>
      <c r="L1038" s="16"/>
      <c r="M1038" s="16"/>
      <c r="N1038" s="16"/>
      <c r="O1038" s="16"/>
      <c r="P1038" s="16"/>
      <c r="Q1038" s="16"/>
      <c r="R1038" s="16"/>
      <c r="S1038" s="16"/>
      <c r="T1038" s="16"/>
      <c r="U1038" s="16"/>
      <c r="V1038" s="16"/>
      <c r="W1038" s="16"/>
      <c r="X1038" s="16"/>
      <c r="Y1038" s="16"/>
      <c r="Z1038" s="16"/>
      <c r="AA1038" s="16"/>
    </row>
    <row r="1039" spans="1:27" ht="24" customHeight="1">
      <c r="A1039" s="16"/>
      <c r="B1039" s="16"/>
      <c r="C1039" s="16"/>
      <c r="D1039" s="16"/>
      <c r="E1039" s="16"/>
      <c r="F1039" s="16"/>
      <c r="G1039" s="205"/>
      <c r="H1039" s="205"/>
      <c r="I1039" s="16"/>
      <c r="J1039" s="16"/>
      <c r="K1039" s="205"/>
      <c r="L1039" s="16"/>
      <c r="M1039" s="16"/>
      <c r="N1039" s="16"/>
      <c r="O1039" s="16"/>
      <c r="P1039" s="16"/>
      <c r="Q1039" s="16"/>
      <c r="R1039" s="16"/>
      <c r="S1039" s="16"/>
      <c r="T1039" s="16"/>
      <c r="U1039" s="16"/>
      <c r="V1039" s="16"/>
      <c r="W1039" s="16"/>
      <c r="X1039" s="16"/>
      <c r="Y1039" s="16"/>
      <c r="Z1039" s="16"/>
      <c r="AA1039" s="16"/>
    </row>
    <row r="1040" spans="1:27" ht="24" customHeight="1">
      <c r="A1040" s="16"/>
      <c r="B1040" s="16"/>
      <c r="C1040" s="16"/>
      <c r="D1040" s="16"/>
      <c r="E1040" s="16"/>
      <c r="F1040" s="16"/>
      <c r="G1040" s="205"/>
      <c r="H1040" s="205"/>
      <c r="I1040" s="16"/>
      <c r="J1040" s="16"/>
      <c r="K1040" s="205"/>
      <c r="L1040" s="16"/>
      <c r="M1040" s="16"/>
      <c r="N1040" s="16"/>
      <c r="O1040" s="16"/>
      <c r="P1040" s="16"/>
      <c r="Q1040" s="16"/>
      <c r="R1040" s="16"/>
      <c r="S1040" s="16"/>
      <c r="T1040" s="16"/>
      <c r="U1040" s="16"/>
      <c r="V1040" s="16"/>
      <c r="W1040" s="16"/>
      <c r="X1040" s="16"/>
      <c r="Y1040" s="16"/>
      <c r="Z1040" s="16"/>
      <c r="AA1040" s="16"/>
    </row>
    <row r="1041" spans="1:27" ht="24" customHeight="1">
      <c r="A1041" s="16"/>
      <c r="B1041" s="16"/>
      <c r="C1041" s="16"/>
      <c r="D1041" s="16"/>
      <c r="E1041" s="16"/>
      <c r="F1041" s="16"/>
      <c r="G1041" s="205"/>
      <c r="H1041" s="205"/>
      <c r="I1041" s="16"/>
      <c r="J1041" s="16"/>
      <c r="K1041" s="205"/>
      <c r="L1041" s="16"/>
      <c r="M1041" s="16"/>
      <c r="N1041" s="16"/>
      <c r="O1041" s="16"/>
      <c r="P1041" s="16"/>
      <c r="Q1041" s="16"/>
      <c r="R1041" s="16"/>
      <c r="S1041" s="16"/>
      <c r="T1041" s="16"/>
      <c r="U1041" s="16"/>
      <c r="V1041" s="16"/>
      <c r="W1041" s="16"/>
      <c r="X1041" s="16"/>
      <c r="Y1041" s="16"/>
      <c r="Z1041" s="16"/>
      <c r="AA1041" s="16"/>
    </row>
    <row r="1042" spans="1:27" ht="24" customHeight="1">
      <c r="A1042" s="16"/>
      <c r="B1042" s="16"/>
      <c r="C1042" s="16"/>
      <c r="D1042" s="16"/>
      <c r="E1042" s="16"/>
      <c r="F1042" s="16"/>
      <c r="G1042" s="205"/>
      <c r="H1042" s="205"/>
      <c r="I1042" s="16"/>
      <c r="J1042" s="16"/>
      <c r="K1042" s="205"/>
      <c r="L1042" s="16"/>
      <c r="M1042" s="16"/>
      <c r="N1042" s="16"/>
      <c r="O1042" s="16"/>
      <c r="P1042" s="16"/>
      <c r="Q1042" s="16"/>
      <c r="R1042" s="16"/>
      <c r="S1042" s="16"/>
      <c r="T1042" s="16"/>
      <c r="U1042" s="16"/>
      <c r="V1042" s="16"/>
      <c r="W1042" s="16"/>
      <c r="X1042" s="16"/>
      <c r="Y1042" s="16"/>
      <c r="Z1042" s="16"/>
      <c r="AA1042" s="16"/>
    </row>
    <row r="1043" spans="1:27" ht="24" customHeight="1">
      <c r="A1043" s="16"/>
      <c r="B1043" s="16"/>
      <c r="C1043" s="16"/>
      <c r="D1043" s="16"/>
      <c r="E1043" s="16"/>
      <c r="F1043" s="16"/>
      <c r="G1043" s="205"/>
      <c r="H1043" s="205"/>
      <c r="I1043" s="16"/>
      <c r="J1043" s="16"/>
      <c r="K1043" s="205"/>
      <c r="L1043" s="16"/>
      <c r="M1043" s="16"/>
      <c r="N1043" s="16"/>
      <c r="O1043" s="16"/>
      <c r="P1043" s="16"/>
      <c r="Q1043" s="16"/>
      <c r="R1043" s="16"/>
      <c r="S1043" s="16"/>
      <c r="T1043" s="16"/>
      <c r="U1043" s="16"/>
      <c r="V1043" s="16"/>
      <c r="W1043" s="16"/>
      <c r="X1043" s="16"/>
      <c r="Y1043" s="16"/>
      <c r="Z1043" s="16"/>
      <c r="AA1043" s="16"/>
    </row>
    <row r="1044" spans="1:27" ht="24" customHeight="1">
      <c r="A1044" s="16"/>
      <c r="B1044" s="16"/>
      <c r="C1044" s="16"/>
      <c r="D1044" s="16"/>
      <c r="E1044" s="16"/>
      <c r="F1044" s="16"/>
      <c r="G1044" s="205"/>
      <c r="H1044" s="205"/>
      <c r="I1044" s="16"/>
      <c r="J1044" s="16"/>
      <c r="K1044" s="205"/>
      <c r="L1044" s="16"/>
      <c r="M1044" s="16"/>
      <c r="N1044" s="16"/>
      <c r="O1044" s="16"/>
      <c r="P1044" s="16"/>
      <c r="Q1044" s="16"/>
      <c r="R1044" s="16"/>
      <c r="S1044" s="16"/>
      <c r="T1044" s="16"/>
      <c r="U1044" s="16"/>
      <c r="V1044" s="16"/>
      <c r="W1044" s="16"/>
      <c r="X1044" s="16"/>
      <c r="Y1044" s="16"/>
      <c r="Z1044" s="16"/>
      <c r="AA1044" s="16"/>
    </row>
    <row r="1045" spans="1:27" ht="24" customHeight="1">
      <c r="A1045" s="16"/>
      <c r="B1045" s="16"/>
      <c r="C1045" s="16"/>
      <c r="D1045" s="16"/>
      <c r="E1045" s="16"/>
      <c r="F1045" s="16"/>
      <c r="G1045" s="205"/>
      <c r="H1045" s="205"/>
      <c r="I1045" s="16"/>
      <c r="J1045" s="16"/>
      <c r="K1045" s="205"/>
      <c r="L1045" s="16"/>
      <c r="M1045" s="16"/>
      <c r="N1045" s="16"/>
      <c r="O1045" s="16"/>
      <c r="P1045" s="16"/>
      <c r="Q1045" s="16"/>
      <c r="R1045" s="16"/>
      <c r="S1045" s="16"/>
      <c r="T1045" s="16"/>
      <c r="U1045" s="16"/>
      <c r="V1045" s="16"/>
      <c r="W1045" s="16"/>
      <c r="X1045" s="16"/>
      <c r="Y1045" s="16"/>
      <c r="Z1045" s="16"/>
      <c r="AA1045" s="16"/>
    </row>
    <row r="1046" spans="1:27" ht="24" customHeight="1">
      <c r="A1046" s="16"/>
      <c r="B1046" s="16"/>
      <c r="C1046" s="16"/>
      <c r="D1046" s="16"/>
      <c r="E1046" s="16"/>
      <c r="F1046" s="16"/>
      <c r="G1046" s="205"/>
      <c r="H1046" s="205"/>
      <c r="I1046" s="16"/>
      <c r="J1046" s="16"/>
      <c r="K1046" s="205"/>
      <c r="L1046" s="16"/>
      <c r="M1046" s="16"/>
      <c r="N1046" s="16"/>
      <c r="O1046" s="16"/>
      <c r="P1046" s="16"/>
      <c r="Q1046" s="16"/>
      <c r="R1046" s="16"/>
      <c r="S1046" s="16"/>
      <c r="T1046" s="16"/>
      <c r="U1046" s="16"/>
      <c r="V1046" s="16"/>
      <c r="W1046" s="16"/>
      <c r="X1046" s="16"/>
      <c r="Y1046" s="16"/>
      <c r="Z1046" s="16"/>
      <c r="AA1046" s="16"/>
    </row>
    <row r="1047" spans="1:27" ht="24" customHeight="1">
      <c r="A1047" s="16"/>
      <c r="B1047" s="16"/>
      <c r="C1047" s="16"/>
      <c r="D1047" s="16"/>
      <c r="E1047" s="16"/>
      <c r="F1047" s="16"/>
      <c r="G1047" s="205"/>
      <c r="H1047" s="205"/>
      <c r="I1047" s="16"/>
      <c r="J1047" s="16"/>
      <c r="K1047" s="205"/>
      <c r="L1047" s="16"/>
      <c r="M1047" s="16"/>
      <c r="N1047" s="16"/>
      <c r="O1047" s="16"/>
      <c r="P1047" s="16"/>
      <c r="Q1047" s="16"/>
      <c r="R1047" s="16"/>
      <c r="S1047" s="16"/>
      <c r="T1047" s="16"/>
      <c r="U1047" s="16"/>
      <c r="V1047" s="16"/>
      <c r="W1047" s="16"/>
      <c r="X1047" s="16"/>
      <c r="Y1047" s="16"/>
      <c r="Z1047" s="16"/>
      <c r="AA1047" s="16"/>
    </row>
    <row r="1048" spans="1:27" ht="24" customHeight="1">
      <c r="A1048" s="16"/>
      <c r="B1048" s="16"/>
      <c r="C1048" s="16"/>
      <c r="D1048" s="16"/>
      <c r="E1048" s="16"/>
      <c r="F1048" s="16"/>
      <c r="G1048" s="205"/>
      <c r="H1048" s="205"/>
      <c r="I1048" s="16"/>
      <c r="J1048" s="16"/>
      <c r="K1048" s="205"/>
      <c r="L1048" s="16"/>
      <c r="M1048" s="16"/>
      <c r="N1048" s="16"/>
      <c r="O1048" s="16"/>
      <c r="P1048" s="16"/>
      <c r="Q1048" s="16"/>
      <c r="R1048" s="16"/>
      <c r="S1048" s="16"/>
      <c r="T1048" s="16"/>
      <c r="U1048" s="16"/>
      <c r="V1048" s="16"/>
      <c r="W1048" s="16"/>
      <c r="X1048" s="16"/>
      <c r="Y1048" s="16"/>
      <c r="Z1048" s="16"/>
      <c r="AA1048" s="16"/>
    </row>
    <row r="1049" spans="1:27" ht="24" customHeight="1">
      <c r="A1049" s="16"/>
      <c r="B1049" s="16"/>
      <c r="C1049" s="16"/>
      <c r="D1049" s="16"/>
      <c r="E1049" s="16"/>
      <c r="F1049" s="16"/>
      <c r="G1049" s="205"/>
      <c r="H1049" s="205"/>
      <c r="I1049" s="16"/>
      <c r="J1049" s="16"/>
      <c r="K1049" s="205"/>
      <c r="L1049" s="16"/>
      <c r="M1049" s="16"/>
      <c r="N1049" s="16"/>
      <c r="O1049" s="16"/>
      <c r="P1049" s="16"/>
      <c r="Q1049" s="16"/>
      <c r="R1049" s="16"/>
      <c r="S1049" s="16"/>
      <c r="T1049" s="16"/>
      <c r="U1049" s="16"/>
      <c r="V1049" s="16"/>
      <c r="W1049" s="16"/>
      <c r="X1049" s="16"/>
      <c r="Y1049" s="16"/>
      <c r="Z1049" s="16"/>
      <c r="AA1049" s="16"/>
    </row>
    <row r="1050" spans="1:27" ht="24" customHeight="1">
      <c r="A1050" s="16"/>
      <c r="B1050" s="16"/>
      <c r="C1050" s="16"/>
      <c r="D1050" s="16"/>
      <c r="E1050" s="16"/>
      <c r="F1050" s="16"/>
      <c r="G1050" s="205"/>
      <c r="H1050" s="205"/>
      <c r="I1050" s="16"/>
      <c r="J1050" s="16"/>
      <c r="K1050" s="205"/>
      <c r="L1050" s="16"/>
      <c r="M1050" s="16"/>
      <c r="N1050" s="16"/>
      <c r="O1050" s="16"/>
      <c r="P1050" s="16"/>
      <c r="Q1050" s="16"/>
      <c r="R1050" s="16"/>
      <c r="S1050" s="16"/>
      <c r="T1050" s="16"/>
      <c r="U1050" s="16"/>
      <c r="V1050" s="16"/>
      <c r="W1050" s="16"/>
      <c r="X1050" s="16"/>
      <c r="Y1050" s="16"/>
      <c r="Z1050" s="16"/>
      <c r="AA1050" s="16"/>
    </row>
    <row r="1051" spans="1:27" ht="24" customHeight="1">
      <c r="A1051" s="16"/>
      <c r="B1051" s="16"/>
      <c r="C1051" s="16"/>
      <c r="D1051" s="16"/>
      <c r="E1051" s="16"/>
      <c r="F1051" s="16"/>
      <c r="G1051" s="205"/>
      <c r="H1051" s="205"/>
      <c r="I1051" s="16"/>
      <c r="J1051" s="16"/>
      <c r="K1051" s="205"/>
      <c r="L1051" s="16"/>
      <c r="M1051" s="16"/>
      <c r="N1051" s="16"/>
      <c r="O1051" s="16"/>
      <c r="P1051" s="16"/>
      <c r="Q1051" s="16"/>
      <c r="R1051" s="16"/>
      <c r="S1051" s="16"/>
      <c r="T1051" s="16"/>
      <c r="U1051" s="16"/>
      <c r="V1051" s="16"/>
      <c r="W1051" s="16"/>
      <c r="X1051" s="16"/>
      <c r="Y1051" s="16"/>
      <c r="Z1051" s="16"/>
      <c r="AA1051" s="16"/>
    </row>
    <row r="1052" spans="1:27" ht="24" customHeight="1">
      <c r="A1052" s="16"/>
      <c r="B1052" s="16"/>
      <c r="C1052" s="16"/>
      <c r="D1052" s="16"/>
      <c r="E1052" s="16"/>
      <c r="F1052" s="16"/>
      <c r="G1052" s="205"/>
      <c r="H1052" s="205"/>
      <c r="I1052" s="16"/>
      <c r="J1052" s="16"/>
      <c r="K1052" s="205"/>
      <c r="L1052" s="16"/>
      <c r="M1052" s="16"/>
      <c r="N1052" s="16"/>
      <c r="O1052" s="16"/>
      <c r="P1052" s="16"/>
      <c r="Q1052" s="16"/>
      <c r="R1052" s="16"/>
      <c r="S1052" s="16"/>
      <c r="T1052" s="16"/>
      <c r="U1052" s="16"/>
      <c r="V1052" s="16"/>
      <c r="W1052" s="16"/>
      <c r="X1052" s="16"/>
      <c r="Y1052" s="16"/>
      <c r="Z1052" s="16"/>
      <c r="AA1052" s="16"/>
    </row>
    <row r="1053" spans="1:27" ht="24" customHeight="1">
      <c r="A1053" s="16"/>
      <c r="B1053" s="16"/>
      <c r="C1053" s="16"/>
      <c r="D1053" s="16"/>
      <c r="E1053" s="16"/>
      <c r="F1053" s="16"/>
      <c r="G1053" s="205"/>
      <c r="H1053" s="205"/>
      <c r="I1053" s="16"/>
      <c r="J1053" s="16"/>
      <c r="K1053" s="205"/>
      <c r="L1053" s="16"/>
      <c r="M1053" s="16"/>
      <c r="N1053" s="16"/>
      <c r="O1053" s="16"/>
      <c r="P1053" s="16"/>
      <c r="Q1053" s="16"/>
      <c r="R1053" s="16"/>
      <c r="S1053" s="16"/>
      <c r="T1053" s="16"/>
      <c r="U1053" s="16"/>
      <c r="V1053" s="16"/>
      <c r="W1053" s="16"/>
      <c r="X1053" s="16"/>
      <c r="Y1053" s="16"/>
      <c r="Z1053" s="16"/>
      <c r="AA1053" s="16"/>
    </row>
    <row r="1054" spans="1:27" ht="24" customHeight="1">
      <c r="A1054" s="16"/>
      <c r="B1054" s="16"/>
      <c r="C1054" s="16"/>
      <c r="D1054" s="16"/>
      <c r="E1054" s="16"/>
      <c r="F1054" s="16"/>
      <c r="G1054" s="205"/>
      <c r="H1054" s="205"/>
      <c r="I1054" s="16"/>
      <c r="J1054" s="16"/>
      <c r="K1054" s="205"/>
      <c r="L1054" s="16"/>
      <c r="M1054" s="16"/>
      <c r="N1054" s="16"/>
      <c r="O1054" s="16"/>
      <c r="P1054" s="16"/>
      <c r="Q1054" s="16"/>
      <c r="R1054" s="16"/>
      <c r="S1054" s="16"/>
      <c r="T1054" s="16"/>
      <c r="U1054" s="16"/>
      <c r="V1054" s="16"/>
      <c r="W1054" s="16"/>
      <c r="X1054" s="16"/>
      <c r="Y1054" s="16"/>
      <c r="Z1054" s="16"/>
      <c r="AA1054" s="16"/>
    </row>
    <row r="1055" spans="1:27" ht="24" customHeight="1">
      <c r="A1055" s="16"/>
      <c r="B1055" s="16"/>
      <c r="C1055" s="16"/>
      <c r="D1055" s="16"/>
      <c r="E1055" s="16"/>
      <c r="F1055" s="16"/>
      <c r="G1055" s="205"/>
      <c r="H1055" s="205"/>
      <c r="I1055" s="16"/>
      <c r="J1055" s="16"/>
      <c r="K1055" s="205"/>
      <c r="L1055" s="16"/>
      <c r="M1055" s="16"/>
      <c r="N1055" s="16"/>
      <c r="O1055" s="16"/>
      <c r="P1055" s="16"/>
      <c r="Q1055" s="16"/>
      <c r="R1055" s="16"/>
      <c r="S1055" s="16"/>
      <c r="T1055" s="16"/>
      <c r="U1055" s="16"/>
      <c r="V1055" s="16"/>
      <c r="W1055" s="16"/>
      <c r="X1055" s="16"/>
      <c r="Y1055" s="16"/>
      <c r="Z1055" s="16"/>
      <c r="AA1055" s="16"/>
    </row>
    <row r="1056" spans="1:27" ht="24" customHeight="1">
      <c r="A1056" s="16"/>
      <c r="B1056" s="16"/>
      <c r="C1056" s="16"/>
      <c r="D1056" s="16"/>
      <c r="E1056" s="16"/>
      <c r="F1056" s="16"/>
      <c r="G1056" s="205"/>
      <c r="H1056" s="205"/>
      <c r="I1056" s="16"/>
      <c r="J1056" s="16"/>
      <c r="K1056" s="205"/>
      <c r="L1056" s="16"/>
      <c r="M1056" s="16"/>
      <c r="N1056" s="16"/>
      <c r="O1056" s="16"/>
      <c r="P1056" s="16"/>
      <c r="Q1056" s="16"/>
      <c r="R1056" s="16"/>
      <c r="S1056" s="16"/>
      <c r="T1056" s="16"/>
      <c r="U1056" s="16"/>
      <c r="V1056" s="16"/>
      <c r="W1056" s="16"/>
      <c r="X1056" s="16"/>
      <c r="Y1056" s="16"/>
      <c r="Z1056" s="16"/>
      <c r="AA1056" s="16"/>
    </row>
    <row r="1057" spans="1:27" ht="24" customHeight="1">
      <c r="A1057" s="16"/>
      <c r="B1057" s="16"/>
      <c r="C1057" s="16"/>
      <c r="D1057" s="16"/>
      <c r="E1057" s="16"/>
      <c r="F1057" s="16"/>
      <c r="G1057" s="205"/>
      <c r="H1057" s="205"/>
      <c r="I1057" s="16"/>
      <c r="J1057" s="16"/>
      <c r="K1057" s="205"/>
      <c r="L1057" s="16"/>
      <c r="M1057" s="16"/>
      <c r="N1057" s="16"/>
      <c r="O1057" s="16"/>
      <c r="P1057" s="16"/>
      <c r="Q1057" s="16"/>
      <c r="R1057" s="16"/>
      <c r="S1057" s="16"/>
      <c r="T1057" s="16"/>
      <c r="U1057" s="16"/>
      <c r="V1057" s="16"/>
      <c r="W1057" s="16"/>
      <c r="X1057" s="16"/>
      <c r="Y1057" s="16"/>
      <c r="Z1057" s="16"/>
      <c r="AA1057" s="16"/>
    </row>
    <row r="1058" spans="1:27" ht="24" customHeight="1">
      <c r="A1058" s="16"/>
      <c r="B1058" s="16"/>
      <c r="C1058" s="16"/>
      <c r="D1058" s="16"/>
      <c r="E1058" s="16"/>
      <c r="F1058" s="16"/>
      <c r="G1058" s="205"/>
      <c r="H1058" s="205"/>
      <c r="I1058" s="16"/>
      <c r="J1058" s="16"/>
      <c r="K1058" s="205"/>
      <c r="L1058" s="16"/>
      <c r="M1058" s="16"/>
      <c r="N1058" s="16"/>
      <c r="O1058" s="16"/>
      <c r="P1058" s="16"/>
      <c r="Q1058" s="16"/>
      <c r="R1058" s="16"/>
      <c r="S1058" s="16"/>
      <c r="T1058" s="16"/>
      <c r="U1058" s="16"/>
      <c r="V1058" s="16"/>
      <c r="W1058" s="16"/>
      <c r="X1058" s="16"/>
      <c r="Y1058" s="16"/>
      <c r="Z1058" s="16"/>
      <c r="AA1058" s="16"/>
    </row>
    <row r="1059" spans="1:27" ht="24" customHeight="1">
      <c r="A1059" s="16"/>
      <c r="B1059" s="16"/>
      <c r="C1059" s="16"/>
      <c r="D1059" s="16"/>
      <c r="E1059" s="16"/>
      <c r="F1059" s="16"/>
      <c r="G1059" s="205"/>
      <c r="H1059" s="205"/>
      <c r="I1059" s="16"/>
      <c r="J1059" s="16"/>
      <c r="K1059" s="205"/>
      <c r="L1059" s="16"/>
      <c r="M1059" s="16"/>
      <c r="N1059" s="16"/>
      <c r="O1059" s="16"/>
      <c r="P1059" s="16"/>
      <c r="Q1059" s="16"/>
      <c r="R1059" s="16"/>
      <c r="S1059" s="16"/>
      <c r="T1059" s="16"/>
      <c r="U1059" s="16"/>
      <c r="V1059" s="16"/>
      <c r="W1059" s="16"/>
      <c r="X1059" s="16"/>
      <c r="Y1059" s="16"/>
      <c r="Z1059" s="16"/>
      <c r="AA1059" s="16"/>
    </row>
    <row r="1060" spans="1:27" ht="24" customHeight="1">
      <c r="A1060" s="16"/>
      <c r="B1060" s="16"/>
      <c r="C1060" s="16"/>
      <c r="D1060" s="16"/>
      <c r="E1060" s="16"/>
      <c r="F1060" s="16"/>
      <c r="G1060" s="205"/>
      <c r="H1060" s="205"/>
      <c r="I1060" s="16"/>
      <c r="J1060" s="16"/>
      <c r="K1060" s="205"/>
      <c r="L1060" s="16"/>
      <c r="M1060" s="16"/>
      <c r="N1060" s="16"/>
      <c r="O1060" s="16"/>
      <c r="P1060" s="16"/>
      <c r="Q1060" s="16"/>
      <c r="R1060" s="16"/>
      <c r="S1060" s="16"/>
      <c r="T1060" s="16"/>
      <c r="U1060" s="16"/>
      <c r="V1060" s="16"/>
      <c r="W1060" s="16"/>
      <c r="X1060" s="16"/>
      <c r="Y1060" s="16"/>
      <c r="Z1060" s="16"/>
      <c r="AA1060" s="16"/>
    </row>
    <row r="1061" spans="1:27" ht="24" customHeight="1">
      <c r="A1061" s="16"/>
      <c r="B1061" s="16"/>
      <c r="C1061" s="16"/>
      <c r="D1061" s="16"/>
      <c r="E1061" s="16"/>
      <c r="F1061" s="16"/>
      <c r="G1061" s="205"/>
      <c r="H1061" s="205"/>
      <c r="I1061" s="16"/>
      <c r="J1061" s="16"/>
      <c r="K1061" s="205"/>
      <c r="L1061" s="16"/>
      <c r="M1061" s="16"/>
      <c r="N1061" s="16"/>
      <c r="O1061" s="16"/>
      <c r="P1061" s="16"/>
      <c r="Q1061" s="16"/>
      <c r="R1061" s="16"/>
      <c r="S1061" s="16"/>
      <c r="T1061" s="16"/>
      <c r="U1061" s="16"/>
      <c r="V1061" s="16"/>
      <c r="W1061" s="16"/>
      <c r="X1061" s="16"/>
      <c r="Y1061" s="16"/>
      <c r="Z1061" s="16"/>
      <c r="AA1061" s="16"/>
    </row>
    <row r="1062" spans="1:27" ht="24" customHeight="1">
      <c r="A1062" s="16"/>
      <c r="B1062" s="16"/>
      <c r="C1062" s="16"/>
      <c r="D1062" s="16"/>
      <c r="E1062" s="16"/>
      <c r="F1062" s="16"/>
      <c r="G1062" s="205"/>
      <c r="H1062" s="205"/>
      <c r="I1062" s="16"/>
      <c r="J1062" s="16"/>
      <c r="K1062" s="205"/>
      <c r="L1062" s="16"/>
      <c r="M1062" s="16"/>
      <c r="N1062" s="16"/>
      <c r="O1062" s="16"/>
      <c r="P1062" s="16"/>
      <c r="Q1062" s="16"/>
      <c r="R1062" s="16"/>
      <c r="S1062" s="16"/>
      <c r="T1062" s="16"/>
      <c r="U1062" s="16"/>
      <c r="V1062" s="16"/>
      <c r="W1062" s="16"/>
      <c r="X1062" s="16"/>
      <c r="Y1062" s="16"/>
      <c r="Z1062" s="16"/>
      <c r="AA1062" s="16"/>
    </row>
    <row r="1063" spans="1:27" ht="24" customHeight="1">
      <c r="A1063" s="16"/>
      <c r="B1063" s="16"/>
      <c r="C1063" s="16"/>
      <c r="D1063" s="16"/>
      <c r="E1063" s="16"/>
      <c r="F1063" s="16"/>
      <c r="G1063" s="205"/>
      <c r="H1063" s="205"/>
      <c r="I1063" s="16"/>
      <c r="J1063" s="16"/>
      <c r="K1063" s="205"/>
      <c r="L1063" s="16"/>
      <c r="M1063" s="16"/>
      <c r="N1063" s="16"/>
      <c r="O1063" s="16"/>
      <c r="P1063" s="16"/>
      <c r="Q1063" s="16"/>
      <c r="R1063" s="16"/>
      <c r="S1063" s="16"/>
      <c r="T1063" s="16"/>
      <c r="U1063" s="16"/>
      <c r="V1063" s="16"/>
      <c r="W1063" s="16"/>
      <c r="X1063" s="16"/>
      <c r="Y1063" s="16"/>
      <c r="Z1063" s="16"/>
      <c r="AA1063" s="16"/>
    </row>
    <row r="1064" spans="1:27" ht="24" customHeight="1">
      <c r="A1064" s="16"/>
      <c r="B1064" s="16"/>
      <c r="C1064" s="16"/>
      <c r="D1064" s="16"/>
      <c r="E1064" s="16"/>
      <c r="F1064" s="16"/>
      <c r="G1064" s="205"/>
      <c r="H1064" s="205"/>
      <c r="I1064" s="16"/>
      <c r="J1064" s="16"/>
      <c r="K1064" s="205"/>
      <c r="L1064" s="16"/>
      <c r="M1064" s="16"/>
      <c r="N1064" s="16"/>
      <c r="O1064" s="16"/>
      <c r="P1064" s="16"/>
      <c r="Q1064" s="16"/>
      <c r="R1064" s="16"/>
      <c r="S1064" s="16"/>
      <c r="T1064" s="16"/>
      <c r="U1064" s="16"/>
      <c r="V1064" s="16"/>
      <c r="W1064" s="16"/>
      <c r="X1064" s="16"/>
      <c r="Y1064" s="16"/>
      <c r="Z1064" s="16"/>
      <c r="AA1064" s="16"/>
    </row>
    <row r="1065" spans="1:27" ht="24" customHeight="1">
      <c r="A1065" s="16"/>
      <c r="B1065" s="16"/>
      <c r="C1065" s="16"/>
      <c r="D1065" s="16"/>
      <c r="E1065" s="16"/>
      <c r="F1065" s="16"/>
      <c r="G1065" s="205"/>
      <c r="H1065" s="205"/>
      <c r="I1065" s="16"/>
      <c r="J1065" s="16"/>
      <c r="K1065" s="205"/>
      <c r="L1065" s="16"/>
      <c r="M1065" s="16"/>
      <c r="N1065" s="16"/>
      <c r="O1065" s="16"/>
      <c r="P1065" s="16"/>
      <c r="Q1065" s="16"/>
      <c r="R1065" s="16"/>
      <c r="S1065" s="16"/>
      <c r="T1065" s="16"/>
      <c r="U1065" s="16"/>
      <c r="V1065" s="16"/>
      <c r="W1065" s="16"/>
      <c r="X1065" s="16"/>
      <c r="Y1065" s="16"/>
      <c r="Z1065" s="16"/>
      <c r="AA1065" s="16"/>
    </row>
    <row r="1066" spans="1:27" ht="24" customHeight="1">
      <c r="A1066" s="16"/>
      <c r="B1066" s="16"/>
      <c r="C1066" s="16"/>
      <c r="D1066" s="16"/>
      <c r="E1066" s="16"/>
      <c r="F1066" s="16"/>
      <c r="G1066" s="205"/>
      <c r="H1066" s="205"/>
      <c r="I1066" s="16"/>
      <c r="J1066" s="16"/>
      <c r="K1066" s="205"/>
      <c r="L1066" s="16"/>
      <c r="M1066" s="16"/>
      <c r="N1066" s="16"/>
      <c r="O1066" s="16"/>
      <c r="P1066" s="16"/>
      <c r="Q1066" s="16"/>
      <c r="R1066" s="16"/>
      <c r="S1066" s="16"/>
      <c r="T1066" s="16"/>
      <c r="U1066" s="16"/>
      <c r="V1066" s="16"/>
      <c r="W1066" s="16"/>
      <c r="X1066" s="16"/>
      <c r="Y1066" s="16"/>
      <c r="Z1066" s="16"/>
      <c r="AA1066" s="16"/>
    </row>
    <row r="1067" spans="1:27" ht="24" customHeight="1">
      <c r="A1067" s="16"/>
      <c r="B1067" s="16"/>
      <c r="C1067" s="16"/>
      <c r="D1067" s="16"/>
      <c r="E1067" s="16"/>
      <c r="F1067" s="16"/>
      <c r="G1067" s="205"/>
      <c r="H1067" s="205"/>
      <c r="I1067" s="16"/>
      <c r="J1067" s="16"/>
      <c r="K1067" s="205"/>
      <c r="L1067" s="16"/>
      <c r="M1067" s="16"/>
      <c r="N1067" s="16"/>
      <c r="O1067" s="16"/>
      <c r="P1067" s="16"/>
      <c r="Q1067" s="16"/>
      <c r="R1067" s="16"/>
      <c r="S1067" s="16"/>
      <c r="T1067" s="16"/>
      <c r="U1067" s="16"/>
      <c r="V1067" s="16"/>
      <c r="W1067" s="16"/>
      <c r="X1067" s="16"/>
      <c r="Y1067" s="16"/>
      <c r="Z1067" s="16"/>
      <c r="AA1067" s="16"/>
    </row>
    <row r="1068" spans="1:27" ht="24" customHeight="1">
      <c r="A1068" s="16"/>
      <c r="B1068" s="16"/>
      <c r="C1068" s="16"/>
      <c r="D1068" s="16"/>
      <c r="E1068" s="16"/>
      <c r="F1068" s="16"/>
      <c r="G1068" s="205"/>
      <c r="H1068" s="205"/>
      <c r="I1068" s="16"/>
      <c r="J1068" s="16"/>
      <c r="K1068" s="205"/>
      <c r="L1068" s="16"/>
      <c r="M1068" s="16"/>
      <c r="N1068" s="16"/>
      <c r="O1068" s="16"/>
      <c r="P1068" s="16"/>
      <c r="Q1068" s="16"/>
      <c r="R1068" s="16"/>
      <c r="S1068" s="16"/>
      <c r="T1068" s="16"/>
      <c r="U1068" s="16"/>
      <c r="V1068" s="16"/>
      <c r="W1068" s="16"/>
      <c r="X1068" s="16"/>
      <c r="Y1068" s="16"/>
      <c r="Z1068" s="16"/>
      <c r="AA1068" s="16"/>
    </row>
    <row r="1069" spans="1:27" ht="24" customHeight="1">
      <c r="A1069" s="16"/>
      <c r="B1069" s="16"/>
      <c r="C1069" s="16"/>
      <c r="D1069" s="16"/>
      <c r="E1069" s="16"/>
      <c r="F1069" s="16"/>
      <c r="G1069" s="205"/>
      <c r="H1069" s="205"/>
      <c r="I1069" s="16"/>
      <c r="J1069" s="16"/>
      <c r="K1069" s="205"/>
      <c r="L1069" s="16"/>
      <c r="M1069" s="16"/>
      <c r="N1069" s="16"/>
      <c r="O1069" s="16"/>
      <c r="P1069" s="16"/>
      <c r="Q1069" s="16"/>
      <c r="R1069" s="16"/>
      <c r="S1069" s="16"/>
      <c r="T1069" s="16"/>
      <c r="U1069" s="16"/>
      <c r="V1069" s="16"/>
      <c r="W1069" s="16"/>
      <c r="X1069" s="16"/>
      <c r="Y1069" s="16"/>
      <c r="Z1069" s="16"/>
      <c r="AA1069" s="16"/>
    </row>
    <row r="1070" spans="1:27" ht="24" customHeight="1">
      <c r="A1070" s="16"/>
      <c r="B1070" s="16"/>
      <c r="C1070" s="16"/>
      <c r="D1070" s="16"/>
      <c r="E1070" s="16"/>
      <c r="F1070" s="16"/>
      <c r="G1070" s="205"/>
      <c r="H1070" s="205"/>
      <c r="I1070" s="16"/>
      <c r="J1070" s="16"/>
      <c r="K1070" s="205"/>
      <c r="L1070" s="16"/>
      <c r="M1070" s="16"/>
      <c r="N1070" s="16"/>
      <c r="O1070" s="16"/>
      <c r="P1070" s="16"/>
      <c r="Q1070" s="16"/>
      <c r="R1070" s="16"/>
      <c r="S1070" s="16"/>
      <c r="T1070" s="16"/>
      <c r="U1070" s="16"/>
      <c r="V1070" s="16"/>
      <c r="W1070" s="16"/>
      <c r="X1070" s="16"/>
      <c r="Y1070" s="16"/>
      <c r="Z1070" s="16"/>
      <c r="AA1070" s="16"/>
    </row>
    <row r="1071" spans="1:27" ht="24" customHeight="1">
      <c r="A1071" s="16"/>
      <c r="B1071" s="16"/>
      <c r="C1071" s="16"/>
      <c r="D1071" s="16"/>
      <c r="E1071" s="16"/>
      <c r="F1071" s="16"/>
      <c r="G1071" s="205"/>
      <c r="H1071" s="205"/>
      <c r="I1071" s="16"/>
      <c r="J1071" s="16"/>
      <c r="K1071" s="205"/>
      <c r="L1071" s="16"/>
      <c r="M1071" s="16"/>
      <c r="N1071" s="16"/>
      <c r="O1071" s="16"/>
      <c r="P1071" s="16"/>
      <c r="Q1071" s="16"/>
      <c r="R1071" s="16"/>
      <c r="S1071" s="16"/>
      <c r="T1071" s="16"/>
      <c r="U1071" s="16"/>
      <c r="V1071" s="16"/>
      <c r="W1071" s="16"/>
      <c r="X1071" s="16"/>
      <c r="Y1071" s="16"/>
      <c r="Z1071" s="16"/>
      <c r="AA1071" s="16"/>
    </row>
    <row r="1072" spans="1:27" ht="24" customHeight="1">
      <c r="A1072" s="16"/>
      <c r="B1072" s="16"/>
      <c r="C1072" s="16"/>
      <c r="D1072" s="16"/>
      <c r="E1072" s="16"/>
      <c r="F1072" s="16"/>
      <c r="G1072" s="205"/>
      <c r="H1072" s="205"/>
      <c r="I1072" s="16"/>
      <c r="J1072" s="16"/>
      <c r="K1072" s="205"/>
      <c r="L1072" s="16"/>
      <c r="M1072" s="16"/>
      <c r="N1072" s="16"/>
      <c r="O1072" s="16"/>
      <c r="P1072" s="16"/>
      <c r="Q1072" s="16"/>
      <c r="R1072" s="16"/>
      <c r="S1072" s="16"/>
      <c r="T1072" s="16"/>
      <c r="U1072" s="16"/>
      <c r="V1072" s="16"/>
      <c r="W1072" s="16"/>
      <c r="X1072" s="16"/>
      <c r="Y1072" s="16"/>
      <c r="Z1072" s="16"/>
      <c r="AA1072" s="16"/>
    </row>
    <row r="1073" spans="1:27" ht="24" customHeight="1">
      <c r="A1073" s="16"/>
      <c r="B1073" s="16"/>
      <c r="C1073" s="16"/>
      <c r="D1073" s="16"/>
      <c r="E1073" s="16"/>
      <c r="F1073" s="16"/>
      <c r="G1073" s="205"/>
      <c r="H1073" s="205"/>
      <c r="I1073" s="16"/>
      <c r="J1073" s="16"/>
      <c r="K1073" s="205"/>
      <c r="L1073" s="16"/>
      <c r="M1073" s="16"/>
      <c r="N1073" s="16"/>
      <c r="O1073" s="16"/>
      <c r="P1073" s="16"/>
      <c r="Q1073" s="16"/>
      <c r="R1073" s="16"/>
      <c r="S1073" s="16"/>
      <c r="T1073" s="16"/>
      <c r="U1073" s="16"/>
      <c r="V1073" s="16"/>
      <c r="W1073" s="16"/>
      <c r="X1073" s="16"/>
      <c r="Y1073" s="16"/>
      <c r="Z1073" s="16"/>
      <c r="AA1073" s="16"/>
    </row>
    <row r="1074" spans="1:27" ht="24" customHeight="1">
      <c r="A1074" s="16"/>
      <c r="B1074" s="16"/>
      <c r="C1074" s="16"/>
      <c r="D1074" s="16"/>
      <c r="E1074" s="16"/>
      <c r="F1074" s="16"/>
      <c r="G1074" s="205"/>
      <c r="H1074" s="205"/>
      <c r="I1074" s="16"/>
      <c r="J1074" s="16"/>
      <c r="K1074" s="205"/>
      <c r="L1074" s="16"/>
      <c r="M1074" s="16"/>
      <c r="N1074" s="16"/>
      <c r="O1074" s="16"/>
      <c r="P1074" s="16"/>
      <c r="Q1074" s="16"/>
      <c r="R1074" s="16"/>
      <c r="S1074" s="16"/>
      <c r="T1074" s="16"/>
      <c r="U1074" s="16"/>
      <c r="V1074" s="16"/>
      <c r="W1074" s="16"/>
      <c r="X1074" s="16"/>
      <c r="Y1074" s="16"/>
      <c r="Z1074" s="16"/>
      <c r="AA1074" s="16"/>
    </row>
    <row r="1075" spans="1:27" ht="24" customHeight="1">
      <c r="A1075" s="16"/>
      <c r="B1075" s="16"/>
      <c r="C1075" s="16"/>
      <c r="D1075" s="16"/>
      <c r="E1075" s="16"/>
      <c r="F1075" s="16"/>
      <c r="G1075" s="205"/>
      <c r="H1075" s="205"/>
      <c r="I1075" s="16"/>
      <c r="J1075" s="16"/>
      <c r="K1075" s="205"/>
      <c r="L1075" s="16"/>
      <c r="M1075" s="16"/>
      <c r="N1075" s="16"/>
      <c r="O1075" s="16"/>
      <c r="P1075" s="16"/>
      <c r="Q1075" s="16"/>
      <c r="R1075" s="16"/>
      <c r="S1075" s="16"/>
      <c r="T1075" s="16"/>
      <c r="U1075" s="16"/>
      <c r="V1075" s="16"/>
      <c r="W1075" s="16"/>
      <c r="X1075" s="16"/>
      <c r="Y1075" s="16"/>
      <c r="Z1075" s="16"/>
      <c r="AA1075" s="16"/>
    </row>
    <row r="1076" spans="1:27" ht="24" customHeight="1">
      <c r="A1076" s="16"/>
      <c r="B1076" s="16"/>
      <c r="C1076" s="16"/>
      <c r="D1076" s="16"/>
      <c r="E1076" s="16"/>
      <c r="F1076" s="16"/>
      <c r="G1076" s="205"/>
      <c r="H1076" s="205"/>
      <c r="I1076" s="16"/>
      <c r="J1076" s="16"/>
      <c r="K1076" s="205"/>
      <c r="L1076" s="16"/>
      <c r="M1076" s="16"/>
      <c r="N1076" s="16"/>
      <c r="O1076" s="16"/>
      <c r="P1076" s="16"/>
      <c r="Q1076" s="16"/>
      <c r="R1076" s="16"/>
      <c r="S1076" s="16"/>
      <c r="T1076" s="16"/>
      <c r="U1076" s="16"/>
      <c r="V1076" s="16"/>
      <c r="W1076" s="16"/>
      <c r="X1076" s="16"/>
      <c r="Y1076" s="16"/>
      <c r="Z1076" s="16"/>
      <c r="AA1076" s="16"/>
    </row>
    <row r="1077" spans="1:27" ht="24" customHeight="1">
      <c r="A1077" s="16"/>
      <c r="B1077" s="16"/>
      <c r="C1077" s="16"/>
      <c r="D1077" s="16"/>
      <c r="E1077" s="16"/>
      <c r="F1077" s="16"/>
      <c r="G1077" s="205"/>
      <c r="H1077" s="205"/>
      <c r="I1077" s="16"/>
      <c r="J1077" s="16"/>
      <c r="K1077" s="205"/>
      <c r="L1077" s="16"/>
      <c r="M1077" s="16"/>
      <c r="N1077" s="16"/>
      <c r="O1077" s="16"/>
      <c r="P1077" s="16"/>
      <c r="Q1077" s="16"/>
      <c r="R1077" s="16"/>
      <c r="S1077" s="16"/>
      <c r="T1077" s="16"/>
      <c r="U1077" s="16"/>
      <c r="V1077" s="16"/>
      <c r="W1077" s="16"/>
      <c r="X1077" s="16"/>
      <c r="Y1077" s="16"/>
      <c r="Z1077" s="16"/>
      <c r="AA1077" s="16"/>
    </row>
    <row r="1078" spans="1:27" ht="24" customHeight="1">
      <c r="A1078" s="16"/>
      <c r="B1078" s="16"/>
      <c r="C1078" s="16"/>
      <c r="D1078" s="16"/>
      <c r="E1078" s="16"/>
      <c r="F1078" s="16"/>
      <c r="G1078" s="205"/>
      <c r="H1078" s="205"/>
      <c r="I1078" s="16"/>
      <c r="J1078" s="16"/>
      <c r="K1078" s="205"/>
      <c r="L1078" s="16"/>
      <c r="M1078" s="16"/>
      <c r="N1078" s="16"/>
      <c r="O1078" s="16"/>
      <c r="P1078" s="16"/>
      <c r="Q1078" s="16"/>
      <c r="R1078" s="16"/>
      <c r="S1078" s="16"/>
      <c r="T1078" s="16"/>
      <c r="U1078" s="16"/>
      <c r="V1078" s="16"/>
      <c r="W1078" s="16"/>
      <c r="X1078" s="16"/>
      <c r="Y1078" s="16"/>
      <c r="Z1078" s="16"/>
      <c r="AA1078" s="16"/>
    </row>
    <row r="1079" spans="1:27" ht="24" customHeight="1">
      <c r="A1079" s="16"/>
      <c r="B1079" s="16"/>
      <c r="C1079" s="16"/>
      <c r="D1079" s="16"/>
      <c r="E1079" s="16"/>
      <c r="F1079" s="16"/>
      <c r="G1079" s="205"/>
      <c r="H1079" s="205"/>
      <c r="I1079" s="16"/>
      <c r="J1079" s="16"/>
      <c r="K1079" s="205"/>
      <c r="L1079" s="16"/>
      <c r="M1079" s="16"/>
      <c r="N1079" s="16"/>
      <c r="O1079" s="16"/>
      <c r="P1079" s="16"/>
      <c r="Q1079" s="16"/>
      <c r="R1079" s="16"/>
      <c r="S1079" s="16"/>
      <c r="T1079" s="16"/>
      <c r="U1079" s="16"/>
      <c r="V1079" s="16"/>
      <c r="W1079" s="16"/>
      <c r="X1079" s="16"/>
      <c r="Y1079" s="16"/>
      <c r="Z1079" s="16"/>
      <c r="AA1079" s="16"/>
    </row>
    <row r="1080" spans="1:27" ht="24" customHeight="1">
      <c r="A1080" s="16"/>
      <c r="B1080" s="16"/>
      <c r="C1080" s="16"/>
      <c r="D1080" s="16"/>
      <c r="E1080" s="16"/>
      <c r="F1080" s="16"/>
      <c r="G1080" s="205"/>
      <c r="H1080" s="205"/>
      <c r="I1080" s="16"/>
      <c r="J1080" s="16"/>
      <c r="K1080" s="205"/>
      <c r="L1080" s="16"/>
      <c r="M1080" s="16"/>
      <c r="N1080" s="16"/>
      <c r="O1080" s="16"/>
      <c r="P1080" s="16"/>
      <c r="Q1080" s="16"/>
      <c r="R1080" s="16"/>
      <c r="S1080" s="16"/>
      <c r="T1080" s="16"/>
      <c r="U1080" s="16"/>
      <c r="V1080" s="16"/>
      <c r="W1080" s="16"/>
      <c r="X1080" s="16"/>
      <c r="Y1080" s="16"/>
      <c r="Z1080" s="16"/>
      <c r="AA1080" s="16"/>
    </row>
    <row r="1081" spans="1:27" ht="24" customHeight="1">
      <c r="A1081" s="16"/>
      <c r="B1081" s="16"/>
      <c r="C1081" s="16"/>
      <c r="D1081" s="16"/>
      <c r="E1081" s="16"/>
      <c r="F1081" s="16"/>
      <c r="G1081" s="205"/>
      <c r="H1081" s="205"/>
      <c r="I1081" s="16"/>
      <c r="J1081" s="16"/>
      <c r="K1081" s="205"/>
      <c r="L1081" s="16"/>
      <c r="M1081" s="16"/>
      <c r="N1081" s="16"/>
      <c r="O1081" s="16"/>
      <c r="P1081" s="16"/>
      <c r="Q1081" s="16"/>
      <c r="R1081" s="16"/>
      <c r="S1081" s="16"/>
      <c r="T1081" s="16"/>
      <c r="U1081" s="16"/>
      <c r="V1081" s="16"/>
      <c r="W1081" s="16"/>
      <c r="X1081" s="16"/>
      <c r="Y1081" s="16"/>
      <c r="Z1081" s="16"/>
      <c r="AA1081" s="16"/>
    </row>
    <row r="1082" spans="1:27" ht="24" customHeight="1">
      <c r="A1082" s="16"/>
      <c r="B1082" s="16"/>
      <c r="C1082" s="16"/>
      <c r="D1082" s="16"/>
      <c r="E1082" s="16"/>
      <c r="F1082" s="16"/>
      <c r="G1082" s="205"/>
      <c r="H1082" s="205"/>
      <c r="I1082" s="16"/>
      <c r="J1082" s="16"/>
      <c r="K1082" s="205"/>
      <c r="L1082" s="16"/>
      <c r="M1082" s="16"/>
      <c r="N1082" s="16"/>
      <c r="O1082" s="16"/>
      <c r="P1082" s="16"/>
      <c r="Q1082" s="16"/>
      <c r="R1082" s="16"/>
      <c r="S1082" s="16"/>
      <c r="T1082" s="16"/>
      <c r="U1082" s="16"/>
      <c r="V1082" s="16"/>
      <c r="W1082" s="16"/>
      <c r="X1082" s="16"/>
      <c r="Y1082" s="16"/>
      <c r="Z1082" s="16"/>
      <c r="AA1082" s="16"/>
    </row>
    <row r="1083" spans="1:27" ht="24" customHeight="1">
      <c r="A1083" s="16"/>
      <c r="B1083" s="16"/>
      <c r="C1083" s="16"/>
      <c r="D1083" s="16"/>
      <c r="E1083" s="16"/>
      <c r="F1083" s="16"/>
      <c r="G1083" s="205"/>
      <c r="H1083" s="205"/>
      <c r="I1083" s="16"/>
      <c r="J1083" s="16"/>
      <c r="K1083" s="205"/>
      <c r="L1083" s="16"/>
      <c r="M1083" s="16"/>
      <c r="N1083" s="16"/>
      <c r="O1083" s="16"/>
      <c r="P1083" s="16"/>
      <c r="Q1083" s="16"/>
      <c r="R1083" s="16"/>
      <c r="S1083" s="16"/>
      <c r="T1083" s="16"/>
      <c r="U1083" s="16"/>
      <c r="V1083" s="16"/>
      <c r="W1083" s="16"/>
      <c r="X1083" s="16"/>
      <c r="Y1083" s="16"/>
      <c r="Z1083" s="16"/>
      <c r="AA1083" s="16"/>
    </row>
    <row r="1084" spans="1:27" ht="24" customHeight="1">
      <c r="A1084" s="16"/>
      <c r="B1084" s="16"/>
      <c r="C1084" s="16"/>
      <c r="D1084" s="16"/>
      <c r="E1084" s="16"/>
      <c r="F1084" s="16"/>
      <c r="G1084" s="205"/>
      <c r="H1084" s="205"/>
      <c r="I1084" s="16"/>
      <c r="J1084" s="16"/>
      <c r="K1084" s="205"/>
      <c r="L1084" s="16"/>
      <c r="M1084" s="16"/>
      <c r="N1084" s="16"/>
      <c r="O1084" s="16"/>
      <c r="P1084" s="16"/>
      <c r="Q1084" s="16"/>
      <c r="R1084" s="16"/>
      <c r="S1084" s="16"/>
      <c r="T1084" s="16"/>
      <c r="U1084" s="16"/>
      <c r="V1084" s="16"/>
      <c r="W1084" s="16"/>
      <c r="X1084" s="16"/>
      <c r="Y1084" s="16"/>
      <c r="Z1084" s="16"/>
      <c r="AA1084" s="16"/>
    </row>
    <row r="1085" spans="1:27" ht="24" customHeight="1">
      <c r="A1085" s="16"/>
      <c r="B1085" s="16"/>
      <c r="C1085" s="16"/>
      <c r="D1085" s="16"/>
      <c r="E1085" s="16"/>
      <c r="F1085" s="16"/>
      <c r="G1085" s="205"/>
      <c r="H1085" s="205"/>
      <c r="I1085" s="16"/>
      <c r="J1085" s="16"/>
      <c r="K1085" s="205"/>
      <c r="L1085" s="16"/>
      <c r="M1085" s="16"/>
      <c r="N1085" s="16"/>
      <c r="O1085" s="16"/>
      <c r="P1085" s="16"/>
      <c r="Q1085" s="16"/>
      <c r="R1085" s="16"/>
      <c r="S1085" s="16"/>
      <c r="T1085" s="16"/>
      <c r="U1085" s="16"/>
      <c r="V1085" s="16"/>
      <c r="W1085" s="16"/>
      <c r="X1085" s="16"/>
      <c r="Y1085" s="16"/>
      <c r="Z1085" s="16"/>
      <c r="AA1085" s="16"/>
    </row>
    <row r="1086" spans="1:27" ht="24" customHeight="1">
      <c r="A1086" s="16"/>
      <c r="B1086" s="16"/>
      <c r="C1086" s="16"/>
      <c r="D1086" s="16"/>
      <c r="E1086" s="16"/>
      <c r="F1086" s="16"/>
      <c r="G1086" s="205"/>
      <c r="H1086" s="205"/>
      <c r="I1086" s="16"/>
      <c r="J1086" s="16"/>
      <c r="K1086" s="205"/>
      <c r="L1086" s="16"/>
      <c r="M1086" s="16"/>
      <c r="N1086" s="16"/>
      <c r="O1086" s="16"/>
      <c r="P1086" s="16"/>
      <c r="Q1086" s="16"/>
      <c r="R1086" s="16"/>
      <c r="S1086" s="16"/>
      <c r="T1086" s="16"/>
      <c r="U1086" s="16"/>
      <c r="V1086" s="16"/>
      <c r="W1086" s="16"/>
      <c r="X1086" s="16"/>
      <c r="Y1086" s="16"/>
      <c r="Z1086" s="16"/>
      <c r="AA1086" s="16"/>
    </row>
    <row r="1087" spans="1:27" ht="24" customHeight="1">
      <c r="A1087" s="16"/>
      <c r="B1087" s="16"/>
      <c r="C1087" s="16"/>
      <c r="D1087" s="16"/>
      <c r="E1087" s="16"/>
      <c r="F1087" s="16"/>
      <c r="G1087" s="205"/>
      <c r="H1087" s="205"/>
      <c r="I1087" s="16"/>
      <c r="J1087" s="16"/>
      <c r="K1087" s="205"/>
      <c r="L1087" s="16"/>
      <c r="M1087" s="16"/>
      <c r="N1087" s="16"/>
      <c r="O1087" s="16"/>
      <c r="P1087" s="16"/>
      <c r="Q1087" s="16"/>
      <c r="R1087" s="16"/>
      <c r="S1087" s="16"/>
      <c r="T1087" s="16"/>
      <c r="U1087" s="16"/>
      <c r="V1087" s="16"/>
      <c r="W1087" s="16"/>
      <c r="X1087" s="16"/>
      <c r="Y1087" s="16"/>
      <c r="Z1087" s="16"/>
      <c r="AA1087" s="16"/>
    </row>
    <row r="1088" spans="1:27" ht="24" customHeight="1">
      <c r="A1088" s="16"/>
      <c r="B1088" s="16"/>
      <c r="C1088" s="16"/>
      <c r="D1088" s="16"/>
      <c r="E1088" s="16"/>
      <c r="F1088" s="16"/>
      <c r="G1088" s="205"/>
      <c r="H1088" s="205"/>
      <c r="I1088" s="16"/>
      <c r="J1088" s="16"/>
      <c r="K1088" s="205"/>
      <c r="L1088" s="16"/>
      <c r="M1088" s="16"/>
      <c r="N1088" s="16"/>
      <c r="O1088" s="16"/>
      <c r="P1088" s="16"/>
      <c r="Q1088" s="16"/>
      <c r="R1088" s="16"/>
      <c r="S1088" s="16"/>
      <c r="T1088" s="16"/>
      <c r="U1088" s="16"/>
      <c r="V1088" s="16"/>
      <c r="W1088" s="16"/>
      <c r="X1088" s="16"/>
      <c r="Y1088" s="16"/>
      <c r="Z1088" s="16"/>
      <c r="AA1088" s="16"/>
    </row>
    <row r="1089" spans="1:27" ht="24" customHeight="1">
      <c r="A1089" s="16"/>
      <c r="B1089" s="16"/>
      <c r="C1089" s="16"/>
      <c r="D1089" s="16"/>
      <c r="E1089" s="16"/>
      <c r="F1089" s="16"/>
      <c r="G1089" s="205"/>
      <c r="H1089" s="205"/>
      <c r="I1089" s="16"/>
      <c r="J1089" s="16"/>
      <c r="K1089" s="205"/>
      <c r="L1089" s="16"/>
      <c r="M1089" s="16"/>
      <c r="N1089" s="16"/>
      <c r="O1089" s="16"/>
      <c r="P1089" s="16"/>
      <c r="Q1089" s="16"/>
      <c r="R1089" s="16"/>
      <c r="S1089" s="16"/>
      <c r="T1089" s="16"/>
      <c r="U1089" s="16"/>
      <c r="V1089" s="16"/>
      <c r="W1089" s="16"/>
      <c r="X1089" s="16"/>
      <c r="Y1089" s="16"/>
      <c r="Z1089" s="16"/>
      <c r="AA1089" s="16"/>
    </row>
    <row r="1090" spans="1:27" ht="24" customHeight="1">
      <c r="A1090" s="16"/>
      <c r="B1090" s="16"/>
      <c r="C1090" s="16"/>
      <c r="D1090" s="16"/>
      <c r="E1090" s="16"/>
      <c r="F1090" s="16"/>
      <c r="G1090" s="205"/>
      <c r="H1090" s="205"/>
      <c r="I1090" s="16"/>
      <c r="J1090" s="16"/>
      <c r="K1090" s="205"/>
      <c r="L1090" s="16"/>
      <c r="M1090" s="16"/>
      <c r="N1090" s="16"/>
      <c r="O1090" s="16"/>
      <c r="P1090" s="16"/>
      <c r="Q1090" s="16"/>
      <c r="R1090" s="16"/>
      <c r="S1090" s="16"/>
      <c r="T1090" s="16"/>
      <c r="U1090" s="16"/>
      <c r="V1090" s="16"/>
      <c r="W1090" s="16"/>
      <c r="X1090" s="16"/>
      <c r="Y1090" s="16"/>
      <c r="Z1090" s="16"/>
      <c r="AA1090" s="16"/>
    </row>
    <row r="1091" spans="1:27" ht="24" customHeight="1">
      <c r="A1091" s="16"/>
      <c r="B1091" s="16"/>
      <c r="C1091" s="16"/>
      <c r="D1091" s="16"/>
      <c r="E1091" s="16"/>
      <c r="F1091" s="16"/>
      <c r="G1091" s="205"/>
      <c r="H1091" s="205"/>
      <c r="I1091" s="16"/>
      <c r="J1091" s="16"/>
      <c r="K1091" s="205"/>
      <c r="L1091" s="16"/>
      <c r="M1091" s="16"/>
      <c r="N1091" s="16"/>
      <c r="O1091" s="16"/>
      <c r="P1091" s="16"/>
      <c r="Q1091" s="16"/>
      <c r="R1091" s="16"/>
      <c r="S1091" s="16"/>
      <c r="T1091" s="16"/>
      <c r="U1091" s="16"/>
      <c r="V1091" s="16"/>
      <c r="W1091" s="16"/>
      <c r="X1091" s="16"/>
      <c r="Y1091" s="16"/>
      <c r="Z1091" s="16"/>
      <c r="AA1091" s="16"/>
    </row>
    <row r="1092" spans="1:27" ht="24" customHeight="1">
      <c r="A1092" s="16"/>
      <c r="B1092" s="16"/>
      <c r="C1092" s="16"/>
      <c r="D1092" s="16"/>
      <c r="E1092" s="16"/>
      <c r="F1092" s="16"/>
      <c r="G1092" s="205"/>
      <c r="H1092" s="205"/>
      <c r="I1092" s="16"/>
      <c r="J1092" s="16"/>
      <c r="K1092" s="205"/>
      <c r="L1092" s="16"/>
      <c r="M1092" s="16"/>
      <c r="N1092" s="16"/>
      <c r="O1092" s="16"/>
      <c r="P1092" s="16"/>
      <c r="Q1092" s="16"/>
      <c r="R1092" s="16"/>
      <c r="S1092" s="16"/>
      <c r="T1092" s="16"/>
      <c r="U1092" s="16"/>
      <c r="V1092" s="16"/>
      <c r="W1092" s="16"/>
      <c r="X1092" s="16"/>
      <c r="Y1092" s="16"/>
      <c r="Z1092" s="16"/>
      <c r="AA1092" s="16"/>
    </row>
    <row r="1093" spans="1:27" ht="24" customHeight="1">
      <c r="A1093" s="16"/>
      <c r="B1093" s="16"/>
      <c r="C1093" s="16"/>
      <c r="D1093" s="16"/>
      <c r="E1093" s="16"/>
      <c r="F1093" s="16"/>
      <c r="G1093" s="205"/>
      <c r="H1093" s="205"/>
      <c r="I1093" s="16"/>
      <c r="J1093" s="16"/>
      <c r="K1093" s="205"/>
      <c r="L1093" s="16"/>
      <c r="M1093" s="16"/>
      <c r="N1093" s="16"/>
      <c r="O1093" s="16"/>
      <c r="P1093" s="16"/>
      <c r="Q1093" s="16"/>
      <c r="R1093" s="16"/>
      <c r="S1093" s="16"/>
      <c r="T1093" s="16"/>
      <c r="U1093" s="16"/>
      <c r="V1093" s="16"/>
      <c r="W1093" s="16"/>
      <c r="X1093" s="16"/>
      <c r="Y1093" s="16"/>
      <c r="Z1093" s="16"/>
      <c r="AA1093" s="16"/>
    </row>
    <row r="1094" spans="1:27" ht="24" customHeight="1">
      <c r="A1094" s="16"/>
      <c r="B1094" s="16"/>
      <c r="C1094" s="16"/>
      <c r="D1094" s="16"/>
      <c r="E1094" s="16"/>
      <c r="F1094" s="16"/>
      <c r="G1094" s="205"/>
      <c r="H1094" s="205"/>
      <c r="I1094" s="16"/>
      <c r="J1094" s="16"/>
      <c r="K1094" s="205"/>
      <c r="L1094" s="16"/>
      <c r="M1094" s="16"/>
      <c r="N1094" s="16"/>
      <c r="O1094" s="16"/>
      <c r="P1094" s="16"/>
      <c r="Q1094" s="16"/>
      <c r="R1094" s="16"/>
      <c r="S1094" s="16"/>
      <c r="T1094" s="16"/>
      <c r="U1094" s="16"/>
      <c r="V1094" s="16"/>
      <c r="W1094" s="16"/>
      <c r="X1094" s="16"/>
      <c r="Y1094" s="16"/>
      <c r="Z1094" s="16"/>
      <c r="AA1094" s="16"/>
    </row>
    <row r="1095" spans="1:27" ht="24" customHeight="1">
      <c r="A1095" s="16"/>
      <c r="B1095" s="16"/>
      <c r="C1095" s="16"/>
      <c r="D1095" s="16"/>
      <c r="E1095" s="16"/>
      <c r="F1095" s="16"/>
      <c r="G1095" s="205"/>
      <c r="H1095" s="205"/>
      <c r="I1095" s="16"/>
      <c r="J1095" s="16"/>
      <c r="K1095" s="205"/>
      <c r="L1095" s="16"/>
      <c r="M1095" s="16"/>
      <c r="N1095" s="16"/>
      <c r="O1095" s="16"/>
      <c r="P1095" s="16"/>
      <c r="Q1095" s="16"/>
      <c r="R1095" s="16"/>
      <c r="S1095" s="16"/>
      <c r="T1095" s="16"/>
      <c r="U1095" s="16"/>
      <c r="V1095" s="16"/>
      <c r="W1095" s="16"/>
      <c r="X1095" s="16"/>
      <c r="Y1095" s="16"/>
      <c r="Z1095" s="16"/>
      <c r="AA1095" s="16"/>
    </row>
    <row r="1096" spans="1:27" ht="24" customHeight="1">
      <c r="A1096" s="16"/>
      <c r="B1096" s="16"/>
      <c r="C1096" s="16"/>
      <c r="D1096" s="16"/>
      <c r="E1096" s="16"/>
      <c r="F1096" s="16"/>
      <c r="G1096" s="205"/>
      <c r="H1096" s="205"/>
      <c r="I1096" s="16"/>
      <c r="J1096" s="16"/>
      <c r="K1096" s="205"/>
      <c r="L1096" s="16"/>
      <c r="M1096" s="16"/>
      <c r="N1096" s="16"/>
      <c r="O1096" s="16"/>
      <c r="P1096" s="16"/>
      <c r="Q1096" s="16"/>
      <c r="R1096" s="16"/>
      <c r="S1096" s="16"/>
      <c r="T1096" s="16"/>
      <c r="U1096" s="16"/>
      <c r="V1096" s="16"/>
      <c r="W1096" s="16"/>
      <c r="X1096" s="16"/>
      <c r="Y1096" s="16"/>
      <c r="Z1096" s="16"/>
      <c r="AA1096" s="16"/>
    </row>
    <row r="1097" spans="1:27" ht="24" customHeight="1">
      <c r="A1097" s="16"/>
      <c r="B1097" s="16"/>
      <c r="C1097" s="16"/>
      <c r="D1097" s="16"/>
      <c r="E1097" s="16"/>
      <c r="F1097" s="16"/>
      <c r="G1097" s="205"/>
      <c r="H1097" s="205"/>
      <c r="I1097" s="16"/>
      <c r="J1097" s="16"/>
      <c r="K1097" s="205"/>
      <c r="L1097" s="16"/>
      <c r="M1097" s="16"/>
      <c r="N1097" s="16"/>
      <c r="O1097" s="16"/>
      <c r="P1097" s="16"/>
      <c r="Q1097" s="16"/>
      <c r="R1097" s="16"/>
      <c r="S1097" s="16"/>
      <c r="T1097" s="16"/>
      <c r="U1097" s="16"/>
      <c r="V1097" s="16"/>
      <c r="W1097" s="16"/>
      <c r="X1097" s="16"/>
      <c r="Y1097" s="16"/>
      <c r="Z1097" s="16"/>
      <c r="AA1097" s="16"/>
    </row>
    <row r="1098" spans="1:27" ht="24" customHeight="1">
      <c r="A1098" s="16"/>
      <c r="B1098" s="16"/>
      <c r="C1098" s="16"/>
      <c r="D1098" s="16"/>
      <c r="E1098" s="16"/>
      <c r="F1098" s="16"/>
      <c r="G1098" s="205"/>
      <c r="H1098" s="205"/>
      <c r="I1098" s="16"/>
      <c r="J1098" s="16"/>
      <c r="K1098" s="205"/>
      <c r="L1098" s="16"/>
      <c r="M1098" s="16"/>
      <c r="N1098" s="16"/>
      <c r="O1098" s="16"/>
      <c r="P1098" s="16"/>
      <c r="Q1098" s="16"/>
      <c r="R1098" s="16"/>
      <c r="S1098" s="16"/>
      <c r="T1098" s="16"/>
      <c r="U1098" s="16"/>
      <c r="V1098" s="16"/>
      <c r="W1098" s="16"/>
      <c r="X1098" s="16"/>
      <c r="Y1098" s="16"/>
      <c r="Z1098" s="16"/>
      <c r="AA1098" s="16"/>
    </row>
    <row r="1099" spans="1:27" ht="24" customHeight="1">
      <c r="A1099" s="16"/>
      <c r="B1099" s="16"/>
      <c r="C1099" s="16"/>
      <c r="D1099" s="16"/>
      <c r="E1099" s="16"/>
      <c r="F1099" s="16"/>
      <c r="G1099" s="205"/>
      <c r="H1099" s="205"/>
      <c r="I1099" s="16"/>
      <c r="J1099" s="16"/>
      <c r="K1099" s="205"/>
      <c r="L1099" s="16"/>
      <c r="M1099" s="16"/>
      <c r="N1099" s="16"/>
      <c r="O1099" s="16"/>
      <c r="P1099" s="16"/>
      <c r="Q1099" s="16"/>
      <c r="R1099" s="16"/>
      <c r="S1099" s="16"/>
      <c r="T1099" s="16"/>
      <c r="U1099" s="16"/>
      <c r="V1099" s="16"/>
      <c r="W1099" s="16"/>
      <c r="X1099" s="16"/>
      <c r="Y1099" s="16"/>
      <c r="Z1099" s="16"/>
      <c r="AA1099" s="16"/>
    </row>
    <row r="1100" spans="1:27" ht="24" customHeight="1">
      <c r="A1100" s="16"/>
      <c r="B1100" s="16"/>
      <c r="C1100" s="16"/>
      <c r="D1100" s="16"/>
      <c r="E1100" s="16"/>
      <c r="F1100" s="16"/>
      <c r="G1100" s="205"/>
      <c r="H1100" s="205"/>
      <c r="I1100" s="16"/>
      <c r="J1100" s="16"/>
      <c r="K1100" s="205"/>
      <c r="L1100" s="16"/>
      <c r="M1100" s="16"/>
      <c r="N1100" s="16"/>
      <c r="O1100" s="16"/>
      <c r="P1100" s="16"/>
      <c r="Q1100" s="16"/>
      <c r="R1100" s="16"/>
      <c r="S1100" s="16"/>
      <c r="T1100" s="16"/>
      <c r="U1100" s="16"/>
      <c r="V1100" s="16"/>
      <c r="W1100" s="16"/>
      <c r="X1100" s="16"/>
      <c r="Y1100" s="16"/>
      <c r="Z1100" s="16"/>
      <c r="AA1100" s="16"/>
    </row>
    <row r="1101" spans="1:27" ht="24" customHeight="1">
      <c r="A1101" s="16"/>
      <c r="B1101" s="16"/>
      <c r="C1101" s="16"/>
      <c r="D1101" s="16"/>
      <c r="E1101" s="16"/>
      <c r="F1101" s="16"/>
      <c r="G1101" s="205"/>
      <c r="H1101" s="205"/>
      <c r="I1101" s="16"/>
      <c r="J1101" s="16"/>
      <c r="K1101" s="205"/>
      <c r="L1101" s="16"/>
      <c r="M1101" s="16"/>
      <c r="N1101" s="16"/>
      <c r="O1101" s="16"/>
      <c r="P1101" s="16"/>
      <c r="Q1101" s="16"/>
      <c r="R1101" s="16"/>
      <c r="S1101" s="16"/>
      <c r="T1101" s="16"/>
      <c r="U1101" s="16"/>
      <c r="V1101" s="16"/>
      <c r="W1101" s="16"/>
      <c r="X1101" s="16"/>
      <c r="Y1101" s="16"/>
      <c r="Z1101" s="16"/>
      <c r="AA1101" s="16"/>
    </row>
    <row r="1102" spans="1:27" ht="24" customHeight="1">
      <c r="A1102" s="16"/>
      <c r="B1102" s="16"/>
      <c r="C1102" s="16"/>
      <c r="D1102" s="16"/>
      <c r="E1102" s="16"/>
      <c r="F1102" s="16"/>
      <c r="G1102" s="205"/>
      <c r="H1102" s="205"/>
      <c r="I1102" s="16"/>
      <c r="J1102" s="16"/>
      <c r="K1102" s="205"/>
      <c r="L1102" s="16"/>
      <c r="M1102" s="16"/>
      <c r="N1102" s="16"/>
      <c r="O1102" s="16"/>
      <c r="P1102" s="16"/>
      <c r="Q1102" s="16"/>
      <c r="R1102" s="16"/>
      <c r="S1102" s="16"/>
      <c r="T1102" s="16"/>
      <c r="U1102" s="16"/>
      <c r="V1102" s="16"/>
      <c r="W1102" s="16"/>
      <c r="X1102" s="16"/>
      <c r="Y1102" s="16"/>
      <c r="Z1102" s="16"/>
      <c r="AA1102" s="16"/>
    </row>
    <row r="1103" spans="1:27" ht="24" customHeight="1">
      <c r="A1103" s="16"/>
      <c r="B1103" s="16"/>
      <c r="C1103" s="16"/>
      <c r="D1103" s="16"/>
      <c r="E1103" s="16"/>
      <c r="F1103" s="16"/>
      <c r="G1103" s="205"/>
      <c r="H1103" s="205"/>
      <c r="I1103" s="16"/>
      <c r="J1103" s="16"/>
      <c r="K1103" s="205"/>
      <c r="L1103" s="16"/>
      <c r="M1103" s="16"/>
      <c r="N1103" s="16"/>
      <c r="O1103" s="16"/>
      <c r="P1103" s="16"/>
      <c r="Q1103" s="16"/>
      <c r="R1103" s="16"/>
      <c r="S1103" s="16"/>
      <c r="T1103" s="16"/>
      <c r="U1103" s="16"/>
      <c r="V1103" s="16"/>
      <c r="W1103" s="16"/>
      <c r="X1103" s="16"/>
      <c r="Y1103" s="16"/>
      <c r="Z1103" s="16"/>
      <c r="AA1103" s="16"/>
    </row>
    <row r="1104" spans="1:27" ht="24" customHeight="1">
      <c r="A1104" s="16"/>
      <c r="B1104" s="16"/>
      <c r="C1104" s="16"/>
      <c r="D1104" s="16"/>
      <c r="E1104" s="16"/>
      <c r="F1104" s="16"/>
      <c r="G1104" s="205"/>
      <c r="H1104" s="205"/>
      <c r="I1104" s="16"/>
      <c r="J1104" s="16"/>
      <c r="K1104" s="205"/>
      <c r="L1104" s="16"/>
      <c r="M1104" s="16"/>
      <c r="N1104" s="16"/>
      <c r="O1104" s="16"/>
      <c r="P1104" s="16"/>
      <c r="Q1104" s="16"/>
      <c r="R1104" s="16"/>
      <c r="S1104" s="16"/>
      <c r="T1104" s="16"/>
      <c r="U1104" s="16"/>
      <c r="V1104" s="16"/>
      <c r="W1104" s="16"/>
      <c r="X1104" s="16"/>
      <c r="Y1104" s="16"/>
      <c r="Z1104" s="16"/>
      <c r="AA1104" s="16"/>
    </row>
    <row r="1105" spans="1:27" ht="24" customHeight="1">
      <c r="A1105" s="16"/>
      <c r="B1105" s="16"/>
      <c r="C1105" s="16"/>
      <c r="D1105" s="16"/>
      <c r="E1105" s="16"/>
      <c r="F1105" s="16"/>
      <c r="G1105" s="205"/>
      <c r="H1105" s="205"/>
      <c r="I1105" s="16"/>
      <c r="J1105" s="16"/>
      <c r="K1105" s="205"/>
      <c r="L1105" s="16"/>
      <c r="M1105" s="16"/>
      <c r="N1105" s="16"/>
      <c r="O1105" s="16"/>
      <c r="P1105" s="16"/>
      <c r="Q1105" s="16"/>
      <c r="R1105" s="16"/>
      <c r="S1105" s="16"/>
      <c r="T1105" s="16"/>
      <c r="U1105" s="16"/>
      <c r="V1105" s="16"/>
      <c r="W1105" s="16"/>
      <c r="X1105" s="16"/>
      <c r="Y1105" s="16"/>
      <c r="Z1105" s="16"/>
      <c r="AA1105" s="16"/>
    </row>
    <row r="1106" spans="1:27" ht="24" customHeight="1">
      <c r="A1106" s="16"/>
      <c r="B1106" s="16"/>
      <c r="C1106" s="16"/>
      <c r="D1106" s="16"/>
      <c r="E1106" s="16"/>
      <c r="F1106" s="16"/>
      <c r="G1106" s="205"/>
      <c r="H1106" s="205"/>
      <c r="I1106" s="16"/>
      <c r="J1106" s="16"/>
      <c r="K1106" s="205"/>
      <c r="L1106" s="16"/>
      <c r="M1106" s="16"/>
      <c r="N1106" s="16"/>
      <c r="O1106" s="16"/>
      <c r="P1106" s="16"/>
      <c r="Q1106" s="16"/>
      <c r="R1106" s="16"/>
      <c r="S1106" s="16"/>
      <c r="T1106" s="16"/>
      <c r="U1106" s="16"/>
      <c r="V1106" s="16"/>
      <c r="W1106" s="16"/>
      <c r="X1106" s="16"/>
      <c r="Y1106" s="16"/>
      <c r="Z1106" s="16"/>
      <c r="AA1106" s="16"/>
    </row>
    <row r="1107" spans="1:27" ht="24" customHeight="1">
      <c r="A1107" s="16"/>
      <c r="B1107" s="16"/>
      <c r="C1107" s="16"/>
      <c r="D1107" s="16"/>
      <c r="E1107" s="16"/>
      <c r="F1107" s="16"/>
      <c r="G1107" s="205"/>
      <c r="H1107" s="205"/>
      <c r="I1107" s="16"/>
      <c r="J1107" s="16"/>
      <c r="K1107" s="205"/>
      <c r="L1107" s="16"/>
      <c r="M1107" s="16"/>
      <c r="N1107" s="16"/>
      <c r="O1107" s="16"/>
      <c r="P1107" s="16"/>
      <c r="Q1107" s="16"/>
      <c r="R1107" s="16"/>
      <c r="S1107" s="16"/>
      <c r="T1107" s="16"/>
      <c r="U1107" s="16"/>
      <c r="V1107" s="16"/>
      <c r="W1107" s="16"/>
      <c r="X1107" s="16"/>
      <c r="Y1107" s="16"/>
      <c r="Z1107" s="16"/>
      <c r="AA1107" s="16"/>
    </row>
    <row r="1108" spans="1:27" ht="24" customHeight="1">
      <c r="A1108" s="16"/>
      <c r="B1108" s="16"/>
      <c r="C1108" s="16"/>
      <c r="D1108" s="16"/>
      <c r="E1108" s="16"/>
      <c r="F1108" s="16"/>
      <c r="G1108" s="205"/>
      <c r="H1108" s="205"/>
      <c r="I1108" s="16"/>
      <c r="J1108" s="16"/>
      <c r="K1108" s="205"/>
      <c r="L1108" s="16"/>
      <c r="M1108" s="16"/>
      <c r="N1108" s="16"/>
      <c r="O1108" s="16"/>
      <c r="P1108" s="16"/>
      <c r="Q1108" s="16"/>
      <c r="R1108" s="16"/>
      <c r="S1108" s="16"/>
      <c r="T1108" s="16"/>
      <c r="U1108" s="16"/>
      <c r="V1108" s="16"/>
      <c r="W1108" s="16"/>
      <c r="X1108" s="16"/>
      <c r="Y1108" s="16"/>
      <c r="Z1108" s="16"/>
      <c r="AA1108" s="16"/>
    </row>
    <row r="1109" spans="1:27" ht="24" customHeight="1">
      <c r="A1109" s="16"/>
      <c r="B1109" s="16"/>
      <c r="C1109" s="16"/>
      <c r="D1109" s="16"/>
      <c r="E1109" s="16"/>
      <c r="F1109" s="16"/>
      <c r="G1109" s="205"/>
      <c r="H1109" s="205"/>
      <c r="I1109" s="16"/>
      <c r="J1109" s="16"/>
      <c r="K1109" s="205"/>
      <c r="L1109" s="16"/>
      <c r="M1109" s="16"/>
      <c r="N1109" s="16"/>
      <c r="O1109" s="16"/>
      <c r="P1109" s="16"/>
      <c r="Q1109" s="16"/>
      <c r="R1109" s="16"/>
      <c r="S1109" s="16"/>
      <c r="T1109" s="16"/>
      <c r="U1109" s="16"/>
      <c r="V1109" s="16"/>
      <c r="W1109" s="16"/>
      <c r="X1109" s="16"/>
      <c r="Y1109" s="16"/>
      <c r="Z1109" s="16"/>
      <c r="AA1109" s="16"/>
    </row>
    <row r="1110" spans="1:27" ht="24" customHeight="1">
      <c r="A1110" s="16"/>
      <c r="B1110" s="16"/>
      <c r="C1110" s="16"/>
      <c r="D1110" s="16"/>
      <c r="E1110" s="16"/>
      <c r="F1110" s="16"/>
      <c r="G1110" s="205"/>
      <c r="H1110" s="205"/>
      <c r="I1110" s="16"/>
      <c r="J1110" s="16"/>
      <c r="K1110" s="205"/>
      <c r="L1110" s="16"/>
      <c r="M1110" s="16"/>
      <c r="N1110" s="16"/>
      <c r="O1110" s="16"/>
      <c r="P1110" s="16"/>
      <c r="Q1110" s="16"/>
      <c r="R1110" s="16"/>
      <c r="S1110" s="16"/>
      <c r="T1110" s="16"/>
      <c r="U1110" s="16"/>
      <c r="V1110" s="16"/>
      <c r="W1110" s="16"/>
      <c r="X1110" s="16"/>
      <c r="Y1110" s="16"/>
      <c r="Z1110" s="16"/>
      <c r="AA1110" s="16"/>
    </row>
    <row r="1111" spans="1:27" ht="24" customHeight="1">
      <c r="A1111" s="16"/>
      <c r="B1111" s="16"/>
      <c r="C1111" s="16"/>
      <c r="D1111" s="16"/>
      <c r="E1111" s="16"/>
      <c r="F1111" s="16"/>
      <c r="G1111" s="205"/>
      <c r="H1111" s="205"/>
      <c r="I1111" s="16"/>
      <c r="J1111" s="16"/>
      <c r="K1111" s="205"/>
      <c r="L1111" s="16"/>
      <c r="M1111" s="16"/>
      <c r="N1111" s="16"/>
      <c r="O1111" s="16"/>
      <c r="P1111" s="16"/>
      <c r="Q1111" s="16"/>
      <c r="R1111" s="16"/>
      <c r="S1111" s="16"/>
      <c r="T1111" s="16"/>
      <c r="U1111" s="16"/>
      <c r="V1111" s="16"/>
      <c r="W1111" s="16"/>
      <c r="X1111" s="16"/>
      <c r="Y1111" s="16"/>
      <c r="Z1111" s="16"/>
      <c r="AA1111" s="16"/>
    </row>
    <row r="1112" spans="1:27" ht="24" customHeight="1">
      <c r="A1112" s="16"/>
      <c r="B1112" s="16"/>
      <c r="C1112" s="16"/>
      <c r="D1112" s="16"/>
      <c r="E1112" s="16"/>
      <c r="F1112" s="16"/>
      <c r="G1112" s="205"/>
      <c r="H1112" s="205"/>
      <c r="I1112" s="16"/>
      <c r="J1112" s="16"/>
      <c r="K1112" s="205"/>
      <c r="L1112" s="16"/>
      <c r="M1112" s="16"/>
      <c r="N1112" s="16"/>
      <c r="O1112" s="16"/>
      <c r="P1112" s="16"/>
      <c r="Q1112" s="16"/>
      <c r="R1112" s="16"/>
      <c r="S1112" s="16"/>
      <c r="T1112" s="16"/>
      <c r="U1112" s="16"/>
      <c r="V1112" s="16"/>
      <c r="W1112" s="16"/>
      <c r="X1112" s="16"/>
      <c r="Y1112" s="16"/>
      <c r="Z1112" s="16"/>
      <c r="AA1112" s="16"/>
    </row>
    <row r="1113" spans="1:27" ht="24" customHeight="1">
      <c r="A1113" s="16"/>
      <c r="B1113" s="16"/>
      <c r="C1113" s="16"/>
      <c r="D1113" s="16"/>
      <c r="E1113" s="16"/>
      <c r="F1113" s="16"/>
      <c r="G1113" s="205"/>
      <c r="H1113" s="205"/>
      <c r="I1113" s="16"/>
      <c r="J1113" s="16"/>
      <c r="K1113" s="205"/>
      <c r="L1113" s="16"/>
      <c r="M1113" s="16"/>
      <c r="N1113" s="16"/>
      <c r="O1113" s="16"/>
      <c r="P1113" s="16"/>
      <c r="Q1113" s="16"/>
      <c r="R1113" s="16"/>
      <c r="S1113" s="16"/>
      <c r="T1113" s="16"/>
      <c r="U1113" s="16"/>
      <c r="V1113" s="16"/>
      <c r="W1113" s="16"/>
      <c r="X1113" s="16"/>
      <c r="Y1113" s="16"/>
      <c r="Z1113" s="16"/>
      <c r="AA1113" s="16"/>
    </row>
    <row r="1114" spans="1:27" ht="24" customHeight="1">
      <c r="A1114" s="16"/>
      <c r="B1114" s="16"/>
      <c r="C1114" s="16"/>
      <c r="D1114" s="16"/>
      <c r="E1114" s="16"/>
      <c r="F1114" s="16"/>
      <c r="G1114" s="205"/>
      <c r="H1114" s="205"/>
      <c r="I1114" s="16"/>
      <c r="J1114" s="16"/>
      <c r="K1114" s="205"/>
      <c r="L1114" s="16"/>
      <c r="M1114" s="16"/>
      <c r="N1114" s="16"/>
      <c r="O1114" s="16"/>
      <c r="P1114" s="16"/>
      <c r="Q1114" s="16"/>
      <c r="R1114" s="16"/>
      <c r="S1114" s="16"/>
      <c r="T1114" s="16"/>
      <c r="U1114" s="16"/>
      <c r="V1114" s="16"/>
      <c r="W1114" s="16"/>
      <c r="X1114" s="16"/>
      <c r="Y1114" s="16"/>
      <c r="Z1114" s="16"/>
      <c r="AA1114" s="16"/>
    </row>
    <row r="1115" spans="1:27" ht="24" customHeight="1">
      <c r="A1115" s="16"/>
      <c r="B1115" s="16"/>
      <c r="C1115" s="16"/>
      <c r="D1115" s="16"/>
      <c r="E1115" s="16"/>
      <c r="F1115" s="16"/>
      <c r="G1115" s="205"/>
      <c r="H1115" s="205"/>
      <c r="I1115" s="16"/>
      <c r="J1115" s="16"/>
      <c r="K1115" s="205"/>
      <c r="L1115" s="16"/>
      <c r="M1115" s="16"/>
      <c r="N1115" s="16"/>
      <c r="O1115" s="16"/>
      <c r="P1115" s="16"/>
      <c r="Q1115" s="16"/>
      <c r="R1115" s="16"/>
      <c r="S1115" s="16"/>
      <c r="T1115" s="16"/>
      <c r="U1115" s="16"/>
      <c r="V1115" s="16"/>
      <c r="W1115" s="16"/>
      <c r="X1115" s="16"/>
      <c r="Y1115" s="16"/>
      <c r="Z1115" s="16"/>
      <c r="AA1115" s="16"/>
    </row>
    <row r="1116" spans="1:27" ht="24" customHeight="1">
      <c r="A1116" s="16"/>
      <c r="B1116" s="16"/>
      <c r="C1116" s="16"/>
      <c r="D1116" s="16"/>
      <c r="E1116" s="16"/>
      <c r="F1116" s="16"/>
      <c r="G1116" s="205"/>
      <c r="H1116" s="205"/>
      <c r="I1116" s="16"/>
      <c r="J1116" s="16"/>
      <c r="K1116" s="205"/>
      <c r="L1116" s="16"/>
      <c r="M1116" s="16"/>
      <c r="N1116" s="16"/>
      <c r="O1116" s="16"/>
      <c r="P1116" s="16"/>
      <c r="Q1116" s="16"/>
      <c r="R1116" s="16"/>
      <c r="S1116" s="16"/>
      <c r="T1116" s="16"/>
      <c r="U1116" s="16"/>
      <c r="V1116" s="16"/>
      <c r="W1116" s="16"/>
      <c r="X1116" s="16"/>
      <c r="Y1116" s="16"/>
      <c r="Z1116" s="16"/>
      <c r="AA1116" s="16"/>
    </row>
    <row r="1117" spans="1:27" ht="24" customHeight="1">
      <c r="A1117" s="16"/>
      <c r="B1117" s="16"/>
      <c r="C1117" s="16"/>
      <c r="D1117" s="16"/>
      <c r="E1117" s="16"/>
      <c r="F1117" s="16"/>
      <c r="G1117" s="205"/>
      <c r="H1117" s="205"/>
      <c r="I1117" s="16"/>
      <c r="J1117" s="16"/>
      <c r="K1117" s="205"/>
      <c r="L1117" s="16"/>
      <c r="M1117" s="16"/>
      <c r="N1117" s="16"/>
      <c r="O1117" s="16"/>
      <c r="P1117" s="16"/>
      <c r="Q1117" s="16"/>
      <c r="R1117" s="16"/>
      <c r="S1117" s="16"/>
      <c r="T1117" s="16"/>
      <c r="U1117" s="16"/>
      <c r="V1117" s="16"/>
      <c r="W1117" s="16"/>
      <c r="X1117" s="16"/>
      <c r="Y1117" s="16"/>
      <c r="Z1117" s="16"/>
      <c r="AA1117" s="16"/>
    </row>
    <row r="1118" spans="1:27" ht="24" customHeight="1">
      <c r="A1118" s="16"/>
      <c r="B1118" s="16"/>
      <c r="C1118" s="16"/>
      <c r="D1118" s="16"/>
      <c r="E1118" s="16"/>
      <c r="F1118" s="16"/>
      <c r="G1118" s="205"/>
      <c r="H1118" s="205"/>
      <c r="I1118" s="16"/>
      <c r="J1118" s="16"/>
      <c r="K1118" s="205"/>
      <c r="L1118" s="16"/>
      <c r="M1118" s="16"/>
      <c r="N1118" s="16"/>
      <c r="O1118" s="16"/>
      <c r="P1118" s="16"/>
      <c r="Q1118" s="16"/>
      <c r="R1118" s="16"/>
      <c r="S1118" s="16"/>
      <c r="T1118" s="16"/>
      <c r="U1118" s="16"/>
      <c r="V1118" s="16"/>
      <c r="W1118" s="16"/>
      <c r="X1118" s="16"/>
      <c r="Y1118" s="16"/>
      <c r="Z1118" s="16"/>
      <c r="AA1118" s="16"/>
    </row>
    <row r="1119" spans="1:27" ht="24" customHeight="1">
      <c r="A1119" s="16"/>
      <c r="B1119" s="16"/>
      <c r="C1119" s="16"/>
      <c r="D1119" s="16"/>
      <c r="E1119" s="16"/>
      <c r="F1119" s="16"/>
      <c r="G1119" s="205"/>
      <c r="H1119" s="205"/>
      <c r="I1119" s="16"/>
      <c r="J1119" s="16"/>
      <c r="K1119" s="205"/>
      <c r="L1119" s="16"/>
      <c r="M1119" s="16"/>
      <c r="N1119" s="16"/>
      <c r="O1119" s="16"/>
      <c r="P1119" s="16"/>
      <c r="Q1119" s="16"/>
      <c r="R1119" s="16"/>
      <c r="S1119" s="16"/>
      <c r="T1119" s="16"/>
      <c r="U1119" s="16"/>
      <c r="V1119" s="16"/>
      <c r="W1119" s="16"/>
      <c r="X1119" s="16"/>
      <c r="Y1119" s="16"/>
      <c r="Z1119" s="16"/>
      <c r="AA1119" s="16"/>
    </row>
    <row r="1120" spans="1:27" ht="24" customHeight="1">
      <c r="A1120" s="16"/>
      <c r="B1120" s="16"/>
      <c r="C1120" s="16"/>
      <c r="D1120" s="16"/>
      <c r="E1120" s="16"/>
      <c r="F1120" s="16"/>
      <c r="G1120" s="205"/>
      <c r="H1120" s="205"/>
      <c r="I1120" s="16"/>
      <c r="J1120" s="16"/>
      <c r="K1120" s="205"/>
      <c r="L1120" s="16"/>
      <c r="M1120" s="16"/>
      <c r="N1120" s="16"/>
      <c r="O1120" s="16"/>
      <c r="P1120" s="16"/>
      <c r="Q1120" s="16"/>
      <c r="R1120" s="16"/>
      <c r="S1120" s="16"/>
      <c r="T1120" s="16"/>
      <c r="U1120" s="16"/>
      <c r="V1120" s="16"/>
      <c r="W1120" s="16"/>
      <c r="X1120" s="16"/>
      <c r="Y1120" s="16"/>
      <c r="Z1120" s="16"/>
      <c r="AA1120" s="16"/>
    </row>
    <row r="1121" spans="1:27" ht="24" customHeight="1">
      <c r="A1121" s="16"/>
      <c r="B1121" s="16"/>
      <c r="C1121" s="16"/>
      <c r="D1121" s="16"/>
      <c r="E1121" s="16"/>
      <c r="F1121" s="16"/>
      <c r="G1121" s="205"/>
      <c r="H1121" s="205"/>
      <c r="I1121" s="16"/>
      <c r="J1121" s="16"/>
      <c r="K1121" s="205"/>
      <c r="L1121" s="16"/>
      <c r="M1121" s="16"/>
      <c r="N1121" s="16"/>
      <c r="O1121" s="16"/>
      <c r="P1121" s="16"/>
      <c r="Q1121" s="16"/>
      <c r="R1121" s="16"/>
      <c r="S1121" s="16"/>
      <c r="T1121" s="16"/>
      <c r="U1121" s="16"/>
      <c r="V1121" s="16"/>
      <c r="W1121" s="16"/>
      <c r="X1121" s="16"/>
      <c r="Y1121" s="16"/>
      <c r="Z1121" s="16"/>
      <c r="AA1121" s="16"/>
    </row>
    <row r="1122" spans="1:27" ht="24" customHeight="1">
      <c r="A1122" s="16"/>
      <c r="B1122" s="16"/>
      <c r="C1122" s="16"/>
      <c r="D1122" s="16"/>
      <c r="E1122" s="16"/>
      <c r="F1122" s="16"/>
      <c r="G1122" s="205"/>
      <c r="H1122" s="205"/>
      <c r="I1122" s="16"/>
      <c r="J1122" s="16"/>
      <c r="K1122" s="205"/>
      <c r="L1122" s="16"/>
      <c r="M1122" s="16"/>
      <c r="N1122" s="16"/>
      <c r="O1122" s="16"/>
      <c r="P1122" s="16"/>
      <c r="Q1122" s="16"/>
      <c r="R1122" s="16"/>
      <c r="S1122" s="16"/>
      <c r="T1122" s="16"/>
      <c r="U1122" s="16"/>
      <c r="V1122" s="16"/>
      <c r="W1122" s="16"/>
      <c r="X1122" s="16"/>
      <c r="Y1122" s="16"/>
      <c r="Z1122" s="16"/>
      <c r="AA1122" s="16"/>
    </row>
    <row r="1123" spans="1:27" ht="24" customHeight="1">
      <c r="A1123" s="16"/>
      <c r="B1123" s="16"/>
      <c r="C1123" s="16"/>
      <c r="D1123" s="16"/>
      <c r="E1123" s="16"/>
      <c r="F1123" s="16"/>
      <c r="G1123" s="205"/>
      <c r="H1123" s="205"/>
      <c r="I1123" s="16"/>
      <c r="J1123" s="16"/>
      <c r="K1123" s="205"/>
      <c r="L1123" s="16"/>
      <c r="M1123" s="16"/>
      <c r="N1123" s="16"/>
      <c r="O1123" s="16"/>
      <c r="P1123" s="16"/>
      <c r="Q1123" s="16"/>
      <c r="R1123" s="16"/>
      <c r="S1123" s="16"/>
      <c r="T1123" s="16"/>
      <c r="U1123" s="16"/>
      <c r="V1123" s="16"/>
      <c r="W1123" s="16"/>
      <c r="X1123" s="16"/>
      <c r="Y1123" s="16"/>
      <c r="Z1123" s="16"/>
      <c r="AA1123" s="16"/>
    </row>
    <row r="1124" spans="1:27" ht="24" customHeight="1">
      <c r="A1124" s="16"/>
      <c r="B1124" s="16"/>
      <c r="C1124" s="16"/>
      <c r="D1124" s="16"/>
      <c r="E1124" s="16"/>
      <c r="F1124" s="16"/>
      <c r="G1124" s="205"/>
      <c r="H1124" s="205"/>
      <c r="I1124" s="16"/>
      <c r="J1124" s="16"/>
      <c r="K1124" s="205"/>
      <c r="L1124" s="16"/>
      <c r="M1124" s="16"/>
      <c r="N1124" s="16"/>
      <c r="O1124" s="16"/>
      <c r="P1124" s="16"/>
      <c r="Q1124" s="16"/>
      <c r="R1124" s="16"/>
      <c r="S1124" s="16"/>
      <c r="T1124" s="16"/>
      <c r="U1124" s="16"/>
      <c r="V1124" s="16"/>
      <c r="W1124" s="16"/>
      <c r="X1124" s="16"/>
      <c r="Y1124" s="16"/>
      <c r="Z1124" s="16"/>
      <c r="AA1124" s="16"/>
    </row>
    <row r="1125" spans="1:27" ht="24" customHeight="1">
      <c r="A1125" s="16"/>
      <c r="B1125" s="16"/>
      <c r="C1125" s="16"/>
      <c r="D1125" s="16"/>
      <c r="E1125" s="16"/>
      <c r="F1125" s="16"/>
      <c r="G1125" s="205"/>
      <c r="H1125" s="205"/>
      <c r="I1125" s="16"/>
      <c r="J1125" s="16"/>
      <c r="K1125" s="205"/>
      <c r="L1125" s="16"/>
      <c r="M1125" s="16"/>
      <c r="N1125" s="16"/>
      <c r="O1125" s="16"/>
      <c r="P1125" s="16"/>
      <c r="Q1125" s="16"/>
      <c r="R1125" s="16"/>
      <c r="S1125" s="16"/>
      <c r="T1125" s="16"/>
      <c r="U1125" s="16"/>
      <c r="V1125" s="16"/>
      <c r="W1125" s="16"/>
      <c r="X1125" s="16"/>
      <c r="Y1125" s="16"/>
      <c r="Z1125" s="16"/>
      <c r="AA1125" s="16"/>
    </row>
    <row r="1126" spans="1:27" ht="24" customHeight="1">
      <c r="A1126" s="16"/>
      <c r="B1126" s="16"/>
      <c r="C1126" s="16"/>
      <c r="D1126" s="16"/>
      <c r="E1126" s="16"/>
      <c r="F1126" s="16"/>
      <c r="G1126" s="205"/>
      <c r="H1126" s="205"/>
      <c r="I1126" s="16"/>
      <c r="J1126" s="16"/>
      <c r="K1126" s="205"/>
      <c r="L1126" s="16"/>
      <c r="M1126" s="16"/>
      <c r="N1126" s="16"/>
      <c r="O1126" s="16"/>
      <c r="P1126" s="16"/>
      <c r="Q1126" s="16"/>
      <c r="R1126" s="16"/>
      <c r="S1126" s="16"/>
      <c r="T1126" s="16"/>
      <c r="U1126" s="16"/>
      <c r="V1126" s="16"/>
      <c r="W1126" s="16"/>
      <c r="X1126" s="16"/>
      <c r="Y1126" s="16"/>
      <c r="Z1126" s="16"/>
      <c r="AA1126" s="16"/>
    </row>
    <row r="1127" spans="1:27" ht="24" customHeight="1">
      <c r="A1127" s="16"/>
      <c r="B1127" s="16"/>
      <c r="C1127" s="16"/>
      <c r="D1127" s="16"/>
      <c r="E1127" s="16"/>
      <c r="F1127" s="16"/>
      <c r="G1127" s="205"/>
      <c r="H1127" s="205"/>
      <c r="I1127" s="16"/>
      <c r="J1127" s="16"/>
      <c r="K1127" s="205"/>
      <c r="L1127" s="16"/>
      <c r="M1127" s="16"/>
      <c r="N1127" s="16"/>
      <c r="O1127" s="16"/>
      <c r="P1127" s="16"/>
      <c r="Q1127" s="16"/>
      <c r="R1127" s="16"/>
      <c r="S1127" s="16"/>
      <c r="T1127" s="16"/>
      <c r="U1127" s="16"/>
      <c r="V1127" s="16"/>
      <c r="W1127" s="16"/>
      <c r="X1127" s="16"/>
      <c r="Y1127" s="16"/>
      <c r="Z1127" s="16"/>
      <c r="AA1127" s="16"/>
    </row>
    <row r="1128" spans="1:27" ht="24" customHeight="1">
      <c r="A1128" s="16"/>
      <c r="B1128" s="16"/>
      <c r="C1128" s="16"/>
      <c r="D1128" s="16"/>
      <c r="E1128" s="16"/>
      <c r="F1128" s="16"/>
      <c r="G1128" s="205"/>
      <c r="H1128" s="205"/>
      <c r="I1128" s="16"/>
      <c r="J1128" s="16"/>
      <c r="K1128" s="205"/>
      <c r="L1128" s="16"/>
      <c r="M1128" s="16"/>
      <c r="N1128" s="16"/>
      <c r="O1128" s="16"/>
      <c r="P1128" s="16"/>
      <c r="Q1128" s="16"/>
      <c r="R1128" s="16"/>
      <c r="S1128" s="16"/>
      <c r="T1128" s="16"/>
      <c r="U1128" s="16"/>
      <c r="V1128" s="16"/>
      <c r="W1128" s="16"/>
      <c r="X1128" s="16"/>
      <c r="Y1128" s="16"/>
      <c r="Z1128" s="16"/>
      <c r="AA1128" s="16"/>
    </row>
    <row r="1129" spans="1:27" ht="24" customHeight="1">
      <c r="A1129" s="16"/>
      <c r="B1129" s="16"/>
      <c r="C1129" s="16"/>
      <c r="D1129" s="16"/>
      <c r="E1129" s="16"/>
      <c r="F1129" s="16"/>
      <c r="G1129" s="205"/>
      <c r="H1129" s="205"/>
      <c r="I1129" s="16"/>
      <c r="J1129" s="16"/>
      <c r="K1129" s="205"/>
      <c r="L1129" s="16"/>
      <c r="M1129" s="16"/>
      <c r="N1129" s="16"/>
      <c r="O1129" s="16"/>
      <c r="P1129" s="16"/>
      <c r="Q1129" s="16"/>
      <c r="R1129" s="16"/>
      <c r="S1129" s="16"/>
      <c r="T1129" s="16"/>
      <c r="U1129" s="16"/>
      <c r="V1129" s="16"/>
      <c r="W1129" s="16"/>
      <c r="X1129" s="16"/>
      <c r="Y1129" s="16"/>
      <c r="Z1129" s="16"/>
      <c r="AA1129" s="16"/>
    </row>
    <row r="1130" spans="1:27" ht="24" customHeight="1">
      <c r="A1130" s="16"/>
      <c r="B1130" s="16"/>
      <c r="C1130" s="16"/>
      <c r="D1130" s="16"/>
      <c r="E1130" s="16"/>
      <c r="F1130" s="16"/>
      <c r="G1130" s="205"/>
      <c r="H1130" s="205"/>
      <c r="I1130" s="16"/>
      <c r="J1130" s="16"/>
      <c r="K1130" s="205"/>
      <c r="L1130" s="16"/>
      <c r="M1130" s="16"/>
      <c r="N1130" s="16"/>
      <c r="O1130" s="16"/>
      <c r="P1130" s="16"/>
      <c r="Q1130" s="16"/>
      <c r="R1130" s="16"/>
      <c r="S1130" s="16"/>
      <c r="T1130" s="16"/>
      <c r="U1130" s="16"/>
      <c r="V1130" s="16"/>
      <c r="W1130" s="16"/>
      <c r="X1130" s="16"/>
      <c r="Y1130" s="16"/>
      <c r="Z1130" s="16"/>
      <c r="AA1130" s="16"/>
    </row>
    <row r="1131" spans="1:27" ht="24" customHeight="1">
      <c r="A1131" s="16"/>
      <c r="B1131" s="16"/>
      <c r="C1131" s="16"/>
      <c r="D1131" s="16"/>
      <c r="E1131" s="16"/>
      <c r="F1131" s="16"/>
      <c r="G1131" s="205"/>
      <c r="H1131" s="205"/>
      <c r="I1131" s="16"/>
      <c r="J1131" s="16"/>
      <c r="K1131" s="205"/>
      <c r="L1131" s="16"/>
      <c r="M1131" s="16"/>
      <c r="N1131" s="16"/>
      <c r="O1131" s="16"/>
      <c r="P1131" s="16"/>
      <c r="Q1131" s="16"/>
      <c r="R1131" s="16"/>
      <c r="S1131" s="16"/>
      <c r="T1131" s="16"/>
      <c r="U1131" s="16"/>
      <c r="V1131" s="16"/>
      <c r="W1131" s="16"/>
      <c r="X1131" s="16"/>
      <c r="Y1131" s="16"/>
      <c r="Z1131" s="16"/>
      <c r="AA1131" s="16"/>
    </row>
    <row r="1132" spans="1:27" ht="24" customHeight="1">
      <c r="A1132" s="16"/>
      <c r="B1132" s="16"/>
      <c r="C1132" s="16"/>
      <c r="D1132" s="16"/>
      <c r="E1132" s="16"/>
      <c r="F1132" s="16"/>
      <c r="G1132" s="205"/>
      <c r="H1132" s="205"/>
      <c r="I1132" s="16"/>
      <c r="J1132" s="16"/>
      <c r="K1132" s="205"/>
      <c r="L1132" s="16"/>
      <c r="M1132" s="16"/>
      <c r="N1132" s="16"/>
      <c r="O1132" s="16"/>
      <c r="P1132" s="16"/>
      <c r="Q1132" s="16"/>
      <c r="R1132" s="16"/>
      <c r="S1132" s="16"/>
      <c r="T1132" s="16"/>
      <c r="U1132" s="16"/>
      <c r="V1132" s="16"/>
      <c r="W1132" s="16"/>
      <c r="X1132" s="16"/>
      <c r="Y1132" s="16"/>
      <c r="Z1132" s="16"/>
      <c r="AA1132" s="16"/>
    </row>
    <row r="1133" spans="1:27" ht="24" customHeight="1">
      <c r="A1133" s="16"/>
      <c r="B1133" s="16"/>
      <c r="C1133" s="16"/>
      <c r="D1133" s="16"/>
      <c r="E1133" s="16"/>
      <c r="F1133" s="16"/>
      <c r="G1133" s="205"/>
      <c r="H1133" s="205"/>
      <c r="I1133" s="16"/>
      <c r="J1133" s="16"/>
      <c r="K1133" s="205"/>
      <c r="L1133" s="16"/>
      <c r="M1133" s="16"/>
      <c r="N1133" s="16"/>
      <c r="O1133" s="16"/>
      <c r="P1133" s="16"/>
      <c r="Q1133" s="16"/>
      <c r="R1133" s="16"/>
      <c r="S1133" s="16"/>
      <c r="T1133" s="16"/>
      <c r="U1133" s="16"/>
      <c r="V1133" s="16"/>
      <c r="W1133" s="16"/>
      <c r="X1133" s="16"/>
      <c r="Y1133" s="16"/>
      <c r="Z1133" s="16"/>
      <c r="AA1133" s="16"/>
    </row>
    <row r="1134" spans="1:27" ht="24" customHeight="1">
      <c r="A1134" s="16"/>
      <c r="B1134" s="16"/>
      <c r="C1134" s="16"/>
      <c r="D1134" s="16"/>
      <c r="E1134" s="16"/>
      <c r="F1134" s="16"/>
      <c r="G1134" s="205"/>
      <c r="H1134" s="205"/>
      <c r="I1134" s="16"/>
      <c r="J1134" s="16"/>
      <c r="K1134" s="205"/>
      <c r="L1134" s="16"/>
      <c r="M1134" s="16"/>
      <c r="N1134" s="16"/>
      <c r="O1134" s="16"/>
      <c r="P1134" s="16"/>
      <c r="Q1134" s="16"/>
      <c r="R1134" s="16"/>
      <c r="S1134" s="16"/>
      <c r="T1134" s="16"/>
      <c r="U1134" s="16"/>
      <c r="V1134" s="16"/>
      <c r="W1134" s="16"/>
      <c r="X1134" s="16"/>
      <c r="Y1134" s="16"/>
      <c r="Z1134" s="16"/>
      <c r="AA1134" s="16"/>
    </row>
    <row r="1135" spans="1:27" ht="24" customHeight="1">
      <c r="A1135" s="16"/>
      <c r="B1135" s="16"/>
      <c r="C1135" s="16"/>
      <c r="D1135" s="16"/>
      <c r="E1135" s="16"/>
      <c r="F1135" s="16"/>
      <c r="G1135" s="205"/>
      <c r="H1135" s="205"/>
      <c r="I1135" s="16"/>
      <c r="J1135" s="16"/>
      <c r="K1135" s="205"/>
      <c r="L1135" s="16"/>
      <c r="M1135" s="16"/>
      <c r="N1135" s="16"/>
      <c r="O1135" s="16"/>
      <c r="P1135" s="16"/>
      <c r="Q1135" s="16"/>
      <c r="R1135" s="16"/>
      <c r="S1135" s="16"/>
      <c r="T1135" s="16"/>
      <c r="U1135" s="16"/>
      <c r="V1135" s="16"/>
      <c r="W1135" s="16"/>
      <c r="X1135" s="16"/>
      <c r="Y1135" s="16"/>
      <c r="Z1135" s="16"/>
      <c r="AA1135" s="16"/>
    </row>
    <row r="1136" spans="1:27" ht="24" customHeight="1">
      <c r="A1136" s="16"/>
      <c r="B1136" s="16"/>
      <c r="C1136" s="16"/>
      <c r="D1136" s="16"/>
      <c r="E1136" s="16"/>
      <c r="F1136" s="16"/>
      <c r="G1136" s="205"/>
      <c r="H1136" s="205"/>
      <c r="I1136" s="16"/>
      <c r="J1136" s="16"/>
      <c r="K1136" s="205"/>
      <c r="L1136" s="16"/>
      <c r="M1136" s="16"/>
      <c r="N1136" s="16"/>
      <c r="O1136" s="16"/>
      <c r="P1136" s="16"/>
      <c r="Q1136" s="16"/>
      <c r="R1136" s="16"/>
      <c r="S1136" s="16"/>
      <c r="T1136" s="16"/>
      <c r="U1136" s="16"/>
      <c r="V1136" s="16"/>
      <c r="W1136" s="16"/>
      <c r="X1136" s="16"/>
      <c r="Y1136" s="16"/>
      <c r="Z1136" s="16"/>
      <c r="AA1136" s="16"/>
    </row>
    <row r="1137" spans="1:27" ht="24" customHeight="1">
      <c r="A1137" s="16"/>
      <c r="B1137" s="16"/>
      <c r="C1137" s="16"/>
      <c r="D1137" s="16"/>
      <c r="E1137" s="16"/>
      <c r="F1137" s="16"/>
      <c r="G1137" s="205"/>
      <c r="H1137" s="205"/>
      <c r="I1137" s="16"/>
      <c r="J1137" s="16"/>
      <c r="K1137" s="205"/>
      <c r="L1137" s="16"/>
      <c r="M1137" s="16"/>
      <c r="N1137" s="16"/>
      <c r="O1137" s="16"/>
      <c r="P1137" s="16"/>
      <c r="Q1137" s="16"/>
      <c r="R1137" s="16"/>
      <c r="S1137" s="16"/>
      <c r="T1137" s="16"/>
      <c r="U1137" s="16"/>
      <c r="V1137" s="16"/>
      <c r="W1137" s="16"/>
      <c r="X1137" s="16"/>
      <c r="Y1137" s="16"/>
      <c r="Z1137" s="16"/>
      <c r="AA1137" s="16"/>
    </row>
    <row r="1138" spans="1:27" ht="24" customHeight="1">
      <c r="A1138" s="16"/>
      <c r="B1138" s="16"/>
      <c r="C1138" s="16"/>
      <c r="D1138" s="16"/>
      <c r="E1138" s="16"/>
      <c r="F1138" s="16"/>
      <c r="G1138" s="205"/>
      <c r="H1138" s="205"/>
      <c r="I1138" s="16"/>
      <c r="J1138" s="16"/>
      <c r="K1138" s="205"/>
      <c r="L1138" s="16"/>
      <c r="M1138" s="16"/>
      <c r="N1138" s="16"/>
      <c r="O1138" s="16"/>
      <c r="P1138" s="16"/>
      <c r="Q1138" s="16"/>
      <c r="R1138" s="16"/>
      <c r="S1138" s="16"/>
      <c r="T1138" s="16"/>
      <c r="U1138" s="16"/>
      <c r="V1138" s="16"/>
      <c r="W1138" s="16"/>
      <c r="X1138" s="16"/>
      <c r="Y1138" s="16"/>
      <c r="Z1138" s="16"/>
      <c r="AA1138" s="16"/>
    </row>
    <row r="1139" spans="1:27" ht="24" customHeight="1">
      <c r="A1139" s="16"/>
      <c r="B1139" s="16"/>
      <c r="C1139" s="16"/>
      <c r="D1139" s="16"/>
      <c r="E1139" s="16"/>
      <c r="F1139" s="16"/>
      <c r="G1139" s="205"/>
      <c r="H1139" s="205"/>
      <c r="I1139" s="16"/>
      <c r="J1139" s="16"/>
      <c r="K1139" s="205"/>
      <c r="L1139" s="16"/>
      <c r="M1139" s="16"/>
      <c r="N1139" s="16"/>
      <c r="O1139" s="16"/>
      <c r="P1139" s="16"/>
      <c r="Q1139" s="16"/>
      <c r="R1139" s="16"/>
      <c r="S1139" s="16"/>
      <c r="T1139" s="16"/>
      <c r="U1139" s="16"/>
      <c r="V1139" s="16"/>
      <c r="W1139" s="16"/>
      <c r="X1139" s="16"/>
      <c r="Y1139" s="16"/>
      <c r="Z1139" s="16"/>
      <c r="AA1139" s="16"/>
    </row>
    <row r="1140" spans="1:27" ht="24" customHeight="1">
      <c r="A1140" s="16"/>
      <c r="B1140" s="16"/>
      <c r="C1140" s="16"/>
      <c r="D1140" s="16"/>
      <c r="E1140" s="16"/>
      <c r="F1140" s="16"/>
      <c r="G1140" s="205"/>
      <c r="H1140" s="205"/>
      <c r="I1140" s="16"/>
      <c r="J1140" s="16"/>
      <c r="K1140" s="205"/>
      <c r="L1140" s="16"/>
      <c r="M1140" s="16"/>
      <c r="N1140" s="16"/>
      <c r="O1140" s="16"/>
      <c r="P1140" s="16"/>
      <c r="Q1140" s="16"/>
      <c r="R1140" s="16"/>
      <c r="S1140" s="16"/>
      <c r="T1140" s="16"/>
      <c r="U1140" s="16"/>
      <c r="V1140" s="16"/>
      <c r="W1140" s="16"/>
      <c r="X1140" s="16"/>
      <c r="Y1140" s="16"/>
      <c r="Z1140" s="16"/>
      <c r="AA1140" s="16"/>
    </row>
    <row r="1141" spans="1:27" ht="24" customHeight="1">
      <c r="A1141" s="16"/>
      <c r="B1141" s="16"/>
      <c r="C1141" s="16"/>
      <c r="D1141" s="16"/>
      <c r="E1141" s="16"/>
      <c r="F1141" s="16"/>
      <c r="G1141" s="205"/>
      <c r="H1141" s="205"/>
      <c r="I1141" s="16"/>
      <c r="J1141" s="16"/>
      <c r="K1141" s="205"/>
      <c r="L1141" s="16"/>
      <c r="M1141" s="16"/>
      <c r="N1141" s="16"/>
      <c r="O1141" s="16"/>
      <c r="P1141" s="16"/>
      <c r="Q1141" s="16"/>
      <c r="R1141" s="16"/>
      <c r="S1141" s="16"/>
      <c r="T1141" s="16"/>
      <c r="U1141" s="16"/>
      <c r="V1141" s="16"/>
      <c r="W1141" s="16"/>
      <c r="X1141" s="16"/>
      <c r="Y1141" s="16"/>
      <c r="Z1141" s="16"/>
      <c r="AA1141" s="16"/>
    </row>
    <row r="1142" spans="1:27" ht="24" customHeight="1">
      <c r="A1142" s="16"/>
      <c r="B1142" s="16"/>
      <c r="C1142" s="16"/>
      <c r="D1142" s="16"/>
      <c r="E1142" s="16"/>
      <c r="F1142" s="16"/>
      <c r="G1142" s="205"/>
      <c r="H1142" s="205"/>
      <c r="I1142" s="16"/>
      <c r="J1142" s="16"/>
      <c r="K1142" s="205"/>
      <c r="L1142" s="16"/>
      <c r="M1142" s="16"/>
      <c r="N1142" s="16"/>
      <c r="O1142" s="16"/>
      <c r="P1142" s="16"/>
      <c r="Q1142" s="16"/>
      <c r="R1142" s="16"/>
      <c r="S1142" s="16"/>
      <c r="T1142" s="16"/>
      <c r="U1142" s="16"/>
      <c r="V1142" s="16"/>
      <c r="W1142" s="16"/>
      <c r="X1142" s="16"/>
      <c r="Y1142" s="16"/>
      <c r="Z1142" s="16"/>
      <c r="AA1142" s="16"/>
    </row>
    <row r="1143" spans="1:27" ht="24" customHeight="1">
      <c r="A1143" s="16"/>
      <c r="B1143" s="16"/>
      <c r="C1143" s="16"/>
      <c r="D1143" s="16"/>
      <c r="E1143" s="16"/>
      <c r="F1143" s="16"/>
      <c r="G1143" s="205"/>
      <c r="H1143" s="205"/>
      <c r="I1143" s="16"/>
      <c r="J1143" s="16"/>
      <c r="K1143" s="205"/>
      <c r="L1143" s="16"/>
      <c r="M1143" s="16"/>
      <c r="N1143" s="16"/>
      <c r="O1143" s="16"/>
      <c r="P1143" s="16"/>
      <c r="Q1143" s="16"/>
      <c r="R1143" s="16"/>
      <c r="S1143" s="16"/>
      <c r="T1143" s="16"/>
      <c r="U1143" s="16"/>
      <c r="V1143" s="16"/>
      <c r="W1143" s="16"/>
      <c r="X1143" s="16"/>
      <c r="Y1143" s="16"/>
      <c r="Z1143" s="16"/>
      <c r="AA1143" s="16"/>
    </row>
    <row r="1144" spans="1:27" ht="24" customHeight="1">
      <c r="A1144" s="16"/>
      <c r="B1144" s="16"/>
      <c r="C1144" s="16"/>
      <c r="D1144" s="16"/>
      <c r="E1144" s="16"/>
      <c r="F1144" s="16"/>
      <c r="G1144" s="205"/>
      <c r="H1144" s="205"/>
      <c r="I1144" s="16"/>
      <c r="J1144" s="16"/>
      <c r="K1144" s="205"/>
      <c r="L1144" s="16"/>
      <c r="M1144" s="16"/>
      <c r="N1144" s="16"/>
      <c r="O1144" s="16"/>
      <c r="P1144" s="16"/>
      <c r="Q1144" s="16"/>
      <c r="R1144" s="16"/>
      <c r="S1144" s="16"/>
      <c r="T1144" s="16"/>
      <c r="U1144" s="16"/>
      <c r="V1144" s="16"/>
      <c r="W1144" s="16"/>
      <c r="X1144" s="16"/>
      <c r="Y1144" s="16"/>
      <c r="Z1144" s="16"/>
      <c r="AA1144" s="16"/>
    </row>
    <row r="1145" spans="1:27" ht="24" customHeight="1">
      <c r="A1145" s="16"/>
      <c r="B1145" s="16"/>
      <c r="C1145" s="16"/>
      <c r="D1145" s="16"/>
      <c r="E1145" s="16"/>
      <c r="F1145" s="16"/>
      <c r="G1145" s="205"/>
      <c r="H1145" s="205"/>
      <c r="I1145" s="16"/>
      <c r="J1145" s="16"/>
      <c r="K1145" s="205"/>
      <c r="L1145" s="16"/>
      <c r="M1145" s="16"/>
      <c r="N1145" s="16"/>
      <c r="O1145" s="16"/>
      <c r="P1145" s="16"/>
      <c r="Q1145" s="16"/>
      <c r="R1145" s="16"/>
      <c r="S1145" s="16"/>
      <c r="T1145" s="16"/>
      <c r="U1145" s="16"/>
      <c r="V1145" s="16"/>
      <c r="W1145" s="16"/>
      <c r="X1145" s="16"/>
      <c r="Y1145" s="16"/>
      <c r="Z1145" s="16"/>
      <c r="AA1145" s="16"/>
    </row>
    <row r="1146" spans="1:27" ht="24" customHeight="1">
      <c r="A1146" s="16"/>
      <c r="B1146" s="16"/>
      <c r="C1146" s="16"/>
      <c r="D1146" s="16"/>
      <c r="E1146" s="16"/>
      <c r="F1146" s="16"/>
      <c r="G1146" s="205"/>
      <c r="H1146" s="205"/>
      <c r="I1146" s="16"/>
      <c r="J1146" s="16"/>
      <c r="K1146" s="205"/>
      <c r="L1146" s="16"/>
      <c r="M1146" s="16"/>
      <c r="N1146" s="16"/>
      <c r="O1146" s="16"/>
      <c r="P1146" s="16"/>
      <c r="Q1146" s="16"/>
      <c r="R1146" s="16"/>
      <c r="S1146" s="16"/>
      <c r="T1146" s="16"/>
      <c r="U1146" s="16"/>
      <c r="V1146" s="16"/>
      <c r="W1146" s="16"/>
      <c r="X1146" s="16"/>
      <c r="Y1146" s="16"/>
      <c r="Z1146" s="16"/>
      <c r="AA1146" s="16"/>
    </row>
    <row r="1147" spans="1:27" ht="24" customHeight="1">
      <c r="A1147" s="16"/>
      <c r="B1147" s="16"/>
      <c r="C1147" s="16"/>
      <c r="D1147" s="16"/>
      <c r="E1147" s="16"/>
      <c r="F1147" s="16"/>
      <c r="G1147" s="205"/>
      <c r="H1147" s="205"/>
      <c r="I1147" s="16"/>
      <c r="J1147" s="16"/>
      <c r="K1147" s="205"/>
      <c r="L1147" s="16"/>
      <c r="M1147" s="16"/>
      <c r="N1147" s="16"/>
      <c r="O1147" s="16"/>
      <c r="P1147" s="16"/>
      <c r="Q1147" s="16"/>
      <c r="R1147" s="16"/>
      <c r="S1147" s="16"/>
      <c r="T1147" s="16"/>
      <c r="U1147" s="16"/>
      <c r="V1147" s="16"/>
      <c r="W1147" s="16"/>
      <c r="X1147" s="16"/>
      <c r="Y1147" s="16"/>
      <c r="Z1147" s="16"/>
      <c r="AA1147" s="16"/>
    </row>
    <row r="1148" spans="1:27" ht="24" customHeight="1">
      <c r="A1148" s="16"/>
      <c r="B1148" s="16"/>
      <c r="C1148" s="16"/>
      <c r="D1148" s="16"/>
      <c r="E1148" s="16"/>
      <c r="F1148" s="16"/>
      <c r="G1148" s="205"/>
      <c r="H1148" s="205"/>
      <c r="I1148" s="16"/>
      <c r="J1148" s="16"/>
      <c r="K1148" s="205"/>
      <c r="L1148" s="16"/>
      <c r="M1148" s="16"/>
      <c r="N1148" s="16"/>
      <c r="O1148" s="16"/>
      <c r="P1148" s="16"/>
      <c r="Q1148" s="16"/>
      <c r="R1148" s="16"/>
      <c r="S1148" s="16"/>
      <c r="T1148" s="16"/>
      <c r="U1148" s="16"/>
      <c r="V1148" s="16"/>
      <c r="W1148" s="16"/>
      <c r="X1148" s="16"/>
      <c r="Y1148" s="16"/>
      <c r="Z1148" s="16"/>
      <c r="AA1148" s="16"/>
    </row>
    <row r="1149" spans="1:27" ht="24" customHeight="1">
      <c r="A1149" s="16"/>
      <c r="B1149" s="16"/>
      <c r="C1149" s="16"/>
      <c r="D1149" s="16"/>
      <c r="E1149" s="16"/>
      <c r="F1149" s="16"/>
      <c r="G1149" s="205"/>
      <c r="H1149" s="205"/>
      <c r="I1149" s="16"/>
      <c r="J1149" s="16"/>
      <c r="K1149" s="205"/>
      <c r="L1149" s="16"/>
      <c r="M1149" s="16"/>
      <c r="N1149" s="16"/>
      <c r="O1149" s="16"/>
      <c r="P1149" s="16"/>
      <c r="Q1149" s="16"/>
      <c r="R1149" s="16"/>
      <c r="S1149" s="16"/>
      <c r="T1149" s="16"/>
      <c r="U1149" s="16"/>
      <c r="V1149" s="16"/>
      <c r="W1149" s="16"/>
      <c r="X1149" s="16"/>
      <c r="Y1149" s="16"/>
      <c r="Z1149" s="16"/>
      <c r="AA1149" s="16"/>
    </row>
    <row r="1150" spans="1:27" ht="24" customHeight="1">
      <c r="A1150" s="16"/>
      <c r="B1150" s="16"/>
      <c r="C1150" s="16"/>
      <c r="D1150" s="16"/>
      <c r="E1150" s="16"/>
      <c r="F1150" s="16"/>
      <c r="G1150" s="205"/>
      <c r="H1150" s="205"/>
      <c r="I1150" s="16"/>
      <c r="J1150" s="16"/>
      <c r="K1150" s="205"/>
      <c r="L1150" s="16"/>
      <c r="M1150" s="16"/>
      <c r="N1150" s="16"/>
      <c r="O1150" s="16"/>
      <c r="P1150" s="16"/>
      <c r="Q1150" s="16"/>
      <c r="R1150" s="16"/>
      <c r="S1150" s="16"/>
      <c r="T1150" s="16"/>
      <c r="U1150" s="16"/>
      <c r="V1150" s="16"/>
      <c r="W1150" s="16"/>
      <c r="X1150" s="16"/>
      <c r="Y1150" s="16"/>
      <c r="Z1150" s="16"/>
      <c r="AA1150" s="16"/>
    </row>
    <row r="1151" spans="1:27" ht="24" customHeight="1">
      <c r="A1151" s="16"/>
      <c r="B1151" s="16"/>
      <c r="C1151" s="16"/>
      <c r="D1151" s="16"/>
      <c r="E1151" s="16"/>
      <c r="F1151" s="16"/>
      <c r="G1151" s="205"/>
      <c r="H1151" s="205"/>
      <c r="I1151" s="16"/>
      <c r="J1151" s="16"/>
      <c r="K1151" s="205"/>
      <c r="L1151" s="16"/>
      <c r="M1151" s="16"/>
      <c r="N1151" s="16"/>
      <c r="O1151" s="16"/>
      <c r="P1151" s="16"/>
      <c r="Q1151" s="16"/>
      <c r="R1151" s="16"/>
      <c r="S1151" s="16"/>
      <c r="T1151" s="16"/>
      <c r="U1151" s="16"/>
      <c r="V1151" s="16"/>
      <c r="W1151" s="16"/>
      <c r="X1151" s="16"/>
      <c r="Y1151" s="16"/>
      <c r="Z1151" s="16"/>
      <c r="AA1151" s="16"/>
    </row>
    <row r="1152" spans="1:27" ht="24" customHeight="1">
      <c r="A1152" s="16"/>
      <c r="B1152" s="16"/>
      <c r="C1152" s="16"/>
      <c r="D1152" s="16"/>
      <c r="E1152" s="16"/>
      <c r="F1152" s="16"/>
      <c r="G1152" s="205"/>
      <c r="H1152" s="205"/>
      <c r="I1152" s="16"/>
      <c r="J1152" s="16"/>
      <c r="K1152" s="205"/>
      <c r="L1152" s="16"/>
      <c r="M1152" s="16"/>
      <c r="N1152" s="16"/>
      <c r="O1152" s="16"/>
      <c r="P1152" s="16"/>
      <c r="Q1152" s="16"/>
      <c r="R1152" s="16"/>
      <c r="S1152" s="16"/>
      <c r="T1152" s="16"/>
      <c r="U1152" s="16"/>
      <c r="V1152" s="16"/>
      <c r="W1152" s="16"/>
      <c r="X1152" s="16"/>
      <c r="Y1152" s="16"/>
      <c r="Z1152" s="16"/>
      <c r="AA1152" s="16"/>
    </row>
    <row r="1153" spans="1:27" ht="24" customHeight="1">
      <c r="A1153" s="16"/>
      <c r="B1153" s="16"/>
      <c r="C1153" s="16"/>
      <c r="D1153" s="16"/>
      <c r="E1153" s="16"/>
      <c r="F1153" s="16"/>
      <c r="G1153" s="205"/>
      <c r="H1153" s="205"/>
      <c r="I1153" s="16"/>
      <c r="J1153" s="16"/>
      <c r="K1153" s="205"/>
      <c r="L1153" s="16"/>
      <c r="M1153" s="16"/>
      <c r="N1153" s="16"/>
      <c r="O1153" s="16"/>
      <c r="P1153" s="16"/>
      <c r="Q1153" s="16"/>
      <c r="R1153" s="16"/>
      <c r="S1153" s="16"/>
      <c r="T1153" s="16"/>
      <c r="U1153" s="16"/>
      <c r="V1153" s="16"/>
      <c r="W1153" s="16"/>
      <c r="X1153" s="16"/>
      <c r="Y1153" s="16"/>
      <c r="Z1153" s="16"/>
      <c r="AA1153" s="16"/>
    </row>
    <row r="1154" spans="1:27" ht="24" customHeight="1">
      <c r="A1154" s="16"/>
      <c r="B1154" s="16"/>
      <c r="C1154" s="16"/>
      <c r="D1154" s="16"/>
      <c r="E1154" s="16"/>
      <c r="F1154" s="16"/>
      <c r="G1154" s="205"/>
      <c r="H1154" s="205"/>
      <c r="I1154" s="16"/>
      <c r="J1154" s="16"/>
      <c r="K1154" s="205"/>
      <c r="L1154" s="16"/>
      <c r="M1154" s="16"/>
      <c r="N1154" s="16"/>
      <c r="O1154" s="16"/>
      <c r="P1154" s="16"/>
      <c r="Q1154" s="16"/>
      <c r="R1154" s="16"/>
      <c r="S1154" s="16"/>
      <c r="T1154" s="16"/>
      <c r="U1154" s="16"/>
      <c r="V1154" s="16"/>
      <c r="W1154" s="16"/>
      <c r="X1154" s="16"/>
      <c r="Y1154" s="16"/>
      <c r="Z1154" s="16"/>
      <c r="AA1154" s="16"/>
    </row>
    <row r="1155" spans="1:27" ht="24" customHeight="1">
      <c r="A1155" s="16"/>
      <c r="B1155" s="16"/>
      <c r="C1155" s="16"/>
      <c r="D1155" s="16"/>
      <c r="E1155" s="16"/>
      <c r="F1155" s="16"/>
      <c r="G1155" s="205"/>
      <c r="H1155" s="205"/>
      <c r="I1155" s="16"/>
      <c r="J1155" s="16"/>
      <c r="K1155" s="205"/>
      <c r="L1155" s="16"/>
      <c r="M1155" s="16"/>
      <c r="N1155" s="16"/>
      <c r="O1155" s="16"/>
      <c r="P1155" s="16"/>
      <c r="Q1155" s="16"/>
      <c r="R1155" s="16"/>
      <c r="S1155" s="16"/>
      <c r="T1155" s="16"/>
      <c r="U1155" s="16"/>
      <c r="V1155" s="16"/>
      <c r="W1155" s="16"/>
      <c r="X1155" s="16"/>
      <c r="Y1155" s="16"/>
      <c r="Z1155" s="16"/>
      <c r="AA1155" s="16"/>
    </row>
    <row r="1156" spans="1:27" ht="24" customHeight="1">
      <c r="A1156" s="16"/>
      <c r="B1156" s="16"/>
      <c r="C1156" s="16"/>
      <c r="D1156" s="16"/>
      <c r="E1156" s="16"/>
      <c r="F1156" s="16"/>
      <c r="G1156" s="205"/>
      <c r="H1156" s="205"/>
      <c r="I1156" s="16"/>
      <c r="J1156" s="16"/>
      <c r="K1156" s="205"/>
      <c r="L1156" s="16"/>
      <c r="M1156" s="16"/>
      <c r="N1156" s="16"/>
      <c r="O1156" s="16"/>
      <c r="P1156" s="16"/>
      <c r="Q1156" s="16"/>
      <c r="R1156" s="16"/>
      <c r="S1156" s="16"/>
      <c r="T1156" s="16"/>
      <c r="U1156" s="16"/>
      <c r="V1156" s="16"/>
      <c r="W1156" s="16"/>
      <c r="X1156" s="16"/>
      <c r="Y1156" s="16"/>
      <c r="Z1156" s="16"/>
      <c r="AA1156" s="16"/>
    </row>
    <row r="1157" spans="1:27" ht="24" customHeight="1">
      <c r="A1157" s="16"/>
      <c r="B1157" s="16"/>
      <c r="C1157" s="16"/>
      <c r="D1157" s="16"/>
      <c r="E1157" s="16"/>
      <c r="F1157" s="16"/>
      <c r="G1157" s="205"/>
      <c r="H1157" s="205"/>
      <c r="I1157" s="16"/>
      <c r="J1157" s="16"/>
      <c r="K1157" s="205"/>
      <c r="L1157" s="16"/>
      <c r="M1157" s="16"/>
      <c r="N1157" s="16"/>
      <c r="O1157" s="16"/>
      <c r="P1157" s="16"/>
      <c r="Q1157" s="16"/>
      <c r="R1157" s="16"/>
      <c r="S1157" s="16"/>
      <c r="T1157" s="16"/>
      <c r="U1157" s="16"/>
      <c r="V1157" s="16"/>
      <c r="W1157" s="16"/>
      <c r="X1157" s="16"/>
      <c r="Y1157" s="16"/>
      <c r="Z1157" s="16"/>
      <c r="AA1157" s="16"/>
    </row>
    <row r="1158" spans="1:27" ht="24" customHeight="1">
      <c r="A1158" s="16"/>
      <c r="B1158" s="16"/>
      <c r="C1158" s="16"/>
      <c r="D1158" s="16"/>
      <c r="E1158" s="16"/>
      <c r="F1158" s="16"/>
      <c r="G1158" s="205"/>
      <c r="H1158" s="205"/>
      <c r="I1158" s="16"/>
      <c r="J1158" s="16"/>
      <c r="K1158" s="205"/>
      <c r="L1158" s="16"/>
      <c r="M1158" s="16"/>
      <c r="N1158" s="16"/>
      <c r="O1158" s="16"/>
      <c r="P1158" s="16"/>
      <c r="Q1158" s="16"/>
      <c r="R1158" s="16"/>
      <c r="S1158" s="16"/>
      <c r="T1158" s="16"/>
      <c r="U1158" s="16"/>
      <c r="V1158" s="16"/>
      <c r="W1158" s="16"/>
      <c r="X1158" s="16"/>
      <c r="Y1158" s="16"/>
      <c r="Z1158" s="16"/>
      <c r="AA1158" s="16"/>
    </row>
    <row r="1159" spans="1:27" ht="24" customHeight="1">
      <c r="A1159" s="16"/>
      <c r="B1159" s="16"/>
      <c r="C1159" s="16"/>
      <c r="D1159" s="16"/>
      <c r="E1159" s="16"/>
      <c r="F1159" s="16"/>
      <c r="G1159" s="205"/>
      <c r="H1159" s="205"/>
      <c r="I1159" s="16"/>
      <c r="J1159" s="16"/>
      <c r="K1159" s="205"/>
      <c r="L1159" s="16"/>
      <c r="M1159" s="16"/>
      <c r="N1159" s="16"/>
      <c r="O1159" s="16"/>
      <c r="P1159" s="16"/>
      <c r="Q1159" s="16"/>
      <c r="R1159" s="16"/>
      <c r="S1159" s="16"/>
      <c r="T1159" s="16"/>
      <c r="U1159" s="16"/>
      <c r="V1159" s="16"/>
      <c r="W1159" s="16"/>
      <c r="X1159" s="16"/>
      <c r="Y1159" s="16"/>
      <c r="Z1159" s="16"/>
      <c r="AA1159" s="16"/>
    </row>
    <row r="1160" spans="1:27" ht="24" customHeight="1">
      <c r="A1160" s="16"/>
      <c r="B1160" s="16"/>
      <c r="C1160" s="16"/>
      <c r="D1160" s="16"/>
      <c r="E1160" s="16"/>
      <c r="F1160" s="16"/>
      <c r="G1160" s="205"/>
      <c r="H1160" s="205"/>
      <c r="I1160" s="16"/>
      <c r="J1160" s="16"/>
      <c r="K1160" s="205"/>
      <c r="L1160" s="16"/>
      <c r="M1160" s="16"/>
      <c r="N1160" s="16"/>
      <c r="O1160" s="16"/>
      <c r="P1160" s="16"/>
      <c r="Q1160" s="16"/>
      <c r="R1160" s="16"/>
      <c r="S1160" s="16"/>
      <c r="T1160" s="16"/>
      <c r="U1160" s="16"/>
      <c r="V1160" s="16"/>
      <c r="W1160" s="16"/>
      <c r="X1160" s="16"/>
      <c r="Y1160" s="16"/>
      <c r="Z1160" s="16"/>
      <c r="AA1160" s="16"/>
    </row>
    <row r="1161" spans="1:27" ht="24" customHeight="1">
      <c r="A1161" s="16"/>
      <c r="B1161" s="16"/>
      <c r="C1161" s="16"/>
      <c r="D1161" s="16"/>
      <c r="E1161" s="16"/>
      <c r="F1161" s="16"/>
      <c r="G1161" s="205"/>
      <c r="H1161" s="205"/>
      <c r="I1161" s="16"/>
      <c r="J1161" s="16"/>
      <c r="K1161" s="205"/>
      <c r="L1161" s="16"/>
      <c r="M1161" s="16"/>
      <c r="N1161" s="16"/>
      <c r="O1161" s="16"/>
      <c r="P1161" s="16"/>
      <c r="Q1161" s="16"/>
      <c r="R1161" s="16"/>
      <c r="S1161" s="16"/>
      <c r="T1161" s="16"/>
      <c r="U1161" s="16"/>
      <c r="V1161" s="16"/>
      <c r="W1161" s="16"/>
      <c r="X1161" s="16"/>
      <c r="Y1161" s="16"/>
      <c r="Z1161" s="16"/>
      <c r="AA1161" s="16"/>
    </row>
    <row r="1162" spans="1:27" ht="24" customHeight="1">
      <c r="A1162" s="16"/>
      <c r="B1162" s="16"/>
      <c r="C1162" s="16"/>
      <c r="D1162" s="16"/>
      <c r="E1162" s="16"/>
      <c r="F1162" s="16"/>
      <c r="G1162" s="205"/>
      <c r="H1162" s="205"/>
      <c r="I1162" s="16"/>
      <c r="J1162" s="16"/>
      <c r="K1162" s="205"/>
      <c r="L1162" s="16"/>
      <c r="M1162" s="16"/>
      <c r="N1162" s="16"/>
      <c r="O1162" s="16"/>
      <c r="P1162" s="16"/>
      <c r="Q1162" s="16"/>
      <c r="R1162" s="16"/>
      <c r="S1162" s="16"/>
      <c r="T1162" s="16"/>
      <c r="U1162" s="16"/>
      <c r="V1162" s="16"/>
      <c r="W1162" s="16"/>
      <c r="X1162" s="16"/>
      <c r="Y1162" s="16"/>
      <c r="Z1162" s="16"/>
      <c r="AA1162" s="16"/>
    </row>
    <row r="1163" spans="1:27" ht="24" customHeight="1">
      <c r="A1163" s="16"/>
      <c r="B1163" s="16"/>
      <c r="C1163" s="16"/>
      <c r="D1163" s="16"/>
      <c r="E1163" s="16"/>
      <c r="F1163" s="16"/>
      <c r="G1163" s="205"/>
      <c r="H1163" s="205"/>
      <c r="I1163" s="16"/>
      <c r="J1163" s="16"/>
      <c r="K1163" s="205"/>
      <c r="L1163" s="16"/>
      <c r="M1163" s="16"/>
      <c r="N1163" s="16"/>
      <c r="O1163" s="16"/>
      <c r="P1163" s="16"/>
      <c r="Q1163" s="16"/>
      <c r="R1163" s="16"/>
      <c r="S1163" s="16"/>
      <c r="T1163" s="16"/>
      <c r="U1163" s="16"/>
      <c r="V1163" s="16"/>
      <c r="W1163" s="16"/>
      <c r="X1163" s="16"/>
      <c r="Y1163" s="16"/>
      <c r="Z1163" s="16"/>
      <c r="AA1163" s="16"/>
    </row>
    <row r="1164" spans="1:27" ht="24" customHeight="1">
      <c r="A1164" s="16"/>
      <c r="B1164" s="16"/>
      <c r="C1164" s="16"/>
      <c r="D1164" s="16"/>
      <c r="E1164" s="16"/>
      <c r="F1164" s="16"/>
      <c r="G1164" s="205"/>
      <c r="H1164" s="205"/>
      <c r="I1164" s="16"/>
      <c r="J1164" s="16"/>
      <c r="K1164" s="205"/>
      <c r="L1164" s="16"/>
      <c r="M1164" s="16"/>
      <c r="N1164" s="16"/>
      <c r="O1164" s="16"/>
      <c r="P1164" s="16"/>
      <c r="Q1164" s="16"/>
      <c r="R1164" s="16"/>
      <c r="S1164" s="16"/>
      <c r="T1164" s="16"/>
      <c r="U1164" s="16"/>
      <c r="V1164" s="16"/>
      <c r="W1164" s="16"/>
      <c r="X1164" s="16"/>
      <c r="Y1164" s="16"/>
      <c r="Z1164" s="16"/>
      <c r="AA1164" s="16"/>
    </row>
    <row r="1165" spans="1:27" ht="24" customHeight="1">
      <c r="A1165" s="16"/>
      <c r="B1165" s="16"/>
      <c r="C1165" s="16"/>
      <c r="D1165" s="16"/>
      <c r="E1165" s="16"/>
      <c r="F1165" s="16"/>
      <c r="G1165" s="205"/>
      <c r="H1165" s="205"/>
      <c r="I1165" s="16"/>
      <c r="J1165" s="16"/>
      <c r="K1165" s="205"/>
      <c r="L1165" s="16"/>
      <c r="M1165" s="16"/>
      <c r="N1165" s="16"/>
      <c r="O1165" s="16"/>
      <c r="P1165" s="16"/>
      <c r="Q1165" s="16"/>
      <c r="R1165" s="16"/>
      <c r="S1165" s="16"/>
      <c r="T1165" s="16"/>
      <c r="U1165" s="16"/>
      <c r="V1165" s="16"/>
      <c r="W1165" s="16"/>
      <c r="X1165" s="16"/>
      <c r="Y1165" s="16"/>
      <c r="Z1165" s="16"/>
      <c r="AA1165" s="16"/>
    </row>
    <row r="1166" spans="1:27" ht="24" customHeight="1">
      <c r="A1166" s="16"/>
      <c r="B1166" s="16"/>
      <c r="C1166" s="16"/>
      <c r="D1166" s="16"/>
      <c r="E1166" s="16"/>
      <c r="F1166" s="16"/>
      <c r="G1166" s="205"/>
      <c r="H1166" s="205"/>
      <c r="I1166" s="16"/>
      <c r="J1166" s="16"/>
      <c r="K1166" s="205"/>
      <c r="L1166" s="16"/>
      <c r="M1166" s="16"/>
      <c r="N1166" s="16"/>
      <c r="O1166" s="16"/>
      <c r="P1166" s="16"/>
      <c r="Q1166" s="16"/>
      <c r="R1166" s="16"/>
      <c r="S1166" s="16"/>
      <c r="T1166" s="16"/>
      <c r="U1166" s="16"/>
      <c r="V1166" s="16"/>
      <c r="W1166" s="16"/>
      <c r="X1166" s="16"/>
      <c r="Y1166" s="16"/>
      <c r="Z1166" s="16"/>
      <c r="AA1166" s="16"/>
    </row>
    <row r="1167" spans="1:27" ht="24" customHeight="1">
      <c r="A1167" s="16"/>
      <c r="B1167" s="16"/>
      <c r="C1167" s="16"/>
      <c r="D1167" s="16"/>
      <c r="E1167" s="16"/>
      <c r="F1167" s="16"/>
      <c r="G1167" s="205"/>
      <c r="H1167" s="205"/>
      <c r="I1167" s="16"/>
      <c r="J1167" s="16"/>
      <c r="K1167" s="205"/>
      <c r="L1167" s="16"/>
      <c r="M1167" s="16"/>
      <c r="N1167" s="16"/>
      <c r="O1167" s="16"/>
      <c r="P1167" s="16"/>
      <c r="Q1167" s="16"/>
      <c r="R1167" s="16"/>
      <c r="S1167" s="16"/>
      <c r="T1167" s="16"/>
      <c r="U1167" s="16"/>
      <c r="V1167" s="16"/>
      <c r="W1167" s="16"/>
      <c r="X1167" s="16"/>
      <c r="Y1167" s="16"/>
      <c r="Z1167" s="16"/>
      <c r="AA1167" s="16"/>
    </row>
    <row r="1168" spans="1:27" ht="24" customHeight="1">
      <c r="A1168" s="16"/>
      <c r="B1168" s="16"/>
      <c r="C1168" s="16"/>
      <c r="D1168" s="16"/>
      <c r="E1168" s="16"/>
      <c r="F1168" s="16"/>
      <c r="G1168" s="205"/>
      <c r="H1168" s="205"/>
      <c r="I1168" s="16"/>
      <c r="J1168" s="16"/>
      <c r="K1168" s="205"/>
      <c r="L1168" s="16"/>
      <c r="M1168" s="16"/>
      <c r="N1168" s="16"/>
      <c r="O1168" s="16"/>
      <c r="P1168" s="16"/>
      <c r="Q1168" s="16"/>
      <c r="R1168" s="16"/>
      <c r="S1168" s="16"/>
      <c r="T1168" s="16"/>
      <c r="U1168" s="16"/>
      <c r="V1168" s="16"/>
      <c r="W1168" s="16"/>
      <c r="X1168" s="16"/>
      <c r="Y1168" s="16"/>
      <c r="Z1168" s="16"/>
      <c r="AA1168" s="16"/>
    </row>
    <row r="1169" spans="1:27" ht="24" customHeight="1">
      <c r="A1169" s="16"/>
      <c r="B1169" s="16"/>
      <c r="C1169" s="16"/>
      <c r="D1169" s="16"/>
      <c r="E1169" s="16"/>
      <c r="F1169" s="16"/>
      <c r="G1169" s="205"/>
      <c r="H1169" s="205"/>
      <c r="I1169" s="16"/>
      <c r="J1169" s="16"/>
      <c r="K1169" s="205"/>
      <c r="L1169" s="16"/>
      <c r="M1169" s="16"/>
      <c r="N1169" s="16"/>
      <c r="O1169" s="16"/>
      <c r="P1169" s="16"/>
      <c r="Q1169" s="16"/>
      <c r="R1169" s="16"/>
      <c r="S1169" s="16"/>
      <c r="T1169" s="16"/>
      <c r="U1169" s="16"/>
      <c r="V1169" s="16"/>
      <c r="W1169" s="16"/>
      <c r="X1169" s="16"/>
      <c r="Y1169" s="16"/>
      <c r="Z1169" s="16"/>
      <c r="AA1169" s="16"/>
    </row>
    <row r="1170" spans="1:27" ht="24" customHeight="1">
      <c r="A1170" s="16"/>
      <c r="B1170" s="16"/>
      <c r="C1170" s="16"/>
      <c r="D1170" s="16"/>
      <c r="E1170" s="16"/>
      <c r="F1170" s="16"/>
      <c r="G1170" s="205"/>
      <c r="H1170" s="205"/>
      <c r="I1170" s="16"/>
      <c r="J1170" s="16"/>
      <c r="K1170" s="205"/>
      <c r="L1170" s="16"/>
      <c r="M1170" s="16"/>
      <c r="N1170" s="16"/>
      <c r="O1170" s="16"/>
      <c r="P1170" s="16"/>
      <c r="Q1170" s="16"/>
      <c r="R1170" s="16"/>
      <c r="S1170" s="16"/>
      <c r="T1170" s="16"/>
      <c r="U1170" s="16"/>
      <c r="V1170" s="16"/>
      <c r="W1170" s="16"/>
      <c r="X1170" s="16"/>
      <c r="Y1170" s="16"/>
      <c r="Z1170" s="16"/>
      <c r="AA1170" s="16"/>
    </row>
    <row r="1171" spans="1:27" ht="24" customHeight="1">
      <c r="A1171" s="16"/>
      <c r="B1171" s="16"/>
      <c r="C1171" s="16"/>
      <c r="D1171" s="16"/>
      <c r="E1171" s="16"/>
      <c r="F1171" s="16"/>
      <c r="G1171" s="205"/>
      <c r="H1171" s="205"/>
      <c r="I1171" s="16"/>
      <c r="J1171" s="16"/>
      <c r="K1171" s="205"/>
      <c r="L1171" s="16"/>
      <c r="M1171" s="16"/>
      <c r="N1171" s="16"/>
      <c r="O1171" s="16"/>
      <c r="P1171" s="16"/>
      <c r="Q1171" s="16"/>
      <c r="R1171" s="16"/>
      <c r="S1171" s="16"/>
      <c r="T1171" s="16"/>
      <c r="U1171" s="16"/>
      <c r="V1171" s="16"/>
      <c r="W1171" s="16"/>
      <c r="X1171" s="16"/>
      <c r="Y1171" s="16"/>
      <c r="Z1171" s="16"/>
      <c r="AA1171" s="16"/>
    </row>
    <row r="1172" spans="1:27" ht="24" customHeight="1">
      <c r="A1172" s="16"/>
      <c r="B1172" s="16"/>
      <c r="C1172" s="16"/>
      <c r="D1172" s="16"/>
      <c r="E1172" s="16"/>
      <c r="F1172" s="16"/>
      <c r="G1172" s="205"/>
      <c r="H1172" s="205"/>
      <c r="I1172" s="16"/>
      <c r="J1172" s="16"/>
      <c r="K1172" s="205"/>
      <c r="L1172" s="16"/>
      <c r="M1172" s="16"/>
      <c r="N1172" s="16"/>
      <c r="O1172" s="16"/>
      <c r="P1172" s="16"/>
      <c r="Q1172" s="16"/>
      <c r="R1172" s="16"/>
      <c r="S1172" s="16"/>
      <c r="T1172" s="16"/>
      <c r="U1172" s="16"/>
      <c r="V1172" s="16"/>
      <c r="W1172" s="16"/>
      <c r="X1172" s="16"/>
      <c r="Y1172" s="16"/>
      <c r="Z1172" s="16"/>
      <c r="AA1172" s="16"/>
    </row>
    <row r="1173" spans="1:27" ht="24" customHeight="1">
      <c r="A1173" s="16"/>
      <c r="B1173" s="16"/>
      <c r="C1173" s="16"/>
      <c r="D1173" s="16"/>
      <c r="E1173" s="16"/>
      <c r="F1173" s="16"/>
      <c r="G1173" s="205"/>
      <c r="H1173" s="205"/>
      <c r="I1173" s="16"/>
      <c r="J1173" s="16"/>
      <c r="K1173" s="205"/>
      <c r="L1173" s="16"/>
      <c r="M1173" s="16"/>
      <c r="N1173" s="16"/>
      <c r="O1173" s="16"/>
      <c r="P1173" s="16"/>
      <c r="Q1173" s="16"/>
      <c r="R1173" s="16"/>
      <c r="S1173" s="16"/>
      <c r="T1173" s="16"/>
      <c r="U1173" s="16"/>
      <c r="V1173" s="16"/>
      <c r="W1173" s="16"/>
      <c r="X1173" s="16"/>
      <c r="Y1173" s="16"/>
      <c r="Z1173" s="16"/>
      <c r="AA1173" s="16"/>
    </row>
    <row r="1174" spans="1:27" ht="24" customHeight="1">
      <c r="A1174" s="16"/>
      <c r="B1174" s="16"/>
      <c r="C1174" s="16"/>
      <c r="D1174" s="16"/>
      <c r="E1174" s="16"/>
      <c r="F1174" s="16"/>
      <c r="G1174" s="205"/>
      <c r="H1174" s="205"/>
      <c r="I1174" s="16"/>
      <c r="J1174" s="16"/>
      <c r="K1174" s="205"/>
      <c r="L1174" s="16"/>
      <c r="M1174" s="16"/>
      <c r="N1174" s="16"/>
      <c r="O1174" s="16"/>
      <c r="P1174" s="16"/>
      <c r="Q1174" s="16"/>
      <c r="R1174" s="16"/>
      <c r="S1174" s="16"/>
      <c r="T1174" s="16"/>
      <c r="U1174" s="16"/>
      <c r="V1174" s="16"/>
      <c r="W1174" s="16"/>
      <c r="X1174" s="16"/>
      <c r="Y1174" s="16"/>
      <c r="Z1174" s="16"/>
      <c r="AA1174" s="16"/>
    </row>
    <row r="1175" spans="1:27" ht="24" customHeight="1">
      <c r="A1175" s="16"/>
      <c r="B1175" s="16"/>
      <c r="C1175" s="16"/>
      <c r="D1175" s="16"/>
      <c r="E1175" s="16"/>
      <c r="F1175" s="16"/>
      <c r="G1175" s="205"/>
      <c r="H1175" s="205"/>
      <c r="I1175" s="16"/>
      <c r="J1175" s="16"/>
      <c r="K1175" s="205"/>
      <c r="L1175" s="16"/>
      <c r="M1175" s="16"/>
      <c r="N1175" s="16"/>
      <c r="O1175" s="16"/>
      <c r="P1175" s="16"/>
      <c r="Q1175" s="16"/>
      <c r="R1175" s="16"/>
      <c r="S1175" s="16"/>
      <c r="T1175" s="16"/>
      <c r="U1175" s="16"/>
      <c r="V1175" s="16"/>
      <c r="W1175" s="16"/>
      <c r="X1175" s="16"/>
      <c r="Y1175" s="16"/>
      <c r="Z1175" s="16"/>
      <c r="AA1175" s="16"/>
    </row>
    <row r="1176" spans="1:27" ht="24" customHeight="1">
      <c r="A1176" s="16"/>
      <c r="B1176" s="16"/>
      <c r="C1176" s="16"/>
      <c r="D1176" s="16"/>
      <c r="E1176" s="16"/>
      <c r="F1176" s="16"/>
      <c r="G1176" s="205"/>
      <c r="H1176" s="205"/>
      <c r="I1176" s="16"/>
      <c r="J1176" s="16"/>
      <c r="K1176" s="205"/>
      <c r="L1176" s="16"/>
      <c r="M1176" s="16"/>
      <c r="N1176" s="16"/>
      <c r="O1176" s="16"/>
      <c r="P1176" s="16"/>
      <c r="Q1176" s="16"/>
      <c r="R1176" s="16"/>
      <c r="S1176" s="16"/>
      <c r="T1176" s="16"/>
      <c r="U1176" s="16"/>
      <c r="V1176" s="16"/>
      <c r="W1176" s="16"/>
      <c r="X1176" s="16"/>
      <c r="Y1176" s="16"/>
      <c r="Z1176" s="16"/>
      <c r="AA1176" s="16"/>
    </row>
    <row r="1177" spans="1:27" ht="24" customHeight="1">
      <c r="A1177" s="16"/>
      <c r="B1177" s="16"/>
      <c r="C1177" s="16"/>
      <c r="D1177" s="16"/>
      <c r="E1177" s="16"/>
      <c r="F1177" s="16"/>
      <c r="G1177" s="205"/>
      <c r="H1177" s="205"/>
      <c r="I1177" s="16"/>
      <c r="J1177" s="16"/>
      <c r="K1177" s="205"/>
      <c r="L1177" s="16"/>
      <c r="M1177" s="16"/>
      <c r="N1177" s="16"/>
      <c r="O1177" s="16"/>
      <c r="P1177" s="16"/>
      <c r="Q1177" s="16"/>
      <c r="R1177" s="16"/>
      <c r="S1177" s="16"/>
      <c r="T1177" s="16"/>
      <c r="U1177" s="16"/>
      <c r="V1177" s="16"/>
      <c r="W1177" s="16"/>
      <c r="X1177" s="16"/>
      <c r="Y1177" s="16"/>
      <c r="Z1177" s="16"/>
      <c r="AA1177" s="16"/>
    </row>
    <row r="1178" spans="1:27" ht="24" customHeight="1">
      <c r="A1178" s="16"/>
      <c r="B1178" s="16"/>
      <c r="C1178" s="16"/>
      <c r="D1178" s="16"/>
      <c r="E1178" s="16"/>
      <c r="F1178" s="16"/>
      <c r="G1178" s="205"/>
      <c r="H1178" s="205"/>
      <c r="I1178" s="16"/>
      <c r="J1178" s="16"/>
      <c r="K1178" s="205"/>
      <c r="L1178" s="16"/>
      <c r="M1178" s="16"/>
      <c r="N1178" s="16"/>
      <c r="O1178" s="16"/>
      <c r="P1178" s="16"/>
      <c r="Q1178" s="16"/>
      <c r="R1178" s="16"/>
      <c r="S1178" s="16"/>
      <c r="T1178" s="16"/>
      <c r="U1178" s="16"/>
      <c r="V1178" s="16"/>
      <c r="W1178" s="16"/>
      <c r="X1178" s="16"/>
      <c r="Y1178" s="16"/>
      <c r="Z1178" s="16"/>
      <c r="AA1178" s="16"/>
    </row>
    <row r="1179" spans="1:27" ht="24" customHeight="1">
      <c r="A1179" s="16"/>
      <c r="B1179" s="16"/>
      <c r="C1179" s="16"/>
      <c r="D1179" s="16"/>
      <c r="E1179" s="16"/>
      <c r="F1179" s="16"/>
      <c r="G1179" s="205"/>
      <c r="H1179" s="205"/>
      <c r="I1179" s="16"/>
      <c r="J1179" s="16"/>
      <c r="K1179" s="205"/>
      <c r="L1179" s="16"/>
      <c r="M1179" s="16"/>
      <c r="N1179" s="16"/>
      <c r="O1179" s="16"/>
      <c r="P1179" s="16"/>
      <c r="Q1179" s="16"/>
      <c r="R1179" s="16"/>
      <c r="S1179" s="16"/>
      <c r="T1179" s="16"/>
      <c r="U1179" s="16"/>
      <c r="V1179" s="16"/>
      <c r="W1179" s="16"/>
      <c r="X1179" s="16"/>
      <c r="Y1179" s="16"/>
      <c r="Z1179" s="16"/>
      <c r="AA1179" s="16"/>
    </row>
    <row r="1180" spans="1:27" ht="24" customHeight="1">
      <c r="A1180" s="16"/>
      <c r="B1180" s="16"/>
      <c r="C1180" s="16"/>
      <c r="D1180" s="16"/>
      <c r="E1180" s="16"/>
      <c r="F1180" s="16"/>
      <c r="G1180" s="205"/>
      <c r="H1180" s="205"/>
      <c r="I1180" s="16"/>
      <c r="J1180" s="16"/>
      <c r="K1180" s="205"/>
      <c r="L1180" s="16"/>
      <c r="M1180" s="16"/>
      <c r="N1180" s="16"/>
      <c r="O1180" s="16"/>
      <c r="P1180" s="16"/>
      <c r="Q1180" s="16"/>
      <c r="R1180" s="16"/>
      <c r="S1180" s="16"/>
      <c r="T1180" s="16"/>
      <c r="U1180" s="16"/>
      <c r="V1180" s="16"/>
      <c r="W1180" s="16"/>
      <c r="X1180" s="16"/>
      <c r="Y1180" s="16"/>
      <c r="Z1180" s="16"/>
      <c r="AA1180" s="16"/>
    </row>
    <row r="1181" spans="1:27" ht="24" customHeight="1">
      <c r="A1181" s="16"/>
      <c r="B1181" s="16"/>
      <c r="C1181" s="16"/>
      <c r="D1181" s="16"/>
      <c r="E1181" s="16"/>
      <c r="F1181" s="16"/>
      <c r="G1181" s="205"/>
      <c r="H1181" s="205"/>
      <c r="I1181" s="16"/>
      <c r="J1181" s="16"/>
      <c r="K1181" s="205"/>
      <c r="L1181" s="16"/>
      <c r="M1181" s="16"/>
      <c r="N1181" s="16"/>
      <c r="O1181" s="16"/>
      <c r="P1181" s="16"/>
      <c r="Q1181" s="16"/>
      <c r="R1181" s="16"/>
      <c r="S1181" s="16"/>
      <c r="T1181" s="16"/>
      <c r="U1181" s="16"/>
      <c r="V1181" s="16"/>
      <c r="W1181" s="16"/>
      <c r="X1181" s="16"/>
      <c r="Y1181" s="16"/>
      <c r="Z1181" s="16"/>
      <c r="AA1181" s="16"/>
    </row>
    <row r="1182" spans="1:27" ht="24" customHeight="1">
      <c r="A1182" s="16"/>
      <c r="B1182" s="16"/>
      <c r="C1182" s="16"/>
      <c r="D1182" s="16"/>
      <c r="E1182" s="16"/>
      <c r="F1182" s="16"/>
      <c r="G1182" s="205"/>
      <c r="H1182" s="205"/>
      <c r="I1182" s="16"/>
      <c r="J1182" s="16"/>
      <c r="K1182" s="205"/>
      <c r="L1182" s="16"/>
      <c r="M1182" s="16"/>
      <c r="N1182" s="16"/>
      <c r="O1182" s="16"/>
      <c r="P1182" s="16"/>
      <c r="Q1182" s="16"/>
      <c r="R1182" s="16"/>
      <c r="S1182" s="16"/>
      <c r="T1182" s="16"/>
      <c r="U1182" s="16"/>
      <c r="V1182" s="16"/>
      <c r="W1182" s="16"/>
      <c r="X1182" s="16"/>
      <c r="Y1182" s="16"/>
      <c r="Z1182" s="16"/>
      <c r="AA1182" s="16"/>
    </row>
    <row r="1183" spans="1:27" ht="24" customHeight="1">
      <c r="A1183" s="16"/>
      <c r="B1183" s="16"/>
      <c r="C1183" s="16"/>
      <c r="D1183" s="16"/>
      <c r="E1183" s="16"/>
      <c r="F1183" s="16"/>
      <c r="G1183" s="205"/>
      <c r="H1183" s="205"/>
      <c r="I1183" s="16"/>
      <c r="J1183" s="16"/>
      <c r="K1183" s="205"/>
      <c r="L1183" s="16"/>
      <c r="M1183" s="16"/>
      <c r="N1183" s="16"/>
      <c r="O1183" s="16"/>
      <c r="P1183" s="16"/>
      <c r="Q1183" s="16"/>
      <c r="R1183" s="16"/>
      <c r="S1183" s="16"/>
      <c r="T1183" s="16"/>
      <c r="U1183" s="16"/>
      <c r="V1183" s="16"/>
      <c r="W1183" s="16"/>
      <c r="X1183" s="16"/>
      <c r="Y1183" s="16"/>
      <c r="Z1183" s="16"/>
      <c r="AA1183" s="16"/>
    </row>
    <row r="1184" spans="1:27" ht="24" customHeight="1">
      <c r="A1184" s="16"/>
      <c r="B1184" s="16"/>
      <c r="C1184" s="16"/>
      <c r="D1184" s="16"/>
      <c r="E1184" s="16"/>
      <c r="F1184" s="16"/>
      <c r="G1184" s="205"/>
      <c r="H1184" s="205"/>
      <c r="I1184" s="16"/>
      <c r="J1184" s="16"/>
      <c r="K1184" s="205"/>
      <c r="L1184" s="16"/>
      <c r="M1184" s="16"/>
      <c r="N1184" s="16"/>
      <c r="O1184" s="16"/>
      <c r="P1184" s="16"/>
      <c r="Q1184" s="16"/>
      <c r="R1184" s="16"/>
      <c r="S1184" s="16"/>
      <c r="T1184" s="16"/>
      <c r="U1184" s="16"/>
      <c r="V1184" s="16"/>
      <c r="W1184" s="16"/>
      <c r="X1184" s="16"/>
      <c r="Y1184" s="16"/>
      <c r="Z1184" s="16"/>
      <c r="AA1184" s="16"/>
    </row>
    <row r="1185" spans="1:27" ht="24" customHeight="1">
      <c r="A1185" s="16"/>
      <c r="B1185" s="16"/>
      <c r="C1185" s="16"/>
      <c r="D1185" s="16"/>
      <c r="E1185" s="16"/>
      <c r="F1185" s="16"/>
      <c r="G1185" s="205"/>
      <c r="H1185" s="205"/>
      <c r="I1185" s="16"/>
      <c r="J1185" s="16"/>
      <c r="K1185" s="205"/>
      <c r="L1185" s="16"/>
      <c r="M1185" s="16"/>
      <c r="N1185" s="16"/>
      <c r="O1185" s="16"/>
      <c r="P1185" s="16"/>
      <c r="Q1185" s="16"/>
      <c r="R1185" s="16"/>
      <c r="S1185" s="16"/>
      <c r="T1185" s="16"/>
      <c r="U1185" s="16"/>
      <c r="V1185" s="16"/>
      <c r="W1185" s="16"/>
      <c r="X1185" s="16"/>
      <c r="Y1185" s="16"/>
      <c r="Z1185" s="16"/>
      <c r="AA1185" s="16"/>
    </row>
    <row r="1186" spans="1:27" ht="24" customHeight="1">
      <c r="A1186" s="16"/>
      <c r="B1186" s="16"/>
      <c r="C1186" s="16"/>
      <c r="D1186" s="16"/>
      <c r="E1186" s="16"/>
      <c r="F1186" s="16"/>
      <c r="G1186" s="205"/>
      <c r="H1186" s="205"/>
      <c r="I1186" s="16"/>
      <c r="J1186" s="16"/>
      <c r="K1186" s="205"/>
      <c r="L1186" s="16"/>
      <c r="M1186" s="16"/>
      <c r="N1186" s="16"/>
      <c r="O1186" s="16"/>
      <c r="P1186" s="16"/>
      <c r="Q1186" s="16"/>
      <c r="R1186" s="16"/>
      <c r="S1186" s="16"/>
      <c r="T1186" s="16"/>
      <c r="U1186" s="16"/>
      <c r="V1186" s="16"/>
      <c r="W1186" s="16"/>
      <c r="X1186" s="16"/>
      <c r="Y1186" s="16"/>
      <c r="Z1186" s="16"/>
      <c r="AA1186" s="16"/>
    </row>
    <row r="1187" spans="1:27" ht="24" customHeight="1">
      <c r="A1187" s="16"/>
      <c r="B1187" s="16"/>
      <c r="C1187" s="16"/>
      <c r="D1187" s="16"/>
      <c r="E1187" s="16"/>
      <c r="F1187" s="16"/>
      <c r="G1187" s="205"/>
      <c r="H1187" s="205"/>
      <c r="I1187" s="16"/>
      <c r="J1187" s="16"/>
      <c r="K1187" s="205"/>
      <c r="L1187" s="16"/>
      <c r="M1187" s="16"/>
      <c r="N1187" s="16"/>
      <c r="O1187" s="16"/>
      <c r="P1187" s="16"/>
      <c r="Q1187" s="16"/>
      <c r="R1187" s="16"/>
      <c r="S1187" s="16"/>
      <c r="T1187" s="16"/>
      <c r="U1187" s="16"/>
      <c r="V1187" s="16"/>
      <c r="W1187" s="16"/>
      <c r="X1187" s="16"/>
      <c r="Y1187" s="16"/>
      <c r="Z1187" s="16"/>
      <c r="AA1187" s="16"/>
    </row>
    <row r="1188" spans="1:27" ht="24" customHeight="1">
      <c r="A1188" s="16"/>
      <c r="B1188" s="16"/>
      <c r="C1188" s="16"/>
      <c r="D1188" s="16"/>
      <c r="E1188" s="16"/>
      <c r="F1188" s="16"/>
      <c r="G1188" s="205"/>
      <c r="H1188" s="205"/>
      <c r="I1188" s="16"/>
      <c r="J1188" s="16"/>
      <c r="K1188" s="205"/>
      <c r="L1188" s="16"/>
      <c r="M1188" s="16"/>
      <c r="N1188" s="16"/>
      <c r="O1188" s="16"/>
      <c r="P1188" s="16"/>
      <c r="Q1188" s="16"/>
      <c r="R1188" s="16"/>
      <c r="S1188" s="16"/>
      <c r="T1188" s="16"/>
      <c r="U1188" s="16"/>
      <c r="V1188" s="16"/>
      <c r="W1188" s="16"/>
      <c r="X1188" s="16"/>
      <c r="Y1188" s="16"/>
      <c r="Z1188" s="16"/>
      <c r="AA1188" s="16"/>
    </row>
    <row r="1189" spans="1:27" ht="24" customHeight="1">
      <c r="A1189" s="16"/>
      <c r="B1189" s="16"/>
      <c r="C1189" s="16"/>
      <c r="D1189" s="16"/>
      <c r="E1189" s="16"/>
      <c r="F1189" s="16"/>
      <c r="G1189" s="205"/>
      <c r="H1189" s="205"/>
      <c r="I1189" s="16"/>
      <c r="J1189" s="16"/>
      <c r="K1189" s="205"/>
      <c r="L1189" s="16"/>
      <c r="M1189" s="16"/>
      <c r="N1189" s="16"/>
      <c r="O1189" s="16"/>
      <c r="P1189" s="16"/>
      <c r="Q1189" s="16"/>
      <c r="R1189" s="16"/>
      <c r="S1189" s="16"/>
      <c r="T1189" s="16"/>
      <c r="U1189" s="16"/>
      <c r="V1189" s="16"/>
      <c r="W1189" s="16"/>
      <c r="X1189" s="16"/>
      <c r="Y1189" s="16"/>
      <c r="Z1189" s="16"/>
      <c r="AA1189" s="16"/>
    </row>
    <row r="1190" spans="1:27" ht="24" customHeight="1">
      <c r="A1190" s="16"/>
      <c r="B1190" s="16"/>
      <c r="C1190" s="16"/>
      <c r="D1190" s="16"/>
      <c r="E1190" s="16"/>
      <c r="F1190" s="16"/>
      <c r="G1190" s="205"/>
      <c r="H1190" s="205"/>
      <c r="I1190" s="16"/>
      <c r="J1190" s="16"/>
      <c r="K1190" s="205"/>
      <c r="L1190" s="16"/>
      <c r="M1190" s="16"/>
      <c r="N1190" s="16"/>
      <c r="O1190" s="16"/>
      <c r="P1190" s="16"/>
      <c r="Q1190" s="16"/>
      <c r="R1190" s="16"/>
      <c r="S1190" s="16"/>
      <c r="T1190" s="16"/>
      <c r="U1190" s="16"/>
      <c r="V1190" s="16"/>
      <c r="W1190" s="16"/>
      <c r="X1190" s="16"/>
      <c r="Y1190" s="16"/>
      <c r="Z1190" s="16"/>
      <c r="AA1190" s="16"/>
    </row>
    <row r="1191" spans="1:27" ht="24" customHeight="1">
      <c r="A1191" s="16"/>
      <c r="B1191" s="16"/>
      <c r="C1191" s="16"/>
      <c r="D1191" s="16"/>
      <c r="E1191" s="16"/>
      <c r="F1191" s="16"/>
      <c r="G1191" s="205"/>
      <c r="H1191" s="205"/>
      <c r="I1191" s="16"/>
      <c r="J1191" s="16"/>
      <c r="K1191" s="205"/>
      <c r="L1191" s="16"/>
      <c r="M1191" s="16"/>
      <c r="N1191" s="16"/>
      <c r="O1191" s="16"/>
      <c r="P1191" s="16"/>
      <c r="Q1191" s="16"/>
      <c r="R1191" s="16"/>
      <c r="S1191" s="16"/>
      <c r="T1191" s="16"/>
      <c r="U1191" s="16"/>
      <c r="V1191" s="16"/>
      <c r="W1191" s="16"/>
      <c r="X1191" s="16"/>
      <c r="Y1191" s="16"/>
      <c r="Z1191" s="16"/>
      <c r="AA1191" s="16"/>
    </row>
    <row r="1192" spans="1:27" ht="24" customHeight="1">
      <c r="A1192" s="16"/>
      <c r="B1192" s="16"/>
      <c r="C1192" s="16"/>
      <c r="D1192" s="16"/>
      <c r="E1192" s="16"/>
      <c r="F1192" s="16"/>
      <c r="G1192" s="205"/>
      <c r="H1192" s="205"/>
      <c r="I1192" s="16"/>
      <c r="J1192" s="16"/>
      <c r="K1192" s="205"/>
      <c r="L1192" s="16"/>
      <c r="M1192" s="16"/>
      <c r="N1192" s="16"/>
      <c r="O1192" s="16"/>
      <c r="P1192" s="16"/>
      <c r="Q1192" s="16"/>
      <c r="R1192" s="16"/>
      <c r="S1192" s="16"/>
      <c r="T1192" s="16"/>
      <c r="U1192" s="16"/>
      <c r="V1192" s="16"/>
      <c r="W1192" s="16"/>
      <c r="X1192" s="16"/>
      <c r="Y1192" s="16"/>
      <c r="Z1192" s="16"/>
      <c r="AA1192" s="16"/>
    </row>
    <row r="1193" spans="1:27" ht="24" customHeight="1">
      <c r="A1193" s="16"/>
      <c r="B1193" s="16"/>
      <c r="C1193" s="16"/>
      <c r="D1193" s="16"/>
      <c r="E1193" s="16"/>
      <c r="F1193" s="16"/>
      <c r="G1193" s="205"/>
      <c r="H1193" s="205"/>
      <c r="I1193" s="16"/>
      <c r="J1193" s="16"/>
      <c r="K1193" s="205"/>
      <c r="L1193" s="16"/>
      <c r="M1193" s="16"/>
      <c r="N1193" s="16"/>
      <c r="O1193" s="16"/>
      <c r="P1193" s="16"/>
      <c r="Q1193" s="16"/>
      <c r="R1193" s="16"/>
      <c r="S1193" s="16"/>
      <c r="T1193" s="16"/>
      <c r="U1193" s="16"/>
      <c r="V1193" s="16"/>
      <c r="W1193" s="16"/>
      <c r="X1193" s="16"/>
      <c r="Y1193" s="16"/>
      <c r="Z1193" s="16"/>
      <c r="AA1193" s="16"/>
    </row>
    <row r="1194" spans="1:27" ht="24" customHeight="1">
      <c r="A1194" s="16"/>
      <c r="B1194" s="16"/>
      <c r="C1194" s="16"/>
      <c r="D1194" s="16"/>
      <c r="E1194" s="16"/>
      <c r="F1194" s="16"/>
      <c r="G1194" s="205"/>
      <c r="H1194" s="205"/>
      <c r="I1194" s="16"/>
      <c r="J1194" s="16"/>
      <c r="K1194" s="205"/>
      <c r="L1194" s="16"/>
      <c r="M1194" s="16"/>
      <c r="N1194" s="16"/>
      <c r="O1194" s="16"/>
      <c r="P1194" s="16"/>
      <c r="Q1194" s="16"/>
      <c r="R1194" s="16"/>
      <c r="S1194" s="16"/>
      <c r="T1194" s="16"/>
      <c r="U1194" s="16"/>
      <c r="V1194" s="16"/>
      <c r="W1194" s="16"/>
      <c r="X1194" s="16"/>
      <c r="Y1194" s="16"/>
      <c r="Z1194" s="16"/>
      <c r="AA1194" s="16"/>
    </row>
    <row r="1195" spans="1:27" ht="24" customHeight="1">
      <c r="A1195" s="16"/>
      <c r="B1195" s="16"/>
      <c r="C1195" s="16"/>
      <c r="D1195" s="16"/>
      <c r="E1195" s="16"/>
      <c r="F1195" s="16"/>
      <c r="G1195" s="205"/>
      <c r="H1195" s="205"/>
      <c r="I1195" s="16"/>
      <c r="J1195" s="16"/>
      <c r="K1195" s="205"/>
      <c r="L1195" s="16"/>
      <c r="M1195" s="16"/>
      <c r="N1195" s="16"/>
      <c r="O1195" s="16"/>
      <c r="P1195" s="16"/>
      <c r="Q1195" s="16"/>
      <c r="R1195" s="16"/>
      <c r="S1195" s="16"/>
      <c r="T1195" s="16"/>
      <c r="U1195" s="16"/>
      <c r="V1195" s="16"/>
      <c r="W1195" s="16"/>
      <c r="X1195" s="16"/>
      <c r="Y1195" s="16"/>
      <c r="Z1195" s="16"/>
      <c r="AA1195" s="16"/>
    </row>
    <row r="1196" spans="1:27" ht="24" customHeight="1">
      <c r="A1196" s="16"/>
      <c r="B1196" s="16"/>
      <c r="C1196" s="16"/>
      <c r="D1196" s="16"/>
      <c r="E1196" s="16"/>
      <c r="F1196" s="16"/>
      <c r="G1196" s="205"/>
      <c r="H1196" s="205"/>
      <c r="I1196" s="16"/>
      <c r="J1196" s="16"/>
      <c r="K1196" s="205"/>
      <c r="L1196" s="16"/>
      <c r="M1196" s="16"/>
      <c r="N1196" s="16"/>
      <c r="O1196" s="16"/>
      <c r="P1196" s="16"/>
      <c r="Q1196" s="16"/>
      <c r="R1196" s="16"/>
      <c r="S1196" s="16"/>
      <c r="T1196" s="16"/>
      <c r="U1196" s="16"/>
      <c r="V1196" s="16"/>
      <c r="W1196" s="16"/>
      <c r="X1196" s="16"/>
      <c r="Y1196" s="16"/>
      <c r="Z1196" s="16"/>
      <c r="AA1196" s="16"/>
    </row>
    <row r="1197" spans="1:27" ht="24" customHeight="1">
      <c r="A1197" s="16"/>
      <c r="B1197" s="16"/>
      <c r="C1197" s="16"/>
      <c r="D1197" s="16"/>
      <c r="E1197" s="16"/>
      <c r="F1197" s="16"/>
      <c r="G1197" s="205"/>
      <c r="H1197" s="205"/>
      <c r="I1197" s="16"/>
      <c r="J1197" s="16"/>
      <c r="K1197" s="205"/>
      <c r="L1197" s="16"/>
      <c r="M1197" s="16"/>
      <c r="N1197" s="16"/>
      <c r="O1197" s="16"/>
      <c r="P1197" s="16"/>
      <c r="Q1197" s="16"/>
      <c r="R1197" s="16"/>
      <c r="S1197" s="16"/>
      <c r="T1197" s="16"/>
      <c r="U1197" s="16"/>
      <c r="V1197" s="16"/>
      <c r="W1197" s="16"/>
      <c r="X1197" s="16"/>
      <c r="Y1197" s="16"/>
      <c r="Z1197" s="16"/>
      <c r="AA1197" s="16"/>
    </row>
    <row r="1198" spans="1:27" ht="24" customHeight="1">
      <c r="A1198" s="16"/>
      <c r="B1198" s="16"/>
      <c r="C1198" s="16"/>
      <c r="D1198" s="16"/>
      <c r="E1198" s="16"/>
      <c r="F1198" s="16"/>
      <c r="G1198" s="205"/>
      <c r="H1198" s="205"/>
      <c r="I1198" s="16"/>
      <c r="J1198" s="16"/>
      <c r="K1198" s="205"/>
      <c r="L1198" s="16"/>
      <c r="M1198" s="16"/>
      <c r="N1198" s="16"/>
      <c r="O1198" s="16"/>
      <c r="P1198" s="16"/>
      <c r="Q1198" s="16"/>
      <c r="R1198" s="16"/>
      <c r="S1198" s="16"/>
      <c r="T1198" s="16"/>
      <c r="U1198" s="16"/>
      <c r="V1198" s="16"/>
      <c r="W1198" s="16"/>
      <c r="X1198" s="16"/>
      <c r="Y1198" s="16"/>
      <c r="Z1198" s="16"/>
      <c r="AA1198" s="16"/>
    </row>
    <row r="1199" spans="1:27" ht="24" customHeight="1">
      <c r="A1199" s="16"/>
      <c r="B1199" s="16"/>
      <c r="C1199" s="16"/>
      <c r="D1199" s="16"/>
      <c r="E1199" s="16"/>
      <c r="F1199" s="16"/>
      <c r="G1199" s="205"/>
      <c r="H1199" s="205"/>
      <c r="I1199" s="16"/>
      <c r="J1199" s="16"/>
      <c r="K1199" s="205"/>
      <c r="L1199" s="16"/>
      <c r="M1199" s="16"/>
      <c r="N1199" s="16"/>
      <c r="O1199" s="16"/>
      <c r="P1199" s="16"/>
      <c r="Q1199" s="16"/>
      <c r="R1199" s="16"/>
      <c r="S1199" s="16"/>
      <c r="T1199" s="16"/>
      <c r="U1199" s="16"/>
      <c r="V1199" s="16"/>
      <c r="W1199" s="16"/>
      <c r="X1199" s="16"/>
      <c r="Y1199" s="16"/>
      <c r="Z1199" s="16"/>
      <c r="AA1199" s="16"/>
    </row>
    <row r="1200" spans="1:27" ht="24" customHeight="1">
      <c r="A1200" s="16"/>
      <c r="B1200" s="16"/>
      <c r="C1200" s="16"/>
      <c r="D1200" s="16"/>
      <c r="E1200" s="16"/>
      <c r="F1200" s="16"/>
      <c r="G1200" s="205"/>
      <c r="H1200" s="205"/>
      <c r="I1200" s="16"/>
      <c r="J1200" s="16"/>
      <c r="K1200" s="205"/>
      <c r="L1200" s="16"/>
      <c r="M1200" s="16"/>
      <c r="N1200" s="16"/>
      <c r="O1200" s="16"/>
      <c r="P1200" s="16"/>
      <c r="Q1200" s="16"/>
      <c r="R1200" s="16"/>
      <c r="S1200" s="16"/>
      <c r="T1200" s="16"/>
      <c r="U1200" s="16"/>
      <c r="V1200" s="16"/>
      <c r="W1200" s="16"/>
      <c r="X1200" s="16"/>
      <c r="Y1200" s="16"/>
      <c r="Z1200" s="16"/>
      <c r="AA1200" s="16"/>
    </row>
    <row r="1201" spans="1:27" ht="24" customHeight="1">
      <c r="A1201" s="16"/>
      <c r="B1201" s="16"/>
      <c r="C1201" s="16"/>
      <c r="D1201" s="16"/>
      <c r="E1201" s="16"/>
      <c r="F1201" s="16"/>
      <c r="G1201" s="205"/>
      <c r="H1201" s="205"/>
      <c r="I1201" s="16"/>
      <c r="J1201" s="16"/>
      <c r="K1201" s="205"/>
      <c r="L1201" s="16"/>
      <c r="M1201" s="16"/>
      <c r="N1201" s="16"/>
      <c r="O1201" s="16"/>
      <c r="P1201" s="16"/>
      <c r="Q1201" s="16"/>
      <c r="R1201" s="16"/>
      <c r="S1201" s="16"/>
      <c r="T1201" s="16"/>
      <c r="U1201" s="16"/>
      <c r="V1201" s="16"/>
      <c r="W1201" s="16"/>
      <c r="X1201" s="16"/>
      <c r="Y1201" s="16"/>
      <c r="Z1201" s="16"/>
      <c r="AA1201" s="16"/>
    </row>
    <row r="1202" spans="1:27" ht="24" customHeight="1">
      <c r="A1202" s="16"/>
      <c r="B1202" s="16"/>
      <c r="C1202" s="16"/>
      <c r="D1202" s="16"/>
      <c r="E1202" s="16"/>
      <c r="F1202" s="16"/>
      <c r="G1202" s="205"/>
      <c r="H1202" s="205"/>
      <c r="I1202" s="16"/>
      <c r="J1202" s="16"/>
      <c r="K1202" s="205"/>
      <c r="L1202" s="16"/>
      <c r="M1202" s="16"/>
      <c r="N1202" s="16"/>
      <c r="O1202" s="16"/>
      <c r="P1202" s="16"/>
      <c r="Q1202" s="16"/>
      <c r="R1202" s="16"/>
      <c r="S1202" s="16"/>
      <c r="T1202" s="16"/>
      <c r="U1202" s="16"/>
      <c r="V1202" s="16"/>
      <c r="W1202" s="16"/>
      <c r="X1202" s="16"/>
      <c r="Y1202" s="16"/>
      <c r="Z1202" s="16"/>
      <c r="AA1202" s="16"/>
    </row>
    <row r="1203" spans="1:27" ht="24" customHeight="1">
      <c r="A1203" s="16"/>
      <c r="B1203" s="16"/>
      <c r="C1203" s="16"/>
      <c r="D1203" s="16"/>
      <c r="E1203" s="16"/>
      <c r="F1203" s="16"/>
      <c r="G1203" s="205"/>
      <c r="H1203" s="205"/>
      <c r="I1203" s="16"/>
      <c r="J1203" s="16"/>
      <c r="K1203" s="205"/>
      <c r="L1203" s="16"/>
      <c r="M1203" s="16"/>
      <c r="N1203" s="16"/>
      <c r="O1203" s="16"/>
      <c r="P1203" s="16"/>
      <c r="Q1203" s="16"/>
      <c r="R1203" s="16"/>
      <c r="S1203" s="16"/>
      <c r="T1203" s="16"/>
      <c r="U1203" s="16"/>
      <c r="V1203" s="16"/>
      <c r="W1203" s="16"/>
      <c r="X1203" s="16"/>
      <c r="Y1203" s="16"/>
      <c r="Z1203" s="16"/>
      <c r="AA1203" s="16"/>
    </row>
    <row r="1204" spans="1:27" ht="24" customHeight="1">
      <c r="A1204" s="16"/>
      <c r="B1204" s="16"/>
      <c r="C1204" s="16"/>
      <c r="D1204" s="16"/>
      <c r="E1204" s="16"/>
      <c r="F1204" s="16"/>
      <c r="G1204" s="205"/>
      <c r="H1204" s="205"/>
      <c r="I1204" s="16"/>
      <c r="J1204" s="16"/>
      <c r="K1204" s="205"/>
      <c r="L1204" s="16"/>
      <c r="M1204" s="16"/>
      <c r="N1204" s="16"/>
      <c r="O1204" s="16"/>
      <c r="P1204" s="16"/>
      <c r="Q1204" s="16"/>
      <c r="R1204" s="16"/>
      <c r="S1204" s="16"/>
      <c r="T1204" s="16"/>
      <c r="U1204" s="16"/>
      <c r="V1204" s="16"/>
      <c r="W1204" s="16"/>
      <c r="X1204" s="16"/>
      <c r="Y1204" s="16"/>
      <c r="Z1204" s="16"/>
      <c r="AA1204" s="16"/>
    </row>
    <row r="1205" spans="1:27" ht="24" customHeight="1">
      <c r="A1205" s="16"/>
      <c r="B1205" s="16"/>
      <c r="C1205" s="16"/>
      <c r="D1205" s="16"/>
      <c r="E1205" s="16"/>
      <c r="F1205" s="16"/>
      <c r="G1205" s="205"/>
      <c r="H1205" s="205"/>
      <c r="I1205" s="16"/>
      <c r="J1205" s="16"/>
      <c r="K1205" s="205"/>
      <c r="L1205" s="16"/>
      <c r="M1205" s="16"/>
      <c r="N1205" s="16"/>
      <c r="O1205" s="16"/>
      <c r="P1205" s="16"/>
      <c r="Q1205" s="16"/>
      <c r="R1205" s="16"/>
      <c r="S1205" s="16"/>
      <c r="T1205" s="16"/>
      <c r="U1205" s="16"/>
      <c r="V1205" s="16"/>
      <c r="W1205" s="16"/>
      <c r="X1205" s="16"/>
      <c r="Y1205" s="16"/>
      <c r="Z1205" s="16"/>
      <c r="AA1205" s="16"/>
    </row>
    <row r="1206" spans="1:27" ht="24" customHeight="1">
      <c r="A1206" s="16"/>
      <c r="B1206" s="16"/>
      <c r="C1206" s="16"/>
      <c r="D1206" s="16"/>
      <c r="E1206" s="16"/>
      <c r="F1206" s="16"/>
      <c r="G1206" s="205"/>
      <c r="H1206" s="205"/>
      <c r="I1206" s="16"/>
      <c r="J1206" s="16"/>
      <c r="K1206" s="205"/>
      <c r="L1206" s="16"/>
      <c r="M1206" s="16"/>
      <c r="N1206" s="16"/>
      <c r="O1206" s="16"/>
      <c r="P1206" s="16"/>
      <c r="Q1206" s="16"/>
      <c r="R1206" s="16"/>
      <c r="S1206" s="16"/>
      <c r="T1206" s="16"/>
      <c r="U1206" s="16"/>
      <c r="V1206" s="16"/>
      <c r="W1206" s="16"/>
      <c r="X1206" s="16"/>
      <c r="Y1206" s="16"/>
      <c r="Z1206" s="16"/>
      <c r="AA1206" s="16"/>
    </row>
    <row r="1207" spans="1:27" ht="24" customHeight="1">
      <c r="A1207" s="16"/>
      <c r="B1207" s="16"/>
      <c r="C1207" s="16"/>
      <c r="D1207" s="16"/>
      <c r="E1207" s="16"/>
      <c r="F1207" s="16"/>
      <c r="G1207" s="205"/>
      <c r="H1207" s="205"/>
      <c r="I1207" s="16"/>
      <c r="J1207" s="16"/>
      <c r="K1207" s="205"/>
      <c r="L1207" s="16"/>
      <c r="M1207" s="16"/>
      <c r="N1207" s="16"/>
      <c r="O1207" s="16"/>
      <c r="P1207" s="16"/>
      <c r="Q1207" s="16"/>
      <c r="R1207" s="16"/>
      <c r="S1207" s="16"/>
      <c r="T1207" s="16"/>
      <c r="U1207" s="16"/>
      <c r="V1207" s="16"/>
      <c r="W1207" s="16"/>
      <c r="X1207" s="16"/>
      <c r="Y1207" s="16"/>
      <c r="Z1207" s="16"/>
      <c r="AA1207" s="16"/>
    </row>
    <row r="1208" spans="1:27" ht="24" customHeight="1">
      <c r="A1208" s="16"/>
      <c r="B1208" s="16"/>
      <c r="C1208" s="16"/>
      <c r="D1208" s="16"/>
      <c r="E1208" s="16"/>
      <c r="F1208" s="16"/>
      <c r="G1208" s="205"/>
      <c r="H1208" s="205"/>
      <c r="I1208" s="16"/>
      <c r="J1208" s="16"/>
      <c r="K1208" s="205"/>
      <c r="L1208" s="16"/>
      <c r="M1208" s="16"/>
      <c r="N1208" s="16"/>
      <c r="O1208" s="16"/>
      <c r="P1208" s="16"/>
      <c r="Q1208" s="16"/>
      <c r="R1208" s="16"/>
      <c r="S1208" s="16"/>
      <c r="T1208" s="16"/>
      <c r="U1208" s="16"/>
      <c r="V1208" s="16"/>
      <c r="W1208" s="16"/>
      <c r="X1208" s="16"/>
      <c r="Y1208" s="16"/>
      <c r="Z1208" s="16"/>
      <c r="AA1208" s="16"/>
    </row>
    <row r="1209" spans="1:27" ht="24" customHeight="1">
      <c r="A1209" s="16"/>
      <c r="B1209" s="16"/>
      <c r="C1209" s="16"/>
      <c r="D1209" s="16"/>
      <c r="E1209" s="16"/>
      <c r="F1209" s="16"/>
      <c r="G1209" s="205"/>
      <c r="H1209" s="205"/>
      <c r="I1209" s="16"/>
      <c r="J1209" s="16"/>
      <c r="K1209" s="205"/>
      <c r="L1209" s="16"/>
      <c r="M1209" s="16"/>
      <c r="N1209" s="16"/>
      <c r="O1209" s="16"/>
      <c r="P1209" s="16"/>
      <c r="Q1209" s="16"/>
      <c r="R1209" s="16"/>
      <c r="S1209" s="16"/>
      <c r="T1209" s="16"/>
      <c r="U1209" s="16"/>
      <c r="V1209" s="16"/>
      <c r="W1209" s="16"/>
      <c r="X1209" s="16"/>
      <c r="Y1209" s="16"/>
      <c r="Z1209" s="16"/>
      <c r="AA1209" s="16"/>
    </row>
    <row r="1210" spans="1:27" ht="24" customHeight="1">
      <c r="A1210" s="16"/>
      <c r="B1210" s="16"/>
      <c r="C1210" s="16"/>
      <c r="D1210" s="16"/>
      <c r="E1210" s="16"/>
      <c r="F1210" s="16"/>
      <c r="G1210" s="205"/>
      <c r="H1210" s="205"/>
      <c r="I1210" s="16"/>
      <c r="J1210" s="16"/>
      <c r="K1210" s="205"/>
      <c r="L1210" s="16"/>
      <c r="M1210" s="16"/>
      <c r="N1210" s="16"/>
      <c r="O1210" s="16"/>
      <c r="P1210" s="16"/>
      <c r="Q1210" s="16"/>
      <c r="R1210" s="16"/>
      <c r="S1210" s="16"/>
      <c r="T1210" s="16"/>
      <c r="U1210" s="16"/>
      <c r="V1210" s="16"/>
      <c r="W1210" s="16"/>
      <c r="X1210" s="16"/>
      <c r="Y1210" s="16"/>
      <c r="Z1210" s="16"/>
      <c r="AA1210" s="16"/>
    </row>
    <row r="1211" spans="1:27" ht="24" customHeight="1">
      <c r="A1211" s="16"/>
      <c r="B1211" s="16"/>
      <c r="C1211" s="16"/>
      <c r="D1211" s="16"/>
      <c r="E1211" s="16"/>
      <c r="F1211" s="16"/>
      <c r="G1211" s="205"/>
      <c r="H1211" s="205"/>
      <c r="I1211" s="16"/>
      <c r="J1211" s="16"/>
      <c r="K1211" s="205"/>
      <c r="L1211" s="16"/>
      <c r="M1211" s="16"/>
      <c r="N1211" s="16"/>
      <c r="O1211" s="16"/>
      <c r="P1211" s="16"/>
      <c r="Q1211" s="16"/>
      <c r="R1211" s="16"/>
      <c r="S1211" s="16"/>
      <c r="T1211" s="16"/>
      <c r="U1211" s="16"/>
      <c r="V1211" s="16"/>
      <c r="W1211" s="16"/>
      <c r="X1211" s="16"/>
      <c r="Y1211" s="16"/>
      <c r="Z1211" s="16"/>
      <c r="AA1211" s="16"/>
    </row>
    <row r="1212" spans="1:27" ht="24" customHeight="1">
      <c r="A1212" s="16"/>
      <c r="B1212" s="16"/>
      <c r="C1212" s="16"/>
      <c r="D1212" s="16"/>
      <c r="E1212" s="16"/>
      <c r="F1212" s="16"/>
      <c r="G1212" s="205"/>
      <c r="H1212" s="205"/>
      <c r="I1212" s="16"/>
      <c r="J1212" s="16"/>
      <c r="K1212" s="205"/>
      <c r="L1212" s="16"/>
      <c r="M1212" s="16"/>
      <c r="N1212" s="16"/>
      <c r="O1212" s="16"/>
      <c r="P1212" s="16"/>
      <c r="Q1212" s="16"/>
      <c r="R1212" s="16"/>
      <c r="S1212" s="16"/>
      <c r="T1212" s="16"/>
      <c r="U1212" s="16"/>
      <c r="V1212" s="16"/>
      <c r="W1212" s="16"/>
      <c r="X1212" s="16"/>
      <c r="Y1212" s="16"/>
      <c r="Z1212" s="16"/>
      <c r="AA1212" s="16"/>
    </row>
    <row r="1213" spans="1:27" ht="24" customHeight="1">
      <c r="A1213" s="16"/>
      <c r="B1213" s="16"/>
      <c r="C1213" s="16"/>
      <c r="D1213" s="16"/>
      <c r="E1213" s="16"/>
      <c r="F1213" s="16"/>
      <c r="G1213" s="205"/>
      <c r="H1213" s="205"/>
      <c r="I1213" s="16"/>
      <c r="J1213" s="16"/>
      <c r="K1213" s="205"/>
      <c r="L1213" s="16"/>
      <c r="M1213" s="16"/>
      <c r="N1213" s="16"/>
      <c r="O1213" s="16"/>
      <c r="P1213" s="16"/>
      <c r="Q1213" s="16"/>
      <c r="R1213" s="16"/>
      <c r="S1213" s="16"/>
      <c r="T1213" s="16"/>
      <c r="U1213" s="16"/>
      <c r="V1213" s="16"/>
      <c r="W1213" s="16"/>
      <c r="X1213" s="16"/>
      <c r="Y1213" s="16"/>
      <c r="Z1213" s="16"/>
      <c r="AA1213" s="16"/>
    </row>
    <row r="1214" spans="1:27" ht="24" customHeight="1">
      <c r="A1214" s="16"/>
      <c r="B1214" s="16"/>
      <c r="C1214" s="16"/>
      <c r="D1214" s="16"/>
      <c r="E1214" s="16"/>
      <c r="F1214" s="16"/>
      <c r="G1214" s="205"/>
      <c r="H1214" s="205"/>
      <c r="I1214" s="16"/>
      <c r="J1214" s="16"/>
      <c r="K1214" s="205"/>
      <c r="L1214" s="16"/>
      <c r="M1214" s="16"/>
      <c r="N1214" s="16"/>
      <c r="O1214" s="16"/>
      <c r="P1214" s="16"/>
      <c r="Q1214" s="16"/>
      <c r="R1214" s="16"/>
      <c r="S1214" s="16"/>
      <c r="T1214" s="16"/>
      <c r="U1214" s="16"/>
      <c r="V1214" s="16"/>
      <c r="W1214" s="16"/>
      <c r="X1214" s="16"/>
      <c r="Y1214" s="16"/>
      <c r="Z1214" s="16"/>
      <c r="AA1214" s="16"/>
    </row>
    <row r="1215" spans="1:27" ht="24" customHeight="1">
      <c r="A1215" s="16"/>
      <c r="B1215" s="16"/>
      <c r="C1215" s="16"/>
      <c r="D1215" s="16"/>
      <c r="E1215" s="16"/>
      <c r="F1215" s="16"/>
      <c r="G1215" s="205"/>
      <c r="H1215" s="205"/>
      <c r="I1215" s="16"/>
      <c r="J1215" s="16"/>
      <c r="K1215" s="205"/>
      <c r="L1215" s="16"/>
      <c r="M1215" s="16"/>
      <c r="N1215" s="16"/>
      <c r="O1215" s="16"/>
      <c r="P1215" s="16"/>
      <c r="Q1215" s="16"/>
      <c r="R1215" s="16"/>
      <c r="S1215" s="16"/>
      <c r="T1215" s="16"/>
      <c r="U1215" s="16"/>
      <c r="V1215" s="16"/>
      <c r="W1215" s="16"/>
      <c r="X1215" s="16"/>
      <c r="Y1215" s="16"/>
      <c r="Z1215" s="16"/>
      <c r="AA1215" s="16"/>
    </row>
    <row r="1216" spans="1:27" ht="24" customHeight="1">
      <c r="A1216" s="16"/>
      <c r="B1216" s="16"/>
      <c r="C1216" s="16"/>
      <c r="D1216" s="16"/>
      <c r="E1216" s="16"/>
      <c r="F1216" s="16"/>
      <c r="G1216" s="205"/>
      <c r="H1216" s="205"/>
      <c r="I1216" s="16"/>
      <c r="J1216" s="16"/>
      <c r="K1216" s="205"/>
      <c r="L1216" s="16"/>
      <c r="M1216" s="16"/>
      <c r="N1216" s="16"/>
      <c r="O1216" s="16"/>
      <c r="P1216" s="16"/>
      <c r="Q1216" s="16"/>
      <c r="R1216" s="16"/>
      <c r="S1216" s="16"/>
      <c r="T1216" s="16"/>
      <c r="U1216" s="16"/>
      <c r="V1216" s="16"/>
      <c r="W1216" s="16"/>
      <c r="X1216" s="16"/>
      <c r="Y1216" s="16"/>
      <c r="Z1216" s="16"/>
      <c r="AA1216" s="16"/>
    </row>
    <row r="1217" spans="1:27" ht="24" customHeight="1">
      <c r="A1217" s="16"/>
      <c r="B1217" s="16"/>
      <c r="C1217" s="16"/>
      <c r="D1217" s="16"/>
      <c r="E1217" s="16"/>
      <c r="F1217" s="16"/>
      <c r="G1217" s="205"/>
      <c r="H1217" s="205"/>
      <c r="I1217" s="16"/>
      <c r="J1217" s="16"/>
      <c r="K1217" s="205"/>
      <c r="L1217" s="16"/>
      <c r="M1217" s="16"/>
      <c r="N1217" s="16"/>
      <c r="O1217" s="16"/>
      <c r="P1217" s="16"/>
      <c r="Q1217" s="16"/>
      <c r="R1217" s="16"/>
      <c r="S1217" s="16"/>
      <c r="T1217" s="16"/>
      <c r="U1217" s="16"/>
      <c r="V1217" s="16"/>
      <c r="W1217" s="16"/>
      <c r="X1217" s="16"/>
      <c r="Y1217" s="16"/>
      <c r="Z1217" s="16"/>
      <c r="AA1217" s="16"/>
    </row>
    <row r="1218" spans="1:27" ht="24" customHeight="1">
      <c r="A1218" s="16"/>
      <c r="B1218" s="16"/>
      <c r="C1218" s="16"/>
      <c r="D1218" s="16"/>
      <c r="E1218" s="16"/>
      <c r="F1218" s="16"/>
      <c r="G1218" s="205"/>
      <c r="H1218" s="205"/>
      <c r="I1218" s="16"/>
      <c r="J1218" s="16"/>
      <c r="K1218" s="205"/>
      <c r="L1218" s="16"/>
      <c r="M1218" s="16"/>
      <c r="N1218" s="16"/>
      <c r="O1218" s="16"/>
      <c r="P1218" s="16"/>
      <c r="Q1218" s="16"/>
      <c r="R1218" s="16"/>
      <c r="S1218" s="16"/>
      <c r="T1218" s="16"/>
      <c r="U1218" s="16"/>
      <c r="V1218" s="16"/>
      <c r="W1218" s="16"/>
      <c r="X1218" s="16"/>
      <c r="Y1218" s="16"/>
      <c r="Z1218" s="16"/>
      <c r="AA1218" s="16"/>
    </row>
    <row r="1219" spans="1:27" ht="24" customHeight="1">
      <c r="A1219" s="16"/>
      <c r="B1219" s="16"/>
      <c r="C1219" s="16"/>
      <c r="D1219" s="16"/>
      <c r="E1219" s="16"/>
      <c r="F1219" s="16"/>
      <c r="G1219" s="205"/>
      <c r="H1219" s="205"/>
      <c r="I1219" s="16"/>
      <c r="J1219" s="16"/>
      <c r="K1219" s="205"/>
      <c r="L1219" s="16"/>
      <c r="M1219" s="16"/>
      <c r="N1219" s="16"/>
      <c r="O1219" s="16"/>
      <c r="P1219" s="16"/>
      <c r="Q1219" s="16"/>
      <c r="R1219" s="16"/>
      <c r="S1219" s="16"/>
      <c r="T1219" s="16"/>
      <c r="U1219" s="16"/>
      <c r="V1219" s="16"/>
      <c r="W1219" s="16"/>
      <c r="X1219" s="16"/>
      <c r="Y1219" s="16"/>
      <c r="Z1219" s="16"/>
      <c r="AA1219" s="16"/>
    </row>
    <row r="1220" spans="1:27" ht="24" customHeight="1">
      <c r="A1220" s="16"/>
      <c r="B1220" s="16"/>
      <c r="C1220" s="16"/>
      <c r="D1220" s="16"/>
      <c r="E1220" s="16"/>
      <c r="F1220" s="16"/>
      <c r="G1220" s="205"/>
      <c r="H1220" s="205"/>
      <c r="I1220" s="16"/>
      <c r="J1220" s="16"/>
      <c r="K1220" s="205"/>
      <c r="L1220" s="16"/>
      <c r="M1220" s="16"/>
      <c r="N1220" s="16"/>
      <c r="O1220" s="16"/>
      <c r="P1220" s="16"/>
      <c r="Q1220" s="16"/>
      <c r="R1220" s="16"/>
      <c r="S1220" s="16"/>
      <c r="T1220" s="16"/>
      <c r="U1220" s="16"/>
      <c r="V1220" s="16"/>
      <c r="W1220" s="16"/>
      <c r="X1220" s="16"/>
      <c r="Y1220" s="16"/>
      <c r="Z1220" s="16"/>
      <c r="AA1220" s="16"/>
    </row>
    <row r="1221" spans="1:27" ht="24" customHeight="1">
      <c r="A1221" s="16"/>
      <c r="B1221" s="16"/>
      <c r="C1221" s="16"/>
      <c r="D1221" s="16"/>
      <c r="E1221" s="16"/>
      <c r="F1221" s="16"/>
      <c r="G1221" s="205"/>
      <c r="H1221" s="205"/>
      <c r="I1221" s="16"/>
      <c r="J1221" s="16"/>
      <c r="K1221" s="205"/>
      <c r="L1221" s="16"/>
      <c r="M1221" s="16"/>
      <c r="N1221" s="16"/>
      <c r="O1221" s="16"/>
      <c r="P1221" s="16"/>
      <c r="Q1221" s="16"/>
      <c r="R1221" s="16"/>
      <c r="S1221" s="16"/>
      <c r="T1221" s="16"/>
      <c r="U1221" s="16"/>
      <c r="V1221" s="16"/>
      <c r="W1221" s="16"/>
      <c r="X1221" s="16"/>
      <c r="Y1221" s="16"/>
      <c r="Z1221" s="16"/>
      <c r="AA1221" s="16"/>
    </row>
    <row r="1222" spans="1:27" ht="24" customHeight="1">
      <c r="A1222" s="16"/>
      <c r="B1222" s="16"/>
      <c r="C1222" s="16"/>
      <c r="D1222" s="16"/>
      <c r="E1222" s="16"/>
      <c r="F1222" s="16"/>
      <c r="G1222" s="205"/>
      <c r="H1222" s="205"/>
      <c r="I1222" s="16"/>
      <c r="J1222" s="16"/>
      <c r="K1222" s="205"/>
      <c r="L1222" s="16"/>
      <c r="M1222" s="16"/>
      <c r="N1222" s="16"/>
      <c r="O1222" s="16"/>
      <c r="P1222" s="16"/>
      <c r="Q1222" s="16"/>
      <c r="R1222" s="16"/>
      <c r="S1222" s="16"/>
      <c r="T1222" s="16"/>
      <c r="U1222" s="16"/>
      <c r="V1222" s="16"/>
      <c r="W1222" s="16"/>
      <c r="X1222" s="16"/>
      <c r="Y1222" s="16"/>
      <c r="Z1222" s="16"/>
      <c r="AA1222" s="16"/>
    </row>
    <row r="1223" spans="1:27" ht="24" customHeight="1">
      <c r="A1223" s="16"/>
      <c r="B1223" s="16"/>
      <c r="C1223" s="16"/>
      <c r="D1223" s="16"/>
      <c r="E1223" s="16"/>
      <c r="F1223" s="16"/>
      <c r="G1223" s="205"/>
      <c r="H1223" s="205"/>
      <c r="I1223" s="16"/>
      <c r="J1223" s="16"/>
      <c r="K1223" s="205"/>
      <c r="L1223" s="16"/>
      <c r="M1223" s="16"/>
      <c r="N1223" s="16"/>
      <c r="O1223" s="16"/>
      <c r="P1223" s="16"/>
      <c r="Q1223" s="16"/>
      <c r="R1223" s="16"/>
      <c r="S1223" s="16"/>
      <c r="T1223" s="16"/>
      <c r="U1223" s="16"/>
      <c r="V1223" s="16"/>
      <c r="W1223" s="16"/>
      <c r="X1223" s="16"/>
      <c r="Y1223" s="16"/>
      <c r="Z1223" s="16"/>
      <c r="AA1223" s="16"/>
    </row>
    <row r="1224" spans="1:27" ht="24" customHeight="1">
      <c r="A1224" s="16"/>
      <c r="B1224" s="16"/>
      <c r="C1224" s="16"/>
      <c r="D1224" s="16"/>
      <c r="E1224" s="16"/>
      <c r="F1224" s="16"/>
      <c r="G1224" s="205"/>
      <c r="H1224" s="205"/>
      <c r="I1224" s="16"/>
      <c r="J1224" s="16"/>
      <c r="K1224" s="205"/>
      <c r="L1224" s="16"/>
      <c r="M1224" s="16"/>
      <c r="N1224" s="16"/>
      <c r="O1224" s="16"/>
      <c r="P1224" s="16"/>
      <c r="Q1224" s="16"/>
      <c r="R1224" s="16"/>
      <c r="S1224" s="16"/>
      <c r="T1224" s="16"/>
      <c r="U1224" s="16"/>
      <c r="V1224" s="16"/>
      <c r="W1224" s="16"/>
      <c r="X1224" s="16"/>
      <c r="Y1224" s="16"/>
      <c r="Z1224" s="16"/>
      <c r="AA1224" s="16"/>
    </row>
    <row r="1225" spans="1:27" ht="24" customHeight="1">
      <c r="A1225" s="16"/>
      <c r="B1225" s="16"/>
      <c r="C1225" s="16"/>
      <c r="D1225" s="16"/>
      <c r="E1225" s="16"/>
      <c r="F1225" s="16"/>
      <c r="G1225" s="205"/>
      <c r="H1225" s="205"/>
      <c r="I1225" s="16"/>
      <c r="J1225" s="16"/>
      <c r="K1225" s="205"/>
      <c r="L1225" s="16"/>
      <c r="M1225" s="16"/>
      <c r="N1225" s="16"/>
      <c r="O1225" s="16"/>
      <c r="P1225" s="16"/>
      <c r="Q1225" s="16"/>
      <c r="R1225" s="16"/>
      <c r="S1225" s="16"/>
      <c r="T1225" s="16"/>
      <c r="U1225" s="16"/>
      <c r="V1225" s="16"/>
      <c r="W1225" s="16"/>
      <c r="X1225" s="16"/>
      <c r="Y1225" s="16"/>
      <c r="Z1225" s="16"/>
      <c r="AA1225" s="16"/>
    </row>
    <row r="1226" spans="1:27" ht="24" customHeight="1">
      <c r="A1226" s="16"/>
      <c r="B1226" s="16"/>
      <c r="C1226" s="16"/>
      <c r="D1226" s="16"/>
      <c r="E1226" s="16"/>
      <c r="F1226" s="16"/>
      <c r="G1226" s="205"/>
      <c r="H1226" s="205"/>
      <c r="I1226" s="16"/>
      <c r="J1226" s="16"/>
      <c r="K1226" s="205"/>
      <c r="L1226" s="16"/>
      <c r="M1226" s="16"/>
      <c r="N1226" s="16"/>
      <c r="O1226" s="16"/>
      <c r="P1226" s="16"/>
      <c r="Q1226" s="16"/>
      <c r="R1226" s="16"/>
      <c r="S1226" s="16"/>
      <c r="T1226" s="16"/>
      <c r="U1226" s="16"/>
      <c r="V1226" s="16"/>
      <c r="W1226" s="16"/>
      <c r="X1226" s="16"/>
      <c r="Y1226" s="16"/>
      <c r="Z1226" s="16"/>
      <c r="AA1226" s="16"/>
    </row>
    <row r="1227" spans="1:27" ht="24" customHeight="1">
      <c r="A1227" s="16"/>
      <c r="B1227" s="16"/>
      <c r="C1227" s="16"/>
      <c r="D1227" s="16"/>
      <c r="E1227" s="16"/>
      <c r="F1227" s="16"/>
      <c r="G1227" s="205"/>
      <c r="H1227" s="205"/>
      <c r="I1227" s="16"/>
      <c r="J1227" s="16"/>
      <c r="K1227" s="205"/>
      <c r="L1227" s="16"/>
      <c r="M1227" s="16"/>
      <c r="N1227" s="16"/>
      <c r="O1227" s="16"/>
      <c r="P1227" s="16"/>
      <c r="Q1227" s="16"/>
      <c r="R1227" s="16"/>
      <c r="S1227" s="16"/>
      <c r="T1227" s="16"/>
      <c r="U1227" s="16"/>
      <c r="V1227" s="16"/>
      <c r="W1227" s="16"/>
      <c r="X1227" s="16"/>
      <c r="Y1227" s="16"/>
      <c r="Z1227" s="16"/>
      <c r="AA1227" s="16"/>
    </row>
    <row r="1228" spans="1:27" ht="24" customHeight="1">
      <c r="A1228" s="16"/>
      <c r="B1228" s="16"/>
      <c r="C1228" s="16"/>
      <c r="D1228" s="16"/>
      <c r="E1228" s="16"/>
      <c r="F1228" s="16"/>
      <c r="G1228" s="205"/>
      <c r="H1228" s="205"/>
      <c r="I1228" s="16"/>
      <c r="J1228" s="16"/>
      <c r="K1228" s="205"/>
      <c r="L1228" s="16"/>
      <c r="M1228" s="16"/>
      <c r="N1228" s="16"/>
      <c r="O1228" s="16"/>
      <c r="P1228" s="16"/>
      <c r="Q1228" s="16"/>
      <c r="R1228" s="16"/>
      <c r="S1228" s="16"/>
      <c r="T1228" s="16"/>
      <c r="U1228" s="16"/>
      <c r="V1228" s="16"/>
      <c r="W1228" s="16"/>
      <c r="X1228" s="16"/>
      <c r="Y1228" s="16"/>
      <c r="Z1228" s="16"/>
      <c r="AA1228" s="16"/>
    </row>
    <row r="1229" spans="1:27" ht="24" customHeight="1">
      <c r="A1229" s="16"/>
      <c r="B1229" s="16"/>
      <c r="C1229" s="16"/>
      <c r="D1229" s="16"/>
      <c r="E1229" s="16"/>
      <c r="F1229" s="16"/>
      <c r="G1229" s="205"/>
      <c r="H1229" s="205"/>
      <c r="I1229" s="16"/>
      <c r="J1229" s="16"/>
      <c r="K1229" s="205"/>
      <c r="L1229" s="16"/>
      <c r="M1229" s="16"/>
      <c r="N1229" s="16"/>
      <c r="O1229" s="16"/>
      <c r="P1229" s="16"/>
      <c r="Q1229" s="16"/>
      <c r="R1229" s="16"/>
      <c r="S1229" s="16"/>
      <c r="T1229" s="16"/>
      <c r="U1229" s="16"/>
      <c r="V1229" s="16"/>
      <c r="W1229" s="16"/>
      <c r="X1229" s="16"/>
      <c r="Y1229" s="16"/>
      <c r="Z1229" s="16"/>
      <c r="AA1229" s="16"/>
    </row>
    <row r="1230" spans="1:27" ht="24" customHeight="1">
      <c r="A1230" s="16"/>
      <c r="B1230" s="16"/>
      <c r="C1230" s="16"/>
      <c r="D1230" s="16"/>
      <c r="E1230" s="16"/>
      <c r="F1230" s="16"/>
      <c r="G1230" s="205"/>
      <c r="H1230" s="205"/>
      <c r="I1230" s="16"/>
      <c r="J1230" s="16"/>
      <c r="K1230" s="205"/>
      <c r="L1230" s="16"/>
      <c r="M1230" s="16"/>
      <c r="N1230" s="16"/>
      <c r="O1230" s="16"/>
      <c r="P1230" s="16"/>
      <c r="Q1230" s="16"/>
      <c r="R1230" s="16"/>
      <c r="S1230" s="16"/>
      <c r="T1230" s="16"/>
      <c r="U1230" s="16"/>
      <c r="V1230" s="16"/>
      <c r="W1230" s="16"/>
      <c r="X1230" s="16"/>
      <c r="Y1230" s="16"/>
      <c r="Z1230" s="16"/>
      <c r="AA1230" s="16"/>
    </row>
    <row r="1231" spans="1:27" ht="24" customHeight="1">
      <c r="A1231" s="16"/>
      <c r="B1231" s="16"/>
      <c r="C1231" s="16"/>
      <c r="D1231" s="16"/>
      <c r="E1231" s="16"/>
      <c r="F1231" s="16"/>
      <c r="G1231" s="205"/>
      <c r="H1231" s="205"/>
      <c r="I1231" s="16"/>
      <c r="J1231" s="16"/>
      <c r="K1231" s="205"/>
      <c r="L1231" s="16"/>
      <c r="M1231" s="16"/>
      <c r="N1231" s="16"/>
      <c r="O1231" s="16"/>
      <c r="P1231" s="16"/>
      <c r="Q1231" s="16"/>
      <c r="R1231" s="16"/>
      <c r="S1231" s="16"/>
      <c r="T1231" s="16"/>
      <c r="U1231" s="16"/>
      <c r="V1231" s="16"/>
      <c r="W1231" s="16"/>
      <c r="X1231" s="16"/>
      <c r="Y1231" s="16"/>
      <c r="Z1231" s="16"/>
      <c r="AA1231" s="16"/>
    </row>
    <row r="1232" spans="1:27" ht="24" customHeight="1">
      <c r="A1232" s="16"/>
      <c r="B1232" s="16"/>
      <c r="C1232" s="16"/>
      <c r="D1232" s="16"/>
      <c r="E1232" s="16"/>
      <c r="F1232" s="16"/>
      <c r="G1232" s="205"/>
      <c r="H1232" s="205"/>
      <c r="I1232" s="16"/>
      <c r="J1232" s="16"/>
      <c r="K1232" s="205"/>
      <c r="L1232" s="16"/>
      <c r="M1232" s="16"/>
      <c r="N1232" s="16"/>
      <c r="O1232" s="16"/>
      <c r="P1232" s="16"/>
      <c r="Q1232" s="16"/>
      <c r="R1232" s="16"/>
      <c r="S1232" s="16"/>
      <c r="T1232" s="16"/>
      <c r="U1232" s="16"/>
      <c r="V1232" s="16"/>
      <c r="W1232" s="16"/>
      <c r="X1232" s="16"/>
      <c r="Y1232" s="16"/>
      <c r="Z1232" s="16"/>
      <c r="AA1232" s="16"/>
    </row>
    <row r="1233" spans="1:27" ht="24" customHeight="1">
      <c r="A1233" s="16"/>
      <c r="B1233" s="16"/>
      <c r="C1233" s="16"/>
      <c r="D1233" s="16"/>
      <c r="E1233" s="16"/>
      <c r="F1233" s="16"/>
      <c r="G1233" s="205"/>
      <c r="H1233" s="205"/>
      <c r="I1233" s="16"/>
      <c r="J1233" s="16"/>
      <c r="K1233" s="205"/>
      <c r="L1233" s="16"/>
      <c r="M1233" s="16"/>
      <c r="N1233" s="16"/>
      <c r="O1233" s="16"/>
      <c r="P1233" s="16"/>
      <c r="Q1233" s="16"/>
      <c r="R1233" s="16"/>
      <c r="S1233" s="16"/>
      <c r="T1233" s="16"/>
      <c r="U1233" s="16"/>
      <c r="V1233" s="16"/>
      <c r="W1233" s="16"/>
      <c r="X1233" s="16"/>
      <c r="Y1233" s="16"/>
      <c r="Z1233" s="16"/>
      <c r="AA1233" s="16"/>
    </row>
    <row r="1234" spans="1:27" ht="24" customHeight="1">
      <c r="A1234" s="16"/>
      <c r="B1234" s="16"/>
      <c r="C1234" s="16"/>
      <c r="D1234" s="16"/>
      <c r="E1234" s="16"/>
      <c r="F1234" s="16"/>
      <c r="G1234" s="205"/>
      <c r="H1234" s="205"/>
      <c r="I1234" s="16"/>
      <c r="J1234" s="16"/>
      <c r="K1234" s="205"/>
      <c r="L1234" s="16"/>
      <c r="M1234" s="16"/>
      <c r="N1234" s="16"/>
      <c r="O1234" s="16"/>
      <c r="P1234" s="16"/>
      <c r="Q1234" s="16"/>
      <c r="R1234" s="16"/>
      <c r="S1234" s="16"/>
      <c r="T1234" s="16"/>
      <c r="U1234" s="16"/>
      <c r="V1234" s="16"/>
      <c r="W1234" s="16"/>
      <c r="X1234" s="16"/>
      <c r="Y1234" s="16"/>
      <c r="Z1234" s="16"/>
      <c r="AA1234" s="16"/>
    </row>
    <row r="1235" spans="1:27" ht="24" customHeight="1">
      <c r="A1235" s="16"/>
      <c r="B1235" s="16"/>
      <c r="C1235" s="16"/>
      <c r="D1235" s="16"/>
      <c r="E1235" s="16"/>
      <c r="F1235" s="16"/>
      <c r="G1235" s="205"/>
      <c r="H1235" s="205"/>
      <c r="I1235" s="16"/>
      <c r="J1235" s="16"/>
      <c r="K1235" s="205"/>
      <c r="L1235" s="16"/>
      <c r="M1235" s="16"/>
      <c r="N1235" s="16"/>
      <c r="O1235" s="16"/>
      <c r="P1235" s="16"/>
      <c r="Q1235" s="16"/>
      <c r="R1235" s="16"/>
      <c r="S1235" s="16"/>
      <c r="T1235" s="16"/>
      <c r="U1235" s="16"/>
      <c r="V1235" s="16"/>
      <c r="W1235" s="16"/>
      <c r="X1235" s="16"/>
      <c r="Y1235" s="16"/>
      <c r="Z1235" s="16"/>
      <c r="AA1235" s="16"/>
    </row>
    <row r="1236" spans="1:27" ht="24" customHeight="1">
      <c r="A1236" s="16"/>
      <c r="B1236" s="16"/>
      <c r="C1236" s="16"/>
      <c r="D1236" s="16"/>
      <c r="E1236" s="16"/>
      <c r="F1236" s="16"/>
      <c r="G1236" s="205"/>
      <c r="H1236" s="205"/>
      <c r="I1236" s="16"/>
      <c r="J1236" s="16"/>
      <c r="K1236" s="205"/>
      <c r="L1236" s="16"/>
      <c r="M1236" s="16"/>
      <c r="N1236" s="16"/>
      <c r="O1236" s="16"/>
      <c r="P1236" s="16"/>
      <c r="Q1236" s="16"/>
      <c r="R1236" s="16"/>
      <c r="S1236" s="16"/>
      <c r="T1236" s="16"/>
      <c r="U1236" s="16"/>
      <c r="V1236" s="16"/>
      <c r="W1236" s="16"/>
      <c r="X1236" s="16"/>
      <c r="Y1236" s="16"/>
      <c r="Z1236" s="16"/>
      <c r="AA1236" s="16"/>
    </row>
    <row r="1237" spans="1:27" ht="24" customHeight="1">
      <c r="A1237" s="16"/>
      <c r="B1237" s="16"/>
      <c r="C1237" s="16"/>
      <c r="D1237" s="16"/>
      <c r="E1237" s="16"/>
      <c r="F1237" s="16"/>
      <c r="G1237" s="205"/>
      <c r="H1237" s="205"/>
      <c r="I1237" s="16"/>
      <c r="J1237" s="16"/>
      <c r="K1237" s="205"/>
      <c r="L1237" s="16"/>
      <c r="M1237" s="16"/>
      <c r="N1237" s="16"/>
      <c r="O1237" s="16"/>
      <c r="P1237" s="16"/>
      <c r="Q1237" s="16"/>
      <c r="R1237" s="16"/>
      <c r="S1237" s="16"/>
      <c r="T1237" s="16"/>
      <c r="U1237" s="16"/>
      <c r="V1237" s="16"/>
      <c r="W1237" s="16"/>
      <c r="X1237" s="16"/>
      <c r="Y1237" s="16"/>
      <c r="Z1237" s="16"/>
      <c r="AA1237" s="16"/>
    </row>
    <row r="1238" spans="1:27" ht="24" customHeight="1">
      <c r="A1238" s="16"/>
      <c r="B1238" s="16"/>
      <c r="C1238" s="16"/>
      <c r="D1238" s="16"/>
      <c r="E1238" s="16"/>
      <c r="F1238" s="16"/>
      <c r="G1238" s="205"/>
      <c r="H1238" s="205"/>
      <c r="I1238" s="16"/>
      <c r="J1238" s="16"/>
      <c r="K1238" s="205"/>
      <c r="L1238" s="16"/>
      <c r="M1238" s="16"/>
      <c r="N1238" s="16"/>
      <c r="O1238" s="16"/>
      <c r="P1238" s="16"/>
      <c r="Q1238" s="16"/>
      <c r="R1238" s="16"/>
      <c r="S1238" s="16"/>
      <c r="T1238" s="16"/>
      <c r="U1238" s="16"/>
      <c r="V1238" s="16"/>
      <c r="W1238" s="16"/>
      <c r="X1238" s="16"/>
      <c r="Y1238" s="16"/>
      <c r="Z1238" s="16"/>
      <c r="AA1238" s="16"/>
    </row>
    <row r="1239" spans="1:27" ht="24" customHeight="1">
      <c r="A1239" s="16"/>
      <c r="B1239" s="16"/>
      <c r="C1239" s="16"/>
      <c r="D1239" s="16"/>
      <c r="E1239" s="16"/>
      <c r="F1239" s="16"/>
      <c r="G1239" s="205"/>
      <c r="H1239" s="205"/>
      <c r="I1239" s="16"/>
      <c r="J1239" s="16"/>
      <c r="K1239" s="205"/>
      <c r="L1239" s="16"/>
      <c r="M1239" s="16"/>
      <c r="N1239" s="16"/>
      <c r="O1239" s="16"/>
      <c r="P1239" s="16"/>
      <c r="Q1239" s="16"/>
      <c r="R1239" s="16"/>
      <c r="S1239" s="16"/>
      <c r="T1239" s="16"/>
      <c r="U1239" s="16"/>
      <c r="V1239" s="16"/>
      <c r="W1239" s="16"/>
      <c r="X1239" s="16"/>
      <c r="Y1239" s="16"/>
      <c r="Z1239" s="16"/>
      <c r="AA1239" s="16"/>
    </row>
    <row r="1240" spans="1:27" ht="24" customHeight="1">
      <c r="A1240" s="16"/>
      <c r="B1240" s="16"/>
      <c r="C1240" s="16"/>
      <c r="D1240" s="16"/>
      <c r="E1240" s="16"/>
      <c r="F1240" s="16"/>
      <c r="G1240" s="205"/>
      <c r="H1240" s="205"/>
      <c r="I1240" s="16"/>
      <c r="J1240" s="16"/>
      <c r="K1240" s="205"/>
      <c r="L1240" s="16"/>
      <c r="M1240" s="16"/>
      <c r="N1240" s="16"/>
      <c r="O1240" s="16"/>
      <c r="P1240" s="16"/>
      <c r="Q1240" s="16"/>
      <c r="R1240" s="16"/>
      <c r="S1240" s="16"/>
      <c r="T1240" s="16"/>
      <c r="U1240" s="16"/>
      <c r="V1240" s="16"/>
      <c r="W1240" s="16"/>
      <c r="X1240" s="16"/>
      <c r="Y1240" s="16"/>
      <c r="Z1240" s="16"/>
      <c r="AA1240" s="16"/>
    </row>
    <row r="1241" spans="1:27" ht="24" customHeight="1">
      <c r="A1241" s="16"/>
      <c r="B1241" s="16"/>
      <c r="C1241" s="16"/>
      <c r="D1241" s="16"/>
      <c r="E1241" s="16"/>
      <c r="F1241" s="16"/>
      <c r="G1241" s="205"/>
      <c r="H1241" s="205"/>
      <c r="I1241" s="16"/>
      <c r="J1241" s="16"/>
      <c r="K1241" s="205"/>
      <c r="L1241" s="16"/>
      <c r="M1241" s="16"/>
      <c r="N1241" s="16"/>
      <c r="O1241" s="16"/>
      <c r="P1241" s="16"/>
      <c r="Q1241" s="16"/>
      <c r="R1241" s="16"/>
      <c r="S1241" s="16"/>
      <c r="T1241" s="16"/>
      <c r="U1241" s="16"/>
      <c r="V1241" s="16"/>
      <c r="W1241" s="16"/>
      <c r="X1241" s="16"/>
      <c r="Y1241" s="16"/>
      <c r="Z1241" s="16"/>
      <c r="AA1241" s="16"/>
    </row>
    <row r="1242" spans="1:27" ht="24" customHeight="1">
      <c r="A1242" s="16"/>
      <c r="B1242" s="16"/>
      <c r="C1242" s="16"/>
      <c r="D1242" s="16"/>
      <c r="E1242" s="16"/>
      <c r="F1242" s="16"/>
      <c r="G1242" s="205"/>
      <c r="H1242" s="205"/>
      <c r="I1242" s="16"/>
      <c r="J1242" s="16"/>
      <c r="K1242" s="205"/>
      <c r="L1242" s="16"/>
      <c r="M1242" s="16"/>
      <c r="N1242" s="16"/>
      <c r="O1242" s="16"/>
      <c r="P1242" s="16"/>
      <c r="Q1242" s="16"/>
      <c r="R1242" s="16"/>
      <c r="S1242" s="16"/>
      <c r="T1242" s="16"/>
      <c r="U1242" s="16"/>
      <c r="V1242" s="16"/>
      <c r="W1242" s="16"/>
      <c r="X1242" s="16"/>
      <c r="Y1242" s="16"/>
      <c r="Z1242" s="16"/>
      <c r="AA1242" s="16"/>
    </row>
    <row r="1243" spans="1:27" ht="24" customHeight="1">
      <c r="A1243" s="16"/>
      <c r="B1243" s="16"/>
      <c r="C1243" s="16"/>
      <c r="D1243" s="16"/>
      <c r="E1243" s="16"/>
      <c r="F1243" s="16"/>
      <c r="G1243" s="205"/>
      <c r="H1243" s="205"/>
      <c r="I1243" s="16"/>
      <c r="J1243" s="16"/>
      <c r="K1243" s="205"/>
      <c r="L1243" s="16"/>
      <c r="M1243" s="16"/>
      <c r="N1243" s="16"/>
      <c r="O1243" s="16"/>
      <c r="P1243" s="16"/>
      <c r="Q1243" s="16"/>
      <c r="R1243" s="16"/>
      <c r="S1243" s="16"/>
      <c r="T1243" s="16"/>
      <c r="U1243" s="16"/>
      <c r="V1243" s="16"/>
      <c r="W1243" s="16"/>
      <c r="X1243" s="16"/>
      <c r="Y1243" s="16"/>
      <c r="Z1243" s="16"/>
      <c r="AA1243" s="16"/>
    </row>
    <row r="1244" spans="1:27" ht="24" customHeight="1">
      <c r="A1244" s="16"/>
      <c r="B1244" s="16"/>
      <c r="C1244" s="16"/>
      <c r="D1244" s="16"/>
      <c r="E1244" s="16"/>
      <c r="F1244" s="16"/>
      <c r="G1244" s="205"/>
      <c r="H1244" s="205"/>
      <c r="I1244" s="16"/>
      <c r="J1244" s="16"/>
      <c r="K1244" s="205"/>
      <c r="L1244" s="16"/>
      <c r="M1244" s="16"/>
      <c r="N1244" s="16"/>
      <c r="O1244" s="16"/>
      <c r="P1244" s="16"/>
      <c r="Q1244" s="16"/>
      <c r="R1244" s="16"/>
      <c r="S1244" s="16"/>
      <c r="T1244" s="16"/>
      <c r="U1244" s="16"/>
      <c r="V1244" s="16"/>
      <c r="W1244" s="16"/>
      <c r="X1244" s="16"/>
      <c r="Y1244" s="16"/>
      <c r="Z1244" s="16"/>
      <c r="AA1244" s="16"/>
    </row>
    <row r="1245" spans="1:27" ht="24" customHeight="1">
      <c r="A1245" s="16"/>
      <c r="B1245" s="16"/>
      <c r="C1245" s="16"/>
      <c r="D1245" s="16"/>
      <c r="E1245" s="16"/>
      <c r="F1245" s="16"/>
      <c r="G1245" s="205"/>
      <c r="H1245" s="205"/>
      <c r="I1245" s="16"/>
      <c r="J1245" s="16"/>
      <c r="K1245" s="205"/>
      <c r="L1245" s="16"/>
      <c r="M1245" s="16"/>
      <c r="N1245" s="16"/>
      <c r="O1245" s="16"/>
      <c r="P1245" s="16"/>
      <c r="Q1245" s="16"/>
      <c r="R1245" s="16"/>
      <c r="S1245" s="16"/>
      <c r="T1245" s="16"/>
      <c r="U1245" s="16"/>
      <c r="V1245" s="16"/>
      <c r="W1245" s="16"/>
      <c r="X1245" s="16"/>
      <c r="Y1245" s="16"/>
      <c r="Z1245" s="16"/>
      <c r="AA1245" s="16"/>
    </row>
    <row r="1246" spans="1:27" ht="24" customHeight="1">
      <c r="A1246" s="16"/>
      <c r="B1246" s="16"/>
      <c r="C1246" s="16"/>
      <c r="D1246" s="16"/>
      <c r="E1246" s="16"/>
      <c r="F1246" s="16"/>
      <c r="G1246" s="205"/>
      <c r="H1246" s="205"/>
      <c r="I1246" s="16"/>
      <c r="J1246" s="16"/>
      <c r="K1246" s="205"/>
      <c r="L1246" s="16"/>
      <c r="M1246" s="16"/>
      <c r="N1246" s="16"/>
      <c r="O1246" s="16"/>
      <c r="P1246" s="16"/>
      <c r="Q1246" s="16"/>
      <c r="R1246" s="16"/>
      <c r="S1246" s="16"/>
      <c r="T1246" s="16"/>
      <c r="U1246" s="16"/>
      <c r="V1246" s="16"/>
      <c r="W1246" s="16"/>
      <c r="X1246" s="16"/>
      <c r="Y1246" s="16"/>
      <c r="Z1246" s="16"/>
      <c r="AA1246" s="16"/>
    </row>
    <row r="1247" spans="1:27" ht="24" customHeight="1">
      <c r="A1247" s="16"/>
      <c r="B1247" s="16"/>
      <c r="C1247" s="16"/>
      <c r="D1247" s="16"/>
      <c r="E1247" s="16"/>
      <c r="F1247" s="16"/>
      <c r="G1247" s="205"/>
      <c r="H1247" s="205"/>
      <c r="I1247" s="16"/>
      <c r="J1247" s="16"/>
      <c r="K1247" s="205"/>
      <c r="L1247" s="16"/>
      <c r="M1247" s="16"/>
      <c r="N1247" s="16"/>
      <c r="O1247" s="16"/>
      <c r="P1247" s="16"/>
      <c r="Q1247" s="16"/>
      <c r="R1247" s="16"/>
      <c r="S1247" s="16"/>
      <c r="T1247" s="16"/>
      <c r="U1247" s="16"/>
      <c r="V1247" s="16"/>
      <c r="W1247" s="16"/>
      <c r="X1247" s="16"/>
      <c r="Y1247" s="16"/>
      <c r="Z1247" s="16"/>
      <c r="AA1247" s="16"/>
    </row>
    <row r="1248" spans="1:27" ht="24" customHeight="1">
      <c r="A1248" s="16"/>
      <c r="B1248" s="16"/>
      <c r="C1248" s="16"/>
      <c r="D1248" s="16"/>
      <c r="E1248" s="16"/>
      <c r="F1248" s="16"/>
      <c r="G1248" s="205"/>
      <c r="H1248" s="205"/>
      <c r="I1248" s="16"/>
      <c r="J1248" s="16"/>
      <c r="K1248" s="205"/>
      <c r="L1248" s="16"/>
      <c r="M1248" s="16"/>
      <c r="N1248" s="16"/>
      <c r="O1248" s="16"/>
      <c r="P1248" s="16"/>
      <c r="Q1248" s="16"/>
      <c r="R1248" s="16"/>
      <c r="S1248" s="16"/>
      <c r="T1248" s="16"/>
      <c r="U1248" s="16"/>
      <c r="V1248" s="16"/>
      <c r="W1248" s="16"/>
      <c r="X1248" s="16"/>
      <c r="Y1248" s="16"/>
      <c r="Z1248" s="16"/>
      <c r="AA1248" s="16"/>
    </row>
    <row r="1249" spans="1:27" ht="24" customHeight="1">
      <c r="A1249" s="16"/>
      <c r="B1249" s="16"/>
      <c r="C1249" s="16"/>
      <c r="D1249" s="16"/>
      <c r="E1249" s="16"/>
      <c r="F1249" s="16"/>
      <c r="G1249" s="205"/>
      <c r="H1249" s="205"/>
      <c r="I1249" s="16"/>
      <c r="J1249" s="16"/>
      <c r="K1249" s="205"/>
      <c r="L1249" s="16"/>
      <c r="M1249" s="16"/>
      <c r="N1249" s="16"/>
      <c r="O1249" s="16"/>
      <c r="P1249" s="16"/>
      <c r="Q1249" s="16"/>
      <c r="R1249" s="16"/>
      <c r="S1249" s="16"/>
      <c r="T1249" s="16"/>
      <c r="U1249" s="16"/>
      <c r="V1249" s="16"/>
      <c r="W1249" s="16"/>
      <c r="X1249" s="16"/>
      <c r="Y1249" s="16"/>
      <c r="Z1249" s="16"/>
      <c r="AA1249" s="16"/>
    </row>
    <row r="1250" spans="1:27" ht="24" customHeight="1">
      <c r="A1250" s="16"/>
      <c r="B1250" s="16"/>
      <c r="C1250" s="16"/>
      <c r="D1250" s="16"/>
      <c r="E1250" s="16"/>
      <c r="F1250" s="16"/>
      <c r="G1250" s="205"/>
      <c r="H1250" s="205"/>
      <c r="I1250" s="16"/>
      <c r="J1250" s="16"/>
      <c r="K1250" s="205"/>
      <c r="L1250" s="16"/>
      <c r="M1250" s="16"/>
      <c r="N1250" s="16"/>
      <c r="O1250" s="16"/>
      <c r="P1250" s="16"/>
      <c r="Q1250" s="16"/>
      <c r="R1250" s="16"/>
      <c r="S1250" s="16"/>
      <c r="T1250" s="16"/>
      <c r="U1250" s="16"/>
      <c r="V1250" s="16"/>
      <c r="W1250" s="16"/>
      <c r="X1250" s="16"/>
      <c r="Y1250" s="16"/>
      <c r="Z1250" s="16"/>
      <c r="AA1250" s="16"/>
    </row>
    <row r="1251" spans="1:27" ht="24" customHeight="1">
      <c r="A1251" s="16"/>
      <c r="B1251" s="16"/>
      <c r="C1251" s="16"/>
      <c r="D1251" s="16"/>
      <c r="E1251" s="16"/>
      <c r="F1251" s="16"/>
      <c r="G1251" s="205"/>
      <c r="H1251" s="205"/>
      <c r="I1251" s="16"/>
      <c r="J1251" s="16"/>
      <c r="K1251" s="205"/>
      <c r="L1251" s="16"/>
      <c r="M1251" s="16"/>
      <c r="N1251" s="16"/>
      <c r="O1251" s="16"/>
      <c r="P1251" s="16"/>
      <c r="Q1251" s="16"/>
      <c r="R1251" s="16"/>
      <c r="S1251" s="16"/>
      <c r="T1251" s="16"/>
      <c r="U1251" s="16"/>
      <c r="V1251" s="16"/>
      <c r="W1251" s="16"/>
      <c r="X1251" s="16"/>
      <c r="Y1251" s="16"/>
      <c r="Z1251" s="16"/>
      <c r="AA1251" s="16"/>
    </row>
    <row r="1252" spans="1:27" ht="24" customHeight="1">
      <c r="A1252" s="16"/>
      <c r="B1252" s="16"/>
      <c r="C1252" s="16"/>
      <c r="D1252" s="16"/>
      <c r="E1252" s="16"/>
      <c r="F1252" s="16"/>
      <c r="G1252" s="205"/>
      <c r="H1252" s="205"/>
      <c r="I1252" s="16"/>
      <c r="J1252" s="16"/>
      <c r="K1252" s="205"/>
      <c r="L1252" s="16"/>
      <c r="M1252" s="16"/>
      <c r="N1252" s="16"/>
      <c r="O1252" s="16"/>
      <c r="P1252" s="16"/>
      <c r="Q1252" s="16"/>
      <c r="R1252" s="16"/>
      <c r="S1252" s="16"/>
      <c r="T1252" s="16"/>
      <c r="U1252" s="16"/>
      <c r="V1252" s="16"/>
      <c r="W1252" s="16"/>
      <c r="X1252" s="16"/>
      <c r="Y1252" s="16"/>
      <c r="Z1252" s="16"/>
      <c r="AA1252" s="16"/>
    </row>
    <row r="1253" spans="1:27" ht="24" customHeight="1">
      <c r="A1253" s="16"/>
      <c r="B1253" s="16"/>
      <c r="C1253" s="16"/>
      <c r="D1253" s="16"/>
      <c r="E1253" s="16"/>
      <c r="F1253" s="16"/>
      <c r="G1253" s="205"/>
      <c r="H1253" s="205"/>
      <c r="I1253" s="16"/>
      <c r="J1253" s="16"/>
      <c r="K1253" s="205"/>
      <c r="L1253" s="16"/>
      <c r="M1253" s="16"/>
      <c r="N1253" s="16"/>
      <c r="O1253" s="16"/>
      <c r="P1253" s="16"/>
      <c r="Q1253" s="16"/>
      <c r="R1253" s="16"/>
      <c r="S1253" s="16"/>
      <c r="T1253" s="16"/>
      <c r="U1253" s="16"/>
      <c r="V1253" s="16"/>
      <c r="W1253" s="16"/>
      <c r="X1253" s="16"/>
      <c r="Y1253" s="16"/>
      <c r="Z1253" s="16"/>
      <c r="AA1253" s="16"/>
    </row>
    <row r="1254" spans="1:27" ht="24" customHeight="1">
      <c r="A1254" s="16"/>
      <c r="B1254" s="16"/>
      <c r="C1254" s="16"/>
      <c r="D1254" s="16"/>
      <c r="E1254" s="16"/>
      <c r="F1254" s="16"/>
      <c r="G1254" s="205"/>
      <c r="H1254" s="205"/>
      <c r="I1254" s="16"/>
      <c r="J1254" s="16"/>
      <c r="K1254" s="205"/>
      <c r="L1254" s="16"/>
      <c r="M1254" s="16"/>
      <c r="N1254" s="16"/>
      <c r="O1254" s="16"/>
      <c r="P1254" s="16"/>
      <c r="Q1254" s="16"/>
      <c r="R1254" s="16"/>
      <c r="S1254" s="16"/>
      <c r="T1254" s="16"/>
      <c r="U1254" s="16"/>
      <c r="V1254" s="16"/>
      <c r="W1254" s="16"/>
      <c r="X1254" s="16"/>
      <c r="Y1254" s="16"/>
      <c r="Z1254" s="16"/>
      <c r="AA1254" s="16"/>
    </row>
    <row r="1255" spans="1:27" ht="24" customHeight="1">
      <c r="A1255" s="16"/>
      <c r="B1255" s="16"/>
      <c r="C1255" s="16"/>
      <c r="D1255" s="16"/>
      <c r="E1255" s="16"/>
      <c r="F1255" s="16"/>
      <c r="G1255" s="205"/>
      <c r="H1255" s="205"/>
      <c r="I1255" s="16"/>
      <c r="J1255" s="16"/>
      <c r="K1255" s="205"/>
      <c r="L1255" s="16"/>
      <c r="M1255" s="16"/>
      <c r="N1255" s="16"/>
      <c r="O1255" s="16"/>
      <c r="P1255" s="16"/>
      <c r="Q1255" s="16"/>
      <c r="R1255" s="16"/>
      <c r="S1255" s="16"/>
      <c r="T1255" s="16"/>
      <c r="U1255" s="16"/>
      <c r="V1255" s="16"/>
      <c r="W1255" s="16"/>
      <c r="X1255" s="16"/>
      <c r="Y1255" s="16"/>
      <c r="Z1255" s="16"/>
      <c r="AA1255" s="16"/>
    </row>
    <row r="1256" spans="1:27" ht="24" customHeight="1">
      <c r="A1256" s="16"/>
      <c r="B1256" s="16"/>
      <c r="C1256" s="16"/>
      <c r="D1256" s="16"/>
      <c r="E1256" s="16"/>
      <c r="F1256" s="16"/>
      <c r="G1256" s="205"/>
      <c r="H1256" s="205"/>
      <c r="I1256" s="16"/>
      <c r="J1256" s="16"/>
      <c r="K1256" s="205"/>
      <c r="L1256" s="16"/>
      <c r="M1256" s="16"/>
      <c r="N1256" s="16"/>
      <c r="O1256" s="16"/>
      <c r="P1256" s="16"/>
      <c r="Q1256" s="16"/>
      <c r="R1256" s="16"/>
      <c r="S1256" s="16"/>
      <c r="T1256" s="16"/>
      <c r="U1256" s="16"/>
      <c r="V1256" s="16"/>
      <c r="W1256" s="16"/>
      <c r="X1256" s="16"/>
      <c r="Y1256" s="16"/>
      <c r="Z1256" s="16"/>
      <c r="AA1256" s="16"/>
    </row>
    <row r="1257" spans="1:27" ht="24" customHeight="1">
      <c r="A1257" s="16"/>
      <c r="B1257" s="16"/>
      <c r="C1257" s="16"/>
      <c r="D1257" s="16"/>
      <c r="E1257" s="16"/>
      <c r="F1257" s="16"/>
      <c r="G1257" s="205"/>
      <c r="H1257" s="205"/>
      <c r="I1257" s="16"/>
      <c r="J1257" s="16"/>
      <c r="K1257" s="205"/>
      <c r="L1257" s="16"/>
      <c r="M1257" s="16"/>
      <c r="N1257" s="16"/>
      <c r="O1257" s="16"/>
      <c r="P1257" s="16"/>
      <c r="Q1257" s="16"/>
      <c r="R1257" s="16"/>
      <c r="S1257" s="16"/>
      <c r="T1257" s="16"/>
      <c r="U1257" s="16"/>
      <c r="V1257" s="16"/>
      <c r="W1257" s="16"/>
      <c r="X1257" s="16"/>
      <c r="Y1257" s="16"/>
      <c r="Z1257" s="16"/>
      <c r="AA1257" s="16"/>
    </row>
    <row r="1258" spans="1:27" ht="24" customHeight="1">
      <c r="A1258" s="16"/>
      <c r="B1258" s="16"/>
      <c r="C1258" s="16"/>
      <c r="D1258" s="16"/>
      <c r="E1258" s="16"/>
      <c r="F1258" s="16"/>
      <c r="G1258" s="205"/>
      <c r="H1258" s="205"/>
      <c r="I1258" s="16"/>
      <c r="J1258" s="16"/>
      <c r="K1258" s="205"/>
      <c r="L1258" s="16"/>
      <c r="M1258" s="16"/>
      <c r="N1258" s="16"/>
      <c r="O1258" s="16"/>
      <c r="P1258" s="16"/>
      <c r="Q1258" s="16"/>
      <c r="R1258" s="16"/>
      <c r="S1258" s="16"/>
      <c r="T1258" s="16"/>
      <c r="U1258" s="16"/>
      <c r="V1258" s="16"/>
      <c r="W1258" s="16"/>
      <c r="X1258" s="16"/>
      <c r="Y1258" s="16"/>
      <c r="Z1258" s="16"/>
      <c r="AA1258" s="16"/>
    </row>
    <row r="1259" spans="1:27" ht="24" customHeight="1">
      <c r="A1259" s="16"/>
      <c r="B1259" s="16"/>
      <c r="C1259" s="16"/>
      <c r="D1259" s="16"/>
      <c r="E1259" s="16"/>
      <c r="F1259" s="16"/>
      <c r="G1259" s="205"/>
      <c r="H1259" s="205"/>
      <c r="I1259" s="16"/>
      <c r="J1259" s="16"/>
      <c r="K1259" s="205"/>
      <c r="L1259" s="16"/>
      <c r="M1259" s="16"/>
      <c r="N1259" s="16"/>
      <c r="O1259" s="16"/>
      <c r="P1259" s="16"/>
      <c r="Q1259" s="16"/>
      <c r="R1259" s="16"/>
      <c r="S1259" s="16"/>
      <c r="T1259" s="16"/>
      <c r="U1259" s="16"/>
      <c r="V1259" s="16"/>
      <c r="W1259" s="16"/>
      <c r="X1259" s="16"/>
      <c r="Y1259" s="16"/>
      <c r="Z1259" s="16"/>
      <c r="AA1259" s="16"/>
    </row>
    <row r="1260" spans="1:27" ht="24" customHeight="1">
      <c r="A1260" s="16"/>
      <c r="B1260" s="16"/>
      <c r="C1260" s="16"/>
      <c r="D1260" s="16"/>
      <c r="E1260" s="16"/>
      <c r="F1260" s="16"/>
      <c r="G1260" s="205"/>
      <c r="H1260" s="205"/>
      <c r="I1260" s="16"/>
      <c r="J1260" s="16"/>
      <c r="K1260" s="205"/>
      <c r="L1260" s="16"/>
      <c r="M1260" s="16"/>
      <c r="N1260" s="16"/>
      <c r="O1260" s="16"/>
      <c r="P1260" s="16"/>
      <c r="Q1260" s="16"/>
      <c r="R1260" s="16"/>
      <c r="S1260" s="16"/>
      <c r="T1260" s="16"/>
      <c r="U1260" s="16"/>
      <c r="V1260" s="16"/>
      <c r="W1260" s="16"/>
      <c r="X1260" s="16"/>
      <c r="Y1260" s="16"/>
      <c r="Z1260" s="16"/>
      <c r="AA1260" s="16"/>
    </row>
    <row r="1261" spans="1:27" ht="24" customHeight="1">
      <c r="A1261" s="16"/>
      <c r="B1261" s="16"/>
      <c r="C1261" s="16"/>
      <c r="D1261" s="16"/>
      <c r="E1261" s="16"/>
      <c r="F1261" s="16"/>
      <c r="G1261" s="205"/>
      <c r="H1261" s="205"/>
      <c r="I1261" s="16"/>
      <c r="J1261" s="16"/>
      <c r="K1261" s="205"/>
      <c r="L1261" s="16"/>
      <c r="M1261" s="16"/>
      <c r="N1261" s="16"/>
      <c r="O1261" s="16"/>
      <c r="P1261" s="16"/>
      <c r="Q1261" s="16"/>
      <c r="R1261" s="16"/>
      <c r="S1261" s="16"/>
      <c r="T1261" s="16"/>
      <c r="U1261" s="16"/>
      <c r="V1261" s="16"/>
      <c r="W1261" s="16"/>
      <c r="X1261" s="16"/>
      <c r="Y1261" s="16"/>
      <c r="Z1261" s="16"/>
      <c r="AA1261" s="16"/>
    </row>
    <row r="1262" spans="1:27" ht="24" customHeight="1">
      <c r="A1262" s="16"/>
      <c r="B1262" s="16"/>
      <c r="C1262" s="16"/>
      <c r="D1262" s="16"/>
      <c r="E1262" s="16"/>
      <c r="F1262" s="16"/>
      <c r="G1262" s="205"/>
      <c r="H1262" s="205"/>
      <c r="I1262" s="16"/>
      <c r="J1262" s="16"/>
      <c r="K1262" s="205"/>
      <c r="L1262" s="16"/>
      <c r="M1262" s="16"/>
      <c r="N1262" s="16"/>
      <c r="O1262" s="16"/>
      <c r="P1262" s="16"/>
      <c r="Q1262" s="16"/>
      <c r="R1262" s="16"/>
      <c r="S1262" s="16"/>
      <c r="T1262" s="16"/>
      <c r="U1262" s="16"/>
      <c r="V1262" s="16"/>
      <c r="W1262" s="16"/>
      <c r="X1262" s="16"/>
      <c r="Y1262" s="16"/>
      <c r="Z1262" s="16"/>
      <c r="AA1262" s="16"/>
    </row>
    <row r="1263" spans="1:27" ht="24" customHeight="1">
      <c r="A1263" s="16"/>
      <c r="B1263" s="16"/>
      <c r="C1263" s="16"/>
      <c r="D1263" s="16"/>
      <c r="E1263" s="16"/>
      <c r="F1263" s="16"/>
      <c r="G1263" s="205"/>
      <c r="H1263" s="205"/>
      <c r="I1263" s="16"/>
      <c r="J1263" s="16"/>
      <c r="K1263" s="205"/>
      <c r="L1263" s="16"/>
      <c r="M1263" s="16"/>
      <c r="N1263" s="16"/>
      <c r="O1263" s="16"/>
      <c r="P1263" s="16"/>
      <c r="Q1263" s="16"/>
      <c r="R1263" s="16"/>
      <c r="S1263" s="16"/>
      <c r="T1263" s="16"/>
      <c r="U1263" s="16"/>
      <c r="V1263" s="16"/>
      <c r="W1263" s="16"/>
      <c r="X1263" s="16"/>
      <c r="Y1263" s="16"/>
      <c r="Z1263" s="16"/>
      <c r="AA1263" s="16"/>
    </row>
    <row r="1264" spans="1:27" ht="24" customHeight="1">
      <c r="A1264" s="16"/>
      <c r="B1264" s="16"/>
      <c r="C1264" s="16"/>
      <c r="D1264" s="16"/>
      <c r="E1264" s="16"/>
      <c r="F1264" s="16"/>
      <c r="G1264" s="205"/>
      <c r="H1264" s="205"/>
      <c r="I1264" s="16"/>
      <c r="J1264" s="16"/>
      <c r="K1264" s="205"/>
      <c r="L1264" s="16"/>
      <c r="M1264" s="16"/>
      <c r="N1264" s="16"/>
      <c r="O1264" s="16"/>
      <c r="P1264" s="16"/>
      <c r="Q1264" s="16"/>
      <c r="R1264" s="16"/>
      <c r="S1264" s="16"/>
      <c r="T1264" s="16"/>
      <c r="U1264" s="16"/>
      <c r="V1264" s="16"/>
      <c r="W1264" s="16"/>
      <c r="X1264" s="16"/>
      <c r="Y1264" s="16"/>
      <c r="Z1264" s="16"/>
      <c r="AA1264" s="16"/>
    </row>
    <row r="1265" spans="1:27" ht="24" customHeight="1">
      <c r="A1265" s="16"/>
      <c r="B1265" s="16"/>
      <c r="C1265" s="16"/>
      <c r="D1265" s="16"/>
      <c r="E1265" s="16"/>
      <c r="F1265" s="16"/>
      <c r="G1265" s="205"/>
      <c r="H1265" s="205"/>
      <c r="I1265" s="16"/>
      <c r="J1265" s="16"/>
      <c r="K1265" s="205"/>
      <c r="L1265" s="16"/>
      <c r="M1265" s="16"/>
      <c r="N1265" s="16"/>
      <c r="O1265" s="16"/>
      <c r="P1265" s="16"/>
      <c r="Q1265" s="16"/>
      <c r="R1265" s="16"/>
      <c r="S1265" s="16"/>
      <c r="T1265" s="16"/>
      <c r="U1265" s="16"/>
      <c r="V1265" s="16"/>
      <c r="W1265" s="16"/>
      <c r="X1265" s="16"/>
      <c r="Y1265" s="16"/>
      <c r="Z1265" s="16"/>
      <c r="AA1265" s="16"/>
    </row>
    <row r="1266" spans="1:27" ht="24" customHeight="1">
      <c r="A1266" s="16"/>
      <c r="B1266" s="16"/>
      <c r="C1266" s="16"/>
      <c r="D1266" s="16"/>
      <c r="E1266" s="16"/>
      <c r="F1266" s="16"/>
      <c r="G1266" s="205"/>
      <c r="H1266" s="205"/>
      <c r="I1266" s="16"/>
      <c r="J1266" s="16"/>
      <c r="K1266" s="205"/>
      <c r="L1266" s="16"/>
      <c r="M1266" s="16"/>
      <c r="N1266" s="16"/>
      <c r="O1266" s="16"/>
      <c r="P1266" s="16"/>
      <c r="Q1266" s="16"/>
      <c r="R1266" s="16"/>
      <c r="S1266" s="16"/>
      <c r="T1266" s="16"/>
      <c r="U1266" s="16"/>
      <c r="V1266" s="16"/>
      <c r="W1266" s="16"/>
      <c r="X1266" s="16"/>
      <c r="Y1266" s="16"/>
      <c r="Z1266" s="16"/>
      <c r="AA1266" s="16"/>
    </row>
    <row r="1267" spans="1:27" ht="24" customHeight="1">
      <c r="A1267" s="16"/>
      <c r="B1267" s="16"/>
      <c r="C1267" s="16"/>
      <c r="D1267" s="16"/>
      <c r="E1267" s="16"/>
      <c r="F1267" s="16"/>
      <c r="G1267" s="205"/>
      <c r="H1267" s="205"/>
      <c r="I1267" s="16"/>
      <c r="J1267" s="16"/>
      <c r="K1267" s="205"/>
      <c r="L1267" s="16"/>
      <c r="M1267" s="16"/>
      <c r="N1267" s="16"/>
      <c r="O1267" s="16"/>
      <c r="P1267" s="16"/>
      <c r="Q1267" s="16"/>
      <c r="R1267" s="16"/>
      <c r="S1267" s="16"/>
      <c r="T1267" s="16"/>
      <c r="U1267" s="16"/>
      <c r="V1267" s="16"/>
      <c r="W1267" s="16"/>
      <c r="X1267" s="16"/>
      <c r="Y1267" s="16"/>
      <c r="Z1267" s="16"/>
      <c r="AA1267" s="16"/>
    </row>
    <row r="1268" spans="1:27" ht="24" customHeight="1">
      <c r="A1268" s="16"/>
      <c r="B1268" s="16"/>
      <c r="C1268" s="16"/>
      <c r="D1268" s="16"/>
      <c r="E1268" s="16"/>
      <c r="F1268" s="16"/>
      <c r="G1268" s="205"/>
      <c r="H1268" s="205"/>
      <c r="I1268" s="16"/>
      <c r="J1268" s="16"/>
      <c r="K1268" s="205"/>
      <c r="L1268" s="16"/>
      <c r="M1268" s="16"/>
      <c r="N1268" s="16"/>
      <c r="O1268" s="16"/>
      <c r="P1268" s="16"/>
      <c r="Q1268" s="16"/>
      <c r="R1268" s="16"/>
      <c r="S1268" s="16"/>
      <c r="T1268" s="16"/>
      <c r="U1268" s="16"/>
      <c r="V1268" s="16"/>
      <c r="W1268" s="16"/>
      <c r="X1268" s="16"/>
      <c r="Y1268" s="16"/>
      <c r="Z1268" s="16"/>
      <c r="AA1268" s="16"/>
    </row>
    <row r="1269" spans="1:27" ht="24" customHeight="1">
      <c r="A1269" s="16"/>
      <c r="B1269" s="16"/>
      <c r="C1269" s="16"/>
      <c r="D1269" s="16"/>
      <c r="E1269" s="16"/>
      <c r="F1269" s="16"/>
      <c r="G1269" s="205"/>
      <c r="H1269" s="205"/>
      <c r="I1269" s="16"/>
      <c r="J1269" s="16"/>
      <c r="K1269" s="205"/>
      <c r="L1269" s="16"/>
      <c r="M1269" s="16"/>
      <c r="N1269" s="16"/>
      <c r="O1269" s="16"/>
      <c r="P1269" s="16"/>
      <c r="Q1269" s="16"/>
      <c r="R1269" s="16"/>
      <c r="S1269" s="16"/>
      <c r="T1269" s="16"/>
      <c r="U1269" s="16"/>
      <c r="V1269" s="16"/>
      <c r="W1269" s="16"/>
      <c r="X1269" s="16"/>
      <c r="Y1269" s="16"/>
      <c r="Z1269" s="16"/>
      <c r="AA1269" s="16"/>
    </row>
    <row r="1270" spans="1:27" ht="24" customHeight="1">
      <c r="A1270" s="16"/>
      <c r="B1270" s="16"/>
      <c r="C1270" s="16"/>
      <c r="D1270" s="16"/>
      <c r="E1270" s="16"/>
      <c r="F1270" s="16"/>
      <c r="G1270" s="205"/>
      <c r="H1270" s="205"/>
      <c r="I1270" s="16"/>
      <c r="J1270" s="16"/>
      <c r="K1270" s="205"/>
      <c r="L1270" s="16"/>
      <c r="M1270" s="16"/>
      <c r="N1270" s="16"/>
      <c r="O1270" s="16"/>
      <c r="P1270" s="16"/>
      <c r="Q1270" s="16"/>
      <c r="R1270" s="16"/>
      <c r="S1270" s="16"/>
      <c r="T1270" s="16"/>
      <c r="U1270" s="16"/>
      <c r="V1270" s="16"/>
      <c r="W1270" s="16"/>
      <c r="X1270" s="16"/>
      <c r="Y1270" s="16"/>
      <c r="Z1270" s="16"/>
      <c r="AA1270" s="16"/>
    </row>
    <row r="1271" spans="1:27" ht="24" customHeight="1">
      <c r="A1271" s="16"/>
      <c r="B1271" s="16"/>
      <c r="C1271" s="16"/>
      <c r="D1271" s="16"/>
      <c r="E1271" s="16"/>
      <c r="F1271" s="16"/>
      <c r="G1271" s="205"/>
      <c r="H1271" s="205"/>
      <c r="I1271" s="16"/>
      <c r="J1271" s="16"/>
      <c r="K1271" s="205"/>
      <c r="L1271" s="16"/>
      <c r="M1271" s="16"/>
      <c r="N1271" s="16"/>
      <c r="O1271" s="16"/>
      <c r="P1271" s="16"/>
      <c r="Q1271" s="16"/>
      <c r="R1271" s="16"/>
      <c r="S1271" s="16"/>
      <c r="T1271" s="16"/>
      <c r="U1271" s="16"/>
      <c r="V1271" s="16"/>
      <c r="W1271" s="16"/>
      <c r="X1271" s="16"/>
      <c r="Y1271" s="16"/>
      <c r="Z1271" s="16"/>
      <c r="AA1271" s="16"/>
    </row>
    <row r="1272" spans="1:27" ht="24" customHeight="1">
      <c r="A1272" s="16"/>
      <c r="B1272" s="16"/>
      <c r="C1272" s="16"/>
      <c r="D1272" s="16"/>
      <c r="E1272" s="16"/>
      <c r="F1272" s="16"/>
      <c r="G1272" s="205"/>
      <c r="H1272" s="205"/>
      <c r="I1272" s="16"/>
      <c r="J1272" s="16"/>
      <c r="K1272" s="205"/>
      <c r="L1272" s="16"/>
      <c r="M1272" s="16"/>
      <c r="N1272" s="16"/>
      <c r="O1272" s="16"/>
      <c r="P1272" s="16"/>
      <c r="Q1272" s="16"/>
      <c r="R1272" s="16"/>
      <c r="S1272" s="16"/>
      <c r="T1272" s="16"/>
      <c r="U1272" s="16"/>
      <c r="V1272" s="16"/>
      <c r="W1272" s="16"/>
      <c r="X1272" s="16"/>
      <c r="Y1272" s="16"/>
      <c r="Z1272" s="16"/>
      <c r="AA1272" s="16"/>
    </row>
    <row r="1273" spans="1:27" ht="24" customHeight="1">
      <c r="A1273" s="16"/>
      <c r="B1273" s="16"/>
      <c r="C1273" s="16"/>
      <c r="D1273" s="16"/>
      <c r="E1273" s="16"/>
      <c r="F1273" s="16"/>
      <c r="G1273" s="205"/>
      <c r="H1273" s="205"/>
      <c r="I1273" s="16"/>
      <c r="J1273" s="16"/>
      <c r="K1273" s="205"/>
      <c r="L1273" s="16"/>
      <c r="M1273" s="16"/>
      <c r="N1273" s="16"/>
      <c r="O1273" s="16"/>
      <c r="P1273" s="16"/>
      <c r="Q1273" s="16"/>
      <c r="R1273" s="16"/>
      <c r="S1273" s="16"/>
      <c r="T1273" s="16"/>
      <c r="U1273" s="16"/>
      <c r="V1273" s="16"/>
      <c r="W1273" s="16"/>
      <c r="X1273" s="16"/>
      <c r="Y1273" s="16"/>
      <c r="Z1273" s="16"/>
      <c r="AA1273" s="16"/>
    </row>
    <row r="1274" spans="1:27" ht="24" customHeight="1">
      <c r="A1274" s="16"/>
      <c r="B1274" s="16"/>
      <c r="C1274" s="16"/>
      <c r="D1274" s="16"/>
      <c r="E1274" s="16"/>
      <c r="F1274" s="16"/>
      <c r="G1274" s="205"/>
      <c r="H1274" s="205"/>
      <c r="I1274" s="16"/>
      <c r="J1274" s="16"/>
      <c r="K1274" s="205"/>
      <c r="L1274" s="16"/>
      <c r="M1274" s="16"/>
      <c r="N1274" s="16"/>
      <c r="O1274" s="16"/>
      <c r="P1274" s="16"/>
      <c r="Q1274" s="16"/>
      <c r="R1274" s="16"/>
      <c r="S1274" s="16"/>
      <c r="T1274" s="16"/>
      <c r="U1274" s="16"/>
      <c r="V1274" s="16"/>
      <c r="W1274" s="16"/>
      <c r="X1274" s="16"/>
      <c r="Y1274" s="16"/>
      <c r="Z1274" s="16"/>
      <c r="AA1274" s="16"/>
    </row>
    <row r="1275" spans="1:27" ht="24" customHeight="1">
      <c r="A1275" s="16"/>
      <c r="B1275" s="16"/>
      <c r="C1275" s="16"/>
      <c r="D1275" s="16"/>
      <c r="E1275" s="16"/>
      <c r="F1275" s="16"/>
      <c r="G1275" s="205"/>
      <c r="H1275" s="205"/>
      <c r="I1275" s="16"/>
      <c r="J1275" s="16"/>
      <c r="K1275" s="205"/>
      <c r="L1275" s="16"/>
      <c r="M1275" s="16"/>
      <c r="N1275" s="16"/>
      <c r="O1275" s="16"/>
      <c r="P1275" s="16"/>
      <c r="Q1275" s="16"/>
      <c r="R1275" s="16"/>
      <c r="S1275" s="16"/>
      <c r="T1275" s="16"/>
      <c r="U1275" s="16"/>
      <c r="V1275" s="16"/>
      <c r="W1275" s="16"/>
      <c r="X1275" s="16"/>
      <c r="Y1275" s="16"/>
      <c r="Z1275" s="16"/>
      <c r="AA1275" s="16"/>
    </row>
    <row r="1276" spans="1:27" ht="24" customHeight="1">
      <c r="A1276" s="16"/>
      <c r="B1276" s="16"/>
      <c r="C1276" s="16"/>
      <c r="D1276" s="16"/>
      <c r="E1276" s="16"/>
      <c r="F1276" s="16"/>
      <c r="G1276" s="205"/>
      <c r="H1276" s="205"/>
      <c r="I1276" s="16"/>
      <c r="J1276" s="16"/>
      <c r="K1276" s="205"/>
      <c r="L1276" s="16"/>
      <c r="M1276" s="16"/>
      <c r="N1276" s="16"/>
      <c r="O1276" s="16"/>
      <c r="P1276" s="16"/>
      <c r="Q1276" s="16"/>
      <c r="R1276" s="16"/>
      <c r="S1276" s="16"/>
      <c r="T1276" s="16"/>
      <c r="U1276" s="16"/>
      <c r="V1276" s="16"/>
      <c r="W1276" s="16"/>
      <c r="X1276" s="16"/>
      <c r="Y1276" s="16"/>
      <c r="Z1276" s="16"/>
      <c r="AA1276" s="16"/>
    </row>
    <row r="1277" spans="1:27" ht="24" customHeight="1">
      <c r="A1277" s="16"/>
      <c r="B1277" s="16"/>
      <c r="C1277" s="16"/>
      <c r="D1277" s="16"/>
      <c r="E1277" s="16"/>
      <c r="F1277" s="16"/>
      <c r="G1277" s="205"/>
      <c r="H1277" s="205"/>
      <c r="I1277" s="16"/>
      <c r="J1277" s="16"/>
      <c r="K1277" s="205"/>
      <c r="L1277" s="16"/>
      <c r="M1277" s="16"/>
      <c r="N1277" s="16"/>
      <c r="O1277" s="16"/>
      <c r="P1277" s="16"/>
      <c r="Q1277" s="16"/>
      <c r="R1277" s="16"/>
      <c r="S1277" s="16"/>
      <c r="T1277" s="16"/>
      <c r="U1277" s="16"/>
      <c r="V1277" s="16"/>
      <c r="W1277" s="16"/>
      <c r="X1277" s="16"/>
      <c r="Y1277" s="16"/>
      <c r="Z1277" s="16"/>
      <c r="AA1277" s="16"/>
    </row>
    <row r="1278" spans="1:27" ht="24" customHeight="1">
      <c r="A1278" s="16"/>
      <c r="B1278" s="16"/>
      <c r="C1278" s="16"/>
      <c r="D1278" s="16"/>
      <c r="E1278" s="16"/>
      <c r="F1278" s="16"/>
      <c r="G1278" s="205"/>
      <c r="H1278" s="205"/>
      <c r="I1278" s="16"/>
      <c r="J1278" s="16"/>
      <c r="K1278" s="205"/>
      <c r="L1278" s="16"/>
      <c r="M1278" s="16"/>
      <c r="N1278" s="16"/>
      <c r="O1278" s="16"/>
      <c r="P1278" s="16"/>
      <c r="Q1278" s="16"/>
      <c r="R1278" s="16"/>
      <c r="S1278" s="16"/>
      <c r="T1278" s="16"/>
      <c r="U1278" s="16"/>
      <c r="V1278" s="16"/>
      <c r="W1278" s="16"/>
      <c r="X1278" s="16"/>
      <c r="Y1278" s="16"/>
      <c r="Z1278" s="16"/>
      <c r="AA1278" s="16"/>
    </row>
    <row r="1279" spans="1:27" ht="24" customHeight="1">
      <c r="A1279" s="16"/>
      <c r="B1279" s="16"/>
      <c r="C1279" s="16"/>
      <c r="D1279" s="16"/>
      <c r="E1279" s="16"/>
      <c r="F1279" s="16"/>
      <c r="G1279" s="205"/>
      <c r="H1279" s="205"/>
      <c r="I1279" s="16"/>
      <c r="J1279" s="16"/>
      <c r="K1279" s="205"/>
      <c r="L1279" s="16"/>
      <c r="M1279" s="16"/>
      <c r="N1279" s="16"/>
      <c r="O1279" s="16"/>
      <c r="P1279" s="16"/>
      <c r="Q1279" s="16"/>
      <c r="R1279" s="16"/>
      <c r="S1279" s="16"/>
      <c r="T1279" s="16"/>
      <c r="U1279" s="16"/>
      <c r="V1279" s="16"/>
      <c r="W1279" s="16"/>
      <c r="X1279" s="16"/>
      <c r="Y1279" s="16"/>
      <c r="Z1279" s="16"/>
      <c r="AA1279" s="16"/>
    </row>
    <row r="1280" spans="1:27" ht="24" customHeight="1">
      <c r="A1280" s="16"/>
      <c r="B1280" s="16"/>
      <c r="C1280" s="16"/>
      <c r="D1280" s="16"/>
      <c r="E1280" s="16"/>
      <c r="F1280" s="16"/>
      <c r="G1280" s="205"/>
      <c r="H1280" s="205"/>
      <c r="I1280" s="16"/>
      <c r="J1280" s="16"/>
      <c r="K1280" s="205"/>
      <c r="L1280" s="16"/>
      <c r="M1280" s="16"/>
      <c r="N1280" s="16"/>
      <c r="O1280" s="16"/>
      <c r="P1280" s="16"/>
      <c r="Q1280" s="16"/>
      <c r="R1280" s="16"/>
      <c r="S1280" s="16"/>
      <c r="T1280" s="16"/>
      <c r="U1280" s="16"/>
      <c r="V1280" s="16"/>
      <c r="W1280" s="16"/>
      <c r="X1280" s="16"/>
      <c r="Y1280" s="16"/>
      <c r="Z1280" s="16"/>
      <c r="AA1280" s="16"/>
    </row>
    <row r="1281" spans="1:27" ht="24" customHeight="1">
      <c r="A1281" s="16"/>
      <c r="B1281" s="16"/>
      <c r="C1281" s="16"/>
      <c r="D1281" s="16"/>
      <c r="E1281" s="16"/>
      <c r="F1281" s="16"/>
      <c r="G1281" s="205"/>
      <c r="H1281" s="205"/>
      <c r="I1281" s="16"/>
      <c r="J1281" s="16"/>
      <c r="K1281" s="205"/>
      <c r="L1281" s="16"/>
      <c r="M1281" s="16"/>
      <c r="N1281" s="16"/>
      <c r="O1281" s="16"/>
      <c r="P1281" s="16"/>
      <c r="Q1281" s="16"/>
      <c r="R1281" s="16"/>
      <c r="S1281" s="16"/>
      <c r="T1281" s="16"/>
      <c r="U1281" s="16"/>
      <c r="V1281" s="16"/>
      <c r="W1281" s="16"/>
      <c r="X1281" s="16"/>
      <c r="Y1281" s="16"/>
      <c r="Z1281" s="16"/>
      <c r="AA1281" s="16"/>
    </row>
    <row r="1282" spans="1:27" ht="24" customHeight="1">
      <c r="A1282" s="16"/>
      <c r="B1282" s="16"/>
      <c r="C1282" s="16"/>
      <c r="D1282" s="16"/>
      <c r="E1282" s="16"/>
      <c r="F1282" s="16"/>
      <c r="G1282" s="205"/>
      <c r="H1282" s="205"/>
      <c r="I1282" s="16"/>
      <c r="J1282" s="16"/>
      <c r="K1282" s="205"/>
      <c r="L1282" s="16"/>
      <c r="M1282" s="16"/>
      <c r="N1282" s="16"/>
      <c r="O1282" s="16"/>
      <c r="P1282" s="16"/>
      <c r="Q1282" s="16"/>
      <c r="R1282" s="16"/>
      <c r="S1282" s="16"/>
      <c r="T1282" s="16"/>
      <c r="U1282" s="16"/>
      <c r="V1282" s="16"/>
      <c r="W1282" s="16"/>
      <c r="X1282" s="16"/>
      <c r="Y1282" s="16"/>
      <c r="Z1282" s="16"/>
      <c r="AA1282" s="16"/>
    </row>
    <row r="1283" spans="1:27" ht="24" customHeight="1">
      <c r="A1283" s="16"/>
      <c r="B1283" s="16"/>
      <c r="C1283" s="16"/>
      <c r="D1283" s="16"/>
      <c r="E1283" s="16"/>
      <c r="F1283" s="16"/>
      <c r="G1283" s="205"/>
      <c r="H1283" s="205"/>
      <c r="I1283" s="16"/>
      <c r="J1283" s="16"/>
      <c r="K1283" s="205"/>
      <c r="L1283" s="16"/>
      <c r="M1283" s="16"/>
      <c r="N1283" s="16"/>
      <c r="O1283" s="16"/>
      <c r="P1283" s="16"/>
      <c r="Q1283" s="16"/>
      <c r="R1283" s="16"/>
      <c r="S1283" s="16"/>
      <c r="T1283" s="16"/>
      <c r="U1283" s="16"/>
      <c r="V1283" s="16"/>
      <c r="W1283" s="16"/>
      <c r="X1283" s="16"/>
      <c r="Y1283" s="16"/>
      <c r="Z1283" s="16"/>
      <c r="AA1283" s="16"/>
    </row>
    <row r="1284" spans="1:27" ht="24" customHeight="1">
      <c r="A1284" s="16"/>
      <c r="B1284" s="16"/>
      <c r="C1284" s="16"/>
      <c r="D1284" s="16"/>
      <c r="E1284" s="16"/>
      <c r="F1284" s="16"/>
      <c r="G1284" s="205"/>
      <c r="H1284" s="205"/>
      <c r="I1284" s="16"/>
      <c r="J1284" s="16"/>
      <c r="K1284" s="205"/>
      <c r="L1284" s="16"/>
      <c r="M1284" s="16"/>
      <c r="N1284" s="16"/>
      <c r="O1284" s="16"/>
      <c r="P1284" s="16"/>
      <c r="Q1284" s="16"/>
      <c r="R1284" s="16"/>
      <c r="S1284" s="16"/>
      <c r="T1284" s="16"/>
      <c r="U1284" s="16"/>
      <c r="V1284" s="16"/>
      <c r="W1284" s="16"/>
      <c r="X1284" s="16"/>
      <c r="Y1284" s="16"/>
      <c r="Z1284" s="16"/>
      <c r="AA1284" s="16"/>
    </row>
    <row r="1285" spans="1:27" ht="24" customHeight="1">
      <c r="A1285" s="16"/>
      <c r="B1285" s="16"/>
      <c r="C1285" s="16"/>
      <c r="D1285" s="16"/>
      <c r="E1285" s="16"/>
      <c r="F1285" s="16"/>
      <c r="G1285" s="205"/>
      <c r="H1285" s="205"/>
      <c r="I1285" s="16"/>
      <c r="J1285" s="16"/>
      <c r="K1285" s="205"/>
      <c r="L1285" s="16"/>
      <c r="M1285" s="16"/>
      <c r="N1285" s="16"/>
      <c r="O1285" s="16"/>
      <c r="P1285" s="16"/>
      <c r="Q1285" s="16"/>
      <c r="R1285" s="16"/>
      <c r="S1285" s="16"/>
      <c r="T1285" s="16"/>
      <c r="U1285" s="16"/>
      <c r="V1285" s="16"/>
      <c r="W1285" s="16"/>
      <c r="X1285" s="16"/>
      <c r="Y1285" s="16"/>
      <c r="Z1285" s="16"/>
      <c r="AA1285" s="16"/>
    </row>
    <row r="1286" spans="1:27" ht="24" customHeight="1">
      <c r="A1286" s="16"/>
      <c r="B1286" s="16"/>
      <c r="C1286" s="16"/>
      <c r="D1286" s="16"/>
      <c r="E1286" s="16"/>
      <c r="F1286" s="16"/>
      <c r="G1286" s="205"/>
      <c r="H1286" s="205"/>
      <c r="I1286" s="16"/>
      <c r="J1286" s="16"/>
      <c r="K1286" s="205"/>
      <c r="L1286" s="16"/>
      <c r="M1286" s="16"/>
      <c r="N1286" s="16"/>
      <c r="O1286" s="16"/>
      <c r="P1286" s="16"/>
      <c r="Q1286" s="16"/>
      <c r="R1286" s="16"/>
      <c r="S1286" s="16"/>
      <c r="T1286" s="16"/>
      <c r="U1286" s="16"/>
      <c r="V1286" s="16"/>
      <c r="W1286" s="16"/>
      <c r="X1286" s="16"/>
      <c r="Y1286" s="16"/>
      <c r="Z1286" s="16"/>
      <c r="AA1286" s="16"/>
    </row>
    <row r="1287" spans="1:27" ht="24" customHeight="1">
      <c r="A1287" s="16"/>
      <c r="B1287" s="16"/>
      <c r="C1287" s="16"/>
      <c r="D1287" s="16"/>
      <c r="E1287" s="16"/>
      <c r="F1287" s="16"/>
      <c r="G1287" s="205"/>
      <c r="H1287" s="205"/>
      <c r="I1287" s="16"/>
      <c r="J1287" s="16"/>
      <c r="K1287" s="205"/>
      <c r="L1287" s="16"/>
      <c r="M1287" s="16"/>
      <c r="N1287" s="16"/>
      <c r="O1287" s="16"/>
      <c r="P1287" s="16"/>
      <c r="Q1287" s="16"/>
      <c r="R1287" s="16"/>
      <c r="S1287" s="16"/>
      <c r="T1287" s="16"/>
      <c r="U1287" s="16"/>
      <c r="V1287" s="16"/>
      <c r="W1287" s="16"/>
      <c r="X1287" s="16"/>
      <c r="Y1287" s="16"/>
      <c r="Z1287" s="16"/>
      <c r="AA1287" s="16"/>
    </row>
    <row r="1288" spans="1:27" ht="24" customHeight="1">
      <c r="A1288" s="16"/>
      <c r="B1288" s="16"/>
      <c r="C1288" s="16"/>
      <c r="D1288" s="16"/>
      <c r="E1288" s="16"/>
      <c r="F1288" s="16"/>
      <c r="G1288" s="205"/>
      <c r="H1288" s="205"/>
      <c r="I1288" s="16"/>
      <c r="J1288" s="16"/>
      <c r="K1288" s="205"/>
      <c r="L1288" s="16"/>
      <c r="M1288" s="16"/>
      <c r="N1288" s="16"/>
      <c r="O1288" s="16"/>
      <c r="P1288" s="16"/>
      <c r="Q1288" s="16"/>
      <c r="R1288" s="16"/>
      <c r="S1288" s="16"/>
      <c r="T1288" s="16"/>
      <c r="U1288" s="16"/>
      <c r="V1288" s="16"/>
      <c r="W1288" s="16"/>
      <c r="X1288" s="16"/>
      <c r="Y1288" s="16"/>
      <c r="Z1288" s="16"/>
      <c r="AA1288" s="16"/>
    </row>
    <row r="1289" spans="1:27" ht="24" customHeight="1">
      <c r="A1289" s="16"/>
      <c r="B1289" s="16"/>
      <c r="C1289" s="16"/>
      <c r="D1289" s="16"/>
      <c r="E1289" s="16"/>
      <c r="F1289" s="16"/>
      <c r="G1289" s="205"/>
      <c r="H1289" s="205"/>
      <c r="I1289" s="16"/>
      <c r="J1289" s="16"/>
      <c r="K1289" s="205"/>
      <c r="L1289" s="16"/>
      <c r="M1289" s="16"/>
      <c r="N1289" s="16"/>
      <c r="O1289" s="16"/>
      <c r="P1289" s="16"/>
      <c r="Q1289" s="16"/>
      <c r="R1289" s="16"/>
      <c r="S1289" s="16"/>
      <c r="T1289" s="16"/>
      <c r="U1289" s="16"/>
      <c r="V1289" s="16"/>
      <c r="W1289" s="16"/>
      <c r="X1289" s="16"/>
      <c r="Y1289" s="16"/>
      <c r="Z1289" s="16"/>
      <c r="AA1289" s="16"/>
    </row>
    <row r="1290" spans="1:27" ht="24" customHeight="1">
      <c r="A1290" s="16"/>
      <c r="B1290" s="16"/>
      <c r="C1290" s="16"/>
      <c r="D1290" s="16"/>
      <c r="E1290" s="16"/>
      <c r="F1290" s="16"/>
      <c r="G1290" s="205"/>
      <c r="H1290" s="205"/>
      <c r="I1290" s="16"/>
      <c r="J1290" s="16"/>
      <c r="K1290" s="205"/>
      <c r="L1290" s="16"/>
      <c r="M1290" s="16"/>
      <c r="N1290" s="16"/>
      <c r="O1290" s="16"/>
      <c r="P1290" s="16"/>
      <c r="Q1290" s="16"/>
      <c r="R1290" s="16"/>
      <c r="S1290" s="16"/>
      <c r="T1290" s="16"/>
      <c r="U1290" s="16"/>
      <c r="V1290" s="16"/>
      <c r="W1290" s="16"/>
      <c r="X1290" s="16"/>
      <c r="Y1290" s="16"/>
      <c r="Z1290" s="16"/>
      <c r="AA1290" s="16"/>
    </row>
    <row r="1291" spans="1:27" ht="24" customHeight="1">
      <c r="A1291" s="16"/>
      <c r="B1291" s="16"/>
      <c r="C1291" s="16"/>
      <c r="D1291" s="16"/>
      <c r="E1291" s="16"/>
      <c r="F1291" s="16"/>
      <c r="G1291" s="205"/>
      <c r="H1291" s="205"/>
      <c r="I1291" s="16"/>
      <c r="J1291" s="16"/>
      <c r="K1291" s="205"/>
      <c r="L1291" s="16"/>
      <c r="M1291" s="16"/>
      <c r="N1291" s="16"/>
      <c r="O1291" s="16"/>
      <c r="P1291" s="16"/>
      <c r="Q1291" s="16"/>
      <c r="R1291" s="16"/>
      <c r="S1291" s="16"/>
      <c r="T1291" s="16"/>
      <c r="U1291" s="16"/>
      <c r="V1291" s="16"/>
      <c r="W1291" s="16"/>
      <c r="X1291" s="16"/>
      <c r="Y1291" s="16"/>
      <c r="Z1291" s="16"/>
      <c r="AA1291" s="16"/>
    </row>
    <row r="1292" spans="1:27" ht="24" customHeight="1">
      <c r="A1292" s="16"/>
      <c r="B1292" s="16"/>
      <c r="C1292" s="16"/>
      <c r="D1292" s="16"/>
      <c r="E1292" s="16"/>
      <c r="F1292" s="16"/>
      <c r="G1292" s="205"/>
      <c r="H1292" s="205"/>
      <c r="I1292" s="16"/>
      <c r="J1292" s="16"/>
      <c r="K1292" s="205"/>
      <c r="L1292" s="16"/>
      <c r="M1292" s="16"/>
      <c r="N1292" s="16"/>
      <c r="O1292" s="16"/>
      <c r="P1292" s="16"/>
      <c r="Q1292" s="16"/>
      <c r="R1292" s="16"/>
      <c r="S1292" s="16"/>
      <c r="T1292" s="16"/>
      <c r="U1292" s="16"/>
      <c r="V1292" s="16"/>
      <c r="W1292" s="16"/>
      <c r="X1292" s="16"/>
      <c r="Y1292" s="16"/>
      <c r="Z1292" s="16"/>
      <c r="AA1292" s="16"/>
    </row>
    <row r="1293" spans="1:27" ht="24" customHeight="1">
      <c r="A1293" s="16"/>
      <c r="B1293" s="16"/>
      <c r="C1293" s="16"/>
      <c r="D1293" s="16"/>
      <c r="E1293" s="16"/>
      <c r="F1293" s="16"/>
      <c r="G1293" s="205"/>
      <c r="H1293" s="205"/>
      <c r="I1293" s="16"/>
      <c r="J1293" s="16"/>
      <c r="K1293" s="205"/>
      <c r="L1293" s="16"/>
      <c r="M1293" s="16"/>
      <c r="N1293" s="16"/>
      <c r="O1293" s="16"/>
      <c r="P1293" s="16"/>
      <c r="Q1293" s="16"/>
      <c r="R1293" s="16"/>
      <c r="S1293" s="16"/>
      <c r="T1293" s="16"/>
      <c r="U1293" s="16"/>
      <c r="V1293" s="16"/>
      <c r="W1293" s="16"/>
      <c r="X1293" s="16"/>
      <c r="Y1293" s="16"/>
      <c r="Z1293" s="16"/>
      <c r="AA1293" s="16"/>
    </row>
    <row r="1294" spans="1:27" ht="24" customHeight="1">
      <c r="A1294" s="16"/>
      <c r="B1294" s="16"/>
      <c r="C1294" s="16"/>
      <c r="D1294" s="16"/>
      <c r="E1294" s="16"/>
      <c r="F1294" s="16"/>
      <c r="G1294" s="205"/>
      <c r="H1294" s="205"/>
      <c r="I1294" s="16"/>
      <c r="J1294" s="16"/>
      <c r="K1294" s="205"/>
      <c r="L1294" s="16"/>
      <c r="M1294" s="16"/>
      <c r="N1294" s="16"/>
      <c r="O1294" s="16"/>
      <c r="P1294" s="16"/>
      <c r="Q1294" s="16"/>
      <c r="R1294" s="16"/>
      <c r="S1294" s="16"/>
      <c r="T1294" s="16"/>
      <c r="U1294" s="16"/>
      <c r="V1294" s="16"/>
      <c r="W1294" s="16"/>
      <c r="X1294" s="16"/>
      <c r="Y1294" s="16"/>
      <c r="Z1294" s="16"/>
      <c r="AA1294" s="16"/>
    </row>
    <row r="1295" spans="1:27" ht="24" customHeight="1">
      <c r="A1295" s="16"/>
      <c r="B1295" s="16"/>
      <c r="C1295" s="16"/>
      <c r="D1295" s="16"/>
      <c r="E1295" s="16"/>
      <c r="F1295" s="16"/>
      <c r="G1295" s="205"/>
      <c r="H1295" s="205"/>
      <c r="I1295" s="16"/>
      <c r="J1295" s="16"/>
      <c r="K1295" s="205"/>
      <c r="L1295" s="16"/>
      <c r="M1295" s="16"/>
      <c r="N1295" s="16"/>
      <c r="O1295" s="16"/>
      <c r="P1295" s="16"/>
      <c r="Q1295" s="16"/>
      <c r="R1295" s="16"/>
      <c r="S1295" s="16"/>
      <c r="T1295" s="16"/>
      <c r="U1295" s="16"/>
      <c r="V1295" s="16"/>
      <c r="W1295" s="16"/>
      <c r="X1295" s="16"/>
      <c r="Y1295" s="16"/>
      <c r="Z1295" s="16"/>
      <c r="AA1295" s="16"/>
    </row>
    <row r="1296" spans="1:27" ht="24" customHeight="1">
      <c r="A1296" s="16"/>
      <c r="B1296" s="16"/>
      <c r="C1296" s="16"/>
      <c r="D1296" s="16"/>
      <c r="E1296" s="16"/>
      <c r="F1296" s="16"/>
      <c r="G1296" s="205"/>
      <c r="H1296" s="205"/>
      <c r="I1296" s="16"/>
      <c r="J1296" s="16"/>
      <c r="K1296" s="205"/>
      <c r="L1296" s="16"/>
      <c r="M1296" s="16"/>
      <c r="N1296" s="16"/>
      <c r="O1296" s="16"/>
      <c r="P1296" s="16"/>
      <c r="Q1296" s="16"/>
      <c r="R1296" s="16"/>
      <c r="S1296" s="16"/>
      <c r="T1296" s="16"/>
      <c r="U1296" s="16"/>
      <c r="V1296" s="16"/>
      <c r="W1296" s="16"/>
      <c r="X1296" s="16"/>
      <c r="Y1296" s="16"/>
      <c r="Z1296" s="16"/>
      <c r="AA1296" s="16"/>
    </row>
    <row r="1297" spans="1:27" ht="24" customHeight="1">
      <c r="A1297" s="16"/>
      <c r="B1297" s="16"/>
      <c r="C1297" s="16"/>
      <c r="D1297" s="16"/>
      <c r="E1297" s="16"/>
      <c r="F1297" s="16"/>
      <c r="G1297" s="205"/>
      <c r="H1297" s="205"/>
      <c r="I1297" s="16"/>
      <c r="J1297" s="16"/>
      <c r="K1297" s="205"/>
      <c r="L1297" s="16"/>
      <c r="M1297" s="16"/>
      <c r="N1297" s="16"/>
      <c r="O1297" s="16"/>
      <c r="P1297" s="16"/>
      <c r="Q1297" s="16"/>
      <c r="R1297" s="16"/>
      <c r="S1297" s="16"/>
      <c r="T1297" s="16"/>
      <c r="U1297" s="16"/>
      <c r="V1297" s="16"/>
      <c r="W1297" s="16"/>
      <c r="X1297" s="16"/>
      <c r="Y1297" s="16"/>
      <c r="Z1297" s="16"/>
      <c r="AA1297" s="16"/>
    </row>
    <row r="1298" spans="1:27" ht="24" customHeight="1">
      <c r="A1298" s="16"/>
      <c r="B1298" s="16"/>
      <c r="C1298" s="16"/>
      <c r="D1298" s="16"/>
      <c r="E1298" s="16"/>
      <c r="F1298" s="16"/>
      <c r="G1298" s="205"/>
      <c r="H1298" s="205"/>
      <c r="I1298" s="16"/>
      <c r="J1298" s="16"/>
      <c r="K1298" s="205"/>
      <c r="L1298" s="16"/>
      <c r="M1298" s="16"/>
      <c r="N1298" s="16"/>
      <c r="O1298" s="16"/>
      <c r="P1298" s="16"/>
      <c r="Q1298" s="16"/>
      <c r="R1298" s="16"/>
      <c r="S1298" s="16"/>
      <c r="T1298" s="16"/>
      <c r="U1298" s="16"/>
      <c r="V1298" s="16"/>
      <c r="W1298" s="16"/>
      <c r="X1298" s="16"/>
      <c r="Y1298" s="16"/>
      <c r="Z1298" s="16"/>
      <c r="AA1298" s="16"/>
    </row>
    <row r="1299" spans="1:27" ht="24" customHeight="1">
      <c r="A1299" s="16"/>
      <c r="B1299" s="16"/>
      <c r="C1299" s="16"/>
      <c r="D1299" s="16"/>
      <c r="E1299" s="16"/>
      <c r="F1299" s="16"/>
      <c r="G1299" s="205"/>
      <c r="H1299" s="205"/>
      <c r="I1299" s="16"/>
      <c r="J1299" s="16"/>
      <c r="K1299" s="205"/>
      <c r="L1299" s="16"/>
      <c r="M1299" s="16"/>
      <c r="N1299" s="16"/>
      <c r="O1299" s="16"/>
      <c r="P1299" s="16"/>
      <c r="Q1299" s="16"/>
      <c r="R1299" s="16"/>
      <c r="S1299" s="16"/>
      <c r="T1299" s="16"/>
      <c r="U1299" s="16"/>
      <c r="V1299" s="16"/>
      <c r="W1299" s="16"/>
      <c r="X1299" s="16"/>
      <c r="Y1299" s="16"/>
      <c r="Z1299" s="16"/>
      <c r="AA1299" s="16"/>
    </row>
    <row r="1300" spans="1:27" ht="24" customHeight="1">
      <c r="A1300" s="16"/>
      <c r="B1300" s="16"/>
      <c r="C1300" s="16"/>
      <c r="D1300" s="16"/>
      <c r="E1300" s="16"/>
      <c r="F1300" s="16"/>
      <c r="G1300" s="205"/>
      <c r="H1300" s="205"/>
      <c r="I1300" s="16"/>
      <c r="J1300" s="16"/>
      <c r="K1300" s="205"/>
      <c r="L1300" s="16"/>
      <c r="M1300" s="16"/>
      <c r="N1300" s="16"/>
      <c r="O1300" s="16"/>
      <c r="P1300" s="16"/>
      <c r="Q1300" s="16"/>
      <c r="R1300" s="16"/>
      <c r="S1300" s="16"/>
      <c r="T1300" s="16"/>
      <c r="U1300" s="16"/>
      <c r="V1300" s="16"/>
      <c r="W1300" s="16"/>
      <c r="X1300" s="16"/>
      <c r="Y1300" s="16"/>
      <c r="Z1300" s="16"/>
      <c r="AA1300" s="16"/>
    </row>
    <row r="1301" spans="1:27" ht="24" customHeight="1">
      <c r="A1301" s="16"/>
      <c r="B1301" s="16"/>
      <c r="C1301" s="16"/>
      <c r="D1301" s="16"/>
      <c r="E1301" s="16"/>
      <c r="F1301" s="16"/>
      <c r="G1301" s="205"/>
      <c r="H1301" s="205"/>
      <c r="I1301" s="16"/>
      <c r="J1301" s="16"/>
      <c r="K1301" s="205"/>
      <c r="L1301" s="16"/>
      <c r="M1301" s="16"/>
      <c r="N1301" s="16"/>
      <c r="O1301" s="16"/>
      <c r="P1301" s="16"/>
      <c r="Q1301" s="16"/>
      <c r="R1301" s="16"/>
      <c r="S1301" s="16"/>
      <c r="T1301" s="16"/>
      <c r="U1301" s="16"/>
      <c r="V1301" s="16"/>
      <c r="W1301" s="16"/>
      <c r="X1301" s="16"/>
      <c r="Y1301" s="16"/>
      <c r="Z1301" s="16"/>
      <c r="AA1301" s="16"/>
    </row>
    <row r="1302" spans="1:27" ht="24" customHeight="1">
      <c r="A1302" s="16"/>
      <c r="B1302" s="16"/>
      <c r="C1302" s="16"/>
      <c r="D1302" s="16"/>
      <c r="E1302" s="16"/>
      <c r="F1302" s="16"/>
      <c r="G1302" s="205"/>
      <c r="H1302" s="205"/>
      <c r="I1302" s="16"/>
      <c r="J1302" s="16"/>
      <c r="K1302" s="205"/>
      <c r="L1302" s="16"/>
      <c r="M1302" s="16"/>
      <c r="N1302" s="16"/>
      <c r="O1302" s="16"/>
      <c r="P1302" s="16"/>
      <c r="Q1302" s="16"/>
      <c r="R1302" s="16"/>
      <c r="S1302" s="16"/>
      <c r="T1302" s="16"/>
      <c r="U1302" s="16"/>
      <c r="V1302" s="16"/>
      <c r="W1302" s="16"/>
      <c r="X1302" s="16"/>
      <c r="Y1302" s="16"/>
      <c r="Z1302" s="16"/>
      <c r="AA1302" s="16"/>
    </row>
    <row r="1303" spans="1:27" ht="24" customHeight="1">
      <c r="A1303" s="16"/>
      <c r="B1303" s="16"/>
      <c r="C1303" s="16"/>
      <c r="D1303" s="16"/>
      <c r="E1303" s="16"/>
      <c r="F1303" s="16"/>
      <c r="G1303" s="205"/>
      <c r="H1303" s="205"/>
      <c r="I1303" s="16"/>
      <c r="J1303" s="16"/>
      <c r="K1303" s="205"/>
      <c r="L1303" s="16"/>
      <c r="M1303" s="16"/>
      <c r="N1303" s="16"/>
      <c r="O1303" s="16"/>
      <c r="P1303" s="16"/>
      <c r="Q1303" s="16"/>
      <c r="R1303" s="16"/>
      <c r="S1303" s="16"/>
      <c r="T1303" s="16"/>
      <c r="U1303" s="16"/>
      <c r="V1303" s="16"/>
      <c r="W1303" s="16"/>
      <c r="X1303" s="16"/>
      <c r="Y1303" s="16"/>
      <c r="Z1303" s="16"/>
      <c r="AA1303" s="16"/>
    </row>
    <row r="1304" spans="1:27" ht="24" customHeight="1">
      <c r="A1304" s="16"/>
      <c r="B1304" s="16"/>
      <c r="C1304" s="16"/>
      <c r="D1304" s="16"/>
      <c r="E1304" s="16"/>
      <c r="F1304" s="16"/>
      <c r="G1304" s="205"/>
      <c r="H1304" s="205"/>
      <c r="I1304" s="16"/>
      <c r="J1304" s="16"/>
      <c r="K1304" s="205"/>
      <c r="L1304" s="16"/>
      <c r="M1304" s="16"/>
      <c r="N1304" s="16"/>
      <c r="O1304" s="16"/>
      <c r="P1304" s="16"/>
      <c r="Q1304" s="16"/>
      <c r="R1304" s="16"/>
      <c r="S1304" s="16"/>
      <c r="T1304" s="16"/>
      <c r="U1304" s="16"/>
      <c r="V1304" s="16"/>
      <c r="W1304" s="16"/>
      <c r="X1304" s="16"/>
      <c r="Y1304" s="16"/>
      <c r="Z1304" s="16"/>
      <c r="AA1304" s="16"/>
    </row>
    <row r="1305" spans="1:27" ht="24" customHeight="1">
      <c r="A1305" s="16"/>
      <c r="B1305" s="16"/>
      <c r="C1305" s="16"/>
      <c r="D1305" s="16"/>
      <c r="E1305" s="16"/>
      <c r="F1305" s="16"/>
      <c r="G1305" s="205"/>
      <c r="H1305" s="205"/>
      <c r="I1305" s="16"/>
      <c r="J1305" s="16"/>
      <c r="K1305" s="205"/>
      <c r="L1305" s="16"/>
      <c r="M1305" s="16"/>
      <c r="N1305" s="16"/>
      <c r="O1305" s="16"/>
      <c r="P1305" s="16"/>
      <c r="Q1305" s="16"/>
      <c r="R1305" s="16"/>
      <c r="S1305" s="16"/>
      <c r="T1305" s="16"/>
      <c r="U1305" s="16"/>
      <c r="V1305" s="16"/>
      <c r="W1305" s="16"/>
      <c r="X1305" s="16"/>
      <c r="Y1305" s="16"/>
      <c r="Z1305" s="16"/>
      <c r="AA1305" s="16"/>
    </row>
    <row r="1306" spans="1:27" ht="24" customHeight="1">
      <c r="A1306" s="16"/>
      <c r="B1306" s="16"/>
      <c r="C1306" s="16"/>
      <c r="D1306" s="16"/>
      <c r="E1306" s="16"/>
      <c r="F1306" s="16"/>
      <c r="G1306" s="205"/>
      <c r="H1306" s="205"/>
      <c r="I1306" s="16"/>
      <c r="J1306" s="16"/>
      <c r="K1306" s="205"/>
      <c r="L1306" s="16"/>
      <c r="M1306" s="16"/>
      <c r="N1306" s="16"/>
      <c r="O1306" s="16"/>
      <c r="P1306" s="16"/>
      <c r="Q1306" s="16"/>
      <c r="R1306" s="16"/>
      <c r="S1306" s="16"/>
      <c r="T1306" s="16"/>
      <c r="U1306" s="16"/>
      <c r="V1306" s="16"/>
      <c r="W1306" s="16"/>
      <c r="X1306" s="16"/>
      <c r="Y1306" s="16"/>
      <c r="Z1306" s="16"/>
      <c r="AA1306" s="16"/>
    </row>
    <row r="1307" spans="1:27" ht="24" customHeight="1">
      <c r="A1307" s="16"/>
      <c r="B1307" s="16"/>
      <c r="C1307" s="16"/>
      <c r="D1307" s="16"/>
      <c r="E1307" s="16"/>
      <c r="F1307" s="16"/>
      <c r="G1307" s="205"/>
      <c r="H1307" s="205"/>
      <c r="I1307" s="16"/>
      <c r="J1307" s="16"/>
      <c r="K1307" s="205"/>
      <c r="L1307" s="16"/>
      <c r="M1307" s="16"/>
      <c r="N1307" s="16"/>
      <c r="O1307" s="16"/>
      <c r="P1307" s="16"/>
      <c r="Q1307" s="16"/>
      <c r="R1307" s="16"/>
      <c r="S1307" s="16"/>
      <c r="T1307" s="16"/>
      <c r="U1307" s="16"/>
      <c r="V1307" s="16"/>
      <c r="W1307" s="16"/>
      <c r="X1307" s="16"/>
      <c r="Y1307" s="16"/>
      <c r="Z1307" s="16"/>
      <c r="AA1307" s="16"/>
    </row>
    <row r="1308" spans="1:27" ht="24" customHeight="1">
      <c r="A1308" s="16"/>
      <c r="B1308" s="16"/>
      <c r="C1308" s="16"/>
      <c r="D1308" s="16"/>
      <c r="E1308" s="16"/>
      <c r="F1308" s="16"/>
      <c r="G1308" s="205"/>
      <c r="H1308" s="205"/>
      <c r="I1308" s="16"/>
      <c r="J1308" s="16"/>
      <c r="K1308" s="205"/>
      <c r="L1308" s="16"/>
      <c r="M1308" s="16"/>
      <c r="N1308" s="16"/>
      <c r="O1308" s="16"/>
      <c r="P1308" s="16"/>
      <c r="Q1308" s="16"/>
      <c r="R1308" s="16"/>
      <c r="S1308" s="16"/>
      <c r="T1308" s="16"/>
      <c r="U1308" s="16"/>
      <c r="V1308" s="16"/>
      <c r="W1308" s="16"/>
      <c r="X1308" s="16"/>
      <c r="Y1308" s="16"/>
      <c r="Z1308" s="16"/>
      <c r="AA1308" s="16"/>
    </row>
    <row r="1309" spans="1:27" ht="24" customHeight="1">
      <c r="A1309" s="16"/>
      <c r="B1309" s="16"/>
      <c r="C1309" s="16"/>
      <c r="D1309" s="16"/>
      <c r="E1309" s="16"/>
      <c r="F1309" s="16"/>
      <c r="G1309" s="205"/>
      <c r="H1309" s="205"/>
      <c r="I1309" s="16"/>
      <c r="J1309" s="16"/>
      <c r="K1309" s="205"/>
      <c r="L1309" s="16"/>
      <c r="M1309" s="16"/>
      <c r="N1309" s="16"/>
      <c r="O1309" s="16"/>
      <c r="P1309" s="16"/>
      <c r="Q1309" s="16"/>
      <c r="R1309" s="16"/>
      <c r="S1309" s="16"/>
      <c r="T1309" s="16"/>
      <c r="U1309" s="16"/>
      <c r="V1309" s="16"/>
      <c r="W1309" s="16"/>
      <c r="X1309" s="16"/>
      <c r="Y1309" s="16"/>
      <c r="Z1309" s="16"/>
      <c r="AA1309" s="16"/>
    </row>
    <row r="1310" spans="1:27" ht="24" customHeight="1">
      <c r="A1310" s="16"/>
      <c r="B1310" s="16"/>
      <c r="C1310" s="16"/>
      <c r="D1310" s="16"/>
      <c r="E1310" s="16"/>
      <c r="F1310" s="16"/>
      <c r="G1310" s="205"/>
      <c r="H1310" s="205"/>
      <c r="I1310" s="16"/>
      <c r="J1310" s="16"/>
      <c r="K1310" s="205"/>
      <c r="L1310" s="16"/>
      <c r="M1310" s="16"/>
      <c r="N1310" s="16"/>
      <c r="O1310" s="16"/>
      <c r="P1310" s="16"/>
      <c r="Q1310" s="16"/>
      <c r="R1310" s="16"/>
      <c r="S1310" s="16"/>
      <c r="T1310" s="16"/>
      <c r="U1310" s="16"/>
      <c r="V1310" s="16"/>
      <c r="W1310" s="16"/>
      <c r="X1310" s="16"/>
      <c r="Y1310" s="16"/>
      <c r="Z1310" s="16"/>
      <c r="AA1310" s="16"/>
    </row>
    <row r="1311" spans="1:27" ht="24" customHeight="1">
      <c r="A1311" s="16"/>
      <c r="B1311" s="16"/>
      <c r="C1311" s="16"/>
      <c r="D1311" s="16"/>
      <c r="E1311" s="16"/>
      <c r="F1311" s="16"/>
      <c r="G1311" s="205"/>
      <c r="H1311" s="205"/>
      <c r="I1311" s="16"/>
      <c r="J1311" s="16"/>
      <c r="K1311" s="205"/>
      <c r="L1311" s="16"/>
      <c r="M1311" s="16"/>
      <c r="N1311" s="16"/>
      <c r="O1311" s="16"/>
      <c r="P1311" s="16"/>
      <c r="Q1311" s="16"/>
      <c r="R1311" s="16"/>
      <c r="S1311" s="16"/>
      <c r="T1311" s="16"/>
      <c r="U1311" s="16"/>
      <c r="V1311" s="16"/>
      <c r="W1311" s="16"/>
      <c r="X1311" s="16"/>
      <c r="Y1311" s="16"/>
      <c r="Z1311" s="16"/>
      <c r="AA1311" s="16"/>
    </row>
    <row r="1312" spans="1:27" ht="24" customHeight="1">
      <c r="A1312" s="16"/>
      <c r="B1312" s="16"/>
      <c r="C1312" s="16"/>
      <c r="D1312" s="16"/>
      <c r="E1312" s="16"/>
      <c r="F1312" s="16"/>
      <c r="G1312" s="205"/>
      <c r="H1312" s="205"/>
      <c r="I1312" s="16"/>
      <c r="J1312" s="16"/>
      <c r="K1312" s="205"/>
      <c r="L1312" s="16"/>
      <c r="M1312" s="16"/>
      <c r="N1312" s="16"/>
      <c r="O1312" s="16"/>
      <c r="P1312" s="16"/>
      <c r="Q1312" s="16"/>
      <c r="R1312" s="16"/>
      <c r="S1312" s="16"/>
      <c r="T1312" s="16"/>
      <c r="U1312" s="16"/>
      <c r="V1312" s="16"/>
      <c r="W1312" s="16"/>
      <c r="X1312" s="16"/>
      <c r="Y1312" s="16"/>
      <c r="Z1312" s="16"/>
      <c r="AA1312" s="16"/>
    </row>
    <row r="1313" spans="1:27" ht="24" customHeight="1">
      <c r="A1313" s="16"/>
      <c r="B1313" s="16"/>
      <c r="C1313" s="16"/>
      <c r="D1313" s="16"/>
      <c r="E1313" s="16"/>
      <c r="F1313" s="16"/>
      <c r="G1313" s="205"/>
      <c r="H1313" s="205"/>
      <c r="I1313" s="16"/>
      <c r="J1313" s="16"/>
      <c r="K1313" s="205"/>
      <c r="L1313" s="16"/>
      <c r="M1313" s="16"/>
      <c r="N1313" s="16"/>
      <c r="O1313" s="16"/>
      <c r="P1313" s="16"/>
      <c r="Q1313" s="16"/>
      <c r="R1313" s="16"/>
      <c r="S1313" s="16"/>
      <c r="T1313" s="16"/>
      <c r="U1313" s="16"/>
      <c r="V1313" s="16"/>
      <c r="W1313" s="16"/>
      <c r="X1313" s="16"/>
      <c r="Y1313" s="16"/>
      <c r="Z1313" s="16"/>
      <c r="AA1313" s="16"/>
    </row>
    <row r="1314" spans="1:27" ht="24" customHeight="1">
      <c r="A1314" s="16"/>
      <c r="B1314" s="16"/>
      <c r="C1314" s="16"/>
      <c r="D1314" s="16"/>
      <c r="E1314" s="16"/>
      <c r="F1314" s="16"/>
      <c r="G1314" s="205"/>
      <c r="H1314" s="205"/>
      <c r="I1314" s="16"/>
      <c r="J1314" s="16"/>
      <c r="K1314" s="205"/>
      <c r="L1314" s="16"/>
      <c r="M1314" s="16"/>
      <c r="N1314" s="16"/>
      <c r="O1314" s="16"/>
      <c r="P1314" s="16"/>
      <c r="Q1314" s="16"/>
      <c r="R1314" s="16"/>
      <c r="S1314" s="16"/>
      <c r="T1314" s="16"/>
      <c r="U1314" s="16"/>
      <c r="V1314" s="16"/>
      <c r="W1314" s="16"/>
      <c r="X1314" s="16"/>
      <c r="Y1314" s="16"/>
      <c r="Z1314" s="16"/>
      <c r="AA1314" s="16"/>
    </row>
    <row r="1315" spans="1:27" ht="24" customHeight="1">
      <c r="A1315" s="16"/>
      <c r="B1315" s="16"/>
      <c r="C1315" s="16"/>
      <c r="D1315" s="16"/>
      <c r="E1315" s="16"/>
      <c r="F1315" s="16"/>
      <c r="G1315" s="205"/>
      <c r="H1315" s="205"/>
      <c r="I1315" s="16"/>
      <c r="J1315" s="16"/>
      <c r="K1315" s="205"/>
      <c r="L1315" s="16"/>
      <c r="M1315" s="16"/>
      <c r="N1315" s="16"/>
      <c r="O1315" s="16"/>
      <c r="P1315" s="16"/>
      <c r="Q1315" s="16"/>
      <c r="R1315" s="16"/>
      <c r="S1315" s="16"/>
      <c r="T1315" s="16"/>
      <c r="U1315" s="16"/>
      <c r="V1315" s="16"/>
      <c r="W1315" s="16"/>
      <c r="X1315" s="16"/>
      <c r="Y1315" s="16"/>
      <c r="Z1315" s="16"/>
      <c r="AA1315" s="16"/>
    </row>
    <row r="1316" spans="1:27" ht="24" customHeight="1">
      <c r="A1316" s="16"/>
      <c r="B1316" s="16"/>
      <c r="C1316" s="16"/>
      <c r="D1316" s="16"/>
      <c r="E1316" s="16"/>
      <c r="F1316" s="16"/>
      <c r="G1316" s="205"/>
      <c r="H1316" s="205"/>
      <c r="I1316" s="16"/>
      <c r="J1316" s="16"/>
      <c r="K1316" s="205"/>
      <c r="L1316" s="16"/>
      <c r="M1316" s="16"/>
      <c r="N1316" s="16"/>
      <c r="O1316" s="16"/>
      <c r="P1316" s="16"/>
      <c r="Q1316" s="16"/>
      <c r="R1316" s="16"/>
      <c r="S1316" s="16"/>
      <c r="T1316" s="16"/>
      <c r="U1316" s="16"/>
      <c r="V1316" s="16"/>
      <c r="W1316" s="16"/>
      <c r="X1316" s="16"/>
      <c r="Y1316" s="16"/>
      <c r="Z1316" s="16"/>
      <c r="AA1316" s="16"/>
    </row>
    <row r="1317" spans="1:27" ht="24" customHeight="1">
      <c r="A1317" s="16"/>
      <c r="B1317" s="16"/>
      <c r="C1317" s="16"/>
      <c r="D1317" s="16"/>
      <c r="E1317" s="16"/>
      <c r="F1317" s="16"/>
      <c r="G1317" s="205"/>
      <c r="H1317" s="205"/>
      <c r="I1317" s="16"/>
      <c r="J1317" s="16"/>
      <c r="K1317" s="205"/>
      <c r="L1317" s="16"/>
      <c r="M1317" s="16"/>
      <c r="N1317" s="16"/>
      <c r="O1317" s="16"/>
      <c r="P1317" s="16"/>
      <c r="Q1317" s="16"/>
      <c r="R1317" s="16"/>
      <c r="S1317" s="16"/>
      <c r="T1317" s="16"/>
      <c r="U1317" s="16"/>
      <c r="V1317" s="16"/>
      <c r="W1317" s="16"/>
      <c r="X1317" s="16"/>
      <c r="Y1317" s="16"/>
      <c r="Z1317" s="16"/>
      <c r="AA1317" s="16"/>
    </row>
    <row r="1318" spans="1:27" ht="24" customHeight="1">
      <c r="A1318" s="16"/>
      <c r="B1318" s="16"/>
      <c r="C1318" s="16"/>
      <c r="D1318" s="16"/>
      <c r="E1318" s="16"/>
      <c r="F1318" s="16"/>
      <c r="G1318" s="205"/>
      <c r="H1318" s="205"/>
      <c r="I1318" s="16"/>
      <c r="J1318" s="16"/>
      <c r="K1318" s="205"/>
      <c r="L1318" s="16"/>
      <c r="M1318" s="16"/>
      <c r="N1318" s="16"/>
      <c r="O1318" s="16"/>
      <c r="P1318" s="16"/>
      <c r="Q1318" s="16"/>
      <c r="R1318" s="16"/>
      <c r="S1318" s="16"/>
      <c r="T1318" s="16"/>
      <c r="U1318" s="16"/>
      <c r="V1318" s="16"/>
      <c r="W1318" s="16"/>
      <c r="X1318" s="16"/>
      <c r="Y1318" s="16"/>
      <c r="Z1318" s="16"/>
      <c r="AA1318" s="16"/>
    </row>
    <row r="1319" spans="1:27" ht="24" customHeight="1">
      <c r="A1319" s="16"/>
      <c r="B1319" s="16"/>
      <c r="C1319" s="16"/>
      <c r="D1319" s="16"/>
      <c r="E1319" s="16"/>
      <c r="F1319" s="16"/>
      <c r="G1319" s="205"/>
      <c r="H1319" s="205"/>
      <c r="I1319" s="16"/>
      <c r="J1319" s="16"/>
      <c r="K1319" s="205"/>
      <c r="L1319" s="16"/>
      <c r="M1319" s="16"/>
      <c r="N1319" s="16"/>
      <c r="O1319" s="16"/>
      <c r="P1319" s="16"/>
      <c r="Q1319" s="16"/>
      <c r="R1319" s="16"/>
      <c r="S1319" s="16"/>
      <c r="T1319" s="16"/>
      <c r="U1319" s="16"/>
      <c r="V1319" s="16"/>
      <c r="W1319" s="16"/>
      <c r="X1319" s="16"/>
      <c r="Y1319" s="16"/>
      <c r="Z1319" s="16"/>
      <c r="AA1319" s="16"/>
    </row>
    <row r="1320" spans="1:27" ht="24" customHeight="1">
      <c r="A1320" s="16"/>
      <c r="B1320" s="16"/>
      <c r="C1320" s="16"/>
      <c r="D1320" s="16"/>
      <c r="E1320" s="16"/>
      <c r="F1320" s="16"/>
      <c r="G1320" s="205"/>
      <c r="H1320" s="205"/>
      <c r="I1320" s="16"/>
      <c r="J1320" s="16"/>
      <c r="K1320" s="205"/>
      <c r="L1320" s="16"/>
      <c r="M1320" s="16"/>
      <c r="N1320" s="16"/>
      <c r="O1320" s="16"/>
      <c r="P1320" s="16"/>
      <c r="Q1320" s="16"/>
      <c r="R1320" s="16"/>
      <c r="S1320" s="16"/>
      <c r="T1320" s="16"/>
      <c r="U1320" s="16"/>
      <c r="V1320" s="16"/>
      <c r="W1320" s="16"/>
      <c r="X1320" s="16"/>
      <c r="Y1320" s="16"/>
      <c r="Z1320" s="16"/>
      <c r="AA1320" s="16"/>
    </row>
    <row r="1321" spans="1:27" ht="24" customHeight="1">
      <c r="A1321" s="16"/>
      <c r="B1321" s="16"/>
      <c r="C1321" s="16"/>
      <c r="D1321" s="16"/>
      <c r="E1321" s="16"/>
      <c r="F1321" s="16"/>
      <c r="G1321" s="205"/>
      <c r="H1321" s="205"/>
      <c r="I1321" s="16"/>
      <c r="J1321" s="16"/>
      <c r="K1321" s="205"/>
      <c r="L1321" s="16"/>
      <c r="M1321" s="16"/>
      <c r="N1321" s="16"/>
      <c r="O1321" s="16"/>
      <c r="P1321" s="16"/>
      <c r="Q1321" s="16"/>
      <c r="R1321" s="16"/>
      <c r="S1321" s="16"/>
      <c r="T1321" s="16"/>
      <c r="U1321" s="16"/>
      <c r="V1321" s="16"/>
      <c r="W1321" s="16"/>
      <c r="X1321" s="16"/>
      <c r="Y1321" s="16"/>
      <c r="Z1321" s="16"/>
      <c r="AA1321" s="16"/>
    </row>
    <row r="1322" spans="1:27" ht="24" customHeight="1">
      <c r="A1322" s="16"/>
      <c r="B1322" s="16"/>
      <c r="C1322" s="16"/>
      <c r="D1322" s="16"/>
      <c r="E1322" s="16"/>
      <c r="F1322" s="16"/>
      <c r="G1322" s="205"/>
      <c r="H1322" s="205"/>
      <c r="I1322" s="16"/>
      <c r="J1322" s="16"/>
      <c r="K1322" s="205"/>
      <c r="L1322" s="16"/>
      <c r="M1322" s="16"/>
      <c r="N1322" s="16"/>
      <c r="O1322" s="16"/>
      <c r="P1322" s="16"/>
      <c r="Q1322" s="16"/>
      <c r="R1322" s="16"/>
      <c r="S1322" s="16"/>
      <c r="T1322" s="16"/>
      <c r="U1322" s="16"/>
      <c r="V1322" s="16"/>
      <c r="W1322" s="16"/>
      <c r="X1322" s="16"/>
      <c r="Y1322" s="16"/>
      <c r="Z1322" s="16"/>
      <c r="AA1322" s="16"/>
    </row>
    <row r="1323" spans="1:27" ht="24" customHeight="1">
      <c r="A1323" s="16"/>
      <c r="B1323" s="16"/>
      <c r="C1323" s="16"/>
      <c r="D1323" s="16"/>
      <c r="E1323" s="16"/>
      <c r="F1323" s="16"/>
      <c r="G1323" s="205"/>
      <c r="H1323" s="205"/>
      <c r="I1323" s="16"/>
      <c r="J1323" s="16"/>
      <c r="K1323" s="205"/>
      <c r="L1323" s="16"/>
      <c r="M1323" s="16"/>
      <c r="N1323" s="16"/>
      <c r="O1323" s="16"/>
      <c r="P1323" s="16"/>
      <c r="Q1323" s="16"/>
      <c r="R1323" s="16"/>
      <c r="S1323" s="16"/>
      <c r="T1323" s="16"/>
      <c r="U1323" s="16"/>
      <c r="V1323" s="16"/>
      <c r="W1323" s="16"/>
      <c r="X1323" s="16"/>
      <c r="Y1323" s="16"/>
      <c r="Z1323" s="16"/>
      <c r="AA1323" s="16"/>
    </row>
    <row r="1324" spans="1:27" ht="24" customHeight="1">
      <c r="A1324" s="16"/>
      <c r="B1324" s="16"/>
      <c r="C1324" s="16"/>
      <c r="D1324" s="16"/>
      <c r="E1324" s="16"/>
      <c r="F1324" s="16"/>
      <c r="G1324" s="205"/>
      <c r="H1324" s="205"/>
      <c r="I1324" s="16"/>
      <c r="J1324" s="16"/>
      <c r="K1324" s="205"/>
      <c r="L1324" s="16"/>
      <c r="M1324" s="16"/>
      <c r="N1324" s="16"/>
      <c r="O1324" s="16"/>
      <c r="P1324" s="16"/>
      <c r="Q1324" s="16"/>
      <c r="R1324" s="16"/>
      <c r="S1324" s="16"/>
      <c r="T1324" s="16"/>
      <c r="U1324" s="16"/>
      <c r="V1324" s="16"/>
      <c r="W1324" s="16"/>
      <c r="X1324" s="16"/>
      <c r="Y1324" s="16"/>
      <c r="Z1324" s="16"/>
      <c r="AA1324" s="16"/>
    </row>
    <row r="1325" spans="1:27" ht="24" customHeight="1">
      <c r="A1325" s="16"/>
      <c r="B1325" s="16"/>
      <c r="C1325" s="16"/>
      <c r="D1325" s="16"/>
      <c r="E1325" s="16"/>
      <c r="F1325" s="16"/>
      <c r="G1325" s="205"/>
      <c r="H1325" s="205"/>
      <c r="I1325" s="16"/>
      <c r="J1325" s="16"/>
      <c r="K1325" s="205"/>
      <c r="L1325" s="16"/>
      <c r="M1325" s="16"/>
      <c r="N1325" s="16"/>
      <c r="O1325" s="16"/>
      <c r="P1325" s="16"/>
      <c r="Q1325" s="16"/>
      <c r="R1325" s="16"/>
      <c r="S1325" s="16"/>
      <c r="T1325" s="16"/>
      <c r="U1325" s="16"/>
      <c r="V1325" s="16"/>
      <c r="W1325" s="16"/>
      <c r="X1325" s="16"/>
      <c r="Y1325" s="16"/>
      <c r="Z1325" s="16"/>
      <c r="AA1325" s="16"/>
    </row>
    <row r="1326" spans="1:27" ht="24" customHeight="1">
      <c r="A1326" s="16"/>
      <c r="B1326" s="16"/>
      <c r="C1326" s="16"/>
      <c r="D1326" s="16"/>
      <c r="E1326" s="16"/>
      <c r="F1326" s="16"/>
      <c r="G1326" s="205"/>
      <c r="H1326" s="205"/>
      <c r="I1326" s="16"/>
      <c r="J1326" s="16"/>
      <c r="K1326" s="205"/>
      <c r="L1326" s="16"/>
      <c r="M1326" s="16"/>
      <c r="N1326" s="16"/>
      <c r="O1326" s="16"/>
      <c r="P1326" s="16"/>
      <c r="Q1326" s="16"/>
      <c r="R1326" s="16"/>
      <c r="S1326" s="16"/>
      <c r="T1326" s="16"/>
      <c r="U1326" s="16"/>
      <c r="V1326" s="16"/>
      <c r="W1326" s="16"/>
      <c r="X1326" s="16"/>
      <c r="Y1326" s="16"/>
      <c r="Z1326" s="16"/>
      <c r="AA1326" s="16"/>
    </row>
    <row r="1327" spans="1:27" ht="24" customHeight="1">
      <c r="A1327" s="16"/>
      <c r="B1327" s="16"/>
      <c r="C1327" s="16"/>
      <c r="D1327" s="16"/>
      <c r="E1327" s="16"/>
      <c r="F1327" s="16"/>
      <c r="G1327" s="205"/>
      <c r="H1327" s="205"/>
      <c r="I1327" s="16"/>
      <c r="J1327" s="16"/>
      <c r="K1327" s="205"/>
      <c r="L1327" s="16"/>
      <c r="M1327" s="16"/>
      <c r="N1327" s="16"/>
      <c r="O1327" s="16"/>
      <c r="P1327" s="16"/>
      <c r="Q1327" s="16"/>
      <c r="R1327" s="16"/>
      <c r="S1327" s="16"/>
      <c r="T1327" s="16"/>
      <c r="U1327" s="16"/>
      <c r="V1327" s="16"/>
      <c r="W1327" s="16"/>
      <c r="X1327" s="16"/>
      <c r="Y1327" s="16"/>
      <c r="Z1327" s="16"/>
      <c r="AA1327" s="16"/>
    </row>
    <row r="1328" spans="1:27" ht="24" customHeight="1">
      <c r="A1328" s="16"/>
      <c r="B1328" s="16"/>
      <c r="C1328" s="16"/>
      <c r="D1328" s="16"/>
      <c r="E1328" s="16"/>
      <c r="F1328" s="16"/>
      <c r="G1328" s="205"/>
      <c r="H1328" s="205"/>
      <c r="I1328" s="16"/>
      <c r="J1328" s="16"/>
      <c r="K1328" s="205"/>
      <c r="L1328" s="16"/>
      <c r="M1328" s="16"/>
      <c r="N1328" s="16"/>
      <c r="O1328" s="16"/>
      <c r="P1328" s="16"/>
      <c r="Q1328" s="16"/>
      <c r="R1328" s="16"/>
      <c r="S1328" s="16"/>
      <c r="T1328" s="16"/>
      <c r="U1328" s="16"/>
      <c r="V1328" s="16"/>
      <c r="W1328" s="16"/>
      <c r="X1328" s="16"/>
      <c r="Y1328" s="16"/>
      <c r="Z1328" s="16"/>
      <c r="AA1328" s="16"/>
    </row>
    <row r="1329" spans="1:27" ht="24" customHeight="1">
      <c r="A1329" s="16"/>
      <c r="B1329" s="16"/>
      <c r="C1329" s="16"/>
      <c r="D1329" s="16"/>
      <c r="E1329" s="16"/>
      <c r="F1329" s="16"/>
      <c r="G1329" s="205"/>
      <c r="H1329" s="205"/>
      <c r="I1329" s="16"/>
      <c r="J1329" s="16"/>
      <c r="K1329" s="205"/>
      <c r="L1329" s="16"/>
      <c r="M1329" s="16"/>
      <c r="N1329" s="16"/>
      <c r="O1329" s="16"/>
      <c r="P1329" s="16"/>
      <c r="Q1329" s="16"/>
      <c r="R1329" s="16"/>
      <c r="S1329" s="16"/>
      <c r="T1329" s="16"/>
      <c r="U1329" s="16"/>
      <c r="V1329" s="16"/>
      <c r="W1329" s="16"/>
      <c r="X1329" s="16"/>
      <c r="Y1329" s="16"/>
      <c r="Z1329" s="16"/>
      <c r="AA1329" s="16"/>
    </row>
    <row r="1330" spans="1:27" ht="24" customHeight="1">
      <c r="A1330" s="16"/>
      <c r="B1330" s="16"/>
      <c r="C1330" s="16"/>
      <c r="D1330" s="16"/>
      <c r="E1330" s="16"/>
      <c r="F1330" s="16"/>
      <c r="G1330" s="205"/>
      <c r="H1330" s="205"/>
      <c r="I1330" s="16"/>
      <c r="J1330" s="16"/>
      <c r="K1330" s="205"/>
      <c r="L1330" s="16"/>
      <c r="M1330" s="16"/>
      <c r="N1330" s="16"/>
      <c r="O1330" s="16"/>
      <c r="P1330" s="16"/>
      <c r="Q1330" s="16"/>
      <c r="R1330" s="16"/>
      <c r="S1330" s="16"/>
      <c r="T1330" s="16"/>
      <c r="U1330" s="16"/>
      <c r="V1330" s="16"/>
      <c r="W1330" s="16"/>
      <c r="X1330" s="16"/>
      <c r="Y1330" s="16"/>
      <c r="Z1330" s="16"/>
      <c r="AA1330" s="16"/>
    </row>
    <row r="1331" spans="1:27" ht="24" customHeight="1">
      <c r="A1331" s="16"/>
      <c r="B1331" s="16"/>
      <c r="C1331" s="16"/>
      <c r="D1331" s="16"/>
      <c r="E1331" s="16"/>
      <c r="F1331" s="16"/>
      <c r="G1331" s="205"/>
      <c r="H1331" s="205"/>
      <c r="I1331" s="16"/>
      <c r="J1331" s="16"/>
      <c r="K1331" s="205"/>
      <c r="L1331" s="16"/>
      <c r="M1331" s="16"/>
      <c r="N1331" s="16"/>
      <c r="O1331" s="16"/>
      <c r="P1331" s="16"/>
      <c r="Q1331" s="16"/>
      <c r="R1331" s="16"/>
      <c r="S1331" s="16"/>
      <c r="T1331" s="16"/>
      <c r="U1331" s="16"/>
      <c r="V1331" s="16"/>
      <c r="W1331" s="16"/>
      <c r="X1331" s="16"/>
      <c r="Y1331" s="16"/>
      <c r="Z1331" s="16"/>
      <c r="AA1331" s="16"/>
    </row>
    <row r="1332" spans="1:27" ht="24" customHeight="1">
      <c r="A1332" s="16"/>
      <c r="B1332" s="16"/>
      <c r="C1332" s="16"/>
      <c r="D1332" s="16"/>
      <c r="E1332" s="16"/>
      <c r="F1332" s="16"/>
      <c r="G1332" s="205"/>
      <c r="H1332" s="205"/>
      <c r="I1332" s="16"/>
      <c r="J1332" s="16"/>
      <c r="K1332" s="205"/>
      <c r="L1332" s="16"/>
      <c r="M1332" s="16"/>
      <c r="N1332" s="16"/>
      <c r="O1332" s="16"/>
      <c r="P1332" s="16"/>
      <c r="Q1332" s="16"/>
      <c r="R1332" s="16"/>
      <c r="S1332" s="16"/>
      <c r="T1332" s="16"/>
      <c r="U1332" s="16"/>
      <c r="V1332" s="16"/>
      <c r="W1332" s="16"/>
      <c r="X1332" s="16"/>
      <c r="Y1332" s="16"/>
      <c r="Z1332" s="16"/>
      <c r="AA1332" s="16"/>
    </row>
    <row r="1333" spans="1:27" ht="24" customHeight="1">
      <c r="A1333" s="16"/>
      <c r="B1333" s="16"/>
      <c r="C1333" s="16"/>
      <c r="D1333" s="16"/>
      <c r="E1333" s="16"/>
      <c r="F1333" s="16"/>
      <c r="G1333" s="205"/>
      <c r="H1333" s="205"/>
      <c r="I1333" s="16"/>
      <c r="J1333" s="16"/>
      <c r="K1333" s="205"/>
      <c r="L1333" s="16"/>
      <c r="M1333" s="16"/>
      <c r="N1333" s="16"/>
      <c r="O1333" s="16"/>
      <c r="P1333" s="16"/>
      <c r="Q1333" s="16"/>
      <c r="R1333" s="16"/>
      <c r="S1333" s="16"/>
      <c r="T1333" s="16"/>
      <c r="U1333" s="16"/>
      <c r="V1333" s="16"/>
      <c r="W1333" s="16"/>
      <c r="X1333" s="16"/>
      <c r="Y1333" s="16"/>
      <c r="Z1333" s="16"/>
      <c r="AA1333" s="16"/>
    </row>
    <row r="1334" spans="1:27" ht="24" customHeight="1">
      <c r="A1334" s="16"/>
      <c r="B1334" s="16"/>
      <c r="C1334" s="16"/>
      <c r="D1334" s="16"/>
      <c r="E1334" s="16"/>
      <c r="F1334" s="16"/>
      <c r="G1334" s="205"/>
      <c r="H1334" s="205"/>
      <c r="I1334" s="16"/>
      <c r="J1334" s="16"/>
      <c r="K1334" s="205"/>
      <c r="L1334" s="16"/>
      <c r="M1334" s="16"/>
      <c r="N1334" s="16"/>
      <c r="O1334" s="16"/>
      <c r="P1334" s="16"/>
      <c r="Q1334" s="16"/>
      <c r="R1334" s="16"/>
      <c r="S1334" s="16"/>
      <c r="T1334" s="16"/>
      <c r="U1334" s="16"/>
      <c r="V1334" s="16"/>
      <c r="W1334" s="16"/>
      <c r="X1334" s="16"/>
      <c r="Y1334" s="16"/>
      <c r="Z1334" s="16"/>
      <c r="AA1334" s="16"/>
    </row>
    <row r="1335" spans="1:27" ht="24" customHeight="1">
      <c r="A1335" s="16"/>
      <c r="B1335" s="16"/>
      <c r="C1335" s="16"/>
      <c r="D1335" s="16"/>
      <c r="E1335" s="16"/>
      <c r="F1335" s="16"/>
      <c r="G1335" s="205"/>
      <c r="H1335" s="205"/>
      <c r="I1335" s="16"/>
      <c r="J1335" s="16"/>
      <c r="K1335" s="205"/>
      <c r="L1335" s="16"/>
      <c r="M1335" s="16"/>
      <c r="N1335" s="16"/>
      <c r="O1335" s="16"/>
      <c r="P1335" s="16"/>
      <c r="Q1335" s="16"/>
      <c r="R1335" s="16"/>
      <c r="S1335" s="16"/>
      <c r="T1335" s="16"/>
      <c r="U1335" s="16"/>
      <c r="V1335" s="16"/>
      <c r="W1335" s="16"/>
      <c r="X1335" s="16"/>
      <c r="Y1335" s="16"/>
      <c r="Z1335" s="16"/>
      <c r="AA1335" s="16"/>
    </row>
    <row r="1336" spans="1:27" ht="24" customHeight="1">
      <c r="A1336" s="16"/>
      <c r="B1336" s="16"/>
      <c r="C1336" s="16"/>
      <c r="D1336" s="16"/>
      <c r="E1336" s="16"/>
      <c r="F1336" s="16"/>
      <c r="G1336" s="205"/>
      <c r="H1336" s="205"/>
      <c r="I1336" s="16"/>
      <c r="J1336" s="16"/>
      <c r="K1336" s="205"/>
      <c r="L1336" s="16"/>
      <c r="M1336" s="16"/>
      <c r="N1336" s="16"/>
      <c r="O1336" s="16"/>
      <c r="P1336" s="16"/>
      <c r="Q1336" s="16"/>
      <c r="R1336" s="16"/>
      <c r="S1336" s="16"/>
      <c r="T1336" s="16"/>
      <c r="U1336" s="16"/>
      <c r="V1336" s="16"/>
      <c r="W1336" s="16"/>
      <c r="X1336" s="16"/>
      <c r="Y1336" s="16"/>
      <c r="Z1336" s="16"/>
      <c r="AA1336" s="16"/>
    </row>
    <row r="1337" spans="1:27" ht="24" customHeight="1">
      <c r="A1337" s="16"/>
      <c r="B1337" s="16"/>
      <c r="C1337" s="16"/>
      <c r="D1337" s="16"/>
      <c r="E1337" s="16"/>
      <c r="F1337" s="16"/>
      <c r="G1337" s="205"/>
      <c r="H1337" s="205"/>
      <c r="I1337" s="16"/>
      <c r="J1337" s="16"/>
      <c r="K1337" s="205"/>
      <c r="L1337" s="16"/>
      <c r="M1337" s="16"/>
      <c r="N1337" s="16"/>
      <c r="O1337" s="16"/>
      <c r="P1337" s="16"/>
      <c r="Q1337" s="16"/>
      <c r="R1337" s="16"/>
      <c r="S1337" s="16"/>
      <c r="T1337" s="16"/>
      <c r="U1337" s="16"/>
      <c r="V1337" s="16"/>
      <c r="W1337" s="16"/>
      <c r="X1337" s="16"/>
      <c r="Y1337" s="16"/>
      <c r="Z1337" s="16"/>
      <c r="AA1337" s="16"/>
    </row>
    <row r="1338" spans="1:27" ht="24" customHeight="1">
      <c r="A1338" s="16"/>
      <c r="B1338" s="16"/>
      <c r="C1338" s="16"/>
      <c r="D1338" s="16"/>
      <c r="E1338" s="16"/>
      <c r="F1338" s="16"/>
      <c r="G1338" s="205"/>
      <c r="H1338" s="205"/>
      <c r="I1338" s="16"/>
      <c r="J1338" s="16"/>
      <c r="K1338" s="205"/>
      <c r="L1338" s="16"/>
      <c r="M1338" s="16"/>
      <c r="N1338" s="16"/>
      <c r="O1338" s="16"/>
      <c r="P1338" s="16"/>
      <c r="Q1338" s="16"/>
      <c r="R1338" s="16"/>
      <c r="S1338" s="16"/>
      <c r="T1338" s="16"/>
      <c r="U1338" s="16"/>
      <c r="V1338" s="16"/>
      <c r="W1338" s="16"/>
      <c r="X1338" s="16"/>
      <c r="Y1338" s="16"/>
      <c r="Z1338" s="16"/>
      <c r="AA1338" s="16"/>
    </row>
    <row r="1339" spans="1:27" ht="24" customHeight="1">
      <c r="A1339" s="16"/>
      <c r="B1339" s="16"/>
      <c r="C1339" s="16"/>
      <c r="D1339" s="16"/>
      <c r="E1339" s="16"/>
      <c r="F1339" s="16"/>
      <c r="G1339" s="205"/>
      <c r="H1339" s="205"/>
      <c r="I1339" s="16"/>
      <c r="J1339" s="16"/>
      <c r="K1339" s="205"/>
      <c r="L1339" s="16"/>
      <c r="M1339" s="16"/>
      <c r="N1339" s="16"/>
      <c r="O1339" s="16"/>
      <c r="P1339" s="16"/>
      <c r="Q1339" s="16"/>
      <c r="R1339" s="16"/>
      <c r="S1339" s="16"/>
      <c r="T1339" s="16"/>
      <c r="U1339" s="16"/>
      <c r="V1339" s="16"/>
      <c r="W1339" s="16"/>
      <c r="X1339" s="16"/>
      <c r="Y1339" s="16"/>
      <c r="Z1339" s="16"/>
      <c r="AA1339" s="16"/>
    </row>
    <row r="1340" spans="1:27" ht="24" customHeight="1">
      <c r="A1340" s="16"/>
      <c r="B1340" s="16"/>
      <c r="C1340" s="16"/>
      <c r="D1340" s="16"/>
      <c r="E1340" s="16"/>
      <c r="F1340" s="16"/>
      <c r="G1340" s="205"/>
      <c r="H1340" s="205"/>
      <c r="I1340" s="16"/>
      <c r="J1340" s="16"/>
      <c r="K1340" s="205"/>
      <c r="L1340" s="16"/>
      <c r="M1340" s="16"/>
      <c r="N1340" s="16"/>
      <c r="O1340" s="16"/>
      <c r="P1340" s="16"/>
      <c r="Q1340" s="16"/>
      <c r="R1340" s="16"/>
      <c r="S1340" s="16"/>
      <c r="T1340" s="16"/>
      <c r="U1340" s="16"/>
      <c r="V1340" s="16"/>
      <c r="W1340" s="16"/>
      <c r="X1340" s="16"/>
      <c r="Y1340" s="16"/>
      <c r="Z1340" s="16"/>
      <c r="AA1340" s="16"/>
    </row>
    <row r="1341" spans="1:27" ht="24" customHeight="1">
      <c r="A1341" s="16"/>
      <c r="B1341" s="16"/>
      <c r="C1341" s="16"/>
      <c r="D1341" s="16"/>
      <c r="E1341" s="16"/>
      <c r="F1341" s="16"/>
      <c r="G1341" s="205"/>
      <c r="H1341" s="205"/>
      <c r="I1341" s="16"/>
      <c r="J1341" s="16"/>
      <c r="K1341" s="205"/>
      <c r="L1341" s="16"/>
      <c r="M1341" s="16"/>
      <c r="N1341" s="16"/>
      <c r="O1341" s="16"/>
      <c r="P1341" s="16"/>
      <c r="Q1341" s="16"/>
      <c r="R1341" s="16"/>
      <c r="S1341" s="16"/>
      <c r="T1341" s="16"/>
      <c r="U1341" s="16"/>
      <c r="V1341" s="16"/>
      <c r="W1341" s="16"/>
      <c r="X1341" s="16"/>
      <c r="Y1341" s="16"/>
      <c r="Z1341" s="16"/>
      <c r="AA1341" s="16"/>
    </row>
    <row r="1342" spans="1:27" ht="24" customHeight="1">
      <c r="A1342" s="16"/>
      <c r="B1342" s="16"/>
      <c r="C1342" s="16"/>
      <c r="D1342" s="16"/>
      <c r="E1342" s="16"/>
      <c r="F1342" s="16"/>
      <c r="G1342" s="205"/>
      <c r="H1342" s="205"/>
      <c r="I1342" s="16"/>
      <c r="J1342" s="16"/>
      <c r="K1342" s="205"/>
      <c r="L1342" s="16"/>
      <c r="M1342" s="16"/>
      <c r="N1342" s="16"/>
      <c r="O1342" s="16"/>
      <c r="P1342" s="16"/>
      <c r="Q1342" s="16"/>
      <c r="R1342" s="16"/>
      <c r="S1342" s="16"/>
      <c r="T1342" s="16"/>
      <c r="U1342" s="16"/>
      <c r="V1342" s="16"/>
      <c r="W1342" s="16"/>
      <c r="X1342" s="16"/>
      <c r="Y1342" s="16"/>
      <c r="Z1342" s="16"/>
      <c r="AA1342" s="16"/>
    </row>
    <row r="1343" spans="1:27" ht="24" customHeight="1">
      <c r="A1343" s="16"/>
      <c r="B1343" s="16"/>
      <c r="C1343" s="16"/>
      <c r="D1343" s="16"/>
      <c r="E1343" s="16"/>
      <c r="F1343" s="16"/>
      <c r="G1343" s="205"/>
      <c r="H1343" s="205"/>
      <c r="I1343" s="16"/>
      <c r="J1343" s="16"/>
      <c r="K1343" s="205"/>
      <c r="L1343" s="16"/>
      <c r="M1343" s="16"/>
      <c r="N1343" s="16"/>
      <c r="O1343" s="16"/>
      <c r="P1343" s="16"/>
      <c r="Q1343" s="16"/>
      <c r="R1343" s="16"/>
      <c r="S1343" s="16"/>
      <c r="T1343" s="16"/>
      <c r="U1343" s="16"/>
      <c r="V1343" s="16"/>
      <c r="W1343" s="16"/>
      <c r="X1343" s="16"/>
      <c r="Y1343" s="16"/>
      <c r="Z1343" s="16"/>
      <c r="AA1343" s="16"/>
    </row>
    <row r="1344" spans="1:27" ht="24" customHeight="1">
      <c r="A1344" s="16"/>
      <c r="B1344" s="16"/>
      <c r="C1344" s="16"/>
      <c r="D1344" s="16"/>
      <c r="E1344" s="16"/>
      <c r="F1344" s="16"/>
      <c r="G1344" s="205"/>
      <c r="H1344" s="205"/>
      <c r="I1344" s="16"/>
      <c r="J1344" s="16"/>
      <c r="K1344" s="205"/>
      <c r="L1344" s="16"/>
      <c r="M1344" s="16"/>
      <c r="N1344" s="16"/>
      <c r="O1344" s="16"/>
      <c r="P1344" s="16"/>
      <c r="Q1344" s="16"/>
      <c r="R1344" s="16"/>
      <c r="S1344" s="16"/>
      <c r="T1344" s="16"/>
      <c r="U1344" s="16"/>
      <c r="V1344" s="16"/>
      <c r="W1344" s="16"/>
      <c r="X1344" s="16"/>
      <c r="Y1344" s="16"/>
      <c r="Z1344" s="16"/>
      <c r="AA1344" s="16"/>
    </row>
    <row r="1345" spans="1:27" ht="24" customHeight="1">
      <c r="A1345" s="16"/>
      <c r="B1345" s="16"/>
      <c r="C1345" s="16"/>
      <c r="D1345" s="16"/>
      <c r="E1345" s="16"/>
      <c r="F1345" s="16"/>
      <c r="G1345" s="205"/>
      <c r="H1345" s="205"/>
      <c r="I1345" s="16"/>
      <c r="J1345" s="16"/>
      <c r="K1345" s="205"/>
      <c r="L1345" s="16"/>
      <c r="M1345" s="16"/>
      <c r="N1345" s="16"/>
      <c r="O1345" s="16"/>
      <c r="P1345" s="16"/>
      <c r="Q1345" s="16"/>
      <c r="R1345" s="16"/>
      <c r="S1345" s="16"/>
      <c r="T1345" s="16"/>
      <c r="U1345" s="16"/>
      <c r="V1345" s="16"/>
      <c r="W1345" s="16"/>
      <c r="X1345" s="16"/>
      <c r="Y1345" s="16"/>
      <c r="Z1345" s="16"/>
      <c r="AA1345" s="16"/>
    </row>
    <row r="1346" spans="1:27" ht="24" customHeight="1">
      <c r="A1346" s="16"/>
      <c r="B1346" s="16"/>
      <c r="C1346" s="16"/>
      <c r="D1346" s="16"/>
      <c r="E1346" s="16"/>
      <c r="F1346" s="16"/>
      <c r="G1346" s="205"/>
      <c r="H1346" s="205"/>
      <c r="I1346" s="16"/>
      <c r="J1346" s="16"/>
      <c r="K1346" s="205"/>
      <c r="L1346" s="16"/>
      <c r="M1346" s="16"/>
      <c r="N1346" s="16"/>
      <c r="O1346" s="16"/>
      <c r="P1346" s="16"/>
      <c r="Q1346" s="16"/>
      <c r="R1346" s="16"/>
      <c r="S1346" s="16"/>
      <c r="T1346" s="16"/>
      <c r="U1346" s="16"/>
      <c r="V1346" s="16"/>
      <c r="W1346" s="16"/>
      <c r="X1346" s="16"/>
      <c r="Y1346" s="16"/>
      <c r="Z1346" s="16"/>
      <c r="AA1346" s="16"/>
    </row>
    <row r="1347" spans="1:27" ht="24" customHeight="1">
      <c r="A1347" s="16"/>
      <c r="B1347" s="16"/>
      <c r="C1347" s="16"/>
      <c r="D1347" s="16"/>
      <c r="E1347" s="16"/>
      <c r="F1347" s="16"/>
      <c r="G1347" s="205"/>
      <c r="H1347" s="205"/>
      <c r="I1347" s="16"/>
      <c r="J1347" s="16"/>
      <c r="K1347" s="205"/>
      <c r="L1347" s="16"/>
      <c r="M1347" s="16"/>
      <c r="N1347" s="16"/>
      <c r="O1347" s="16"/>
      <c r="P1347" s="16"/>
      <c r="Q1347" s="16"/>
      <c r="R1347" s="16"/>
      <c r="S1347" s="16"/>
      <c r="T1347" s="16"/>
      <c r="U1347" s="16"/>
      <c r="V1347" s="16"/>
      <c r="W1347" s="16"/>
      <c r="X1347" s="16"/>
      <c r="Y1347" s="16"/>
      <c r="Z1347" s="16"/>
      <c r="AA1347" s="16"/>
    </row>
    <row r="1348" spans="1:27" ht="24" customHeight="1">
      <c r="A1348" s="16"/>
      <c r="B1348" s="16"/>
      <c r="C1348" s="16"/>
      <c r="D1348" s="16"/>
      <c r="E1348" s="16"/>
      <c r="F1348" s="16"/>
      <c r="G1348" s="205"/>
      <c r="H1348" s="205"/>
      <c r="I1348" s="16"/>
      <c r="J1348" s="16"/>
      <c r="K1348" s="205"/>
      <c r="L1348" s="16"/>
      <c r="M1348" s="16"/>
      <c r="N1348" s="16"/>
      <c r="O1348" s="16"/>
      <c r="P1348" s="16"/>
      <c r="Q1348" s="16"/>
      <c r="R1348" s="16"/>
      <c r="S1348" s="16"/>
      <c r="T1348" s="16"/>
      <c r="U1348" s="16"/>
      <c r="V1348" s="16"/>
      <c r="W1348" s="16"/>
      <c r="X1348" s="16"/>
      <c r="Y1348" s="16"/>
      <c r="Z1348" s="16"/>
      <c r="AA1348" s="16"/>
    </row>
    <row r="1349" spans="1:27" ht="24" customHeight="1">
      <c r="A1349" s="16"/>
      <c r="B1349" s="16"/>
      <c r="C1349" s="16"/>
      <c r="D1349" s="16"/>
      <c r="E1349" s="16"/>
      <c r="F1349" s="16"/>
      <c r="G1349" s="205"/>
      <c r="H1349" s="205"/>
      <c r="I1349" s="16"/>
      <c r="J1349" s="16"/>
      <c r="K1349" s="205"/>
      <c r="L1349" s="16"/>
      <c r="M1349" s="16"/>
      <c r="N1349" s="16"/>
      <c r="O1349" s="16"/>
      <c r="P1349" s="16"/>
      <c r="Q1349" s="16"/>
      <c r="R1349" s="16"/>
      <c r="S1349" s="16"/>
      <c r="T1349" s="16"/>
      <c r="U1349" s="16"/>
      <c r="V1349" s="16"/>
      <c r="W1349" s="16"/>
      <c r="X1349" s="16"/>
      <c r="Y1349" s="16"/>
      <c r="Z1349" s="16"/>
      <c r="AA1349" s="16"/>
    </row>
    <row r="1350" spans="1:27" ht="24" customHeight="1">
      <c r="A1350" s="16"/>
      <c r="B1350" s="16"/>
      <c r="C1350" s="16"/>
      <c r="D1350" s="16"/>
      <c r="E1350" s="16"/>
      <c r="F1350" s="16"/>
      <c r="G1350" s="205"/>
      <c r="H1350" s="205"/>
      <c r="I1350" s="16"/>
      <c r="J1350" s="16"/>
      <c r="K1350" s="205"/>
      <c r="L1350" s="16"/>
      <c r="M1350" s="16"/>
      <c r="N1350" s="16"/>
      <c r="O1350" s="16"/>
      <c r="P1350" s="16"/>
      <c r="Q1350" s="16"/>
      <c r="R1350" s="16"/>
      <c r="S1350" s="16"/>
      <c r="T1350" s="16"/>
      <c r="U1350" s="16"/>
      <c r="V1350" s="16"/>
      <c r="W1350" s="16"/>
      <c r="X1350" s="16"/>
      <c r="Y1350" s="16"/>
      <c r="Z1350" s="16"/>
      <c r="AA1350" s="16"/>
    </row>
    <row r="1351" spans="1:27" ht="24" customHeight="1">
      <c r="A1351" s="16"/>
      <c r="B1351" s="16"/>
      <c r="C1351" s="16"/>
      <c r="D1351" s="16"/>
      <c r="E1351" s="16"/>
      <c r="F1351" s="16"/>
      <c r="G1351" s="205"/>
      <c r="H1351" s="205"/>
      <c r="I1351" s="16"/>
      <c r="J1351" s="16"/>
      <c r="K1351" s="205"/>
      <c r="L1351" s="16"/>
      <c r="M1351" s="16"/>
      <c r="N1351" s="16"/>
      <c r="O1351" s="16"/>
      <c r="P1351" s="16"/>
      <c r="Q1351" s="16"/>
      <c r="R1351" s="16"/>
      <c r="S1351" s="16"/>
      <c r="T1351" s="16"/>
      <c r="U1351" s="16"/>
      <c r="V1351" s="16"/>
      <c r="W1351" s="16"/>
      <c r="X1351" s="16"/>
      <c r="Y1351" s="16"/>
      <c r="Z1351" s="16"/>
      <c r="AA1351" s="16"/>
    </row>
    <row r="1352" spans="1:27" ht="24" customHeight="1">
      <c r="A1352" s="16"/>
      <c r="B1352" s="16"/>
      <c r="C1352" s="16"/>
      <c r="D1352" s="16"/>
      <c r="E1352" s="16"/>
      <c r="F1352" s="16"/>
      <c r="G1352" s="205"/>
      <c r="H1352" s="205"/>
      <c r="I1352" s="16"/>
      <c r="J1352" s="16"/>
      <c r="K1352" s="205"/>
      <c r="L1352" s="16"/>
      <c r="M1352" s="16"/>
      <c r="N1352" s="16"/>
      <c r="O1352" s="16"/>
      <c r="P1352" s="16"/>
      <c r="Q1352" s="16"/>
      <c r="R1352" s="16"/>
      <c r="S1352" s="16"/>
      <c r="T1352" s="16"/>
      <c r="U1352" s="16"/>
      <c r="V1352" s="16"/>
      <c r="W1352" s="16"/>
      <c r="X1352" s="16"/>
      <c r="Y1352" s="16"/>
      <c r="Z1352" s="16"/>
      <c r="AA1352" s="16"/>
    </row>
    <row r="1353" spans="1:27" ht="24" customHeight="1">
      <c r="A1353" s="16"/>
      <c r="B1353" s="16"/>
      <c r="C1353" s="16"/>
      <c r="D1353" s="16"/>
      <c r="E1353" s="16"/>
      <c r="F1353" s="16"/>
      <c r="G1353" s="205"/>
      <c r="H1353" s="205"/>
      <c r="I1353" s="16"/>
      <c r="J1353" s="16"/>
      <c r="K1353" s="205"/>
      <c r="L1353" s="16"/>
      <c r="M1353" s="16"/>
      <c r="N1353" s="16"/>
      <c r="O1353" s="16"/>
      <c r="P1353" s="16"/>
      <c r="Q1353" s="16"/>
      <c r="R1353" s="16"/>
      <c r="S1353" s="16"/>
      <c r="T1353" s="16"/>
      <c r="U1353" s="16"/>
      <c r="V1353" s="16"/>
      <c r="W1353" s="16"/>
      <c r="X1353" s="16"/>
      <c r="Y1353" s="16"/>
      <c r="Z1353" s="16"/>
      <c r="AA1353" s="16"/>
    </row>
    <row r="1354" spans="1:27" ht="24" customHeight="1">
      <c r="A1354" s="16"/>
      <c r="B1354" s="16"/>
      <c r="C1354" s="16"/>
      <c r="D1354" s="16"/>
      <c r="E1354" s="16"/>
      <c r="F1354" s="16"/>
      <c r="G1354" s="205"/>
      <c r="H1354" s="205"/>
      <c r="I1354" s="16"/>
      <c r="J1354" s="16"/>
      <c r="K1354" s="205"/>
      <c r="L1354" s="16"/>
      <c r="M1354" s="16"/>
      <c r="N1354" s="16"/>
      <c r="O1354" s="16"/>
      <c r="P1354" s="16"/>
      <c r="Q1354" s="16"/>
      <c r="R1354" s="16"/>
      <c r="S1354" s="16"/>
      <c r="T1354" s="16"/>
      <c r="U1354" s="16"/>
      <c r="V1354" s="16"/>
      <c r="W1354" s="16"/>
      <c r="X1354" s="16"/>
      <c r="Y1354" s="16"/>
      <c r="Z1354" s="16"/>
      <c r="AA1354" s="16"/>
    </row>
    <row r="1355" spans="1:27" ht="24" customHeight="1">
      <c r="A1355" s="16"/>
      <c r="B1355" s="16"/>
      <c r="C1355" s="16"/>
      <c r="D1355" s="16"/>
      <c r="E1355" s="16"/>
      <c r="F1355" s="16"/>
      <c r="G1355" s="205"/>
      <c r="H1355" s="205"/>
      <c r="I1355" s="16"/>
      <c r="J1355" s="16"/>
      <c r="K1355" s="205"/>
      <c r="L1355" s="16"/>
      <c r="M1355" s="16"/>
      <c r="N1355" s="16"/>
      <c r="O1355" s="16"/>
      <c r="P1355" s="16"/>
      <c r="Q1355" s="16"/>
      <c r="R1355" s="16"/>
      <c r="S1355" s="16"/>
      <c r="T1355" s="16"/>
      <c r="U1355" s="16"/>
      <c r="V1355" s="16"/>
      <c r="W1355" s="16"/>
      <c r="X1355" s="16"/>
      <c r="Y1355" s="16"/>
      <c r="Z1355" s="16"/>
      <c r="AA1355" s="16"/>
    </row>
    <row r="1356" spans="1:27" ht="24" customHeight="1">
      <c r="A1356" s="16"/>
      <c r="B1356" s="16"/>
      <c r="C1356" s="16"/>
      <c r="D1356" s="16"/>
      <c r="E1356" s="16"/>
      <c r="F1356" s="16"/>
      <c r="G1356" s="205"/>
      <c r="H1356" s="205"/>
      <c r="I1356" s="16"/>
      <c r="J1356" s="16"/>
      <c r="K1356" s="205"/>
      <c r="L1356" s="16"/>
      <c r="M1356" s="16"/>
      <c r="N1356" s="16"/>
      <c r="O1356" s="16"/>
      <c r="P1356" s="16"/>
      <c r="Q1356" s="16"/>
      <c r="R1356" s="16"/>
      <c r="S1356" s="16"/>
      <c r="T1356" s="16"/>
      <c r="U1356" s="16"/>
      <c r="V1356" s="16"/>
      <c r="W1356" s="16"/>
      <c r="X1356" s="16"/>
      <c r="Y1356" s="16"/>
      <c r="Z1356" s="16"/>
      <c r="AA1356" s="16"/>
    </row>
    <row r="1357" spans="1:27" ht="24" customHeight="1">
      <c r="A1357" s="16"/>
      <c r="B1357" s="16"/>
      <c r="C1357" s="16"/>
      <c r="D1357" s="16"/>
      <c r="E1357" s="16"/>
      <c r="F1357" s="16"/>
      <c r="G1357" s="205"/>
      <c r="H1357" s="205"/>
      <c r="I1357" s="16"/>
      <c r="J1357" s="16"/>
      <c r="K1357" s="205"/>
      <c r="L1357" s="16"/>
      <c r="M1357" s="16"/>
      <c r="N1357" s="16"/>
      <c r="O1357" s="16"/>
      <c r="P1357" s="16"/>
      <c r="Q1357" s="16"/>
      <c r="R1357" s="16"/>
      <c r="S1357" s="16"/>
      <c r="T1357" s="16"/>
      <c r="U1357" s="16"/>
      <c r="V1357" s="16"/>
      <c r="W1357" s="16"/>
      <c r="X1357" s="16"/>
      <c r="Y1357" s="16"/>
      <c r="Z1357" s="16"/>
      <c r="AA1357" s="16"/>
    </row>
    <row r="1358" spans="1:27" ht="24" customHeight="1">
      <c r="A1358" s="16"/>
      <c r="B1358" s="16"/>
      <c r="C1358" s="16"/>
      <c r="D1358" s="16"/>
      <c r="E1358" s="16"/>
      <c r="F1358" s="16"/>
      <c r="G1358" s="205"/>
      <c r="H1358" s="205"/>
      <c r="I1358" s="16"/>
      <c r="J1358" s="16"/>
      <c r="K1358" s="205"/>
      <c r="L1358" s="16"/>
      <c r="M1358" s="16"/>
      <c r="N1358" s="16"/>
      <c r="O1358" s="16"/>
      <c r="P1358" s="16"/>
      <c r="Q1358" s="16"/>
      <c r="R1358" s="16"/>
      <c r="S1358" s="16"/>
      <c r="T1358" s="16"/>
      <c r="U1358" s="16"/>
      <c r="V1358" s="16"/>
      <c r="W1358" s="16"/>
      <c r="X1358" s="16"/>
      <c r="Y1358" s="16"/>
      <c r="Z1358" s="16"/>
      <c r="AA1358" s="16"/>
    </row>
    <row r="1359" spans="1:27" ht="24" customHeight="1">
      <c r="A1359" s="16"/>
      <c r="B1359" s="16"/>
      <c r="C1359" s="16"/>
      <c r="D1359" s="16"/>
      <c r="E1359" s="16"/>
      <c r="F1359" s="16"/>
      <c r="G1359" s="205"/>
      <c r="H1359" s="205"/>
      <c r="I1359" s="16"/>
      <c r="J1359" s="16"/>
      <c r="K1359" s="205"/>
      <c r="L1359" s="16"/>
      <c r="M1359" s="16"/>
      <c r="N1359" s="16"/>
      <c r="O1359" s="16"/>
      <c r="P1359" s="16"/>
      <c r="Q1359" s="16"/>
      <c r="R1359" s="16"/>
      <c r="S1359" s="16"/>
      <c r="T1359" s="16"/>
      <c r="U1359" s="16"/>
      <c r="V1359" s="16"/>
      <c r="W1359" s="16"/>
      <c r="X1359" s="16"/>
      <c r="Y1359" s="16"/>
      <c r="Z1359" s="16"/>
      <c r="AA1359" s="16"/>
    </row>
    <row r="1360" spans="1:27" ht="24" customHeight="1">
      <c r="A1360" s="16"/>
      <c r="B1360" s="16"/>
      <c r="C1360" s="16"/>
      <c r="D1360" s="16"/>
      <c r="E1360" s="16"/>
      <c r="F1360" s="16"/>
      <c r="G1360" s="205"/>
      <c r="H1360" s="205"/>
      <c r="I1360" s="16"/>
      <c r="J1360" s="16"/>
      <c r="K1360" s="205"/>
      <c r="L1360" s="16"/>
      <c r="M1360" s="16"/>
      <c r="N1360" s="16"/>
      <c r="O1360" s="16"/>
      <c r="P1360" s="16"/>
      <c r="Q1360" s="16"/>
      <c r="R1360" s="16"/>
      <c r="S1360" s="16"/>
      <c r="T1360" s="16"/>
      <c r="U1360" s="16"/>
      <c r="V1360" s="16"/>
      <c r="W1360" s="16"/>
      <c r="X1360" s="16"/>
      <c r="Y1360" s="16"/>
      <c r="Z1360" s="16"/>
      <c r="AA1360" s="16"/>
    </row>
    <row r="1361" spans="1:27" ht="24" customHeight="1">
      <c r="A1361" s="16"/>
      <c r="B1361" s="16"/>
      <c r="C1361" s="16"/>
      <c r="D1361" s="16"/>
      <c r="E1361" s="16"/>
      <c r="F1361" s="16"/>
      <c r="G1361" s="205"/>
      <c r="H1361" s="205"/>
      <c r="I1361" s="16"/>
      <c r="J1361" s="16"/>
      <c r="K1361" s="205"/>
      <c r="L1361" s="16"/>
      <c r="M1361" s="16"/>
      <c r="N1361" s="16"/>
      <c r="O1361" s="16"/>
      <c r="P1361" s="16"/>
      <c r="Q1361" s="16"/>
      <c r="R1361" s="16"/>
      <c r="S1361" s="16"/>
      <c r="T1361" s="16"/>
      <c r="U1361" s="16"/>
      <c r="V1361" s="16"/>
      <c r="W1361" s="16"/>
      <c r="X1361" s="16"/>
      <c r="Y1361" s="16"/>
      <c r="Z1361" s="16"/>
      <c r="AA1361" s="16"/>
    </row>
    <row r="1362" spans="1:27" ht="24" customHeight="1">
      <c r="A1362" s="16"/>
      <c r="B1362" s="16"/>
      <c r="C1362" s="16"/>
      <c r="D1362" s="16"/>
      <c r="E1362" s="16"/>
      <c r="F1362" s="16"/>
      <c r="G1362" s="205"/>
      <c r="H1362" s="205"/>
      <c r="I1362" s="16"/>
      <c r="J1362" s="16"/>
      <c r="K1362" s="205"/>
      <c r="L1362" s="16"/>
      <c r="M1362" s="16"/>
      <c r="N1362" s="16"/>
      <c r="O1362" s="16"/>
      <c r="P1362" s="16"/>
      <c r="Q1362" s="16"/>
      <c r="R1362" s="16"/>
      <c r="S1362" s="16"/>
      <c r="T1362" s="16"/>
      <c r="U1362" s="16"/>
      <c r="V1362" s="16"/>
      <c r="W1362" s="16"/>
      <c r="X1362" s="16"/>
      <c r="Y1362" s="16"/>
      <c r="Z1362" s="16"/>
      <c r="AA1362" s="16"/>
    </row>
    <row r="1363" spans="1:27" ht="24" customHeight="1">
      <c r="A1363" s="16"/>
      <c r="B1363" s="16"/>
      <c r="C1363" s="16"/>
      <c r="D1363" s="16"/>
      <c r="E1363" s="16"/>
      <c r="F1363" s="16"/>
      <c r="G1363" s="205"/>
      <c r="H1363" s="205"/>
      <c r="I1363" s="16"/>
      <c r="J1363" s="16"/>
      <c r="K1363" s="205"/>
      <c r="L1363" s="16"/>
      <c r="M1363" s="16"/>
      <c r="N1363" s="16"/>
      <c r="O1363" s="16"/>
      <c r="P1363" s="16"/>
      <c r="Q1363" s="16"/>
      <c r="R1363" s="16"/>
      <c r="S1363" s="16"/>
      <c r="T1363" s="16"/>
      <c r="U1363" s="16"/>
      <c r="V1363" s="16"/>
      <c r="W1363" s="16"/>
      <c r="X1363" s="16"/>
      <c r="Y1363" s="16"/>
      <c r="Z1363" s="16"/>
      <c r="AA1363" s="16"/>
    </row>
    <row r="1364" spans="1:27" ht="24" customHeight="1">
      <c r="A1364" s="16"/>
      <c r="B1364" s="16"/>
      <c r="C1364" s="16"/>
      <c r="D1364" s="16"/>
      <c r="E1364" s="16"/>
      <c r="F1364" s="16"/>
      <c r="G1364" s="205"/>
      <c r="H1364" s="205"/>
      <c r="I1364" s="16"/>
      <c r="J1364" s="16"/>
      <c r="K1364" s="205"/>
      <c r="L1364" s="16"/>
      <c r="M1364" s="16"/>
      <c r="N1364" s="16"/>
      <c r="O1364" s="16"/>
      <c r="P1364" s="16"/>
      <c r="Q1364" s="16"/>
      <c r="R1364" s="16"/>
      <c r="S1364" s="16"/>
      <c r="T1364" s="16"/>
      <c r="U1364" s="16"/>
      <c r="V1364" s="16"/>
      <c r="W1364" s="16"/>
      <c r="X1364" s="16"/>
      <c r="Y1364" s="16"/>
      <c r="Z1364" s="16"/>
      <c r="AA1364" s="16"/>
    </row>
    <row r="1365" spans="1:27" ht="24" customHeight="1">
      <c r="A1365" s="16"/>
      <c r="B1365" s="16"/>
      <c r="C1365" s="16"/>
      <c r="D1365" s="16"/>
      <c r="E1365" s="16"/>
      <c r="F1365" s="16"/>
      <c r="G1365" s="205"/>
      <c r="H1365" s="205"/>
      <c r="I1365" s="16"/>
      <c r="J1365" s="16"/>
      <c r="K1365" s="205"/>
      <c r="L1365" s="16"/>
      <c r="M1365" s="16"/>
      <c r="N1365" s="16"/>
      <c r="O1365" s="16"/>
      <c r="P1365" s="16"/>
      <c r="Q1365" s="16"/>
      <c r="R1365" s="16"/>
      <c r="S1365" s="16"/>
      <c r="T1365" s="16"/>
      <c r="U1365" s="16"/>
      <c r="V1365" s="16"/>
      <c r="W1365" s="16"/>
      <c r="X1365" s="16"/>
      <c r="Y1365" s="16"/>
      <c r="Z1365" s="16"/>
      <c r="AA1365" s="16"/>
    </row>
    <row r="1366" spans="1:27" ht="24" customHeight="1">
      <c r="A1366" s="16"/>
      <c r="B1366" s="16"/>
      <c r="C1366" s="16"/>
      <c r="D1366" s="16"/>
      <c r="E1366" s="16"/>
      <c r="F1366" s="16"/>
      <c r="G1366" s="205"/>
      <c r="H1366" s="205"/>
      <c r="I1366" s="16"/>
      <c r="J1366" s="16"/>
      <c r="K1366" s="205"/>
      <c r="L1366" s="16"/>
      <c r="M1366" s="16"/>
      <c r="N1366" s="16"/>
      <c r="O1366" s="16"/>
      <c r="P1366" s="16"/>
      <c r="Q1366" s="16"/>
      <c r="R1366" s="16"/>
      <c r="S1366" s="16"/>
      <c r="T1366" s="16"/>
      <c r="U1366" s="16"/>
      <c r="V1366" s="16"/>
      <c r="W1366" s="16"/>
      <c r="X1366" s="16"/>
      <c r="Y1366" s="16"/>
      <c r="Z1366" s="16"/>
      <c r="AA1366" s="16"/>
    </row>
    <row r="1367" spans="1:27" ht="24" customHeight="1">
      <c r="A1367" s="16"/>
      <c r="B1367" s="16"/>
      <c r="C1367" s="16"/>
      <c r="D1367" s="16"/>
      <c r="E1367" s="16"/>
      <c r="F1367" s="16"/>
      <c r="G1367" s="205"/>
      <c r="H1367" s="205"/>
      <c r="I1367" s="16"/>
      <c r="J1367" s="16"/>
      <c r="K1367" s="205"/>
      <c r="L1367" s="16"/>
      <c r="M1367" s="16"/>
      <c r="N1367" s="16"/>
      <c r="O1367" s="16"/>
      <c r="P1367" s="16"/>
      <c r="Q1367" s="16"/>
      <c r="R1367" s="16"/>
      <c r="S1367" s="16"/>
      <c r="T1367" s="16"/>
      <c r="U1367" s="16"/>
      <c r="V1367" s="16"/>
      <c r="W1367" s="16"/>
      <c r="X1367" s="16"/>
      <c r="Y1367" s="16"/>
      <c r="Z1367" s="16"/>
      <c r="AA1367" s="16"/>
    </row>
    <row r="1368" spans="1:27" ht="24" customHeight="1">
      <c r="A1368" s="16"/>
      <c r="B1368" s="16"/>
      <c r="C1368" s="16"/>
      <c r="D1368" s="16"/>
      <c r="E1368" s="16"/>
      <c r="F1368" s="16"/>
      <c r="G1368" s="205"/>
      <c r="H1368" s="205"/>
      <c r="I1368" s="16"/>
      <c r="J1368" s="16"/>
      <c r="K1368" s="205"/>
      <c r="L1368" s="16"/>
      <c r="M1368" s="16"/>
      <c r="N1368" s="16"/>
      <c r="O1368" s="16"/>
      <c r="P1368" s="16"/>
      <c r="Q1368" s="16"/>
      <c r="R1368" s="16"/>
      <c r="S1368" s="16"/>
      <c r="T1368" s="16"/>
      <c r="U1368" s="16"/>
      <c r="V1368" s="16"/>
      <c r="W1368" s="16"/>
      <c r="X1368" s="16"/>
      <c r="Y1368" s="16"/>
      <c r="Z1368" s="16"/>
      <c r="AA1368" s="16"/>
    </row>
    <row r="1369" spans="1:27" ht="24" customHeight="1">
      <c r="A1369" s="16"/>
      <c r="B1369" s="16"/>
      <c r="C1369" s="16"/>
      <c r="D1369" s="16"/>
      <c r="E1369" s="16"/>
      <c r="F1369" s="16"/>
      <c r="G1369" s="205"/>
      <c r="H1369" s="205"/>
      <c r="I1369" s="16"/>
      <c r="J1369" s="16"/>
      <c r="K1369" s="205"/>
      <c r="L1369" s="16"/>
      <c r="M1369" s="16"/>
      <c r="N1369" s="16"/>
      <c r="O1369" s="16"/>
      <c r="P1369" s="16"/>
      <c r="Q1369" s="16"/>
      <c r="R1369" s="16"/>
      <c r="S1369" s="16"/>
      <c r="T1369" s="16"/>
      <c r="U1369" s="16"/>
      <c r="V1369" s="16"/>
      <c r="W1369" s="16"/>
      <c r="X1369" s="16"/>
      <c r="Y1369" s="16"/>
      <c r="Z1369" s="16"/>
      <c r="AA1369" s="16"/>
    </row>
    <row r="1370" spans="1:27" ht="24" customHeight="1">
      <c r="A1370" s="16"/>
      <c r="B1370" s="16"/>
      <c r="C1370" s="16"/>
      <c r="D1370" s="16"/>
      <c r="E1370" s="16"/>
      <c r="F1370" s="16"/>
      <c r="G1370" s="205"/>
      <c r="H1370" s="205"/>
      <c r="I1370" s="16"/>
      <c r="J1370" s="16"/>
      <c r="K1370" s="205"/>
      <c r="L1370" s="16"/>
      <c r="M1370" s="16"/>
      <c r="N1370" s="16"/>
      <c r="O1370" s="16"/>
      <c r="P1370" s="16"/>
      <c r="Q1370" s="16"/>
      <c r="R1370" s="16"/>
      <c r="S1370" s="16"/>
      <c r="T1370" s="16"/>
      <c r="U1370" s="16"/>
      <c r="V1370" s="16"/>
      <c r="W1370" s="16"/>
      <c r="X1370" s="16"/>
      <c r="Y1370" s="16"/>
      <c r="Z1370" s="16"/>
      <c r="AA1370" s="16"/>
    </row>
    <row r="1371" spans="1:27" ht="24" customHeight="1">
      <c r="A1371" s="16"/>
      <c r="B1371" s="16"/>
      <c r="C1371" s="16"/>
      <c r="D1371" s="16"/>
      <c r="E1371" s="16"/>
      <c r="F1371" s="16"/>
      <c r="G1371" s="205"/>
      <c r="H1371" s="205"/>
      <c r="I1371" s="16"/>
      <c r="J1371" s="16"/>
      <c r="K1371" s="205"/>
      <c r="L1371" s="16"/>
      <c r="M1371" s="16"/>
      <c r="N1371" s="16"/>
      <c r="O1371" s="16"/>
      <c r="P1371" s="16"/>
      <c r="Q1371" s="16"/>
      <c r="R1371" s="16"/>
      <c r="S1371" s="16"/>
      <c r="T1371" s="16"/>
      <c r="U1371" s="16"/>
      <c r="V1371" s="16"/>
      <c r="W1371" s="16"/>
      <c r="X1371" s="16"/>
      <c r="Y1371" s="16"/>
      <c r="Z1371" s="16"/>
      <c r="AA1371" s="16"/>
    </row>
    <row r="1372" spans="1:27" ht="24" customHeight="1">
      <c r="A1372" s="16"/>
      <c r="B1372" s="16"/>
      <c r="C1372" s="16"/>
      <c r="D1372" s="16"/>
      <c r="E1372" s="16"/>
      <c r="F1372" s="16"/>
      <c r="G1372" s="205"/>
      <c r="H1372" s="205"/>
      <c r="I1372" s="16"/>
      <c r="J1372" s="16"/>
      <c r="K1372" s="205"/>
      <c r="L1372" s="16"/>
      <c r="M1372" s="16"/>
      <c r="N1372" s="16"/>
      <c r="O1372" s="16"/>
      <c r="P1372" s="16"/>
      <c r="Q1372" s="16"/>
      <c r="R1372" s="16"/>
      <c r="S1372" s="16"/>
      <c r="T1372" s="16"/>
      <c r="U1372" s="16"/>
      <c r="V1372" s="16"/>
      <c r="W1372" s="16"/>
      <c r="X1372" s="16"/>
      <c r="Y1372" s="16"/>
      <c r="Z1372" s="16"/>
      <c r="AA1372" s="16"/>
    </row>
    <row r="1373" spans="1:27" ht="24" customHeight="1">
      <c r="A1373" s="16"/>
      <c r="B1373" s="16"/>
      <c r="C1373" s="16"/>
      <c r="D1373" s="16"/>
      <c r="E1373" s="16"/>
      <c r="F1373" s="16"/>
      <c r="G1373" s="205"/>
      <c r="H1373" s="205"/>
      <c r="I1373" s="16"/>
      <c r="J1373" s="16"/>
      <c r="K1373" s="205"/>
      <c r="L1373" s="16"/>
      <c r="M1373" s="16"/>
      <c r="N1373" s="16"/>
      <c r="O1373" s="16"/>
      <c r="P1373" s="16"/>
      <c r="Q1373" s="16"/>
      <c r="R1373" s="16"/>
      <c r="S1373" s="16"/>
      <c r="T1373" s="16"/>
      <c r="U1373" s="16"/>
      <c r="V1373" s="16"/>
      <c r="W1373" s="16"/>
      <c r="X1373" s="16"/>
      <c r="Y1373" s="16"/>
      <c r="Z1373" s="16"/>
      <c r="AA1373" s="16"/>
    </row>
    <row r="1374" spans="1:27" ht="24" customHeight="1">
      <c r="A1374" s="16"/>
      <c r="B1374" s="16"/>
      <c r="C1374" s="16"/>
      <c r="D1374" s="16"/>
      <c r="E1374" s="16"/>
      <c r="F1374" s="16"/>
      <c r="G1374" s="205"/>
      <c r="H1374" s="205"/>
      <c r="I1374" s="16"/>
      <c r="J1374" s="16"/>
      <c r="K1374" s="205"/>
      <c r="L1374" s="16"/>
      <c r="M1374" s="16"/>
      <c r="N1374" s="16"/>
      <c r="O1374" s="16"/>
      <c r="P1374" s="16"/>
      <c r="Q1374" s="16"/>
      <c r="R1374" s="16"/>
      <c r="S1374" s="16"/>
      <c r="T1374" s="16"/>
      <c r="U1374" s="16"/>
      <c r="V1374" s="16"/>
      <c r="W1374" s="16"/>
      <c r="X1374" s="16"/>
      <c r="Y1374" s="16"/>
      <c r="Z1374" s="16"/>
      <c r="AA1374" s="16"/>
    </row>
    <row r="1375" spans="1:27" ht="24" customHeight="1">
      <c r="A1375" s="16"/>
      <c r="B1375" s="16"/>
      <c r="C1375" s="16"/>
      <c r="D1375" s="16"/>
      <c r="E1375" s="16"/>
      <c r="F1375" s="16"/>
      <c r="G1375" s="205"/>
      <c r="H1375" s="205"/>
      <c r="I1375" s="16"/>
      <c r="J1375" s="16"/>
      <c r="K1375" s="205"/>
      <c r="L1375" s="16"/>
      <c r="M1375" s="16"/>
      <c r="N1375" s="16"/>
      <c r="O1375" s="16"/>
      <c r="P1375" s="16"/>
      <c r="Q1375" s="16"/>
      <c r="R1375" s="16"/>
      <c r="S1375" s="16"/>
      <c r="T1375" s="16"/>
      <c r="U1375" s="16"/>
      <c r="V1375" s="16"/>
      <c r="W1375" s="16"/>
      <c r="X1375" s="16"/>
      <c r="Y1375" s="16"/>
      <c r="Z1375" s="16"/>
      <c r="AA1375" s="16"/>
    </row>
    <row r="1376" spans="1:27" ht="24" customHeight="1">
      <c r="A1376" s="16"/>
      <c r="B1376" s="16"/>
      <c r="C1376" s="16"/>
      <c r="D1376" s="16"/>
      <c r="E1376" s="16"/>
      <c r="F1376" s="16"/>
      <c r="G1376" s="205"/>
      <c r="H1376" s="205"/>
      <c r="I1376" s="16"/>
      <c r="J1376" s="16"/>
      <c r="K1376" s="205"/>
      <c r="L1376" s="16"/>
      <c r="M1376" s="16"/>
      <c r="N1376" s="16"/>
      <c r="O1376" s="16"/>
      <c r="P1376" s="16"/>
      <c r="Q1376" s="16"/>
      <c r="R1376" s="16"/>
      <c r="S1376" s="16"/>
      <c r="T1376" s="16"/>
      <c r="U1376" s="16"/>
      <c r="V1376" s="16"/>
      <c r="W1376" s="16"/>
      <c r="X1376" s="16"/>
      <c r="Y1376" s="16"/>
      <c r="Z1376" s="16"/>
      <c r="AA1376" s="16"/>
    </row>
    <row r="1377" spans="1:27" ht="24" customHeight="1">
      <c r="A1377" s="16"/>
      <c r="B1377" s="16"/>
      <c r="C1377" s="16"/>
      <c r="D1377" s="16"/>
      <c r="E1377" s="16"/>
      <c r="F1377" s="16"/>
      <c r="G1377" s="205"/>
      <c r="H1377" s="205"/>
      <c r="I1377" s="16"/>
      <c r="J1377" s="16"/>
      <c r="K1377" s="205"/>
      <c r="L1377" s="16"/>
      <c r="M1377" s="16"/>
      <c r="N1377" s="16"/>
      <c r="O1377" s="16"/>
      <c r="P1377" s="16"/>
      <c r="Q1377" s="16"/>
      <c r="R1377" s="16"/>
      <c r="S1377" s="16"/>
      <c r="T1377" s="16"/>
      <c r="U1377" s="16"/>
      <c r="V1377" s="16"/>
      <c r="W1377" s="16"/>
      <c r="X1377" s="16"/>
      <c r="Y1377" s="16"/>
      <c r="Z1377" s="16"/>
      <c r="AA1377" s="16"/>
    </row>
    <row r="1378" spans="1:27" ht="24" customHeight="1">
      <c r="A1378" s="16"/>
      <c r="B1378" s="16"/>
      <c r="C1378" s="16"/>
      <c r="D1378" s="16"/>
      <c r="E1378" s="16"/>
      <c r="F1378" s="16"/>
      <c r="G1378" s="205"/>
      <c r="H1378" s="205"/>
      <c r="I1378" s="16"/>
      <c r="J1378" s="16"/>
      <c r="K1378" s="205"/>
      <c r="L1378" s="16"/>
      <c r="M1378" s="16"/>
      <c r="N1378" s="16"/>
      <c r="O1378" s="16"/>
      <c r="P1378" s="16"/>
      <c r="Q1378" s="16"/>
      <c r="R1378" s="16"/>
      <c r="S1378" s="16"/>
      <c r="T1378" s="16"/>
      <c r="U1378" s="16"/>
      <c r="V1378" s="16"/>
      <c r="W1378" s="16"/>
      <c r="X1378" s="16"/>
      <c r="Y1378" s="16"/>
      <c r="Z1378" s="16"/>
      <c r="AA1378" s="16"/>
    </row>
    <row r="1379" spans="1:27" ht="24" customHeight="1">
      <c r="A1379" s="16"/>
      <c r="B1379" s="16"/>
      <c r="C1379" s="16"/>
      <c r="D1379" s="16"/>
      <c r="E1379" s="16"/>
      <c r="F1379" s="16"/>
      <c r="G1379" s="205"/>
      <c r="H1379" s="205"/>
      <c r="I1379" s="16"/>
      <c r="J1379" s="16"/>
      <c r="K1379" s="205"/>
      <c r="L1379" s="16"/>
      <c r="M1379" s="16"/>
      <c r="N1379" s="16"/>
      <c r="O1379" s="16"/>
      <c r="P1379" s="16"/>
      <c r="Q1379" s="16"/>
      <c r="R1379" s="16"/>
      <c r="S1379" s="16"/>
      <c r="T1379" s="16"/>
      <c r="U1379" s="16"/>
      <c r="V1379" s="16"/>
      <c r="W1379" s="16"/>
      <c r="X1379" s="16"/>
      <c r="Y1379" s="16"/>
      <c r="Z1379" s="16"/>
      <c r="AA1379" s="16"/>
    </row>
    <row r="1380" spans="1:27" ht="24" customHeight="1">
      <c r="A1380" s="16"/>
      <c r="B1380" s="16"/>
      <c r="C1380" s="16"/>
      <c r="D1380" s="16"/>
      <c r="E1380" s="16"/>
      <c r="F1380" s="16"/>
      <c r="G1380" s="205"/>
      <c r="H1380" s="205"/>
      <c r="I1380" s="16"/>
      <c r="J1380" s="16"/>
      <c r="K1380" s="205"/>
      <c r="L1380" s="16"/>
      <c r="M1380" s="16"/>
      <c r="N1380" s="16"/>
      <c r="O1380" s="16"/>
      <c r="P1380" s="16"/>
      <c r="Q1380" s="16"/>
      <c r="R1380" s="16"/>
      <c r="S1380" s="16"/>
      <c r="T1380" s="16"/>
      <c r="U1380" s="16"/>
      <c r="V1380" s="16"/>
      <c r="W1380" s="16"/>
      <c r="X1380" s="16"/>
      <c r="Y1380" s="16"/>
      <c r="Z1380" s="16"/>
      <c r="AA1380" s="16"/>
    </row>
    <row r="1381" spans="1:27" ht="24" customHeight="1">
      <c r="A1381" s="16"/>
      <c r="B1381" s="16"/>
      <c r="C1381" s="16"/>
      <c r="D1381" s="16"/>
      <c r="E1381" s="16"/>
      <c r="F1381" s="16"/>
      <c r="G1381" s="205"/>
      <c r="H1381" s="205"/>
      <c r="I1381" s="16"/>
      <c r="J1381" s="16"/>
      <c r="K1381" s="205"/>
      <c r="L1381" s="16"/>
      <c r="M1381" s="16"/>
      <c r="N1381" s="16"/>
      <c r="O1381" s="16"/>
      <c r="P1381" s="16"/>
      <c r="Q1381" s="16"/>
      <c r="R1381" s="16"/>
      <c r="S1381" s="16"/>
      <c r="T1381" s="16"/>
      <c r="U1381" s="16"/>
      <c r="V1381" s="16"/>
      <c r="W1381" s="16"/>
      <c r="X1381" s="16"/>
      <c r="Y1381" s="16"/>
      <c r="Z1381" s="16"/>
      <c r="AA1381" s="16"/>
    </row>
    <row r="1382" spans="1:27" ht="24" customHeight="1">
      <c r="A1382" s="16"/>
      <c r="B1382" s="16"/>
      <c r="C1382" s="16"/>
      <c r="D1382" s="16"/>
      <c r="E1382" s="16"/>
      <c r="F1382" s="16"/>
      <c r="G1382" s="205"/>
      <c r="H1382" s="205"/>
      <c r="I1382" s="16"/>
      <c r="J1382" s="16"/>
      <c r="K1382" s="205"/>
      <c r="L1382" s="16"/>
      <c r="M1382" s="16"/>
      <c r="N1382" s="16"/>
      <c r="O1382" s="16"/>
      <c r="P1382" s="16"/>
      <c r="Q1382" s="16"/>
      <c r="R1382" s="16"/>
      <c r="S1382" s="16"/>
      <c r="T1382" s="16"/>
      <c r="U1382" s="16"/>
      <c r="V1382" s="16"/>
      <c r="W1382" s="16"/>
      <c r="X1382" s="16"/>
      <c r="Y1382" s="16"/>
      <c r="Z1382" s="16"/>
      <c r="AA1382" s="16"/>
    </row>
    <row r="1383" spans="1:27" ht="24" customHeight="1">
      <c r="A1383" s="16"/>
      <c r="B1383" s="16"/>
      <c r="C1383" s="16"/>
      <c r="D1383" s="16"/>
      <c r="E1383" s="16"/>
      <c r="F1383" s="16"/>
      <c r="G1383" s="205"/>
      <c r="H1383" s="205"/>
      <c r="I1383" s="16"/>
      <c r="J1383" s="16"/>
      <c r="K1383" s="205"/>
      <c r="L1383" s="16"/>
      <c r="M1383" s="16"/>
      <c r="N1383" s="16"/>
      <c r="O1383" s="16"/>
      <c r="P1383" s="16"/>
      <c r="Q1383" s="16"/>
      <c r="R1383" s="16"/>
      <c r="S1383" s="16"/>
      <c r="T1383" s="16"/>
      <c r="U1383" s="16"/>
      <c r="V1383" s="16"/>
      <c r="W1383" s="16"/>
      <c r="X1383" s="16"/>
      <c r="Y1383" s="16"/>
      <c r="Z1383" s="16"/>
      <c r="AA1383" s="16"/>
    </row>
    <row r="1384" spans="1:27" ht="24" customHeight="1">
      <c r="A1384" s="16"/>
      <c r="B1384" s="16"/>
      <c r="C1384" s="16"/>
      <c r="D1384" s="16"/>
      <c r="E1384" s="16"/>
      <c r="F1384" s="16"/>
      <c r="G1384" s="205"/>
      <c r="H1384" s="205"/>
      <c r="I1384" s="16"/>
      <c r="J1384" s="16"/>
      <c r="K1384" s="205"/>
      <c r="L1384" s="16"/>
      <c r="M1384" s="16"/>
      <c r="N1384" s="16"/>
      <c r="O1384" s="16"/>
      <c r="P1384" s="16"/>
      <c r="Q1384" s="16"/>
      <c r="R1384" s="16"/>
      <c r="S1384" s="16"/>
      <c r="T1384" s="16"/>
      <c r="U1384" s="16"/>
      <c r="V1384" s="16"/>
      <c r="W1384" s="16"/>
      <c r="X1384" s="16"/>
      <c r="Y1384" s="16"/>
      <c r="Z1384" s="16"/>
      <c r="AA1384" s="16"/>
    </row>
    <row r="1385" spans="1:27" ht="24" customHeight="1">
      <c r="A1385" s="16"/>
      <c r="B1385" s="16"/>
      <c r="C1385" s="16"/>
      <c r="D1385" s="16"/>
      <c r="E1385" s="16"/>
      <c r="F1385" s="16"/>
      <c r="G1385" s="205"/>
      <c r="H1385" s="205"/>
      <c r="I1385" s="16"/>
      <c r="J1385" s="16"/>
      <c r="K1385" s="205"/>
      <c r="L1385" s="16"/>
      <c r="M1385" s="16"/>
      <c r="N1385" s="16"/>
      <c r="O1385" s="16"/>
      <c r="P1385" s="16"/>
      <c r="Q1385" s="16"/>
      <c r="R1385" s="16"/>
      <c r="S1385" s="16"/>
      <c r="T1385" s="16"/>
      <c r="U1385" s="16"/>
      <c r="V1385" s="16"/>
      <c r="W1385" s="16"/>
      <c r="X1385" s="16"/>
      <c r="Y1385" s="16"/>
      <c r="Z1385" s="16"/>
      <c r="AA1385" s="16"/>
    </row>
    <row r="1386" spans="1:27" ht="24" customHeight="1">
      <c r="A1386" s="16"/>
      <c r="B1386" s="16"/>
      <c r="C1386" s="16"/>
      <c r="D1386" s="16"/>
      <c r="E1386" s="16"/>
      <c r="F1386" s="16"/>
      <c r="G1386" s="205"/>
      <c r="H1386" s="205"/>
      <c r="I1386" s="16"/>
      <c r="J1386" s="16"/>
      <c r="K1386" s="205"/>
      <c r="L1386" s="16"/>
      <c r="M1386" s="16"/>
      <c r="N1386" s="16"/>
      <c r="O1386" s="16"/>
      <c r="P1386" s="16"/>
      <c r="Q1386" s="16"/>
      <c r="R1386" s="16"/>
      <c r="S1386" s="16"/>
      <c r="T1386" s="16"/>
      <c r="U1386" s="16"/>
      <c r="V1386" s="16"/>
      <c r="W1386" s="16"/>
      <c r="X1386" s="16"/>
      <c r="Y1386" s="16"/>
      <c r="Z1386" s="16"/>
      <c r="AA1386" s="16"/>
    </row>
    <row r="1387" spans="1:27" ht="24" customHeight="1">
      <c r="A1387" s="16"/>
      <c r="B1387" s="16"/>
      <c r="C1387" s="16"/>
      <c r="D1387" s="16"/>
      <c r="E1387" s="16"/>
      <c r="F1387" s="16"/>
      <c r="G1387" s="205"/>
      <c r="H1387" s="205"/>
      <c r="I1387" s="16"/>
      <c r="J1387" s="16"/>
      <c r="K1387" s="205"/>
      <c r="L1387" s="16"/>
      <c r="M1387" s="16"/>
      <c r="N1387" s="16"/>
      <c r="O1387" s="16"/>
      <c r="P1387" s="16"/>
      <c r="Q1387" s="16"/>
      <c r="R1387" s="16"/>
      <c r="S1387" s="16"/>
      <c r="T1387" s="16"/>
      <c r="U1387" s="16"/>
      <c r="V1387" s="16"/>
      <c r="W1387" s="16"/>
      <c r="X1387" s="16"/>
      <c r="Y1387" s="16"/>
      <c r="Z1387" s="16"/>
      <c r="AA1387" s="16"/>
    </row>
    <row r="1388" spans="1:27" ht="24" customHeight="1">
      <c r="A1388" s="16"/>
      <c r="B1388" s="16"/>
      <c r="C1388" s="16"/>
      <c r="D1388" s="16"/>
      <c r="E1388" s="16"/>
      <c r="F1388" s="16"/>
      <c r="G1388" s="205"/>
      <c r="H1388" s="205"/>
      <c r="I1388" s="16"/>
      <c r="J1388" s="16"/>
      <c r="K1388" s="205"/>
      <c r="L1388" s="16"/>
      <c r="M1388" s="16"/>
      <c r="N1388" s="16"/>
      <c r="O1388" s="16"/>
      <c r="P1388" s="16"/>
      <c r="Q1388" s="16"/>
      <c r="R1388" s="16"/>
      <c r="S1388" s="16"/>
      <c r="T1388" s="16"/>
      <c r="U1388" s="16"/>
      <c r="V1388" s="16"/>
      <c r="W1388" s="16"/>
      <c r="X1388" s="16"/>
      <c r="Y1388" s="16"/>
      <c r="Z1388" s="16"/>
      <c r="AA1388" s="16"/>
    </row>
    <row r="1389" spans="1:27" ht="24" customHeight="1">
      <c r="A1389" s="16"/>
      <c r="B1389" s="16"/>
      <c r="C1389" s="16"/>
      <c r="D1389" s="16"/>
      <c r="E1389" s="16"/>
      <c r="F1389" s="16"/>
      <c r="G1389" s="205"/>
      <c r="H1389" s="205"/>
      <c r="I1389" s="16"/>
      <c r="J1389" s="16"/>
      <c r="K1389" s="205"/>
      <c r="L1389" s="16"/>
      <c r="M1389" s="16"/>
      <c r="N1389" s="16"/>
      <c r="O1389" s="16"/>
      <c r="P1389" s="16"/>
      <c r="Q1389" s="16"/>
      <c r="R1389" s="16"/>
      <c r="S1389" s="16"/>
      <c r="T1389" s="16"/>
      <c r="U1389" s="16"/>
      <c r="V1389" s="16"/>
      <c r="W1389" s="16"/>
      <c r="X1389" s="16"/>
      <c r="Y1389" s="16"/>
      <c r="Z1389" s="16"/>
      <c r="AA1389" s="16"/>
    </row>
    <row r="1390" spans="1:27" ht="24" customHeight="1">
      <c r="A1390" s="16"/>
      <c r="B1390" s="16"/>
      <c r="C1390" s="16"/>
      <c r="D1390" s="16"/>
      <c r="E1390" s="16"/>
      <c r="F1390" s="16"/>
      <c r="G1390" s="205"/>
      <c r="H1390" s="205"/>
      <c r="I1390" s="16"/>
      <c r="J1390" s="16"/>
      <c r="K1390" s="205"/>
      <c r="L1390" s="16"/>
      <c r="M1390" s="16"/>
      <c r="N1390" s="16"/>
      <c r="O1390" s="16"/>
      <c r="P1390" s="16"/>
      <c r="Q1390" s="16"/>
      <c r="R1390" s="16"/>
      <c r="S1390" s="16"/>
      <c r="T1390" s="16"/>
      <c r="U1390" s="16"/>
      <c r="V1390" s="16"/>
      <c r="W1390" s="16"/>
      <c r="X1390" s="16"/>
      <c r="Y1390" s="16"/>
      <c r="Z1390" s="16"/>
      <c r="AA1390" s="16"/>
    </row>
    <row r="1391" spans="1:27" ht="24" customHeight="1">
      <c r="A1391" s="16"/>
      <c r="B1391" s="16"/>
      <c r="C1391" s="16"/>
      <c r="D1391" s="16"/>
      <c r="E1391" s="16"/>
      <c r="F1391" s="16"/>
      <c r="G1391" s="205"/>
      <c r="H1391" s="205"/>
      <c r="I1391" s="16"/>
      <c r="J1391" s="16"/>
      <c r="K1391" s="205"/>
      <c r="L1391" s="16"/>
      <c r="M1391" s="16"/>
      <c r="N1391" s="16"/>
      <c r="O1391" s="16"/>
      <c r="P1391" s="16"/>
      <c r="Q1391" s="16"/>
      <c r="R1391" s="16"/>
      <c r="S1391" s="16"/>
      <c r="T1391" s="16"/>
      <c r="U1391" s="16"/>
      <c r="V1391" s="16"/>
      <c r="W1391" s="16"/>
      <c r="X1391" s="16"/>
      <c r="Y1391" s="16"/>
      <c r="Z1391" s="16"/>
      <c r="AA1391" s="16"/>
    </row>
    <row r="1392" spans="1:27" ht="24" customHeight="1">
      <c r="A1392" s="16"/>
      <c r="B1392" s="16"/>
      <c r="C1392" s="16"/>
      <c r="D1392" s="16"/>
      <c r="E1392" s="16"/>
      <c r="F1392" s="16"/>
      <c r="G1392" s="205"/>
      <c r="H1392" s="205"/>
      <c r="I1392" s="16"/>
      <c r="J1392" s="16"/>
      <c r="K1392" s="205"/>
      <c r="L1392" s="16"/>
      <c r="M1392" s="16"/>
      <c r="N1392" s="16"/>
      <c r="O1392" s="16"/>
      <c r="P1392" s="16"/>
      <c r="Q1392" s="16"/>
      <c r="R1392" s="16"/>
      <c r="S1392" s="16"/>
      <c r="T1392" s="16"/>
      <c r="U1392" s="16"/>
      <c r="V1392" s="16"/>
      <c r="W1392" s="16"/>
      <c r="X1392" s="16"/>
      <c r="Y1392" s="16"/>
      <c r="Z1392" s="16"/>
      <c r="AA1392" s="16"/>
    </row>
    <row r="1393" spans="1:27" ht="24" customHeight="1">
      <c r="A1393" s="16"/>
      <c r="B1393" s="16"/>
      <c r="C1393" s="16"/>
      <c r="D1393" s="16"/>
      <c r="E1393" s="16"/>
      <c r="F1393" s="16"/>
      <c r="G1393" s="205"/>
      <c r="H1393" s="205"/>
      <c r="I1393" s="16"/>
      <c r="J1393" s="16"/>
      <c r="K1393" s="205"/>
      <c r="L1393" s="16"/>
      <c r="M1393" s="16"/>
      <c r="N1393" s="16"/>
      <c r="O1393" s="16"/>
      <c r="P1393" s="16"/>
      <c r="Q1393" s="16"/>
      <c r="R1393" s="16"/>
      <c r="S1393" s="16"/>
      <c r="T1393" s="16"/>
      <c r="U1393" s="16"/>
      <c r="V1393" s="16"/>
      <c r="W1393" s="16"/>
      <c r="X1393" s="16"/>
      <c r="Y1393" s="16"/>
      <c r="Z1393" s="16"/>
      <c r="AA1393" s="16"/>
    </row>
    <row r="1394" spans="1:27" ht="24" customHeight="1">
      <c r="A1394" s="16"/>
      <c r="B1394" s="16"/>
      <c r="C1394" s="16"/>
      <c r="D1394" s="16"/>
      <c r="E1394" s="16"/>
      <c r="F1394" s="16"/>
      <c r="G1394" s="205"/>
      <c r="H1394" s="205"/>
      <c r="I1394" s="16"/>
      <c r="J1394" s="16"/>
      <c r="K1394" s="205"/>
      <c r="L1394" s="16"/>
      <c r="M1394" s="16"/>
      <c r="N1394" s="16"/>
      <c r="O1394" s="16"/>
      <c r="P1394" s="16"/>
      <c r="Q1394" s="16"/>
      <c r="R1394" s="16"/>
      <c r="S1394" s="16"/>
      <c r="T1394" s="16"/>
      <c r="U1394" s="16"/>
      <c r="V1394" s="16"/>
      <c r="W1394" s="16"/>
      <c r="X1394" s="16"/>
      <c r="Y1394" s="16"/>
      <c r="Z1394" s="16"/>
      <c r="AA1394" s="16"/>
    </row>
    <row r="1395" spans="1:27" ht="24" customHeight="1">
      <c r="A1395" s="16"/>
      <c r="B1395" s="16"/>
      <c r="C1395" s="16"/>
      <c r="D1395" s="16"/>
      <c r="E1395" s="16"/>
      <c r="F1395" s="16"/>
      <c r="G1395" s="205"/>
      <c r="H1395" s="205"/>
      <c r="I1395" s="16"/>
      <c r="J1395" s="16"/>
      <c r="K1395" s="205"/>
      <c r="L1395" s="16"/>
      <c r="M1395" s="16"/>
      <c r="N1395" s="16"/>
      <c r="O1395" s="16"/>
      <c r="P1395" s="16"/>
      <c r="Q1395" s="16"/>
      <c r="R1395" s="16"/>
      <c r="S1395" s="16"/>
      <c r="T1395" s="16"/>
      <c r="U1395" s="16"/>
      <c r="V1395" s="16"/>
      <c r="W1395" s="16"/>
      <c r="X1395" s="16"/>
      <c r="Y1395" s="16"/>
      <c r="Z1395" s="16"/>
      <c r="AA1395" s="16"/>
    </row>
    <row r="1396" spans="1:27" ht="24" customHeight="1">
      <c r="A1396" s="16"/>
      <c r="B1396" s="16"/>
      <c r="C1396" s="16"/>
      <c r="D1396" s="16"/>
      <c r="E1396" s="16"/>
      <c r="F1396" s="16"/>
      <c r="G1396" s="205"/>
      <c r="H1396" s="205"/>
      <c r="I1396" s="16"/>
      <c r="J1396" s="16"/>
      <c r="K1396" s="205"/>
      <c r="L1396" s="16"/>
      <c r="M1396" s="16"/>
      <c r="N1396" s="16"/>
      <c r="O1396" s="16"/>
      <c r="P1396" s="16"/>
      <c r="Q1396" s="16"/>
      <c r="R1396" s="16"/>
      <c r="S1396" s="16"/>
      <c r="T1396" s="16"/>
      <c r="U1396" s="16"/>
      <c r="V1396" s="16"/>
      <c r="W1396" s="16"/>
      <c r="X1396" s="16"/>
      <c r="Y1396" s="16"/>
      <c r="Z1396" s="16"/>
      <c r="AA1396" s="16"/>
    </row>
    <row r="1397" spans="1:27" ht="24" customHeight="1">
      <c r="A1397" s="16"/>
      <c r="B1397" s="16"/>
      <c r="C1397" s="16"/>
      <c r="D1397" s="16"/>
      <c r="E1397" s="16"/>
      <c r="F1397" s="16"/>
      <c r="G1397" s="205"/>
      <c r="H1397" s="205"/>
      <c r="I1397" s="16"/>
      <c r="J1397" s="16"/>
      <c r="K1397" s="205"/>
      <c r="L1397" s="16"/>
      <c r="M1397" s="16"/>
      <c r="N1397" s="16"/>
      <c r="O1397" s="16"/>
      <c r="P1397" s="16"/>
      <c r="Q1397" s="16"/>
      <c r="R1397" s="16"/>
      <c r="S1397" s="16"/>
      <c r="T1397" s="16"/>
      <c r="U1397" s="16"/>
      <c r="V1397" s="16"/>
      <c r="W1397" s="16"/>
      <c r="X1397" s="16"/>
      <c r="Y1397" s="16"/>
      <c r="Z1397" s="16"/>
      <c r="AA1397" s="16"/>
    </row>
    <row r="1398" spans="1:27" ht="24" customHeight="1">
      <c r="A1398" s="16"/>
      <c r="B1398" s="16"/>
      <c r="C1398" s="16"/>
      <c r="D1398" s="16"/>
      <c r="E1398" s="16"/>
      <c r="F1398" s="16"/>
      <c r="G1398" s="205"/>
      <c r="H1398" s="205"/>
      <c r="I1398" s="16"/>
      <c r="J1398" s="16"/>
      <c r="K1398" s="205"/>
      <c r="L1398" s="16"/>
      <c r="M1398" s="16"/>
      <c r="N1398" s="16"/>
      <c r="O1398" s="16"/>
      <c r="P1398" s="16"/>
      <c r="Q1398" s="16"/>
      <c r="R1398" s="16"/>
      <c r="S1398" s="16"/>
      <c r="T1398" s="16"/>
      <c r="U1398" s="16"/>
      <c r="V1398" s="16"/>
      <c r="W1398" s="16"/>
      <c r="X1398" s="16"/>
      <c r="Y1398" s="16"/>
      <c r="Z1398" s="16"/>
      <c r="AA1398" s="16"/>
    </row>
    <row r="1399" spans="1:27" ht="24" customHeight="1">
      <c r="A1399" s="16"/>
      <c r="B1399" s="16"/>
      <c r="C1399" s="16"/>
      <c r="D1399" s="16"/>
      <c r="E1399" s="16"/>
      <c r="F1399" s="16"/>
      <c r="G1399" s="205"/>
      <c r="H1399" s="205"/>
      <c r="I1399" s="16"/>
      <c r="J1399" s="16"/>
      <c r="K1399" s="205"/>
      <c r="L1399" s="16"/>
      <c r="M1399" s="16"/>
      <c r="N1399" s="16"/>
      <c r="O1399" s="16"/>
      <c r="P1399" s="16"/>
      <c r="Q1399" s="16"/>
      <c r="R1399" s="16"/>
      <c r="S1399" s="16"/>
      <c r="T1399" s="16"/>
      <c r="U1399" s="16"/>
      <c r="V1399" s="16"/>
      <c r="W1399" s="16"/>
      <c r="X1399" s="16"/>
      <c r="Y1399" s="16"/>
      <c r="Z1399" s="16"/>
      <c r="AA1399" s="16"/>
    </row>
    <row r="1400" spans="1:27" ht="24" customHeight="1">
      <c r="A1400" s="16"/>
      <c r="B1400" s="16"/>
      <c r="C1400" s="16"/>
      <c r="D1400" s="16"/>
      <c r="E1400" s="16"/>
      <c r="F1400" s="16"/>
      <c r="G1400" s="205"/>
      <c r="H1400" s="205"/>
      <c r="I1400" s="16"/>
      <c r="J1400" s="16"/>
      <c r="K1400" s="205"/>
      <c r="L1400" s="16"/>
      <c r="M1400" s="16"/>
      <c r="N1400" s="16"/>
      <c r="O1400" s="16"/>
      <c r="P1400" s="16"/>
      <c r="Q1400" s="16"/>
      <c r="R1400" s="16"/>
      <c r="S1400" s="16"/>
      <c r="T1400" s="16"/>
      <c r="U1400" s="16"/>
      <c r="V1400" s="16"/>
      <c r="W1400" s="16"/>
      <c r="X1400" s="16"/>
      <c r="Y1400" s="16"/>
      <c r="Z1400" s="16"/>
      <c r="AA1400" s="16"/>
    </row>
    <row r="1401" spans="1:27" ht="24" customHeight="1">
      <c r="A1401" s="16"/>
      <c r="B1401" s="16"/>
      <c r="C1401" s="16"/>
      <c r="D1401" s="16"/>
      <c r="E1401" s="16"/>
      <c r="F1401" s="16"/>
      <c r="G1401" s="205"/>
      <c r="H1401" s="205"/>
      <c r="I1401" s="16"/>
      <c r="J1401" s="16"/>
      <c r="K1401" s="205"/>
      <c r="L1401" s="16"/>
      <c r="M1401" s="16"/>
      <c r="N1401" s="16"/>
      <c r="O1401" s="16"/>
      <c r="P1401" s="16"/>
      <c r="Q1401" s="16"/>
      <c r="R1401" s="16"/>
      <c r="S1401" s="16"/>
      <c r="T1401" s="16"/>
      <c r="U1401" s="16"/>
      <c r="V1401" s="16"/>
      <c r="W1401" s="16"/>
      <c r="X1401" s="16"/>
      <c r="Y1401" s="16"/>
      <c r="Z1401" s="16"/>
      <c r="AA1401" s="16"/>
    </row>
    <row r="1402" spans="1:27" ht="24" customHeight="1">
      <c r="A1402" s="16"/>
      <c r="B1402" s="16"/>
      <c r="C1402" s="16"/>
      <c r="D1402" s="16"/>
      <c r="E1402" s="16"/>
      <c r="F1402" s="16"/>
      <c r="G1402" s="205"/>
      <c r="H1402" s="205"/>
      <c r="I1402" s="16"/>
      <c r="J1402" s="16"/>
      <c r="K1402" s="205"/>
      <c r="L1402" s="16"/>
      <c r="M1402" s="16"/>
      <c r="N1402" s="16"/>
      <c r="O1402" s="16"/>
      <c r="P1402" s="16"/>
      <c r="Q1402" s="16"/>
      <c r="R1402" s="16"/>
      <c r="S1402" s="16"/>
      <c r="T1402" s="16"/>
      <c r="U1402" s="16"/>
      <c r="V1402" s="16"/>
      <c r="W1402" s="16"/>
      <c r="X1402" s="16"/>
      <c r="Y1402" s="16"/>
      <c r="Z1402" s="16"/>
      <c r="AA1402" s="16"/>
    </row>
    <row r="1403" spans="1:27" ht="24" customHeight="1">
      <c r="A1403" s="16"/>
      <c r="B1403" s="16"/>
      <c r="C1403" s="16"/>
      <c r="D1403" s="16"/>
      <c r="E1403" s="16"/>
      <c r="F1403" s="16"/>
      <c r="G1403" s="205"/>
      <c r="H1403" s="205"/>
      <c r="I1403" s="16"/>
      <c r="J1403" s="16"/>
      <c r="K1403" s="205"/>
      <c r="L1403" s="16"/>
      <c r="M1403" s="16"/>
      <c r="N1403" s="16"/>
      <c r="O1403" s="16"/>
      <c r="P1403" s="16"/>
      <c r="Q1403" s="16"/>
      <c r="R1403" s="16"/>
      <c r="S1403" s="16"/>
      <c r="T1403" s="16"/>
      <c r="U1403" s="16"/>
      <c r="V1403" s="16"/>
      <c r="W1403" s="16"/>
      <c r="X1403" s="16"/>
      <c r="Y1403" s="16"/>
      <c r="Z1403" s="16"/>
      <c r="AA1403" s="16"/>
    </row>
    <row r="1404" spans="1:27" ht="24" customHeight="1">
      <c r="A1404" s="16"/>
      <c r="B1404" s="16"/>
      <c r="C1404" s="16"/>
      <c r="D1404" s="16"/>
      <c r="E1404" s="16"/>
      <c r="F1404" s="16"/>
      <c r="G1404" s="205"/>
      <c r="H1404" s="205"/>
      <c r="I1404" s="16"/>
      <c r="J1404" s="16"/>
      <c r="K1404" s="205"/>
      <c r="L1404" s="16"/>
      <c r="M1404" s="16"/>
      <c r="N1404" s="16"/>
      <c r="O1404" s="16"/>
      <c r="P1404" s="16"/>
      <c r="Q1404" s="16"/>
      <c r="R1404" s="16"/>
      <c r="S1404" s="16"/>
      <c r="T1404" s="16"/>
      <c r="U1404" s="16"/>
      <c r="V1404" s="16"/>
      <c r="W1404" s="16"/>
      <c r="X1404" s="16"/>
      <c r="Y1404" s="16"/>
      <c r="Z1404" s="16"/>
      <c r="AA1404" s="16"/>
    </row>
    <row r="1405" spans="1:27" ht="24" customHeight="1">
      <c r="A1405" s="16"/>
      <c r="B1405" s="16"/>
      <c r="C1405" s="16"/>
      <c r="D1405" s="16"/>
      <c r="E1405" s="16"/>
      <c r="F1405" s="16"/>
      <c r="G1405" s="205"/>
      <c r="H1405" s="205"/>
      <c r="I1405" s="16"/>
      <c r="J1405" s="16"/>
      <c r="K1405" s="205"/>
      <c r="L1405" s="16"/>
      <c r="M1405" s="16"/>
      <c r="N1405" s="16"/>
      <c r="O1405" s="16"/>
      <c r="P1405" s="16"/>
      <c r="Q1405" s="16"/>
      <c r="R1405" s="16"/>
      <c r="S1405" s="16"/>
      <c r="T1405" s="16"/>
      <c r="U1405" s="16"/>
      <c r="V1405" s="16"/>
      <c r="W1405" s="16"/>
      <c r="X1405" s="16"/>
      <c r="Y1405" s="16"/>
      <c r="Z1405" s="16"/>
      <c r="AA1405" s="16"/>
    </row>
    <row r="1406" spans="1:27" ht="24" customHeight="1">
      <c r="A1406" s="16"/>
      <c r="B1406" s="16"/>
      <c r="C1406" s="16"/>
      <c r="D1406" s="16"/>
      <c r="E1406" s="16"/>
      <c r="F1406" s="16"/>
      <c r="G1406" s="205"/>
      <c r="H1406" s="205"/>
      <c r="I1406" s="16"/>
      <c r="J1406" s="16"/>
      <c r="K1406" s="205"/>
      <c r="L1406" s="16"/>
      <c r="M1406" s="16"/>
      <c r="N1406" s="16"/>
      <c r="O1406" s="16"/>
      <c r="P1406" s="16"/>
      <c r="Q1406" s="16"/>
      <c r="R1406" s="16"/>
      <c r="S1406" s="16"/>
      <c r="T1406" s="16"/>
      <c r="U1406" s="16"/>
      <c r="V1406" s="16"/>
      <c r="W1406" s="16"/>
      <c r="X1406" s="16"/>
      <c r="Y1406" s="16"/>
      <c r="Z1406" s="16"/>
      <c r="AA1406" s="16"/>
    </row>
    <row r="1407" spans="1:27" ht="24" customHeight="1">
      <c r="A1407" s="16"/>
      <c r="B1407" s="16"/>
      <c r="C1407" s="16"/>
      <c r="D1407" s="16"/>
      <c r="E1407" s="16"/>
      <c r="F1407" s="16"/>
      <c r="G1407" s="205"/>
      <c r="H1407" s="205"/>
      <c r="I1407" s="16"/>
      <c r="J1407" s="16"/>
      <c r="K1407" s="205"/>
      <c r="L1407" s="16"/>
      <c r="M1407" s="16"/>
      <c r="N1407" s="16"/>
      <c r="O1407" s="16"/>
      <c r="P1407" s="16"/>
      <c r="Q1407" s="16"/>
      <c r="R1407" s="16"/>
      <c r="S1407" s="16"/>
      <c r="T1407" s="16"/>
      <c r="U1407" s="16"/>
      <c r="V1407" s="16"/>
      <c r="W1407" s="16"/>
      <c r="X1407" s="16"/>
      <c r="Y1407" s="16"/>
      <c r="Z1407" s="16"/>
      <c r="AA1407" s="16"/>
    </row>
    <row r="1408" spans="1:27" ht="24" customHeight="1">
      <c r="A1408" s="16"/>
      <c r="B1408" s="16"/>
      <c r="C1408" s="16"/>
      <c r="D1408" s="16"/>
      <c r="E1408" s="16"/>
      <c r="F1408" s="16"/>
      <c r="G1408" s="205"/>
      <c r="H1408" s="205"/>
      <c r="I1408" s="16"/>
      <c r="J1408" s="16"/>
      <c r="K1408" s="205"/>
      <c r="L1408" s="16"/>
      <c r="M1408" s="16"/>
      <c r="N1408" s="16"/>
      <c r="O1408" s="16"/>
      <c r="P1408" s="16"/>
      <c r="Q1408" s="16"/>
      <c r="R1408" s="16"/>
      <c r="S1408" s="16"/>
      <c r="T1408" s="16"/>
      <c r="U1408" s="16"/>
      <c r="V1408" s="16"/>
      <c r="W1408" s="16"/>
      <c r="X1408" s="16"/>
      <c r="Y1408" s="16"/>
      <c r="Z1408" s="16"/>
      <c r="AA1408" s="16"/>
    </row>
    <row r="1409" spans="1:27" ht="24" customHeight="1">
      <c r="A1409" s="16"/>
      <c r="B1409" s="16"/>
      <c r="C1409" s="16"/>
      <c r="D1409" s="16"/>
      <c r="E1409" s="16"/>
      <c r="F1409" s="16"/>
      <c r="G1409" s="205"/>
      <c r="H1409" s="205"/>
      <c r="I1409" s="16"/>
      <c r="J1409" s="16"/>
      <c r="K1409" s="205"/>
      <c r="L1409" s="16"/>
      <c r="M1409" s="16"/>
      <c r="N1409" s="16"/>
      <c r="O1409" s="16"/>
      <c r="P1409" s="16"/>
      <c r="Q1409" s="16"/>
      <c r="R1409" s="16"/>
      <c r="S1409" s="16"/>
      <c r="T1409" s="16"/>
      <c r="U1409" s="16"/>
      <c r="V1409" s="16"/>
      <c r="W1409" s="16"/>
      <c r="X1409" s="16"/>
      <c r="Y1409" s="16"/>
      <c r="Z1409" s="16"/>
      <c r="AA1409" s="16"/>
    </row>
    <row r="1410" spans="1:27" ht="24" customHeight="1">
      <c r="A1410" s="16"/>
      <c r="B1410" s="16"/>
      <c r="C1410" s="16"/>
      <c r="D1410" s="16"/>
      <c r="E1410" s="16"/>
      <c r="F1410" s="16"/>
      <c r="G1410" s="205"/>
      <c r="H1410" s="205"/>
      <c r="I1410" s="16"/>
      <c r="J1410" s="16"/>
      <c r="K1410" s="205"/>
      <c r="L1410" s="16"/>
      <c r="M1410" s="16"/>
      <c r="N1410" s="16"/>
      <c r="O1410" s="16"/>
      <c r="P1410" s="16"/>
      <c r="Q1410" s="16"/>
      <c r="R1410" s="16"/>
      <c r="S1410" s="16"/>
      <c r="T1410" s="16"/>
      <c r="U1410" s="16"/>
      <c r="V1410" s="16"/>
      <c r="W1410" s="16"/>
      <c r="X1410" s="16"/>
      <c r="Y1410" s="16"/>
      <c r="Z1410" s="16"/>
      <c r="AA1410" s="16"/>
    </row>
    <row r="1411" spans="1:27" ht="24" customHeight="1">
      <c r="A1411" s="16"/>
      <c r="B1411" s="16"/>
      <c r="C1411" s="16"/>
      <c r="D1411" s="16"/>
      <c r="E1411" s="16"/>
      <c r="F1411" s="16"/>
      <c r="G1411" s="205"/>
      <c r="H1411" s="205"/>
      <c r="I1411" s="16"/>
      <c r="J1411" s="16"/>
      <c r="K1411" s="205"/>
      <c r="L1411" s="16"/>
      <c r="M1411" s="16"/>
      <c r="N1411" s="16"/>
      <c r="O1411" s="16"/>
      <c r="P1411" s="16"/>
      <c r="Q1411" s="16"/>
      <c r="R1411" s="16"/>
      <c r="S1411" s="16"/>
      <c r="T1411" s="16"/>
      <c r="U1411" s="16"/>
      <c r="V1411" s="16"/>
      <c r="W1411" s="16"/>
      <c r="X1411" s="16"/>
      <c r="Y1411" s="16"/>
      <c r="Z1411" s="16"/>
      <c r="AA1411" s="16"/>
    </row>
    <row r="1412" spans="1:27" ht="24" customHeight="1">
      <c r="A1412" s="16"/>
      <c r="B1412" s="16"/>
      <c r="C1412" s="16"/>
      <c r="D1412" s="16"/>
      <c r="E1412" s="16"/>
      <c r="F1412" s="16"/>
      <c r="G1412" s="205"/>
      <c r="H1412" s="205"/>
      <c r="I1412" s="16"/>
      <c r="J1412" s="16"/>
      <c r="K1412" s="205"/>
      <c r="L1412" s="16"/>
      <c r="M1412" s="16"/>
      <c r="N1412" s="16"/>
      <c r="O1412" s="16"/>
      <c r="P1412" s="16"/>
      <c r="Q1412" s="16"/>
      <c r="R1412" s="16"/>
      <c r="S1412" s="16"/>
      <c r="T1412" s="16"/>
      <c r="U1412" s="16"/>
      <c r="V1412" s="16"/>
      <c r="W1412" s="16"/>
      <c r="X1412" s="16"/>
      <c r="Y1412" s="16"/>
      <c r="Z1412" s="16"/>
      <c r="AA1412" s="16"/>
    </row>
    <row r="1413" spans="1:27" ht="24" customHeight="1">
      <c r="A1413" s="16"/>
      <c r="B1413" s="16"/>
      <c r="C1413" s="16"/>
      <c r="D1413" s="16"/>
      <c r="E1413" s="16"/>
      <c r="F1413" s="16"/>
      <c r="G1413" s="205"/>
      <c r="H1413" s="205"/>
      <c r="I1413" s="16"/>
      <c r="J1413" s="16"/>
      <c r="K1413" s="205"/>
      <c r="L1413" s="16"/>
      <c r="M1413" s="16"/>
      <c r="N1413" s="16"/>
      <c r="O1413" s="16"/>
      <c r="P1413" s="16"/>
      <c r="Q1413" s="16"/>
      <c r="R1413" s="16"/>
      <c r="S1413" s="16"/>
      <c r="T1413" s="16"/>
      <c r="U1413" s="16"/>
      <c r="V1413" s="16"/>
      <c r="W1413" s="16"/>
      <c r="X1413" s="16"/>
      <c r="Y1413" s="16"/>
      <c r="Z1413" s="16"/>
      <c r="AA1413" s="16"/>
    </row>
    <row r="1414" spans="1:27" ht="24" customHeight="1">
      <c r="A1414" s="16"/>
      <c r="B1414" s="16"/>
      <c r="C1414" s="16"/>
      <c r="D1414" s="16"/>
      <c r="E1414" s="16"/>
      <c r="F1414" s="16"/>
      <c r="G1414" s="205"/>
      <c r="H1414" s="205"/>
      <c r="I1414" s="16"/>
      <c r="J1414" s="16"/>
      <c r="K1414" s="205"/>
      <c r="L1414" s="16"/>
      <c r="M1414" s="16"/>
      <c r="N1414" s="16"/>
      <c r="O1414" s="16"/>
      <c r="P1414" s="16"/>
      <c r="Q1414" s="16"/>
      <c r="R1414" s="16"/>
      <c r="S1414" s="16"/>
      <c r="T1414" s="16"/>
      <c r="U1414" s="16"/>
      <c r="V1414" s="16"/>
      <c r="W1414" s="16"/>
      <c r="X1414" s="16"/>
      <c r="Y1414" s="16"/>
      <c r="Z1414" s="16"/>
      <c r="AA1414" s="16"/>
    </row>
    <row r="1415" spans="1:27" ht="24" customHeight="1">
      <c r="A1415" s="16"/>
      <c r="B1415" s="16"/>
      <c r="C1415" s="16"/>
      <c r="D1415" s="16"/>
      <c r="E1415" s="16"/>
      <c r="F1415" s="16"/>
      <c r="G1415" s="205"/>
      <c r="H1415" s="205"/>
      <c r="I1415" s="16"/>
      <c r="J1415" s="16"/>
      <c r="K1415" s="205"/>
      <c r="L1415" s="16"/>
      <c r="M1415" s="16"/>
      <c r="N1415" s="16"/>
      <c r="O1415" s="16"/>
      <c r="P1415" s="16"/>
      <c r="Q1415" s="16"/>
      <c r="R1415" s="16"/>
      <c r="S1415" s="16"/>
      <c r="T1415" s="16"/>
      <c r="U1415" s="16"/>
      <c r="V1415" s="16"/>
      <c r="W1415" s="16"/>
      <c r="X1415" s="16"/>
      <c r="Y1415" s="16"/>
      <c r="Z1415" s="16"/>
      <c r="AA1415" s="16"/>
    </row>
    <row r="1416" spans="1:27" ht="24" customHeight="1">
      <c r="A1416" s="16"/>
      <c r="B1416" s="16"/>
      <c r="C1416" s="16"/>
      <c r="D1416" s="16"/>
      <c r="E1416" s="16"/>
      <c r="F1416" s="16"/>
      <c r="G1416" s="205"/>
      <c r="H1416" s="205"/>
      <c r="I1416" s="16"/>
      <c r="J1416" s="16"/>
      <c r="K1416" s="205"/>
      <c r="L1416" s="16"/>
      <c r="M1416" s="16"/>
      <c r="N1416" s="16"/>
      <c r="O1416" s="16"/>
      <c r="P1416" s="16"/>
      <c r="Q1416" s="16"/>
      <c r="R1416" s="16"/>
      <c r="S1416" s="16"/>
      <c r="T1416" s="16"/>
      <c r="U1416" s="16"/>
      <c r="V1416" s="16"/>
      <c r="W1416" s="16"/>
      <c r="X1416" s="16"/>
      <c r="Y1416" s="16"/>
      <c r="Z1416" s="16"/>
      <c r="AA1416" s="16"/>
    </row>
    <row r="1417" spans="1:27" ht="24" customHeight="1">
      <c r="A1417" s="16"/>
      <c r="B1417" s="16"/>
      <c r="C1417" s="16"/>
      <c r="D1417" s="16"/>
      <c r="E1417" s="16"/>
      <c r="F1417" s="16"/>
      <c r="G1417" s="205"/>
      <c r="H1417" s="205"/>
      <c r="I1417" s="16"/>
      <c r="J1417" s="16"/>
      <c r="K1417" s="205"/>
      <c r="L1417" s="16"/>
      <c r="M1417" s="16"/>
      <c r="N1417" s="16"/>
      <c r="O1417" s="16"/>
      <c r="P1417" s="16"/>
      <c r="Q1417" s="16"/>
      <c r="R1417" s="16"/>
      <c r="S1417" s="16"/>
      <c r="T1417" s="16"/>
      <c r="U1417" s="16"/>
      <c r="V1417" s="16"/>
      <c r="W1417" s="16"/>
      <c r="X1417" s="16"/>
      <c r="Y1417" s="16"/>
      <c r="Z1417" s="16"/>
      <c r="AA1417" s="16"/>
    </row>
    <row r="1418" spans="1:27" ht="24" customHeight="1">
      <c r="A1418" s="16"/>
      <c r="B1418" s="16"/>
      <c r="C1418" s="16"/>
      <c r="D1418" s="16"/>
      <c r="E1418" s="16"/>
      <c r="F1418" s="16"/>
      <c r="G1418" s="205"/>
      <c r="H1418" s="205"/>
      <c r="I1418" s="16"/>
      <c r="J1418" s="16"/>
      <c r="K1418" s="205"/>
      <c r="L1418" s="16"/>
      <c r="M1418" s="16"/>
      <c r="N1418" s="16"/>
      <c r="O1418" s="16"/>
      <c r="P1418" s="16"/>
      <c r="Q1418" s="16"/>
      <c r="R1418" s="16"/>
      <c r="S1418" s="16"/>
      <c r="T1418" s="16"/>
      <c r="U1418" s="16"/>
      <c r="V1418" s="16"/>
      <c r="W1418" s="16"/>
      <c r="X1418" s="16"/>
      <c r="Y1418" s="16"/>
      <c r="Z1418" s="16"/>
      <c r="AA1418" s="16"/>
    </row>
    <row r="1419" spans="1:27" ht="24" customHeight="1">
      <c r="A1419" s="16"/>
      <c r="B1419" s="16"/>
      <c r="C1419" s="16"/>
      <c r="D1419" s="16"/>
      <c r="E1419" s="16"/>
      <c r="F1419" s="16"/>
      <c r="G1419" s="205"/>
      <c r="H1419" s="205"/>
      <c r="I1419" s="16"/>
      <c r="J1419" s="16"/>
      <c r="K1419" s="205"/>
      <c r="L1419" s="16"/>
      <c r="M1419" s="16"/>
      <c r="N1419" s="16"/>
      <c r="O1419" s="16"/>
      <c r="P1419" s="16"/>
      <c r="Q1419" s="16"/>
      <c r="R1419" s="16"/>
      <c r="S1419" s="16"/>
      <c r="T1419" s="16"/>
      <c r="U1419" s="16"/>
      <c r="V1419" s="16"/>
      <c r="W1419" s="16"/>
      <c r="X1419" s="16"/>
      <c r="Y1419" s="16"/>
      <c r="Z1419" s="16"/>
      <c r="AA1419" s="16"/>
    </row>
    <row r="1420" spans="1:27" ht="24" customHeight="1">
      <c r="A1420" s="16"/>
      <c r="B1420" s="16"/>
      <c r="C1420" s="16"/>
      <c r="D1420" s="16"/>
      <c r="E1420" s="16"/>
      <c r="F1420" s="16"/>
      <c r="G1420" s="205"/>
      <c r="H1420" s="205"/>
      <c r="I1420" s="16"/>
      <c r="J1420" s="16"/>
      <c r="K1420" s="205"/>
      <c r="L1420" s="16"/>
      <c r="M1420" s="16"/>
      <c r="N1420" s="16"/>
      <c r="O1420" s="16"/>
      <c r="P1420" s="16"/>
      <c r="Q1420" s="16"/>
      <c r="R1420" s="16"/>
      <c r="S1420" s="16"/>
      <c r="T1420" s="16"/>
      <c r="U1420" s="16"/>
      <c r="V1420" s="16"/>
      <c r="W1420" s="16"/>
      <c r="X1420" s="16"/>
      <c r="Y1420" s="16"/>
      <c r="Z1420" s="16"/>
      <c r="AA1420" s="16"/>
    </row>
    <row r="1421" spans="1:27" ht="24" customHeight="1">
      <c r="A1421" s="16"/>
      <c r="B1421" s="16"/>
      <c r="C1421" s="16"/>
      <c r="D1421" s="16"/>
      <c r="E1421" s="16"/>
      <c r="F1421" s="16"/>
      <c r="G1421" s="205"/>
      <c r="H1421" s="205"/>
      <c r="I1421" s="16"/>
      <c r="J1421" s="16"/>
      <c r="K1421" s="205"/>
      <c r="L1421" s="16"/>
      <c r="M1421" s="16"/>
      <c r="N1421" s="16"/>
      <c r="O1421" s="16"/>
      <c r="P1421" s="16"/>
      <c r="Q1421" s="16"/>
      <c r="R1421" s="16"/>
      <c r="S1421" s="16"/>
      <c r="T1421" s="16"/>
      <c r="U1421" s="16"/>
      <c r="V1421" s="16"/>
      <c r="W1421" s="16"/>
      <c r="X1421" s="16"/>
      <c r="Y1421" s="16"/>
      <c r="Z1421" s="16"/>
      <c r="AA1421" s="16"/>
    </row>
    <row r="1422" spans="1:27" ht="24" customHeight="1">
      <c r="A1422" s="16"/>
      <c r="B1422" s="16"/>
      <c r="C1422" s="16"/>
      <c r="D1422" s="16"/>
      <c r="E1422" s="16"/>
      <c r="F1422" s="16"/>
      <c r="G1422" s="205"/>
      <c r="H1422" s="205"/>
      <c r="I1422" s="16"/>
      <c r="J1422" s="16"/>
      <c r="K1422" s="205"/>
      <c r="L1422" s="16"/>
      <c r="M1422" s="16"/>
      <c r="N1422" s="16"/>
      <c r="O1422" s="16"/>
      <c r="P1422" s="16"/>
      <c r="Q1422" s="16"/>
      <c r="R1422" s="16"/>
      <c r="S1422" s="16"/>
      <c r="T1422" s="16"/>
      <c r="U1422" s="16"/>
      <c r="V1422" s="16"/>
      <c r="W1422" s="16"/>
      <c r="X1422" s="16"/>
      <c r="Y1422" s="16"/>
      <c r="Z1422" s="16"/>
      <c r="AA1422" s="16"/>
    </row>
    <row r="1423" spans="1:27" ht="24" customHeight="1">
      <c r="A1423" s="16"/>
      <c r="B1423" s="16"/>
      <c r="C1423" s="16"/>
      <c r="D1423" s="16"/>
      <c r="E1423" s="16"/>
      <c r="F1423" s="16"/>
      <c r="G1423" s="205"/>
      <c r="H1423" s="205"/>
      <c r="I1423" s="16"/>
      <c r="J1423" s="16"/>
      <c r="K1423" s="205"/>
      <c r="L1423" s="16"/>
      <c r="M1423" s="16"/>
      <c r="N1423" s="16"/>
      <c r="O1423" s="16"/>
      <c r="P1423" s="16"/>
      <c r="Q1423" s="16"/>
      <c r="R1423" s="16"/>
      <c r="S1423" s="16"/>
      <c r="T1423" s="16"/>
      <c r="U1423" s="16"/>
      <c r="V1423" s="16"/>
      <c r="W1423" s="16"/>
      <c r="X1423" s="16"/>
      <c r="Y1423" s="16"/>
      <c r="Z1423" s="16"/>
      <c r="AA1423" s="16"/>
    </row>
    <row r="1424" spans="1:27" ht="24" customHeight="1">
      <c r="A1424" s="16"/>
      <c r="B1424" s="16"/>
      <c r="C1424" s="16"/>
      <c r="D1424" s="16"/>
      <c r="E1424" s="16"/>
      <c r="F1424" s="16"/>
      <c r="G1424" s="205"/>
      <c r="H1424" s="205"/>
      <c r="I1424" s="16"/>
      <c r="J1424" s="16"/>
      <c r="K1424" s="205"/>
      <c r="L1424" s="16"/>
      <c r="M1424" s="16"/>
      <c r="N1424" s="16"/>
      <c r="O1424" s="16"/>
      <c r="P1424" s="16"/>
      <c r="Q1424" s="16"/>
      <c r="R1424" s="16"/>
      <c r="S1424" s="16"/>
      <c r="T1424" s="16"/>
      <c r="U1424" s="16"/>
      <c r="V1424" s="16"/>
      <c r="W1424" s="16"/>
      <c r="X1424" s="16"/>
      <c r="Y1424" s="16"/>
      <c r="Z1424" s="16"/>
      <c r="AA1424" s="16"/>
    </row>
    <row r="1425" spans="1:27" ht="24" customHeight="1">
      <c r="A1425" s="16"/>
      <c r="B1425" s="16"/>
      <c r="C1425" s="16"/>
      <c r="D1425" s="16"/>
      <c r="E1425" s="16"/>
      <c r="F1425" s="16"/>
      <c r="G1425" s="205"/>
      <c r="H1425" s="205"/>
      <c r="I1425" s="16"/>
      <c r="J1425" s="16"/>
      <c r="K1425" s="205"/>
      <c r="L1425" s="16"/>
      <c r="M1425" s="16"/>
      <c r="N1425" s="16"/>
      <c r="O1425" s="16"/>
      <c r="P1425" s="16"/>
      <c r="Q1425" s="16"/>
      <c r="R1425" s="16"/>
      <c r="S1425" s="16"/>
      <c r="T1425" s="16"/>
      <c r="U1425" s="16"/>
      <c r="V1425" s="16"/>
      <c r="W1425" s="16"/>
      <c r="X1425" s="16"/>
      <c r="Y1425" s="16"/>
      <c r="Z1425" s="16"/>
      <c r="AA1425" s="16"/>
    </row>
    <row r="1426" spans="1:27" ht="24" customHeight="1">
      <c r="A1426" s="16"/>
      <c r="B1426" s="16"/>
      <c r="C1426" s="16"/>
      <c r="D1426" s="16"/>
      <c r="E1426" s="16"/>
      <c r="F1426" s="16"/>
      <c r="G1426" s="205"/>
      <c r="H1426" s="205"/>
      <c r="I1426" s="16"/>
      <c r="J1426" s="16"/>
      <c r="K1426" s="205"/>
      <c r="L1426" s="16"/>
      <c r="M1426" s="16"/>
      <c r="N1426" s="16"/>
      <c r="O1426" s="16"/>
      <c r="P1426" s="16"/>
      <c r="Q1426" s="16"/>
      <c r="R1426" s="16"/>
      <c r="S1426" s="16"/>
      <c r="T1426" s="16"/>
      <c r="U1426" s="16"/>
      <c r="V1426" s="16"/>
      <c r="W1426" s="16"/>
      <c r="X1426" s="16"/>
      <c r="Y1426" s="16"/>
      <c r="Z1426" s="16"/>
      <c r="AA1426" s="16"/>
    </row>
    <row r="1427" spans="1:27" ht="24" customHeight="1">
      <c r="A1427" s="16"/>
      <c r="B1427" s="16"/>
      <c r="C1427" s="16"/>
      <c r="D1427" s="16"/>
      <c r="E1427" s="16"/>
      <c r="F1427" s="16"/>
      <c r="G1427" s="205"/>
      <c r="H1427" s="205"/>
      <c r="I1427" s="16"/>
      <c r="J1427" s="16"/>
      <c r="K1427" s="205"/>
      <c r="L1427" s="16"/>
      <c r="M1427" s="16"/>
      <c r="N1427" s="16"/>
      <c r="O1427" s="16"/>
      <c r="P1427" s="16"/>
      <c r="Q1427" s="16"/>
      <c r="R1427" s="16"/>
      <c r="S1427" s="16"/>
      <c r="T1427" s="16"/>
      <c r="U1427" s="16"/>
      <c r="V1427" s="16"/>
      <c r="W1427" s="16"/>
      <c r="X1427" s="16"/>
      <c r="Y1427" s="16"/>
      <c r="Z1427" s="16"/>
      <c r="AA1427" s="16"/>
    </row>
    <row r="1428" spans="1:27" ht="24" customHeight="1">
      <c r="A1428" s="16"/>
      <c r="B1428" s="16"/>
      <c r="C1428" s="16"/>
      <c r="D1428" s="16"/>
      <c r="E1428" s="16"/>
      <c r="F1428" s="16"/>
      <c r="G1428" s="205"/>
      <c r="H1428" s="205"/>
      <c r="I1428" s="16"/>
      <c r="J1428" s="16"/>
      <c r="K1428" s="205"/>
      <c r="L1428" s="16"/>
      <c r="M1428" s="16"/>
      <c r="N1428" s="16"/>
      <c r="O1428" s="16"/>
      <c r="P1428" s="16"/>
      <c r="Q1428" s="16"/>
      <c r="R1428" s="16"/>
      <c r="S1428" s="16"/>
      <c r="T1428" s="16"/>
      <c r="U1428" s="16"/>
      <c r="V1428" s="16"/>
      <c r="W1428" s="16"/>
      <c r="X1428" s="16"/>
      <c r="Y1428" s="16"/>
      <c r="Z1428" s="16"/>
      <c r="AA1428" s="16"/>
    </row>
    <row r="1429" spans="1:27" ht="24" customHeight="1">
      <c r="A1429" s="16"/>
      <c r="B1429" s="16"/>
      <c r="C1429" s="16"/>
      <c r="D1429" s="16"/>
      <c r="E1429" s="16"/>
      <c r="F1429" s="16"/>
      <c r="G1429" s="205"/>
      <c r="H1429" s="205"/>
      <c r="I1429" s="16"/>
      <c r="J1429" s="16"/>
      <c r="K1429" s="205"/>
      <c r="L1429" s="16"/>
      <c r="M1429" s="16"/>
      <c r="N1429" s="16"/>
      <c r="O1429" s="16"/>
      <c r="P1429" s="16"/>
      <c r="Q1429" s="16"/>
      <c r="R1429" s="16"/>
      <c r="S1429" s="16"/>
      <c r="T1429" s="16"/>
      <c r="U1429" s="16"/>
      <c r="V1429" s="16"/>
      <c r="W1429" s="16"/>
      <c r="X1429" s="16"/>
      <c r="Y1429" s="16"/>
      <c r="Z1429" s="16"/>
      <c r="AA1429" s="16"/>
    </row>
    <row r="1430" spans="1:27" ht="24" customHeight="1">
      <c r="A1430" s="16"/>
      <c r="B1430" s="16"/>
      <c r="C1430" s="16"/>
      <c r="D1430" s="16"/>
      <c r="E1430" s="16"/>
      <c r="F1430" s="16"/>
      <c r="G1430" s="205"/>
      <c r="H1430" s="205"/>
      <c r="I1430" s="16"/>
      <c r="J1430" s="16"/>
      <c r="K1430" s="205"/>
      <c r="L1430" s="16"/>
      <c r="M1430" s="16"/>
      <c r="N1430" s="16"/>
      <c r="O1430" s="16"/>
      <c r="P1430" s="16"/>
      <c r="Q1430" s="16"/>
      <c r="R1430" s="16"/>
      <c r="S1430" s="16"/>
      <c r="T1430" s="16"/>
      <c r="U1430" s="16"/>
      <c r="V1430" s="16"/>
      <c r="W1430" s="16"/>
      <c r="X1430" s="16"/>
      <c r="Y1430" s="16"/>
      <c r="Z1430" s="16"/>
      <c r="AA1430" s="16"/>
    </row>
    <row r="1431" spans="1:27" ht="24" customHeight="1">
      <c r="A1431" s="16"/>
      <c r="B1431" s="16"/>
      <c r="C1431" s="16"/>
      <c r="D1431" s="16"/>
      <c r="E1431" s="16"/>
      <c r="F1431" s="16"/>
      <c r="G1431" s="205"/>
      <c r="H1431" s="205"/>
      <c r="I1431" s="16"/>
      <c r="J1431" s="16"/>
      <c r="K1431" s="205"/>
      <c r="L1431" s="16"/>
      <c r="M1431" s="16"/>
      <c r="N1431" s="16"/>
      <c r="O1431" s="16"/>
      <c r="P1431" s="16"/>
      <c r="Q1431" s="16"/>
      <c r="R1431" s="16"/>
      <c r="S1431" s="16"/>
      <c r="T1431" s="16"/>
      <c r="U1431" s="16"/>
      <c r="V1431" s="16"/>
      <c r="W1431" s="16"/>
      <c r="X1431" s="16"/>
      <c r="Y1431" s="16"/>
      <c r="Z1431" s="16"/>
      <c r="AA1431" s="16"/>
    </row>
    <row r="1432" spans="1:27" ht="24" customHeight="1">
      <c r="A1432" s="16"/>
      <c r="B1432" s="16"/>
      <c r="C1432" s="16"/>
      <c r="D1432" s="16"/>
      <c r="E1432" s="16"/>
      <c r="F1432" s="16"/>
      <c r="G1432" s="205"/>
      <c r="H1432" s="205"/>
      <c r="I1432" s="16"/>
      <c r="J1432" s="16"/>
      <c r="K1432" s="205"/>
      <c r="L1432" s="16"/>
      <c r="M1432" s="16"/>
      <c r="N1432" s="16"/>
      <c r="O1432" s="16"/>
      <c r="P1432" s="16"/>
      <c r="Q1432" s="16"/>
      <c r="R1432" s="16"/>
      <c r="S1432" s="16"/>
      <c r="T1432" s="16"/>
      <c r="U1432" s="16"/>
      <c r="V1432" s="16"/>
      <c r="W1432" s="16"/>
      <c r="X1432" s="16"/>
      <c r="Y1432" s="16"/>
      <c r="Z1432" s="16"/>
      <c r="AA1432" s="16"/>
    </row>
    <row r="1433" spans="1:27" ht="24" customHeight="1">
      <c r="A1433" s="16"/>
      <c r="B1433" s="16"/>
      <c r="C1433" s="16"/>
      <c r="D1433" s="16"/>
      <c r="E1433" s="16"/>
      <c r="F1433" s="16"/>
      <c r="G1433" s="205"/>
      <c r="H1433" s="205"/>
      <c r="I1433" s="16"/>
      <c r="J1433" s="16"/>
      <c r="K1433" s="205"/>
      <c r="L1433" s="16"/>
      <c r="M1433" s="16"/>
      <c r="N1433" s="16"/>
      <c r="O1433" s="16"/>
      <c r="P1433" s="16"/>
      <c r="Q1433" s="16"/>
      <c r="R1433" s="16"/>
      <c r="S1433" s="16"/>
      <c r="T1433" s="16"/>
      <c r="U1433" s="16"/>
      <c r="V1433" s="16"/>
      <c r="W1433" s="16"/>
      <c r="X1433" s="16"/>
      <c r="Y1433" s="16"/>
      <c r="Z1433" s="16"/>
      <c r="AA1433" s="16"/>
    </row>
    <row r="1434" spans="1:27" ht="24" customHeight="1">
      <c r="A1434" s="16"/>
      <c r="B1434" s="16"/>
      <c r="C1434" s="16"/>
      <c r="D1434" s="16"/>
      <c r="E1434" s="16"/>
      <c r="F1434" s="16"/>
      <c r="G1434" s="205"/>
      <c r="H1434" s="205"/>
      <c r="I1434" s="16"/>
      <c r="J1434" s="16"/>
      <c r="K1434" s="205"/>
      <c r="L1434" s="16"/>
      <c r="M1434" s="16"/>
      <c r="N1434" s="16"/>
      <c r="O1434" s="16"/>
      <c r="P1434" s="16"/>
      <c r="Q1434" s="16"/>
      <c r="R1434" s="16"/>
      <c r="S1434" s="16"/>
      <c r="T1434" s="16"/>
      <c r="U1434" s="16"/>
      <c r="V1434" s="16"/>
      <c r="W1434" s="16"/>
      <c r="X1434" s="16"/>
      <c r="Y1434" s="16"/>
      <c r="Z1434" s="16"/>
      <c r="AA1434" s="16"/>
    </row>
    <row r="1435" spans="1:27" ht="24" customHeight="1">
      <c r="A1435" s="16"/>
      <c r="B1435" s="16"/>
      <c r="C1435" s="16"/>
      <c r="D1435" s="16"/>
      <c r="E1435" s="16"/>
      <c r="F1435" s="16"/>
      <c r="G1435" s="205"/>
      <c r="H1435" s="205"/>
      <c r="I1435" s="16"/>
      <c r="J1435" s="16"/>
      <c r="K1435" s="205"/>
      <c r="L1435" s="16"/>
      <c r="M1435" s="16"/>
      <c r="N1435" s="16"/>
      <c r="O1435" s="16"/>
      <c r="P1435" s="16"/>
      <c r="Q1435" s="16"/>
      <c r="R1435" s="16"/>
      <c r="S1435" s="16"/>
      <c r="T1435" s="16"/>
      <c r="U1435" s="16"/>
      <c r="V1435" s="16"/>
      <c r="W1435" s="16"/>
      <c r="X1435" s="16"/>
      <c r="Y1435" s="16"/>
      <c r="Z1435" s="16"/>
      <c r="AA1435" s="16"/>
    </row>
    <row r="1436" spans="1:27" ht="24" customHeight="1">
      <c r="A1436" s="16"/>
      <c r="B1436" s="16"/>
      <c r="C1436" s="16"/>
      <c r="D1436" s="16"/>
      <c r="E1436" s="16"/>
      <c r="F1436" s="16"/>
      <c r="G1436" s="205"/>
      <c r="H1436" s="205"/>
      <c r="I1436" s="16"/>
      <c r="J1436" s="16"/>
      <c r="K1436" s="205"/>
      <c r="L1436" s="16"/>
      <c r="M1436" s="16"/>
      <c r="N1436" s="16"/>
      <c r="O1436" s="16"/>
      <c r="P1436" s="16"/>
      <c r="Q1436" s="16"/>
      <c r="R1436" s="16"/>
      <c r="S1436" s="16"/>
      <c r="T1436" s="16"/>
      <c r="U1436" s="16"/>
      <c r="V1436" s="16"/>
      <c r="W1436" s="16"/>
      <c r="X1436" s="16"/>
      <c r="Y1436" s="16"/>
      <c r="Z1436" s="16"/>
      <c r="AA1436" s="16"/>
    </row>
    <row r="1437" spans="1:27" ht="24" customHeight="1">
      <c r="A1437" s="16"/>
      <c r="B1437" s="16"/>
      <c r="C1437" s="16"/>
      <c r="D1437" s="16"/>
      <c r="E1437" s="16"/>
      <c r="F1437" s="16"/>
      <c r="G1437" s="205"/>
      <c r="H1437" s="205"/>
      <c r="I1437" s="16"/>
      <c r="J1437" s="16"/>
      <c r="K1437" s="205"/>
      <c r="L1437" s="16"/>
      <c r="M1437" s="16"/>
      <c r="N1437" s="16"/>
      <c r="O1437" s="16"/>
      <c r="P1437" s="16"/>
      <c r="Q1437" s="16"/>
      <c r="R1437" s="16"/>
      <c r="S1437" s="16"/>
      <c r="T1437" s="16"/>
      <c r="U1437" s="16"/>
      <c r="V1437" s="16"/>
      <c r="W1437" s="16"/>
      <c r="X1437" s="16"/>
      <c r="Y1437" s="16"/>
      <c r="Z1437" s="16"/>
      <c r="AA1437" s="16"/>
    </row>
    <row r="1438" spans="1:27" ht="24" customHeight="1">
      <c r="A1438" s="16"/>
      <c r="B1438" s="16"/>
      <c r="C1438" s="16"/>
      <c r="D1438" s="16"/>
      <c r="E1438" s="16"/>
      <c r="F1438" s="16"/>
      <c r="G1438" s="205"/>
      <c r="H1438" s="205"/>
      <c r="I1438" s="16"/>
      <c r="J1438" s="16"/>
      <c r="K1438" s="205"/>
      <c r="L1438" s="16"/>
      <c r="M1438" s="16"/>
      <c r="N1438" s="16"/>
      <c r="O1438" s="16"/>
      <c r="P1438" s="16"/>
      <c r="Q1438" s="16"/>
      <c r="R1438" s="16"/>
      <c r="S1438" s="16"/>
      <c r="T1438" s="16"/>
      <c r="U1438" s="16"/>
      <c r="V1438" s="16"/>
      <c r="W1438" s="16"/>
      <c r="X1438" s="16"/>
      <c r="Y1438" s="16"/>
      <c r="Z1438" s="16"/>
      <c r="AA1438" s="16"/>
    </row>
    <row r="1439" spans="1:27" ht="24" customHeight="1">
      <c r="A1439" s="16"/>
      <c r="B1439" s="16"/>
      <c r="C1439" s="16"/>
      <c r="D1439" s="16"/>
      <c r="E1439" s="16"/>
      <c r="F1439" s="16"/>
      <c r="G1439" s="205"/>
      <c r="H1439" s="205"/>
      <c r="I1439" s="16"/>
      <c r="J1439" s="16"/>
      <c r="K1439" s="205"/>
      <c r="L1439" s="16"/>
      <c r="M1439" s="16"/>
      <c r="N1439" s="16"/>
      <c r="O1439" s="16"/>
      <c r="P1439" s="16"/>
      <c r="Q1439" s="16"/>
      <c r="R1439" s="16"/>
      <c r="S1439" s="16"/>
      <c r="T1439" s="16"/>
      <c r="U1439" s="16"/>
      <c r="V1439" s="16"/>
      <c r="W1439" s="16"/>
      <c r="X1439" s="16"/>
      <c r="Y1439" s="16"/>
      <c r="Z1439" s="16"/>
      <c r="AA1439" s="16"/>
    </row>
    <row r="1440" spans="1:27" ht="24" customHeight="1">
      <c r="A1440" s="16"/>
      <c r="B1440" s="16"/>
      <c r="C1440" s="16"/>
      <c r="D1440" s="16"/>
      <c r="E1440" s="16"/>
      <c r="F1440" s="16"/>
      <c r="G1440" s="205"/>
      <c r="H1440" s="205"/>
      <c r="I1440" s="16"/>
      <c r="J1440" s="16"/>
      <c r="K1440" s="205"/>
      <c r="L1440" s="16"/>
      <c r="M1440" s="16"/>
      <c r="N1440" s="16"/>
      <c r="O1440" s="16"/>
      <c r="P1440" s="16"/>
      <c r="Q1440" s="16"/>
      <c r="R1440" s="16"/>
      <c r="S1440" s="16"/>
      <c r="T1440" s="16"/>
      <c r="U1440" s="16"/>
      <c r="V1440" s="16"/>
      <c r="W1440" s="16"/>
      <c r="X1440" s="16"/>
      <c r="Y1440" s="16"/>
      <c r="Z1440" s="16"/>
      <c r="AA1440" s="16"/>
    </row>
    <row r="1441" spans="1:27" ht="24" customHeight="1">
      <c r="A1441" s="16"/>
      <c r="B1441" s="16"/>
      <c r="C1441" s="16"/>
      <c r="D1441" s="16"/>
      <c r="E1441" s="16"/>
      <c r="F1441" s="16"/>
      <c r="G1441" s="205"/>
      <c r="H1441" s="205"/>
      <c r="I1441" s="16"/>
      <c r="J1441" s="16"/>
      <c r="K1441" s="205"/>
      <c r="L1441" s="16"/>
      <c r="M1441" s="16"/>
      <c r="N1441" s="16"/>
      <c r="O1441" s="16"/>
      <c r="P1441" s="16"/>
      <c r="Q1441" s="16"/>
      <c r="R1441" s="16"/>
      <c r="S1441" s="16"/>
      <c r="T1441" s="16"/>
      <c r="U1441" s="16"/>
      <c r="V1441" s="16"/>
      <c r="W1441" s="16"/>
      <c r="X1441" s="16"/>
      <c r="Y1441" s="16"/>
      <c r="Z1441" s="16"/>
      <c r="AA1441" s="16"/>
    </row>
    <row r="1442" spans="1:27" ht="24" customHeight="1">
      <c r="A1442" s="16"/>
      <c r="B1442" s="16"/>
      <c r="C1442" s="16"/>
      <c r="D1442" s="16"/>
      <c r="E1442" s="16"/>
      <c r="F1442" s="16"/>
      <c r="G1442" s="205"/>
      <c r="H1442" s="205"/>
      <c r="I1442" s="16"/>
      <c r="J1442" s="16"/>
      <c r="K1442" s="205"/>
      <c r="L1442" s="16"/>
      <c r="M1442" s="16"/>
      <c r="N1442" s="16"/>
      <c r="O1442" s="16"/>
      <c r="P1442" s="16"/>
      <c r="Q1442" s="16"/>
      <c r="R1442" s="16"/>
      <c r="S1442" s="16"/>
      <c r="T1442" s="16"/>
      <c r="U1442" s="16"/>
      <c r="V1442" s="16"/>
      <c r="W1442" s="16"/>
      <c r="X1442" s="16"/>
      <c r="Y1442" s="16"/>
      <c r="Z1442" s="16"/>
      <c r="AA1442" s="16"/>
    </row>
    <row r="1443" spans="1:27" ht="24" customHeight="1">
      <c r="A1443" s="16"/>
      <c r="B1443" s="16"/>
      <c r="C1443" s="16"/>
      <c r="D1443" s="16"/>
      <c r="E1443" s="16"/>
      <c r="F1443" s="16"/>
      <c r="G1443" s="205"/>
      <c r="H1443" s="205"/>
      <c r="I1443" s="16"/>
      <c r="J1443" s="16"/>
      <c r="K1443" s="205"/>
      <c r="L1443" s="16"/>
      <c r="M1443" s="16"/>
      <c r="N1443" s="16"/>
      <c r="O1443" s="16"/>
      <c r="P1443" s="16"/>
      <c r="Q1443" s="16"/>
      <c r="R1443" s="16"/>
      <c r="S1443" s="16"/>
      <c r="T1443" s="16"/>
      <c r="U1443" s="16"/>
      <c r="V1443" s="16"/>
      <c r="W1443" s="16"/>
      <c r="X1443" s="16"/>
      <c r="Y1443" s="16"/>
      <c r="Z1443" s="16"/>
      <c r="AA1443" s="16"/>
    </row>
    <row r="1444" spans="1:27" ht="24" customHeight="1">
      <c r="A1444" s="16"/>
      <c r="B1444" s="16"/>
      <c r="C1444" s="16"/>
      <c r="D1444" s="16"/>
      <c r="E1444" s="16"/>
      <c r="F1444" s="16"/>
      <c r="G1444" s="205"/>
      <c r="H1444" s="205"/>
      <c r="I1444" s="16"/>
      <c r="J1444" s="16"/>
      <c r="K1444" s="205"/>
      <c r="L1444" s="16"/>
      <c r="M1444" s="16"/>
      <c r="N1444" s="16"/>
      <c r="O1444" s="16"/>
      <c r="P1444" s="16"/>
      <c r="Q1444" s="16"/>
      <c r="R1444" s="16"/>
      <c r="S1444" s="16"/>
      <c r="T1444" s="16"/>
      <c r="U1444" s="16"/>
      <c r="V1444" s="16"/>
      <c r="W1444" s="16"/>
      <c r="X1444" s="16"/>
      <c r="Y1444" s="16"/>
      <c r="Z1444" s="16"/>
      <c r="AA1444" s="16"/>
    </row>
    <row r="1445" spans="1:27" ht="24" customHeight="1">
      <c r="A1445" s="16"/>
      <c r="B1445" s="16"/>
      <c r="C1445" s="16"/>
      <c r="D1445" s="16"/>
      <c r="E1445" s="16"/>
      <c r="F1445" s="16"/>
      <c r="G1445" s="205"/>
      <c r="H1445" s="205"/>
      <c r="I1445" s="16"/>
      <c r="J1445" s="16"/>
      <c r="K1445" s="205"/>
      <c r="L1445" s="16"/>
      <c r="M1445" s="16"/>
      <c r="N1445" s="16"/>
      <c r="O1445" s="16"/>
      <c r="P1445" s="16"/>
      <c r="Q1445" s="16"/>
      <c r="R1445" s="16"/>
      <c r="S1445" s="16"/>
      <c r="T1445" s="16"/>
      <c r="U1445" s="16"/>
      <c r="V1445" s="16"/>
      <c r="W1445" s="16"/>
      <c r="X1445" s="16"/>
      <c r="Y1445" s="16"/>
      <c r="Z1445" s="16"/>
      <c r="AA1445" s="16"/>
    </row>
    <row r="1446" spans="1:27" ht="24" customHeight="1">
      <c r="A1446" s="16"/>
      <c r="B1446" s="16"/>
      <c r="C1446" s="16"/>
      <c r="D1446" s="16"/>
      <c r="E1446" s="16"/>
      <c r="F1446" s="16"/>
      <c r="G1446" s="205"/>
      <c r="H1446" s="205"/>
      <c r="I1446" s="16"/>
      <c r="J1446" s="16"/>
      <c r="K1446" s="205"/>
      <c r="L1446" s="16"/>
      <c r="M1446" s="16"/>
      <c r="N1446" s="16"/>
      <c r="O1446" s="16"/>
      <c r="P1446" s="16"/>
      <c r="Q1446" s="16"/>
      <c r="R1446" s="16"/>
      <c r="S1446" s="16"/>
      <c r="T1446" s="16"/>
      <c r="U1446" s="16"/>
      <c r="V1446" s="16"/>
      <c r="W1446" s="16"/>
      <c r="X1446" s="16"/>
      <c r="Y1446" s="16"/>
      <c r="Z1446" s="16"/>
      <c r="AA1446" s="16"/>
    </row>
    <row r="1447" spans="1:27" ht="24" customHeight="1">
      <c r="A1447" s="16"/>
      <c r="B1447" s="16"/>
      <c r="C1447" s="16"/>
      <c r="D1447" s="16"/>
      <c r="E1447" s="16"/>
      <c r="F1447" s="16"/>
      <c r="G1447" s="205"/>
      <c r="H1447" s="205"/>
      <c r="I1447" s="16"/>
      <c r="J1447" s="16"/>
      <c r="K1447" s="205"/>
      <c r="L1447" s="16"/>
      <c r="M1447" s="16"/>
      <c r="N1447" s="16"/>
      <c r="O1447" s="16"/>
      <c r="P1447" s="16"/>
      <c r="Q1447" s="16"/>
      <c r="R1447" s="16"/>
      <c r="S1447" s="16"/>
      <c r="T1447" s="16"/>
      <c r="U1447" s="16"/>
      <c r="V1447" s="16"/>
      <c r="W1447" s="16"/>
      <c r="X1447" s="16"/>
      <c r="Y1447" s="16"/>
      <c r="Z1447" s="16"/>
      <c r="AA1447" s="16"/>
    </row>
    <row r="1448" spans="1:27" ht="24" customHeight="1">
      <c r="A1448" s="16"/>
      <c r="B1448" s="16"/>
      <c r="C1448" s="16"/>
      <c r="D1448" s="16"/>
      <c r="E1448" s="16"/>
      <c r="F1448" s="16"/>
      <c r="G1448" s="205"/>
      <c r="H1448" s="205"/>
      <c r="I1448" s="16"/>
      <c r="J1448" s="16"/>
      <c r="K1448" s="205"/>
      <c r="L1448" s="16"/>
      <c r="M1448" s="16"/>
      <c r="N1448" s="16"/>
      <c r="O1448" s="16"/>
      <c r="P1448" s="16"/>
      <c r="Q1448" s="16"/>
      <c r="R1448" s="16"/>
      <c r="S1448" s="16"/>
      <c r="T1448" s="16"/>
      <c r="U1448" s="16"/>
      <c r="V1448" s="16"/>
      <c r="W1448" s="16"/>
      <c r="X1448" s="16"/>
      <c r="Y1448" s="16"/>
      <c r="Z1448" s="16"/>
      <c r="AA1448" s="16"/>
    </row>
    <row r="1449" spans="1:27" ht="24" customHeight="1">
      <c r="A1449" s="16"/>
      <c r="B1449" s="16"/>
      <c r="C1449" s="16"/>
      <c r="D1449" s="16"/>
      <c r="E1449" s="16"/>
      <c r="F1449" s="16"/>
      <c r="G1449" s="205"/>
      <c r="H1449" s="205"/>
      <c r="I1449" s="16"/>
      <c r="J1449" s="16"/>
      <c r="K1449" s="205"/>
      <c r="L1449" s="16"/>
      <c r="M1449" s="16"/>
      <c r="N1449" s="16"/>
      <c r="O1449" s="16"/>
      <c r="P1449" s="16"/>
      <c r="Q1449" s="16"/>
      <c r="R1449" s="16"/>
      <c r="S1449" s="16"/>
      <c r="T1449" s="16"/>
      <c r="U1449" s="16"/>
      <c r="V1449" s="16"/>
      <c r="W1449" s="16"/>
      <c r="X1449" s="16"/>
      <c r="Y1449" s="16"/>
      <c r="Z1449" s="16"/>
      <c r="AA1449" s="16"/>
    </row>
    <row r="1450" spans="1:27" ht="24" customHeight="1">
      <c r="A1450" s="16"/>
      <c r="B1450" s="16"/>
      <c r="C1450" s="16"/>
      <c r="D1450" s="16"/>
      <c r="E1450" s="16"/>
      <c r="F1450" s="16"/>
      <c r="G1450" s="205"/>
      <c r="H1450" s="205"/>
      <c r="I1450" s="16"/>
      <c r="J1450" s="16"/>
      <c r="K1450" s="205"/>
      <c r="L1450" s="16"/>
      <c r="M1450" s="16"/>
      <c r="N1450" s="16"/>
      <c r="O1450" s="16"/>
      <c r="P1450" s="16"/>
      <c r="Q1450" s="16"/>
      <c r="R1450" s="16"/>
      <c r="S1450" s="16"/>
      <c r="T1450" s="16"/>
      <c r="U1450" s="16"/>
      <c r="V1450" s="16"/>
      <c r="W1450" s="16"/>
      <c r="X1450" s="16"/>
      <c r="Y1450" s="16"/>
      <c r="Z1450" s="16"/>
      <c r="AA1450" s="16"/>
    </row>
    <row r="1451" spans="1:27" ht="24" customHeight="1">
      <c r="A1451" s="16"/>
      <c r="B1451" s="16"/>
      <c r="C1451" s="16"/>
      <c r="D1451" s="16"/>
      <c r="E1451" s="16"/>
      <c r="F1451" s="16"/>
      <c r="G1451" s="205"/>
      <c r="H1451" s="205"/>
      <c r="I1451" s="16"/>
      <c r="J1451" s="16"/>
      <c r="K1451" s="205"/>
      <c r="L1451" s="16"/>
      <c r="M1451" s="16"/>
      <c r="N1451" s="16"/>
      <c r="O1451" s="16"/>
      <c r="P1451" s="16"/>
      <c r="Q1451" s="16"/>
      <c r="R1451" s="16"/>
      <c r="S1451" s="16"/>
      <c r="T1451" s="16"/>
      <c r="U1451" s="16"/>
      <c r="V1451" s="16"/>
      <c r="W1451" s="16"/>
      <c r="X1451" s="16"/>
      <c r="Y1451" s="16"/>
      <c r="Z1451" s="16"/>
      <c r="AA1451" s="16"/>
    </row>
    <row r="1452" spans="1:27" ht="24" customHeight="1">
      <c r="A1452" s="16"/>
      <c r="B1452" s="16"/>
      <c r="C1452" s="16"/>
      <c r="D1452" s="16"/>
      <c r="E1452" s="16"/>
      <c r="F1452" s="16"/>
      <c r="G1452" s="205"/>
      <c r="H1452" s="205"/>
      <c r="I1452" s="16"/>
      <c r="J1452" s="16"/>
      <c r="K1452" s="205"/>
      <c r="L1452" s="16"/>
      <c r="M1452" s="16"/>
      <c r="N1452" s="16"/>
      <c r="O1452" s="16"/>
      <c r="P1452" s="16"/>
      <c r="Q1452" s="16"/>
      <c r="R1452" s="16"/>
      <c r="S1452" s="16"/>
      <c r="T1452" s="16"/>
      <c r="U1452" s="16"/>
      <c r="V1452" s="16"/>
      <c r="W1452" s="16"/>
      <c r="X1452" s="16"/>
      <c r="Y1452" s="16"/>
      <c r="Z1452" s="16"/>
      <c r="AA1452" s="16"/>
    </row>
    <row r="1453" spans="1:27" ht="24" customHeight="1">
      <c r="A1453" s="16"/>
      <c r="B1453" s="16"/>
      <c r="C1453" s="16"/>
      <c r="D1453" s="16"/>
      <c r="E1453" s="16"/>
      <c r="F1453" s="16"/>
      <c r="G1453" s="205"/>
      <c r="H1453" s="205"/>
      <c r="I1453" s="16"/>
      <c r="J1453" s="16"/>
      <c r="K1453" s="205"/>
      <c r="L1453" s="16"/>
      <c r="M1453" s="16"/>
      <c r="N1453" s="16"/>
      <c r="O1453" s="16"/>
      <c r="P1453" s="16"/>
      <c r="Q1453" s="16"/>
      <c r="R1453" s="16"/>
      <c r="S1453" s="16"/>
      <c r="T1453" s="16"/>
      <c r="U1453" s="16"/>
      <c r="V1453" s="16"/>
      <c r="W1453" s="16"/>
      <c r="X1453" s="16"/>
      <c r="Y1453" s="16"/>
      <c r="Z1453" s="16"/>
      <c r="AA1453" s="16"/>
    </row>
    <row r="1454" spans="1:27" ht="24" customHeight="1">
      <c r="A1454" s="16"/>
      <c r="B1454" s="16"/>
      <c r="C1454" s="16"/>
      <c r="D1454" s="16"/>
      <c r="E1454" s="16"/>
      <c r="F1454" s="16"/>
      <c r="G1454" s="205"/>
      <c r="H1454" s="205"/>
      <c r="I1454" s="16"/>
      <c r="J1454" s="16"/>
      <c r="K1454" s="205"/>
      <c r="L1454" s="16"/>
      <c r="M1454" s="16"/>
      <c r="N1454" s="16"/>
      <c r="O1454" s="16"/>
      <c r="P1454" s="16"/>
      <c r="Q1454" s="16"/>
      <c r="R1454" s="16"/>
      <c r="S1454" s="16"/>
      <c r="T1454" s="16"/>
      <c r="U1454" s="16"/>
      <c r="V1454" s="16"/>
      <c r="W1454" s="16"/>
      <c r="X1454" s="16"/>
      <c r="Y1454" s="16"/>
      <c r="Z1454" s="16"/>
      <c r="AA1454" s="16"/>
    </row>
    <row r="1455" spans="1:27" ht="24" customHeight="1">
      <c r="A1455" s="16"/>
      <c r="B1455" s="16"/>
      <c r="C1455" s="16"/>
      <c r="D1455" s="16"/>
      <c r="E1455" s="16"/>
      <c r="F1455" s="16"/>
      <c r="G1455" s="205"/>
      <c r="H1455" s="205"/>
      <c r="I1455" s="16"/>
      <c r="J1455" s="16"/>
      <c r="K1455" s="205"/>
      <c r="L1455" s="16"/>
      <c r="M1455" s="16"/>
      <c r="N1455" s="16"/>
      <c r="O1455" s="16"/>
      <c r="P1455" s="16"/>
      <c r="Q1455" s="16"/>
      <c r="R1455" s="16"/>
      <c r="S1455" s="16"/>
      <c r="T1455" s="16"/>
      <c r="U1455" s="16"/>
      <c r="V1455" s="16"/>
      <c r="W1455" s="16"/>
      <c r="X1455" s="16"/>
      <c r="Y1455" s="16"/>
      <c r="Z1455" s="16"/>
      <c r="AA1455" s="16"/>
    </row>
    <row r="1456" spans="1:27" ht="24" customHeight="1">
      <c r="A1456" s="16"/>
      <c r="B1456" s="16"/>
      <c r="C1456" s="16"/>
      <c r="D1456" s="16"/>
      <c r="E1456" s="16"/>
      <c r="F1456" s="16"/>
      <c r="G1456" s="205"/>
      <c r="H1456" s="205"/>
      <c r="I1456" s="16"/>
      <c r="J1456" s="16"/>
      <c r="K1456" s="205"/>
      <c r="L1456" s="16"/>
      <c r="M1456" s="16"/>
      <c r="N1456" s="16"/>
      <c r="O1456" s="16"/>
      <c r="P1456" s="16"/>
      <c r="Q1456" s="16"/>
      <c r="R1456" s="16"/>
      <c r="S1456" s="16"/>
      <c r="T1456" s="16"/>
      <c r="U1456" s="16"/>
      <c r="V1456" s="16"/>
      <c r="W1456" s="16"/>
      <c r="X1456" s="16"/>
      <c r="Y1456" s="16"/>
      <c r="Z1456" s="16"/>
      <c r="AA1456" s="16"/>
    </row>
    <row r="1457" spans="1:27" ht="24" customHeight="1">
      <c r="A1457" s="16"/>
      <c r="B1457" s="16"/>
      <c r="C1457" s="16"/>
      <c r="D1457" s="16"/>
      <c r="E1457" s="16"/>
      <c r="F1457" s="16"/>
      <c r="G1457" s="205"/>
      <c r="H1457" s="205"/>
      <c r="I1457" s="16"/>
      <c r="J1457" s="16"/>
      <c r="K1457" s="205"/>
      <c r="L1457" s="16"/>
      <c r="M1457" s="16"/>
      <c r="N1457" s="16"/>
      <c r="O1457" s="16"/>
      <c r="P1457" s="16"/>
      <c r="Q1457" s="16"/>
      <c r="R1457" s="16"/>
      <c r="S1457" s="16"/>
      <c r="T1457" s="16"/>
      <c r="U1457" s="16"/>
      <c r="V1457" s="16"/>
      <c r="W1457" s="16"/>
      <c r="X1457" s="16"/>
      <c r="Y1457" s="16"/>
      <c r="Z1457" s="16"/>
      <c r="AA1457" s="16"/>
    </row>
    <row r="1458" spans="1:27" ht="24" customHeight="1">
      <c r="A1458" s="16"/>
      <c r="B1458" s="16"/>
      <c r="C1458" s="16"/>
      <c r="D1458" s="16"/>
      <c r="E1458" s="16"/>
      <c r="F1458" s="16"/>
      <c r="G1458" s="205"/>
      <c r="H1458" s="205"/>
      <c r="I1458" s="16"/>
      <c r="J1458" s="16"/>
      <c r="K1458" s="205"/>
      <c r="L1458" s="16"/>
      <c r="M1458" s="16"/>
      <c r="N1458" s="16"/>
      <c r="O1458" s="16"/>
      <c r="P1458" s="16"/>
      <c r="Q1458" s="16"/>
      <c r="R1458" s="16"/>
      <c r="S1458" s="16"/>
      <c r="T1458" s="16"/>
      <c r="U1458" s="16"/>
      <c r="V1458" s="16"/>
      <c r="W1458" s="16"/>
      <c r="X1458" s="16"/>
      <c r="Y1458" s="16"/>
      <c r="Z1458" s="16"/>
      <c r="AA1458" s="16"/>
    </row>
    <row r="1459" spans="1:27" ht="24" customHeight="1">
      <c r="A1459" s="16"/>
      <c r="B1459" s="16"/>
      <c r="C1459" s="16"/>
      <c r="D1459" s="16"/>
      <c r="E1459" s="16"/>
      <c r="F1459" s="16"/>
      <c r="G1459" s="205"/>
      <c r="H1459" s="205"/>
      <c r="I1459" s="16"/>
      <c r="J1459" s="16"/>
      <c r="K1459" s="205"/>
      <c r="L1459" s="16"/>
      <c r="M1459" s="16"/>
      <c r="N1459" s="16"/>
      <c r="O1459" s="16"/>
      <c r="P1459" s="16"/>
      <c r="Q1459" s="16"/>
      <c r="R1459" s="16"/>
      <c r="S1459" s="16"/>
      <c r="T1459" s="16"/>
      <c r="U1459" s="16"/>
      <c r="V1459" s="16"/>
      <c r="W1459" s="16"/>
      <c r="X1459" s="16"/>
      <c r="Y1459" s="16"/>
      <c r="Z1459" s="16"/>
      <c r="AA1459" s="16"/>
    </row>
    <row r="1460" spans="1:27" ht="24" customHeight="1">
      <c r="A1460" s="16"/>
      <c r="B1460" s="16"/>
      <c r="C1460" s="16"/>
      <c r="D1460" s="16"/>
      <c r="E1460" s="16"/>
      <c r="F1460" s="16"/>
      <c r="G1460" s="205"/>
      <c r="H1460" s="205"/>
      <c r="I1460" s="16"/>
      <c r="J1460" s="16"/>
      <c r="K1460" s="205"/>
      <c r="L1460" s="16"/>
      <c r="M1460" s="16"/>
      <c r="N1460" s="16"/>
      <c r="O1460" s="16"/>
      <c r="P1460" s="16"/>
      <c r="Q1460" s="16"/>
      <c r="R1460" s="16"/>
      <c r="S1460" s="16"/>
      <c r="T1460" s="16"/>
      <c r="U1460" s="16"/>
      <c r="V1460" s="16"/>
      <c r="W1460" s="16"/>
      <c r="X1460" s="16"/>
      <c r="Y1460" s="16"/>
      <c r="Z1460" s="16"/>
      <c r="AA1460" s="16"/>
    </row>
    <row r="1461" spans="1:27" ht="24" customHeight="1">
      <c r="A1461" s="16"/>
      <c r="B1461" s="16"/>
      <c r="C1461" s="16"/>
      <c r="D1461" s="16"/>
      <c r="E1461" s="16"/>
      <c r="F1461" s="16"/>
      <c r="G1461" s="205"/>
      <c r="H1461" s="205"/>
      <c r="I1461" s="16"/>
      <c r="J1461" s="16"/>
      <c r="K1461" s="205"/>
      <c r="L1461" s="16"/>
      <c r="M1461" s="16"/>
      <c r="N1461" s="16"/>
      <c r="O1461" s="16"/>
      <c r="P1461" s="16"/>
      <c r="Q1461" s="16"/>
      <c r="R1461" s="16"/>
      <c r="S1461" s="16"/>
      <c r="T1461" s="16"/>
      <c r="U1461" s="16"/>
      <c r="V1461" s="16"/>
      <c r="W1461" s="16"/>
      <c r="X1461" s="16"/>
      <c r="Y1461" s="16"/>
      <c r="Z1461" s="16"/>
      <c r="AA1461" s="16"/>
    </row>
    <row r="1462" spans="1:27" ht="24" customHeight="1">
      <c r="A1462" s="16"/>
      <c r="B1462" s="16"/>
      <c r="C1462" s="16"/>
      <c r="D1462" s="16"/>
      <c r="E1462" s="16"/>
      <c r="F1462" s="16"/>
      <c r="G1462" s="205"/>
      <c r="H1462" s="205"/>
      <c r="I1462" s="16"/>
      <c r="J1462" s="16"/>
      <c r="K1462" s="205"/>
      <c r="L1462" s="16"/>
      <c r="M1462" s="16"/>
      <c r="N1462" s="16"/>
      <c r="O1462" s="16"/>
      <c r="P1462" s="16"/>
      <c r="Q1462" s="16"/>
      <c r="R1462" s="16"/>
      <c r="S1462" s="16"/>
      <c r="T1462" s="16"/>
      <c r="U1462" s="16"/>
      <c r="V1462" s="16"/>
      <c r="W1462" s="16"/>
      <c r="X1462" s="16"/>
      <c r="Y1462" s="16"/>
      <c r="Z1462" s="16"/>
      <c r="AA1462" s="16"/>
    </row>
    <row r="1463" spans="1:27" ht="24" customHeight="1">
      <c r="A1463" s="16"/>
      <c r="B1463" s="16"/>
      <c r="C1463" s="16"/>
      <c r="D1463" s="16"/>
      <c r="E1463" s="16"/>
      <c r="F1463" s="16"/>
      <c r="G1463" s="205"/>
      <c r="H1463" s="205"/>
      <c r="I1463" s="16"/>
      <c r="J1463" s="16"/>
      <c r="K1463" s="205"/>
      <c r="L1463" s="16"/>
      <c r="M1463" s="16"/>
      <c r="N1463" s="16"/>
      <c r="O1463" s="16"/>
      <c r="P1463" s="16"/>
      <c r="Q1463" s="16"/>
      <c r="R1463" s="16"/>
      <c r="S1463" s="16"/>
      <c r="T1463" s="16"/>
      <c r="U1463" s="16"/>
      <c r="V1463" s="16"/>
      <c r="W1463" s="16"/>
      <c r="X1463" s="16"/>
      <c r="Y1463" s="16"/>
      <c r="Z1463" s="16"/>
      <c r="AA1463" s="16"/>
    </row>
    <row r="1464" spans="1:27" ht="24" customHeight="1">
      <c r="A1464" s="16"/>
      <c r="B1464" s="16"/>
      <c r="C1464" s="16"/>
      <c r="D1464" s="16"/>
      <c r="E1464" s="16"/>
      <c r="F1464" s="16"/>
      <c r="G1464" s="205"/>
      <c r="H1464" s="205"/>
      <c r="I1464" s="16"/>
      <c r="J1464" s="16"/>
      <c r="K1464" s="205"/>
      <c r="L1464" s="16"/>
      <c r="M1464" s="16"/>
      <c r="N1464" s="16"/>
      <c r="O1464" s="16"/>
      <c r="P1464" s="16"/>
      <c r="Q1464" s="16"/>
      <c r="R1464" s="16"/>
      <c r="S1464" s="16"/>
      <c r="T1464" s="16"/>
      <c r="U1464" s="16"/>
      <c r="V1464" s="16"/>
      <c r="W1464" s="16"/>
      <c r="X1464" s="16"/>
      <c r="Y1464" s="16"/>
      <c r="Z1464" s="16"/>
      <c r="AA1464" s="16"/>
    </row>
    <row r="1465" spans="1:27" ht="24" customHeight="1">
      <c r="A1465" s="16"/>
      <c r="B1465" s="16"/>
      <c r="C1465" s="16"/>
      <c r="D1465" s="16"/>
      <c r="E1465" s="16"/>
      <c r="F1465" s="16"/>
      <c r="G1465" s="205"/>
      <c r="H1465" s="205"/>
      <c r="I1465" s="16"/>
      <c r="J1465" s="16"/>
      <c r="K1465" s="205"/>
      <c r="L1465" s="16"/>
      <c r="M1465" s="16"/>
      <c r="N1465" s="16"/>
      <c r="O1465" s="16"/>
      <c r="P1465" s="16"/>
      <c r="Q1465" s="16"/>
      <c r="R1465" s="16"/>
      <c r="S1465" s="16"/>
      <c r="T1465" s="16"/>
      <c r="U1465" s="16"/>
      <c r="V1465" s="16"/>
      <c r="W1465" s="16"/>
      <c r="X1465" s="16"/>
      <c r="Y1465" s="16"/>
      <c r="Z1465" s="16"/>
      <c r="AA1465" s="16"/>
    </row>
    <row r="1466" spans="1:27" ht="24" customHeight="1">
      <c r="A1466" s="16"/>
      <c r="B1466" s="16"/>
      <c r="C1466" s="16"/>
      <c r="D1466" s="16"/>
      <c r="E1466" s="16"/>
      <c r="F1466" s="16"/>
      <c r="G1466" s="205"/>
      <c r="H1466" s="205"/>
      <c r="I1466" s="16"/>
      <c r="J1466" s="16"/>
      <c r="K1466" s="205"/>
      <c r="L1466" s="16"/>
      <c r="M1466" s="16"/>
      <c r="N1466" s="16"/>
      <c r="O1466" s="16"/>
      <c r="P1466" s="16"/>
      <c r="Q1466" s="16"/>
      <c r="R1466" s="16"/>
      <c r="S1466" s="16"/>
      <c r="T1466" s="16"/>
      <c r="U1466" s="16"/>
      <c r="V1466" s="16"/>
      <c r="W1466" s="16"/>
      <c r="X1466" s="16"/>
      <c r="Y1466" s="16"/>
      <c r="Z1466" s="16"/>
      <c r="AA1466" s="16"/>
    </row>
    <row r="1467" spans="1:27" ht="24" customHeight="1">
      <c r="A1467" s="16"/>
      <c r="B1467" s="16"/>
      <c r="C1467" s="16"/>
      <c r="D1467" s="16"/>
      <c r="E1467" s="16"/>
      <c r="F1467" s="16"/>
      <c r="G1467" s="205"/>
      <c r="H1467" s="205"/>
      <c r="I1467" s="16"/>
      <c r="J1467" s="16"/>
      <c r="K1467" s="205"/>
      <c r="L1467" s="16"/>
      <c r="M1467" s="16"/>
      <c r="N1467" s="16"/>
      <c r="O1467" s="16"/>
      <c r="P1467" s="16"/>
      <c r="Q1467" s="16"/>
      <c r="R1467" s="16"/>
      <c r="S1467" s="16"/>
      <c r="T1467" s="16"/>
      <c r="U1467" s="16"/>
      <c r="V1467" s="16"/>
      <c r="W1467" s="16"/>
      <c r="X1467" s="16"/>
      <c r="Y1467" s="16"/>
      <c r="Z1467" s="16"/>
      <c r="AA1467" s="16"/>
    </row>
    <row r="1468" spans="1:27" ht="24" customHeight="1">
      <c r="A1468" s="16"/>
      <c r="B1468" s="16"/>
      <c r="C1468" s="16"/>
      <c r="D1468" s="16"/>
      <c r="E1468" s="16"/>
      <c r="F1468" s="16"/>
      <c r="G1468" s="205"/>
      <c r="H1468" s="205"/>
      <c r="I1468" s="16"/>
      <c r="J1468" s="16"/>
      <c r="K1468" s="205"/>
      <c r="L1468" s="16"/>
      <c r="M1468" s="16"/>
      <c r="N1468" s="16"/>
      <c r="O1468" s="16"/>
      <c r="P1468" s="16"/>
      <c r="Q1468" s="16"/>
      <c r="R1468" s="16"/>
      <c r="S1468" s="16"/>
      <c r="T1468" s="16"/>
      <c r="U1468" s="16"/>
      <c r="V1468" s="16"/>
      <c r="W1468" s="16"/>
      <c r="X1468" s="16"/>
      <c r="Y1468" s="16"/>
      <c r="Z1468" s="16"/>
      <c r="AA1468" s="16"/>
    </row>
    <row r="1469" spans="1:27" ht="24" customHeight="1">
      <c r="A1469" s="16"/>
      <c r="B1469" s="16"/>
      <c r="C1469" s="16"/>
      <c r="D1469" s="16"/>
      <c r="E1469" s="16"/>
      <c r="F1469" s="16"/>
      <c r="G1469" s="205"/>
      <c r="H1469" s="205"/>
      <c r="I1469" s="16"/>
      <c r="J1469" s="16"/>
      <c r="K1469" s="205"/>
      <c r="L1469" s="16"/>
      <c r="M1469" s="16"/>
      <c r="N1469" s="16"/>
      <c r="O1469" s="16"/>
      <c r="P1469" s="16"/>
      <c r="Q1469" s="16"/>
      <c r="R1469" s="16"/>
      <c r="S1469" s="16"/>
      <c r="T1469" s="16"/>
      <c r="U1469" s="16"/>
      <c r="V1469" s="16"/>
      <c r="W1469" s="16"/>
      <c r="X1469" s="16"/>
      <c r="Y1469" s="16"/>
      <c r="Z1469" s="16"/>
      <c r="AA1469" s="16"/>
    </row>
    <row r="1470" spans="1:27" ht="24" customHeight="1">
      <c r="A1470" s="16"/>
      <c r="B1470" s="16"/>
      <c r="C1470" s="16"/>
      <c r="D1470" s="16"/>
      <c r="E1470" s="16"/>
      <c r="F1470" s="16"/>
      <c r="G1470" s="205"/>
      <c r="H1470" s="205"/>
      <c r="I1470" s="16"/>
      <c r="J1470" s="16"/>
      <c r="K1470" s="205"/>
      <c r="L1470" s="16"/>
      <c r="M1470" s="16"/>
      <c r="N1470" s="16"/>
      <c r="O1470" s="16"/>
      <c r="P1470" s="16"/>
      <c r="Q1470" s="16"/>
      <c r="R1470" s="16"/>
      <c r="S1470" s="16"/>
      <c r="T1470" s="16"/>
      <c r="U1470" s="16"/>
      <c r="V1470" s="16"/>
      <c r="W1470" s="16"/>
      <c r="X1470" s="16"/>
      <c r="Y1470" s="16"/>
      <c r="Z1470" s="16"/>
      <c r="AA1470" s="16"/>
    </row>
    <row r="1471" spans="1:27" ht="24" customHeight="1">
      <c r="A1471" s="16"/>
      <c r="B1471" s="16"/>
      <c r="C1471" s="16"/>
      <c r="D1471" s="16"/>
      <c r="E1471" s="16"/>
      <c r="F1471" s="16"/>
      <c r="G1471" s="205"/>
      <c r="H1471" s="205"/>
      <c r="I1471" s="16"/>
      <c r="J1471" s="16"/>
      <c r="K1471" s="205"/>
      <c r="L1471" s="16"/>
      <c r="M1471" s="16"/>
      <c r="N1471" s="16"/>
      <c r="O1471" s="16"/>
      <c r="P1471" s="16"/>
      <c r="Q1471" s="16"/>
      <c r="R1471" s="16"/>
      <c r="S1471" s="16"/>
      <c r="T1471" s="16"/>
      <c r="U1471" s="16"/>
      <c r="V1471" s="16"/>
      <c r="W1471" s="16"/>
      <c r="X1471" s="16"/>
      <c r="Y1471" s="16"/>
      <c r="Z1471" s="16"/>
      <c r="AA1471" s="16"/>
    </row>
    <row r="1472" spans="1:27" ht="24" customHeight="1">
      <c r="A1472" s="16"/>
      <c r="B1472" s="16"/>
      <c r="C1472" s="16"/>
      <c r="D1472" s="16"/>
      <c r="E1472" s="16"/>
      <c r="F1472" s="16"/>
      <c r="G1472" s="205"/>
      <c r="H1472" s="205"/>
      <c r="I1472" s="16"/>
      <c r="J1472" s="16"/>
      <c r="K1472" s="205"/>
      <c r="L1472" s="16"/>
      <c r="M1472" s="16"/>
      <c r="N1472" s="16"/>
      <c r="O1472" s="16"/>
      <c r="P1472" s="16"/>
      <c r="Q1472" s="16"/>
      <c r="R1472" s="16"/>
      <c r="S1472" s="16"/>
      <c r="T1472" s="16"/>
      <c r="U1472" s="16"/>
      <c r="V1472" s="16"/>
      <c r="W1472" s="16"/>
      <c r="X1472" s="16"/>
      <c r="Y1472" s="16"/>
      <c r="Z1472" s="16"/>
      <c r="AA1472" s="16"/>
    </row>
    <row r="1473" spans="1:27" ht="24" customHeight="1">
      <c r="A1473" s="16"/>
      <c r="B1473" s="16"/>
      <c r="C1473" s="16"/>
      <c r="D1473" s="16"/>
      <c r="E1473" s="16"/>
      <c r="F1473" s="16"/>
      <c r="G1473" s="205"/>
      <c r="H1473" s="205"/>
      <c r="I1473" s="16"/>
      <c r="J1473" s="16"/>
      <c r="K1473" s="205"/>
      <c r="L1473" s="16"/>
      <c r="M1473" s="16"/>
      <c r="N1473" s="16"/>
      <c r="O1473" s="16"/>
      <c r="P1473" s="16"/>
      <c r="Q1473" s="16"/>
      <c r="R1473" s="16"/>
      <c r="S1473" s="16"/>
      <c r="T1473" s="16"/>
      <c r="U1473" s="16"/>
      <c r="V1473" s="16"/>
      <c r="W1473" s="16"/>
      <c r="X1473" s="16"/>
      <c r="Y1473" s="16"/>
      <c r="Z1473" s="16"/>
      <c r="AA1473" s="16"/>
    </row>
    <row r="1474" spans="1:27" ht="24" customHeight="1">
      <c r="A1474" s="16"/>
      <c r="B1474" s="16"/>
      <c r="C1474" s="16"/>
      <c r="D1474" s="16"/>
      <c r="E1474" s="16"/>
      <c r="F1474" s="16"/>
      <c r="G1474" s="205"/>
      <c r="H1474" s="205"/>
      <c r="I1474" s="16"/>
      <c r="J1474" s="16"/>
      <c r="K1474" s="205"/>
      <c r="L1474" s="16"/>
      <c r="M1474" s="16"/>
      <c r="N1474" s="16"/>
      <c r="O1474" s="16"/>
      <c r="P1474" s="16"/>
      <c r="Q1474" s="16"/>
      <c r="R1474" s="16"/>
      <c r="S1474" s="16"/>
      <c r="T1474" s="16"/>
      <c r="U1474" s="16"/>
      <c r="V1474" s="16"/>
      <c r="W1474" s="16"/>
      <c r="X1474" s="16"/>
      <c r="Y1474" s="16"/>
      <c r="Z1474" s="16"/>
      <c r="AA1474" s="16"/>
    </row>
    <row r="1475" spans="1:27" ht="24" customHeight="1">
      <c r="A1475" s="16"/>
      <c r="B1475" s="16"/>
      <c r="C1475" s="16"/>
      <c r="D1475" s="16"/>
      <c r="E1475" s="16"/>
      <c r="F1475" s="16"/>
      <c r="G1475" s="205"/>
      <c r="H1475" s="205"/>
      <c r="I1475" s="16"/>
      <c r="J1475" s="16"/>
      <c r="K1475" s="205"/>
      <c r="L1475" s="16"/>
      <c r="M1475" s="16"/>
      <c r="N1475" s="16"/>
      <c r="O1475" s="16"/>
      <c r="P1475" s="16"/>
      <c r="Q1475" s="16"/>
      <c r="R1475" s="16"/>
      <c r="S1475" s="16"/>
      <c r="T1475" s="16"/>
      <c r="U1475" s="16"/>
      <c r="V1475" s="16"/>
      <c r="W1475" s="16"/>
      <c r="X1475" s="16"/>
      <c r="Y1475" s="16"/>
      <c r="Z1475" s="16"/>
      <c r="AA1475" s="16"/>
    </row>
    <row r="1476" spans="1:27" ht="24" customHeight="1">
      <c r="A1476" s="16"/>
      <c r="B1476" s="16"/>
      <c r="C1476" s="16"/>
      <c r="D1476" s="16"/>
      <c r="E1476" s="16"/>
      <c r="F1476" s="16"/>
      <c r="G1476" s="205"/>
      <c r="H1476" s="205"/>
      <c r="I1476" s="16"/>
      <c r="J1476" s="16"/>
      <c r="K1476" s="205"/>
      <c r="L1476" s="16"/>
      <c r="M1476" s="16"/>
      <c r="N1476" s="16"/>
      <c r="O1476" s="16"/>
      <c r="P1476" s="16"/>
      <c r="Q1476" s="16"/>
      <c r="R1476" s="16"/>
      <c r="S1476" s="16"/>
      <c r="T1476" s="16"/>
      <c r="U1476" s="16"/>
      <c r="V1476" s="16"/>
      <c r="W1476" s="16"/>
      <c r="X1476" s="16"/>
      <c r="Y1476" s="16"/>
      <c r="Z1476" s="16"/>
      <c r="AA1476" s="16"/>
    </row>
    <row r="1477" spans="1:27" ht="24" customHeight="1">
      <c r="A1477" s="16"/>
      <c r="B1477" s="16"/>
      <c r="C1477" s="16"/>
      <c r="D1477" s="16"/>
      <c r="E1477" s="16"/>
      <c r="F1477" s="16"/>
      <c r="G1477" s="205"/>
      <c r="H1477" s="205"/>
      <c r="I1477" s="16"/>
      <c r="J1477" s="16"/>
      <c r="K1477" s="205"/>
      <c r="L1477" s="16"/>
      <c r="M1477" s="16"/>
      <c r="N1477" s="16"/>
      <c r="O1477" s="16"/>
      <c r="P1477" s="16"/>
      <c r="Q1477" s="16"/>
      <c r="R1477" s="16"/>
      <c r="S1477" s="16"/>
      <c r="T1477" s="16"/>
      <c r="U1477" s="16"/>
      <c r="V1477" s="16"/>
      <c r="W1477" s="16"/>
      <c r="X1477" s="16"/>
      <c r="Y1477" s="16"/>
      <c r="Z1477" s="16"/>
      <c r="AA1477" s="16"/>
    </row>
    <row r="1478" spans="1:27" ht="24" customHeight="1">
      <c r="A1478" s="16"/>
      <c r="B1478" s="16"/>
      <c r="C1478" s="16"/>
      <c r="D1478" s="16"/>
      <c r="E1478" s="16"/>
      <c r="F1478" s="16"/>
      <c r="G1478" s="205"/>
      <c r="H1478" s="205"/>
      <c r="I1478" s="16"/>
      <c r="J1478" s="16"/>
      <c r="K1478" s="205"/>
      <c r="L1478" s="16"/>
      <c r="M1478" s="16"/>
      <c r="N1478" s="16"/>
      <c r="O1478" s="16"/>
      <c r="P1478" s="16"/>
      <c r="Q1478" s="16"/>
      <c r="R1478" s="16"/>
      <c r="S1478" s="16"/>
      <c r="T1478" s="16"/>
      <c r="U1478" s="16"/>
      <c r="V1478" s="16"/>
      <c r="W1478" s="16"/>
      <c r="X1478" s="16"/>
      <c r="Y1478" s="16"/>
      <c r="Z1478" s="16"/>
      <c r="AA1478" s="16"/>
    </row>
    <row r="1479" spans="1:27" ht="24" customHeight="1">
      <c r="A1479" s="16"/>
      <c r="B1479" s="16"/>
      <c r="C1479" s="16"/>
      <c r="D1479" s="16"/>
      <c r="E1479" s="16"/>
      <c r="F1479" s="16"/>
      <c r="G1479" s="205"/>
      <c r="H1479" s="205"/>
      <c r="I1479" s="16"/>
      <c r="J1479" s="16"/>
      <c r="K1479" s="205"/>
      <c r="L1479" s="16"/>
      <c r="M1479" s="16"/>
      <c r="N1479" s="16"/>
      <c r="O1479" s="16"/>
      <c r="P1479" s="16"/>
      <c r="Q1479" s="16"/>
      <c r="R1479" s="16"/>
      <c r="S1479" s="16"/>
      <c r="T1479" s="16"/>
      <c r="U1479" s="16"/>
      <c r="V1479" s="16"/>
      <c r="W1479" s="16"/>
      <c r="X1479" s="16"/>
      <c r="Y1479" s="16"/>
      <c r="Z1479" s="16"/>
      <c r="AA1479" s="16"/>
    </row>
    <row r="1480" spans="1:27" ht="24" customHeight="1">
      <c r="A1480" s="16"/>
      <c r="B1480" s="16"/>
      <c r="C1480" s="16"/>
      <c r="D1480" s="16"/>
      <c r="E1480" s="16"/>
      <c r="F1480" s="16"/>
      <c r="G1480" s="205"/>
      <c r="H1480" s="205"/>
      <c r="I1480" s="16"/>
      <c r="J1480" s="16"/>
      <c r="K1480" s="205"/>
      <c r="L1480" s="16"/>
      <c r="M1480" s="16"/>
      <c r="N1480" s="16"/>
      <c r="O1480" s="16"/>
      <c r="P1480" s="16"/>
      <c r="Q1480" s="16"/>
      <c r="R1480" s="16"/>
      <c r="S1480" s="16"/>
      <c r="T1480" s="16"/>
      <c r="U1480" s="16"/>
      <c r="V1480" s="16"/>
      <c r="W1480" s="16"/>
      <c r="X1480" s="16"/>
      <c r="Y1480" s="16"/>
      <c r="Z1480" s="16"/>
      <c r="AA1480" s="16"/>
    </row>
    <row r="1481" spans="1:27" ht="24" customHeight="1">
      <c r="A1481" s="16"/>
      <c r="B1481" s="16"/>
      <c r="C1481" s="16"/>
      <c r="D1481" s="16"/>
      <c r="E1481" s="16"/>
      <c r="F1481" s="16"/>
      <c r="G1481" s="205"/>
      <c r="H1481" s="205"/>
      <c r="I1481" s="16"/>
      <c r="J1481" s="16"/>
      <c r="K1481" s="205"/>
      <c r="L1481" s="16"/>
      <c r="M1481" s="16"/>
      <c r="N1481" s="16"/>
      <c r="O1481" s="16"/>
      <c r="P1481" s="16"/>
      <c r="Q1481" s="16"/>
      <c r="R1481" s="16"/>
      <c r="S1481" s="16"/>
      <c r="T1481" s="16"/>
      <c r="U1481" s="16"/>
      <c r="V1481" s="16"/>
      <c r="W1481" s="16"/>
      <c r="X1481" s="16"/>
      <c r="Y1481" s="16"/>
      <c r="Z1481" s="16"/>
      <c r="AA1481" s="16"/>
    </row>
    <row r="1482" spans="1:27" ht="24" customHeight="1">
      <c r="A1482" s="16"/>
      <c r="B1482" s="16"/>
      <c r="C1482" s="16"/>
      <c r="D1482" s="16"/>
      <c r="E1482" s="16"/>
      <c r="F1482" s="16"/>
      <c r="G1482" s="205"/>
      <c r="H1482" s="205"/>
      <c r="I1482" s="16"/>
      <c r="J1482" s="16"/>
      <c r="K1482" s="205"/>
      <c r="L1482" s="16"/>
      <c r="M1482" s="16"/>
      <c r="N1482" s="16"/>
      <c r="O1482" s="16"/>
      <c r="P1482" s="16"/>
      <c r="Q1482" s="16"/>
      <c r="R1482" s="16"/>
      <c r="S1482" s="16"/>
      <c r="T1482" s="16"/>
      <c r="U1482" s="16"/>
      <c r="V1482" s="16"/>
      <c r="W1482" s="16"/>
      <c r="X1482" s="16"/>
      <c r="Y1482" s="16"/>
      <c r="Z1482" s="16"/>
      <c r="AA1482" s="16"/>
    </row>
    <row r="1483" spans="1:27" ht="24" customHeight="1">
      <c r="A1483" s="16"/>
      <c r="B1483" s="16"/>
      <c r="C1483" s="16"/>
      <c r="D1483" s="16"/>
      <c r="E1483" s="16"/>
      <c r="F1483" s="16"/>
      <c r="G1483" s="205"/>
      <c r="H1483" s="205"/>
      <c r="I1483" s="16"/>
      <c r="J1483" s="16"/>
      <c r="K1483" s="205"/>
      <c r="L1483" s="16"/>
      <c r="M1483" s="16"/>
      <c r="N1483" s="16"/>
      <c r="O1483" s="16"/>
      <c r="P1483" s="16"/>
      <c r="Q1483" s="16"/>
      <c r="R1483" s="16"/>
      <c r="S1483" s="16"/>
      <c r="T1483" s="16"/>
      <c r="U1483" s="16"/>
      <c r="V1483" s="16"/>
      <c r="W1483" s="16"/>
      <c r="X1483" s="16"/>
      <c r="Y1483" s="16"/>
      <c r="Z1483" s="16"/>
      <c r="AA1483" s="16"/>
    </row>
    <row r="1484" spans="1:27" ht="24" customHeight="1">
      <c r="A1484" s="16"/>
      <c r="B1484" s="16"/>
      <c r="C1484" s="16"/>
      <c r="D1484" s="16"/>
      <c r="E1484" s="16"/>
      <c r="F1484" s="16"/>
      <c r="G1484" s="205"/>
      <c r="H1484" s="205"/>
      <c r="I1484" s="16"/>
      <c r="J1484" s="16"/>
      <c r="K1484" s="205"/>
      <c r="L1484" s="16"/>
      <c r="M1484" s="16"/>
      <c r="N1484" s="16"/>
      <c r="O1484" s="16"/>
      <c r="P1484" s="16"/>
      <c r="Q1484" s="16"/>
      <c r="R1484" s="16"/>
      <c r="S1484" s="16"/>
      <c r="T1484" s="16"/>
      <c r="U1484" s="16"/>
      <c r="V1484" s="16"/>
      <c r="W1484" s="16"/>
      <c r="X1484" s="16"/>
      <c r="Y1484" s="16"/>
      <c r="Z1484" s="16"/>
      <c r="AA1484" s="16"/>
    </row>
    <row r="1485" spans="1:27" ht="24" customHeight="1">
      <c r="A1485" s="16"/>
      <c r="B1485" s="16"/>
      <c r="C1485" s="16"/>
      <c r="D1485" s="16"/>
      <c r="E1485" s="16"/>
      <c r="F1485" s="16"/>
      <c r="G1485" s="205"/>
      <c r="H1485" s="205"/>
      <c r="I1485" s="16"/>
      <c r="J1485" s="16"/>
      <c r="K1485" s="205"/>
      <c r="L1485" s="16"/>
      <c r="M1485" s="16"/>
      <c r="N1485" s="16"/>
      <c r="O1485" s="16"/>
      <c r="P1485" s="16"/>
      <c r="Q1485" s="16"/>
      <c r="R1485" s="16"/>
      <c r="S1485" s="16"/>
      <c r="T1485" s="16"/>
      <c r="U1485" s="16"/>
      <c r="V1485" s="16"/>
      <c r="W1485" s="16"/>
      <c r="X1485" s="16"/>
      <c r="Y1485" s="16"/>
      <c r="Z1485" s="16"/>
      <c r="AA1485" s="16"/>
    </row>
    <row r="1486" spans="1:27" ht="24" customHeight="1">
      <c r="A1486" s="16"/>
      <c r="B1486" s="16"/>
      <c r="C1486" s="16"/>
      <c r="D1486" s="16"/>
      <c r="E1486" s="16"/>
      <c r="F1486" s="16"/>
      <c r="G1486" s="205"/>
      <c r="H1486" s="205"/>
      <c r="I1486" s="16"/>
      <c r="J1486" s="16"/>
      <c r="K1486" s="205"/>
      <c r="L1486" s="16"/>
      <c r="M1486" s="16"/>
      <c r="N1486" s="16"/>
      <c r="O1486" s="16"/>
      <c r="P1486" s="16"/>
      <c r="Q1486" s="16"/>
      <c r="R1486" s="16"/>
      <c r="S1486" s="16"/>
      <c r="T1486" s="16"/>
      <c r="U1486" s="16"/>
      <c r="V1486" s="16"/>
      <c r="W1486" s="16"/>
      <c r="X1486" s="16"/>
      <c r="Y1486" s="16"/>
      <c r="Z1486" s="16"/>
      <c r="AA1486" s="16"/>
    </row>
    <row r="1487" spans="1:27" ht="24" customHeight="1">
      <c r="A1487" s="16"/>
      <c r="B1487" s="16"/>
      <c r="C1487" s="16"/>
      <c r="D1487" s="16"/>
      <c r="E1487" s="16"/>
      <c r="F1487" s="16"/>
      <c r="G1487" s="205"/>
      <c r="H1487" s="205"/>
      <c r="I1487" s="16"/>
      <c r="J1487" s="16"/>
      <c r="K1487" s="205"/>
      <c r="L1487" s="16"/>
      <c r="M1487" s="16"/>
      <c r="N1487" s="16"/>
      <c r="O1487" s="16"/>
      <c r="P1487" s="16"/>
      <c r="Q1487" s="16"/>
      <c r="R1487" s="16"/>
      <c r="S1487" s="16"/>
      <c r="T1487" s="16"/>
      <c r="U1487" s="16"/>
      <c r="V1487" s="16"/>
      <c r="W1487" s="16"/>
      <c r="X1487" s="16"/>
      <c r="Y1487" s="16"/>
      <c r="Z1487" s="16"/>
      <c r="AA1487" s="16"/>
    </row>
    <row r="1488" spans="1:27" ht="24" customHeight="1">
      <c r="A1488" s="16"/>
      <c r="B1488" s="16"/>
      <c r="C1488" s="16"/>
      <c r="D1488" s="16"/>
      <c r="E1488" s="16"/>
      <c r="F1488" s="16"/>
      <c r="G1488" s="205"/>
      <c r="H1488" s="205"/>
      <c r="I1488" s="16"/>
      <c r="J1488" s="16"/>
      <c r="K1488" s="205"/>
      <c r="L1488" s="16"/>
      <c r="M1488" s="16"/>
      <c r="N1488" s="16"/>
      <c r="O1488" s="16"/>
      <c r="P1488" s="16"/>
      <c r="Q1488" s="16"/>
      <c r="R1488" s="16"/>
      <c r="S1488" s="16"/>
      <c r="T1488" s="16"/>
      <c r="U1488" s="16"/>
      <c r="V1488" s="16"/>
      <c r="W1488" s="16"/>
      <c r="X1488" s="16"/>
      <c r="Y1488" s="16"/>
      <c r="Z1488" s="16"/>
      <c r="AA1488" s="16"/>
    </row>
    <row r="1489" spans="1:27" ht="24" customHeight="1">
      <c r="A1489" s="16"/>
      <c r="B1489" s="16"/>
      <c r="C1489" s="16"/>
      <c r="D1489" s="16"/>
      <c r="E1489" s="16"/>
      <c r="F1489" s="16"/>
      <c r="G1489" s="205"/>
      <c r="H1489" s="205"/>
      <c r="I1489" s="16"/>
      <c r="J1489" s="16"/>
      <c r="K1489" s="205"/>
      <c r="L1489" s="16"/>
      <c r="M1489" s="16"/>
      <c r="N1489" s="16"/>
      <c r="O1489" s="16"/>
      <c r="P1489" s="16"/>
      <c r="Q1489" s="16"/>
      <c r="R1489" s="16"/>
      <c r="S1489" s="16"/>
      <c r="T1489" s="16"/>
      <c r="U1489" s="16"/>
      <c r="V1489" s="16"/>
      <c r="W1489" s="16"/>
      <c r="X1489" s="16"/>
      <c r="Y1489" s="16"/>
      <c r="Z1489" s="16"/>
      <c r="AA1489" s="16"/>
    </row>
    <row r="1490" spans="1:27" ht="24" customHeight="1">
      <c r="A1490" s="16"/>
      <c r="B1490" s="16"/>
      <c r="C1490" s="16"/>
      <c r="D1490" s="16"/>
      <c r="E1490" s="16"/>
      <c r="F1490" s="16"/>
      <c r="G1490" s="205"/>
      <c r="H1490" s="205"/>
      <c r="I1490" s="16"/>
      <c r="J1490" s="16"/>
      <c r="K1490" s="205"/>
      <c r="L1490" s="16"/>
      <c r="M1490" s="16"/>
      <c r="N1490" s="16"/>
      <c r="O1490" s="16"/>
      <c r="P1490" s="16"/>
      <c r="Q1490" s="16"/>
      <c r="R1490" s="16"/>
      <c r="S1490" s="16"/>
      <c r="T1490" s="16"/>
      <c r="U1490" s="16"/>
      <c r="V1490" s="16"/>
      <c r="W1490" s="16"/>
      <c r="X1490" s="16"/>
      <c r="Y1490" s="16"/>
      <c r="Z1490" s="16"/>
      <c r="AA1490" s="16"/>
    </row>
    <row r="1491" spans="1:27" ht="24" customHeight="1">
      <c r="A1491" s="16"/>
      <c r="B1491" s="16"/>
      <c r="C1491" s="16"/>
      <c r="D1491" s="16"/>
      <c r="E1491" s="16"/>
      <c r="F1491" s="16"/>
      <c r="G1491" s="205"/>
      <c r="H1491" s="205"/>
      <c r="I1491" s="16"/>
      <c r="J1491" s="16"/>
      <c r="K1491" s="205"/>
      <c r="L1491" s="16"/>
      <c r="M1491" s="16"/>
      <c r="N1491" s="16"/>
      <c r="O1491" s="16"/>
      <c r="P1491" s="16"/>
      <c r="Q1491" s="16"/>
      <c r="R1491" s="16"/>
      <c r="S1491" s="16"/>
      <c r="T1491" s="16"/>
      <c r="U1491" s="16"/>
      <c r="V1491" s="16"/>
      <c r="W1491" s="16"/>
      <c r="X1491" s="16"/>
      <c r="Y1491" s="16"/>
      <c r="Z1491" s="16"/>
      <c r="AA1491" s="16"/>
    </row>
    <row r="1492" spans="1:27" ht="24" customHeight="1">
      <c r="A1492" s="16"/>
      <c r="B1492" s="16"/>
      <c r="C1492" s="16"/>
      <c r="D1492" s="16"/>
      <c r="E1492" s="16"/>
      <c r="F1492" s="16"/>
      <c r="G1492" s="205"/>
      <c r="H1492" s="205"/>
      <c r="I1492" s="16"/>
      <c r="J1492" s="16"/>
      <c r="K1492" s="205"/>
      <c r="L1492" s="16"/>
      <c r="M1492" s="16"/>
      <c r="N1492" s="16"/>
      <c r="O1492" s="16"/>
      <c r="P1492" s="16"/>
      <c r="Q1492" s="16"/>
      <c r="R1492" s="16"/>
      <c r="S1492" s="16"/>
      <c r="T1492" s="16"/>
      <c r="U1492" s="16"/>
      <c r="V1492" s="16"/>
      <c r="W1492" s="16"/>
      <c r="X1492" s="16"/>
      <c r="Y1492" s="16"/>
      <c r="Z1492" s="16"/>
      <c r="AA1492" s="16"/>
    </row>
    <row r="1493" spans="1:27" ht="24" customHeight="1">
      <c r="A1493" s="16"/>
      <c r="B1493" s="16"/>
      <c r="C1493" s="16"/>
      <c r="D1493" s="16"/>
      <c r="E1493" s="16"/>
      <c r="F1493" s="16"/>
      <c r="G1493" s="205"/>
      <c r="H1493" s="205"/>
      <c r="I1493" s="16"/>
      <c r="J1493" s="16"/>
      <c r="K1493" s="205"/>
      <c r="L1493" s="16"/>
      <c r="M1493" s="16"/>
      <c r="N1493" s="16"/>
      <c r="O1493" s="16"/>
      <c r="P1493" s="16"/>
      <c r="Q1493" s="16"/>
      <c r="R1493" s="16"/>
      <c r="S1493" s="16"/>
      <c r="T1493" s="16"/>
      <c r="U1493" s="16"/>
      <c r="V1493" s="16"/>
      <c r="W1493" s="16"/>
      <c r="X1493" s="16"/>
      <c r="Y1493" s="16"/>
      <c r="Z1493" s="16"/>
      <c r="AA1493" s="16"/>
    </row>
    <row r="1494" spans="1:27" ht="24" customHeight="1">
      <c r="A1494" s="16"/>
      <c r="B1494" s="16"/>
      <c r="C1494" s="16"/>
      <c r="D1494" s="16"/>
      <c r="E1494" s="16"/>
      <c r="F1494" s="16"/>
      <c r="G1494" s="205"/>
      <c r="H1494" s="205"/>
      <c r="I1494" s="16"/>
      <c r="J1494" s="16"/>
      <c r="K1494" s="205"/>
      <c r="L1494" s="16"/>
      <c r="M1494" s="16"/>
      <c r="N1494" s="16"/>
      <c r="O1494" s="16"/>
      <c r="P1494" s="16"/>
      <c r="Q1494" s="16"/>
      <c r="R1494" s="16"/>
      <c r="S1494" s="16"/>
      <c r="T1494" s="16"/>
      <c r="U1494" s="16"/>
      <c r="V1494" s="16"/>
      <c r="W1494" s="16"/>
      <c r="X1494" s="16"/>
      <c r="Y1494" s="16"/>
      <c r="Z1494" s="16"/>
      <c r="AA1494" s="16"/>
    </row>
    <row r="1495" spans="1:27" ht="24" customHeight="1">
      <c r="A1495" s="16"/>
      <c r="B1495" s="16"/>
      <c r="C1495" s="16"/>
      <c r="D1495" s="16"/>
      <c r="E1495" s="16"/>
      <c r="F1495" s="16"/>
      <c r="G1495" s="205"/>
      <c r="H1495" s="205"/>
      <c r="I1495" s="16"/>
      <c r="J1495" s="16"/>
      <c r="K1495" s="205"/>
      <c r="L1495" s="16"/>
      <c r="M1495" s="16"/>
      <c r="N1495" s="16"/>
      <c r="O1495" s="16"/>
      <c r="P1495" s="16"/>
      <c r="Q1495" s="16"/>
      <c r="R1495" s="16"/>
      <c r="S1495" s="16"/>
      <c r="T1495" s="16"/>
      <c r="U1495" s="16"/>
      <c r="V1495" s="16"/>
      <c r="W1495" s="16"/>
      <c r="X1495" s="16"/>
      <c r="Y1495" s="16"/>
      <c r="Z1495" s="16"/>
      <c r="AA1495" s="16"/>
    </row>
    <row r="1496" spans="1:27" ht="24" customHeight="1">
      <c r="A1496" s="16"/>
      <c r="B1496" s="16"/>
      <c r="C1496" s="16"/>
      <c r="D1496" s="16"/>
      <c r="E1496" s="16"/>
      <c r="F1496" s="16"/>
      <c r="G1496" s="205"/>
      <c r="H1496" s="205"/>
      <c r="I1496" s="16"/>
      <c r="J1496" s="16"/>
      <c r="K1496" s="205"/>
      <c r="L1496" s="16"/>
      <c r="M1496" s="16"/>
      <c r="N1496" s="16"/>
      <c r="O1496" s="16"/>
      <c r="P1496" s="16"/>
      <c r="Q1496" s="16"/>
      <c r="R1496" s="16"/>
      <c r="S1496" s="16"/>
      <c r="T1496" s="16"/>
      <c r="U1496" s="16"/>
      <c r="V1496" s="16"/>
      <c r="W1496" s="16"/>
      <c r="X1496" s="16"/>
      <c r="Y1496" s="16"/>
      <c r="Z1496" s="16"/>
      <c r="AA1496" s="16"/>
    </row>
    <row r="1497" spans="1:27" ht="24" customHeight="1">
      <c r="A1497" s="16"/>
      <c r="B1497" s="16"/>
      <c r="C1497" s="16"/>
      <c r="D1497" s="16"/>
      <c r="E1497" s="16"/>
      <c r="F1497" s="16"/>
      <c r="G1497" s="205"/>
      <c r="H1497" s="205"/>
      <c r="I1497" s="16"/>
      <c r="J1497" s="16"/>
      <c r="K1497" s="205"/>
      <c r="L1497" s="16"/>
      <c r="M1497" s="16"/>
      <c r="N1497" s="16"/>
      <c r="O1497" s="16"/>
      <c r="P1497" s="16"/>
      <c r="Q1497" s="16"/>
      <c r="R1497" s="16"/>
      <c r="S1497" s="16"/>
      <c r="T1497" s="16"/>
      <c r="U1497" s="16"/>
      <c r="V1497" s="16"/>
      <c r="W1497" s="16"/>
      <c r="X1497" s="16"/>
      <c r="Y1497" s="16"/>
      <c r="Z1497" s="16"/>
      <c r="AA1497" s="16"/>
    </row>
    <row r="1498" spans="1:27" ht="24" customHeight="1">
      <c r="A1498" s="16"/>
      <c r="B1498" s="16"/>
      <c r="C1498" s="16"/>
      <c r="D1498" s="16"/>
      <c r="E1498" s="16"/>
      <c r="F1498" s="16"/>
      <c r="G1498" s="205"/>
      <c r="H1498" s="205"/>
      <c r="I1498" s="16"/>
      <c r="J1498" s="16"/>
      <c r="K1498" s="205"/>
      <c r="L1498" s="16"/>
      <c r="M1498" s="16"/>
      <c r="N1498" s="16"/>
      <c r="O1498" s="16"/>
      <c r="P1498" s="16"/>
      <c r="Q1498" s="16"/>
      <c r="R1498" s="16"/>
      <c r="S1498" s="16"/>
      <c r="T1498" s="16"/>
      <c r="U1498" s="16"/>
      <c r="V1498" s="16"/>
      <c r="W1498" s="16"/>
      <c r="X1498" s="16"/>
      <c r="Y1498" s="16"/>
      <c r="Z1498" s="16"/>
      <c r="AA1498" s="16"/>
    </row>
    <row r="1499" spans="1:27" ht="24" customHeight="1">
      <c r="A1499" s="16"/>
      <c r="B1499" s="16"/>
      <c r="C1499" s="16"/>
      <c r="D1499" s="16"/>
      <c r="E1499" s="16"/>
      <c r="F1499" s="16"/>
      <c r="G1499" s="205"/>
      <c r="H1499" s="205"/>
      <c r="I1499" s="16"/>
      <c r="J1499" s="16"/>
      <c r="K1499" s="205"/>
      <c r="L1499" s="16"/>
      <c r="M1499" s="16"/>
      <c r="N1499" s="16"/>
      <c r="O1499" s="16"/>
      <c r="P1499" s="16"/>
      <c r="Q1499" s="16"/>
      <c r="R1499" s="16"/>
      <c r="S1499" s="16"/>
      <c r="T1499" s="16"/>
      <c r="U1499" s="16"/>
      <c r="V1499" s="16"/>
      <c r="W1499" s="16"/>
      <c r="X1499" s="16"/>
      <c r="Y1499" s="16"/>
      <c r="Z1499" s="16"/>
      <c r="AA1499" s="16"/>
    </row>
    <row r="1500" spans="1:27" ht="24" customHeight="1">
      <c r="A1500" s="16"/>
      <c r="B1500" s="16"/>
      <c r="C1500" s="16"/>
      <c r="D1500" s="16"/>
      <c r="E1500" s="16"/>
      <c r="F1500" s="16"/>
      <c r="G1500" s="205"/>
      <c r="H1500" s="205"/>
      <c r="I1500" s="16"/>
      <c r="J1500" s="16"/>
      <c r="K1500" s="205"/>
      <c r="L1500" s="16"/>
      <c r="M1500" s="16"/>
      <c r="N1500" s="16"/>
      <c r="O1500" s="16"/>
      <c r="P1500" s="16"/>
      <c r="Q1500" s="16"/>
      <c r="R1500" s="16"/>
      <c r="S1500" s="16"/>
      <c r="T1500" s="16"/>
      <c r="U1500" s="16"/>
      <c r="V1500" s="16"/>
      <c r="W1500" s="16"/>
      <c r="X1500" s="16"/>
      <c r="Y1500" s="16"/>
      <c r="Z1500" s="16"/>
      <c r="AA1500" s="16"/>
    </row>
    <row r="1501" spans="1:27" ht="24" customHeight="1">
      <c r="A1501" s="16"/>
      <c r="B1501" s="16"/>
      <c r="C1501" s="16"/>
      <c r="D1501" s="16"/>
      <c r="E1501" s="16"/>
      <c r="F1501" s="16"/>
      <c r="G1501" s="205"/>
      <c r="H1501" s="205"/>
      <c r="I1501" s="16"/>
      <c r="J1501" s="16"/>
      <c r="K1501" s="205"/>
      <c r="L1501" s="16"/>
      <c r="M1501" s="16"/>
      <c r="N1501" s="16"/>
      <c r="O1501" s="16"/>
      <c r="P1501" s="16"/>
      <c r="Q1501" s="16"/>
      <c r="R1501" s="16"/>
      <c r="S1501" s="16"/>
      <c r="T1501" s="16"/>
      <c r="U1501" s="16"/>
      <c r="V1501" s="16"/>
      <c r="W1501" s="16"/>
      <c r="X1501" s="16"/>
      <c r="Y1501" s="16"/>
      <c r="Z1501" s="16"/>
      <c r="AA1501" s="16"/>
    </row>
    <row r="1502" spans="1:27" ht="24" customHeight="1">
      <c r="A1502" s="16"/>
      <c r="B1502" s="16"/>
      <c r="C1502" s="16"/>
      <c r="D1502" s="16"/>
      <c r="E1502" s="16"/>
      <c r="F1502" s="16"/>
      <c r="G1502" s="205"/>
      <c r="H1502" s="205"/>
      <c r="I1502" s="16"/>
      <c r="J1502" s="16"/>
      <c r="K1502" s="205"/>
      <c r="L1502" s="16"/>
      <c r="M1502" s="16"/>
      <c r="N1502" s="16"/>
      <c r="O1502" s="16"/>
      <c r="P1502" s="16"/>
      <c r="Q1502" s="16"/>
      <c r="R1502" s="16"/>
      <c r="S1502" s="16"/>
      <c r="T1502" s="16"/>
      <c r="U1502" s="16"/>
      <c r="V1502" s="16"/>
      <c r="W1502" s="16"/>
      <c r="X1502" s="16"/>
      <c r="Y1502" s="16"/>
      <c r="Z1502" s="16"/>
      <c r="AA1502" s="16"/>
    </row>
    <row r="1503" spans="1:27" ht="24" customHeight="1">
      <c r="A1503" s="16"/>
      <c r="B1503" s="16"/>
      <c r="C1503" s="16"/>
      <c r="D1503" s="16"/>
      <c r="E1503" s="16"/>
      <c r="F1503" s="16"/>
      <c r="G1503" s="205"/>
      <c r="H1503" s="205"/>
      <c r="I1503" s="16"/>
      <c r="J1503" s="16"/>
      <c r="K1503" s="205"/>
      <c r="L1503" s="16"/>
      <c r="M1503" s="16"/>
      <c r="N1503" s="16"/>
      <c r="O1503" s="16"/>
      <c r="P1503" s="16"/>
      <c r="Q1503" s="16"/>
      <c r="R1503" s="16"/>
      <c r="S1503" s="16"/>
      <c r="T1503" s="16"/>
      <c r="U1503" s="16"/>
      <c r="V1503" s="16"/>
      <c r="W1503" s="16"/>
      <c r="X1503" s="16"/>
      <c r="Y1503" s="16"/>
      <c r="Z1503" s="16"/>
      <c r="AA1503" s="16"/>
    </row>
    <row r="1504" spans="1:27" ht="24" customHeight="1">
      <c r="A1504" s="16"/>
      <c r="B1504" s="16"/>
      <c r="C1504" s="16"/>
      <c r="D1504" s="16"/>
      <c r="E1504" s="16"/>
      <c r="F1504" s="16"/>
      <c r="G1504" s="205"/>
      <c r="H1504" s="205"/>
      <c r="I1504" s="16"/>
      <c r="J1504" s="16"/>
      <c r="K1504" s="205"/>
      <c r="L1504" s="16"/>
      <c r="M1504" s="16"/>
      <c r="N1504" s="16"/>
      <c r="O1504" s="16"/>
      <c r="P1504" s="16"/>
      <c r="Q1504" s="16"/>
      <c r="R1504" s="16"/>
      <c r="S1504" s="16"/>
      <c r="T1504" s="16"/>
      <c r="U1504" s="16"/>
      <c r="V1504" s="16"/>
      <c r="W1504" s="16"/>
      <c r="X1504" s="16"/>
      <c r="Y1504" s="16"/>
      <c r="Z1504" s="16"/>
      <c r="AA1504" s="16"/>
    </row>
    <row r="1505" spans="1:27" ht="24" customHeight="1">
      <c r="A1505" s="16"/>
      <c r="B1505" s="16"/>
      <c r="C1505" s="16"/>
      <c r="D1505" s="16"/>
      <c r="E1505" s="16"/>
      <c r="F1505" s="16"/>
      <c r="G1505" s="205"/>
      <c r="H1505" s="205"/>
      <c r="I1505" s="16"/>
      <c r="J1505" s="16"/>
      <c r="K1505" s="205"/>
      <c r="L1505" s="16"/>
      <c r="M1505" s="16"/>
      <c r="N1505" s="16"/>
      <c r="O1505" s="16"/>
      <c r="P1505" s="16"/>
      <c r="Q1505" s="16"/>
      <c r="R1505" s="16"/>
      <c r="S1505" s="16"/>
      <c r="T1505" s="16"/>
      <c r="U1505" s="16"/>
      <c r="V1505" s="16"/>
      <c r="W1505" s="16"/>
      <c r="X1505" s="16"/>
      <c r="Y1505" s="16"/>
      <c r="Z1505" s="16"/>
      <c r="AA1505" s="16"/>
    </row>
    <row r="1506" spans="1:27" ht="24" customHeight="1">
      <c r="A1506" s="16"/>
      <c r="B1506" s="16"/>
      <c r="C1506" s="16"/>
      <c r="D1506" s="16"/>
      <c r="E1506" s="16"/>
      <c r="F1506" s="16"/>
      <c r="G1506" s="205"/>
      <c r="H1506" s="205"/>
      <c r="I1506" s="16"/>
      <c r="J1506" s="16"/>
      <c r="K1506" s="205"/>
      <c r="L1506" s="16"/>
      <c r="M1506" s="16"/>
      <c r="N1506" s="16"/>
      <c r="O1506" s="16"/>
      <c r="P1506" s="16"/>
      <c r="Q1506" s="16"/>
      <c r="R1506" s="16"/>
      <c r="S1506" s="16"/>
      <c r="T1506" s="16"/>
      <c r="U1506" s="16"/>
      <c r="V1506" s="16"/>
      <c r="W1506" s="16"/>
      <c r="X1506" s="16"/>
      <c r="Y1506" s="16"/>
      <c r="Z1506" s="16"/>
      <c r="AA1506" s="16"/>
    </row>
    <row r="1507" spans="1:27" ht="24" customHeight="1">
      <c r="A1507" s="16"/>
      <c r="B1507" s="16"/>
      <c r="C1507" s="16"/>
      <c r="D1507" s="16"/>
      <c r="E1507" s="16"/>
      <c r="F1507" s="16"/>
      <c r="G1507" s="205"/>
      <c r="H1507" s="205"/>
      <c r="I1507" s="16"/>
      <c r="J1507" s="16"/>
      <c r="K1507" s="205"/>
      <c r="L1507" s="16"/>
      <c r="M1507" s="16"/>
      <c r="N1507" s="16"/>
      <c r="O1507" s="16"/>
      <c r="P1507" s="16"/>
      <c r="Q1507" s="16"/>
      <c r="R1507" s="16"/>
      <c r="S1507" s="16"/>
      <c r="T1507" s="16"/>
      <c r="U1507" s="16"/>
      <c r="V1507" s="16"/>
      <c r="W1507" s="16"/>
      <c r="X1507" s="16"/>
      <c r="Y1507" s="16"/>
      <c r="Z1507" s="16"/>
      <c r="AA1507" s="16"/>
    </row>
    <row r="1508" spans="1:27" ht="24" customHeight="1">
      <c r="A1508" s="16"/>
      <c r="B1508" s="16"/>
      <c r="C1508" s="16"/>
      <c r="D1508" s="16"/>
      <c r="E1508" s="16"/>
      <c r="F1508" s="16"/>
      <c r="G1508" s="205"/>
      <c r="H1508" s="205"/>
      <c r="I1508" s="16"/>
      <c r="J1508" s="16"/>
      <c r="K1508" s="205"/>
      <c r="L1508" s="16"/>
      <c r="M1508" s="16"/>
      <c r="N1508" s="16"/>
      <c r="O1508" s="16"/>
      <c r="P1508" s="16"/>
      <c r="Q1508" s="16"/>
      <c r="R1508" s="16"/>
      <c r="S1508" s="16"/>
      <c r="T1508" s="16"/>
      <c r="U1508" s="16"/>
      <c r="V1508" s="16"/>
      <c r="W1508" s="16"/>
      <c r="X1508" s="16"/>
      <c r="Y1508" s="16"/>
      <c r="Z1508" s="16"/>
      <c r="AA1508" s="16"/>
    </row>
    <row r="1509" spans="1:27" ht="24" customHeight="1">
      <c r="A1509" s="16"/>
      <c r="B1509" s="16"/>
      <c r="C1509" s="16"/>
      <c r="D1509" s="16"/>
      <c r="E1509" s="16"/>
      <c r="F1509" s="16"/>
      <c r="G1509" s="205"/>
      <c r="H1509" s="205"/>
      <c r="I1509" s="16"/>
      <c r="J1509" s="16"/>
      <c r="K1509" s="205"/>
      <c r="L1509" s="16"/>
      <c r="M1509" s="16"/>
      <c r="N1509" s="16"/>
      <c r="O1509" s="16"/>
      <c r="P1509" s="16"/>
      <c r="Q1509" s="16"/>
      <c r="R1509" s="16"/>
      <c r="S1509" s="16"/>
      <c r="T1509" s="16"/>
      <c r="U1509" s="16"/>
      <c r="V1509" s="16"/>
      <c r="W1509" s="16"/>
      <c r="X1509" s="16"/>
      <c r="Y1509" s="16"/>
      <c r="Z1509" s="16"/>
      <c r="AA1509" s="16"/>
    </row>
    <row r="1510" spans="1:27" ht="24" customHeight="1">
      <c r="A1510" s="16"/>
      <c r="B1510" s="16"/>
      <c r="C1510" s="16"/>
      <c r="D1510" s="16"/>
      <c r="E1510" s="16"/>
      <c r="F1510" s="16"/>
      <c r="G1510" s="205"/>
      <c r="H1510" s="205"/>
      <c r="I1510" s="16"/>
      <c r="J1510" s="16"/>
      <c r="K1510" s="205"/>
      <c r="L1510" s="16"/>
      <c r="M1510" s="16"/>
      <c r="N1510" s="16"/>
      <c r="O1510" s="16"/>
      <c r="P1510" s="16"/>
      <c r="Q1510" s="16"/>
      <c r="R1510" s="16"/>
      <c r="S1510" s="16"/>
      <c r="T1510" s="16"/>
      <c r="U1510" s="16"/>
      <c r="V1510" s="16"/>
      <c r="W1510" s="16"/>
      <c r="X1510" s="16"/>
      <c r="Y1510" s="16"/>
      <c r="Z1510" s="16"/>
      <c r="AA1510" s="16"/>
    </row>
    <row r="1511" spans="1:27" ht="24" customHeight="1">
      <c r="A1511" s="16"/>
      <c r="B1511" s="16"/>
      <c r="C1511" s="16"/>
      <c r="D1511" s="16"/>
      <c r="E1511" s="16"/>
      <c r="F1511" s="16"/>
      <c r="G1511" s="205"/>
      <c r="H1511" s="205"/>
      <c r="I1511" s="16"/>
      <c r="J1511" s="16"/>
      <c r="K1511" s="205"/>
      <c r="L1511" s="16"/>
      <c r="M1511" s="16"/>
      <c r="N1511" s="16"/>
      <c r="O1511" s="16"/>
      <c r="P1511" s="16"/>
      <c r="Q1511" s="16"/>
      <c r="R1511" s="16"/>
      <c r="S1511" s="16"/>
      <c r="T1511" s="16"/>
      <c r="U1511" s="16"/>
      <c r="V1511" s="16"/>
      <c r="W1511" s="16"/>
      <c r="X1511" s="16"/>
      <c r="Y1511" s="16"/>
      <c r="Z1511" s="16"/>
      <c r="AA1511" s="16"/>
    </row>
    <row r="1512" spans="1:27" ht="24" customHeight="1">
      <c r="A1512" s="16"/>
      <c r="B1512" s="16"/>
      <c r="C1512" s="16"/>
      <c r="D1512" s="16"/>
      <c r="E1512" s="16"/>
      <c r="F1512" s="16"/>
      <c r="G1512" s="205"/>
      <c r="H1512" s="205"/>
      <c r="I1512" s="16"/>
      <c r="J1512" s="16"/>
      <c r="K1512" s="205"/>
      <c r="L1512" s="16"/>
      <c r="M1512" s="16"/>
      <c r="N1512" s="16"/>
      <c r="O1512" s="16"/>
      <c r="P1512" s="16"/>
      <c r="Q1512" s="16"/>
      <c r="R1512" s="16"/>
      <c r="S1512" s="16"/>
      <c r="T1512" s="16"/>
      <c r="U1512" s="16"/>
      <c r="V1512" s="16"/>
      <c r="W1512" s="16"/>
      <c r="X1512" s="16"/>
      <c r="Y1512" s="16"/>
      <c r="Z1512" s="16"/>
      <c r="AA1512" s="16"/>
    </row>
    <row r="1513" spans="1:27" ht="24" customHeight="1">
      <c r="A1513" s="16"/>
      <c r="B1513" s="16"/>
      <c r="C1513" s="16"/>
      <c r="D1513" s="16"/>
      <c r="E1513" s="16"/>
      <c r="F1513" s="16"/>
      <c r="G1513" s="205"/>
      <c r="H1513" s="205"/>
      <c r="I1513" s="16"/>
      <c r="J1513" s="16"/>
      <c r="K1513" s="205"/>
      <c r="L1513" s="16"/>
      <c r="M1513" s="16"/>
      <c r="N1513" s="16"/>
      <c r="O1513" s="16"/>
      <c r="P1513" s="16"/>
      <c r="Q1513" s="16"/>
      <c r="R1513" s="16"/>
      <c r="S1513" s="16"/>
      <c r="T1513" s="16"/>
      <c r="U1513" s="16"/>
      <c r="V1513" s="16"/>
      <c r="W1513" s="16"/>
      <c r="X1513" s="16"/>
      <c r="Y1513" s="16"/>
      <c r="Z1513" s="16"/>
      <c r="AA1513" s="16"/>
    </row>
    <row r="1514" spans="1:27" ht="24" customHeight="1">
      <c r="A1514" s="16"/>
      <c r="B1514" s="16"/>
      <c r="C1514" s="16"/>
      <c r="D1514" s="16"/>
      <c r="E1514" s="16"/>
      <c r="F1514" s="16"/>
      <c r="G1514" s="205"/>
      <c r="H1514" s="205"/>
      <c r="I1514" s="16"/>
      <c r="J1514" s="16"/>
      <c r="K1514" s="205"/>
      <c r="L1514" s="16"/>
      <c r="M1514" s="16"/>
      <c r="N1514" s="16"/>
      <c r="O1514" s="16"/>
      <c r="P1514" s="16"/>
      <c r="Q1514" s="16"/>
      <c r="R1514" s="16"/>
      <c r="S1514" s="16"/>
      <c r="T1514" s="16"/>
      <c r="U1514" s="16"/>
      <c r="V1514" s="16"/>
      <c r="W1514" s="16"/>
      <c r="X1514" s="16"/>
      <c r="Y1514" s="16"/>
      <c r="Z1514" s="16"/>
      <c r="AA1514" s="16"/>
    </row>
    <row r="1515" spans="1:27" ht="24" customHeight="1">
      <c r="A1515" s="16"/>
      <c r="B1515" s="16"/>
      <c r="C1515" s="16"/>
      <c r="D1515" s="16"/>
      <c r="E1515" s="16"/>
      <c r="F1515" s="16"/>
      <c r="G1515" s="205"/>
      <c r="H1515" s="205"/>
      <c r="I1515" s="16"/>
      <c r="J1515" s="16"/>
      <c r="K1515" s="205"/>
      <c r="L1515" s="16"/>
      <c r="M1515" s="16"/>
      <c r="N1515" s="16"/>
      <c r="O1515" s="16"/>
      <c r="P1515" s="16"/>
      <c r="Q1515" s="16"/>
      <c r="R1515" s="16"/>
      <c r="S1515" s="16"/>
      <c r="T1515" s="16"/>
      <c r="U1515" s="16"/>
      <c r="V1515" s="16"/>
      <c r="W1515" s="16"/>
      <c r="X1515" s="16"/>
      <c r="Y1515" s="16"/>
      <c r="Z1515" s="16"/>
      <c r="AA1515" s="16"/>
    </row>
    <row r="1516" spans="1:27" ht="24" customHeight="1">
      <c r="A1516" s="16"/>
      <c r="B1516" s="16"/>
      <c r="C1516" s="16"/>
      <c r="D1516" s="16"/>
      <c r="E1516" s="16"/>
      <c r="F1516" s="16"/>
      <c r="G1516" s="205"/>
      <c r="H1516" s="205"/>
      <c r="I1516" s="16"/>
      <c r="J1516" s="16"/>
      <c r="K1516" s="205"/>
      <c r="L1516" s="16"/>
      <c r="M1516" s="16"/>
      <c r="N1516" s="16"/>
      <c r="O1516" s="16"/>
      <c r="P1516" s="16"/>
      <c r="Q1516" s="16"/>
      <c r="R1516" s="16"/>
      <c r="S1516" s="16"/>
      <c r="T1516" s="16"/>
      <c r="U1516" s="16"/>
      <c r="V1516" s="16"/>
      <c r="W1516" s="16"/>
      <c r="X1516" s="16"/>
      <c r="Y1516" s="16"/>
      <c r="Z1516" s="16"/>
      <c r="AA1516" s="16"/>
    </row>
    <row r="1517" spans="1:27" ht="24" customHeight="1">
      <c r="A1517" s="16"/>
      <c r="B1517" s="16"/>
      <c r="C1517" s="16"/>
      <c r="D1517" s="16"/>
      <c r="E1517" s="16"/>
      <c r="F1517" s="16"/>
      <c r="G1517" s="205"/>
      <c r="H1517" s="205"/>
      <c r="I1517" s="16"/>
      <c r="J1517" s="16"/>
      <c r="K1517" s="205"/>
      <c r="L1517" s="16"/>
      <c r="M1517" s="16"/>
      <c r="N1517" s="16"/>
      <c r="O1517" s="16"/>
      <c r="P1517" s="16"/>
      <c r="Q1517" s="16"/>
      <c r="R1517" s="16"/>
      <c r="S1517" s="16"/>
      <c r="T1517" s="16"/>
      <c r="U1517" s="16"/>
      <c r="V1517" s="16"/>
      <c r="W1517" s="16"/>
      <c r="X1517" s="16"/>
      <c r="Y1517" s="16"/>
      <c r="Z1517" s="16"/>
      <c r="AA1517" s="16"/>
    </row>
    <row r="1518" spans="1:27" ht="24" customHeight="1">
      <c r="A1518" s="16"/>
      <c r="B1518" s="16"/>
      <c r="C1518" s="16"/>
      <c r="D1518" s="16"/>
      <c r="E1518" s="16"/>
      <c r="F1518" s="16"/>
      <c r="G1518" s="205"/>
      <c r="H1518" s="205"/>
      <c r="I1518" s="16"/>
      <c r="J1518" s="16"/>
      <c r="K1518" s="205"/>
      <c r="L1518" s="16"/>
      <c r="M1518" s="16"/>
      <c r="N1518" s="16"/>
      <c r="O1518" s="16"/>
      <c r="P1518" s="16"/>
      <c r="Q1518" s="16"/>
      <c r="R1518" s="16"/>
      <c r="S1518" s="16"/>
      <c r="T1518" s="16"/>
      <c r="U1518" s="16"/>
      <c r="V1518" s="16"/>
      <c r="W1518" s="16"/>
      <c r="X1518" s="16"/>
      <c r="Y1518" s="16"/>
      <c r="Z1518" s="16"/>
      <c r="AA1518" s="16"/>
    </row>
    <row r="1519" spans="1:27" ht="24" customHeight="1">
      <c r="A1519" s="16"/>
      <c r="B1519" s="16"/>
      <c r="C1519" s="16"/>
      <c r="D1519" s="16"/>
      <c r="E1519" s="16"/>
      <c r="F1519" s="16"/>
      <c r="G1519" s="205"/>
      <c r="H1519" s="205"/>
      <c r="I1519" s="16"/>
      <c r="J1519" s="16"/>
      <c r="K1519" s="205"/>
      <c r="L1519" s="16"/>
      <c r="M1519" s="16"/>
      <c r="N1519" s="16"/>
      <c r="O1519" s="16"/>
      <c r="P1519" s="16"/>
      <c r="Q1519" s="16"/>
      <c r="R1519" s="16"/>
      <c r="S1519" s="16"/>
      <c r="T1519" s="16"/>
      <c r="U1519" s="16"/>
      <c r="V1519" s="16"/>
      <c r="W1519" s="16"/>
      <c r="X1519" s="16"/>
      <c r="Y1519" s="16"/>
      <c r="Z1519" s="16"/>
      <c r="AA1519" s="16"/>
    </row>
    <row r="1520" spans="1:27" ht="24" customHeight="1">
      <c r="A1520" s="16"/>
      <c r="B1520" s="16"/>
      <c r="C1520" s="16"/>
      <c r="D1520" s="16"/>
      <c r="E1520" s="16"/>
      <c r="F1520" s="16"/>
      <c r="G1520" s="205"/>
      <c r="H1520" s="205"/>
      <c r="I1520" s="16"/>
      <c r="J1520" s="16"/>
      <c r="K1520" s="205"/>
      <c r="L1520" s="16"/>
      <c r="M1520" s="16"/>
      <c r="N1520" s="16"/>
      <c r="O1520" s="16"/>
      <c r="P1520" s="16"/>
      <c r="Q1520" s="16"/>
      <c r="R1520" s="16"/>
      <c r="S1520" s="16"/>
      <c r="T1520" s="16"/>
      <c r="U1520" s="16"/>
      <c r="V1520" s="16"/>
      <c r="W1520" s="16"/>
      <c r="X1520" s="16"/>
      <c r="Y1520" s="16"/>
      <c r="Z1520" s="16"/>
      <c r="AA1520" s="16"/>
    </row>
    <row r="1521" spans="1:27" ht="24" customHeight="1">
      <c r="A1521" s="16"/>
      <c r="B1521" s="16"/>
      <c r="C1521" s="16"/>
      <c r="D1521" s="16"/>
      <c r="E1521" s="16"/>
      <c r="F1521" s="16"/>
      <c r="G1521" s="205"/>
      <c r="H1521" s="205"/>
      <c r="I1521" s="16"/>
      <c r="J1521" s="16"/>
      <c r="K1521" s="205"/>
      <c r="L1521" s="16"/>
      <c r="M1521" s="16"/>
      <c r="N1521" s="16"/>
      <c r="O1521" s="16"/>
      <c r="P1521" s="16"/>
      <c r="Q1521" s="16"/>
      <c r="R1521" s="16"/>
      <c r="S1521" s="16"/>
      <c r="T1521" s="16"/>
      <c r="U1521" s="16"/>
      <c r="V1521" s="16"/>
      <c r="W1521" s="16"/>
      <c r="X1521" s="16"/>
      <c r="Y1521" s="16"/>
      <c r="Z1521" s="16"/>
      <c r="AA1521" s="16"/>
    </row>
    <row r="1522" spans="1:27" ht="24" customHeight="1">
      <c r="A1522" s="16"/>
      <c r="B1522" s="16"/>
      <c r="C1522" s="16"/>
      <c r="D1522" s="16"/>
      <c r="E1522" s="16"/>
      <c r="F1522" s="16"/>
      <c r="G1522" s="205"/>
      <c r="H1522" s="205"/>
      <c r="I1522" s="16"/>
      <c r="J1522" s="16"/>
      <c r="K1522" s="205"/>
      <c r="L1522" s="16"/>
      <c r="M1522" s="16"/>
      <c r="N1522" s="16"/>
      <c r="O1522" s="16"/>
      <c r="P1522" s="16"/>
      <c r="Q1522" s="16"/>
      <c r="R1522" s="16"/>
      <c r="S1522" s="16"/>
      <c r="T1522" s="16"/>
      <c r="U1522" s="16"/>
      <c r="V1522" s="16"/>
      <c r="W1522" s="16"/>
      <c r="X1522" s="16"/>
      <c r="Y1522" s="16"/>
      <c r="Z1522" s="16"/>
      <c r="AA1522" s="16"/>
    </row>
    <row r="1523" spans="1:27" ht="24" customHeight="1">
      <c r="A1523" s="16"/>
      <c r="B1523" s="16"/>
      <c r="C1523" s="16"/>
      <c r="D1523" s="16"/>
      <c r="E1523" s="16"/>
      <c r="F1523" s="16"/>
      <c r="G1523" s="205"/>
      <c r="H1523" s="205"/>
      <c r="I1523" s="16"/>
      <c r="J1523" s="16"/>
      <c r="K1523" s="205"/>
      <c r="L1523" s="16"/>
      <c r="M1523" s="16"/>
      <c r="N1523" s="16"/>
      <c r="O1523" s="16"/>
      <c r="P1523" s="16"/>
      <c r="Q1523" s="16"/>
      <c r="R1523" s="16"/>
      <c r="S1523" s="16"/>
      <c r="T1523" s="16"/>
      <c r="U1523" s="16"/>
      <c r="V1523" s="16"/>
      <c r="W1523" s="16"/>
      <c r="X1523" s="16"/>
      <c r="Y1523" s="16"/>
      <c r="Z1523" s="16"/>
      <c r="AA1523" s="16"/>
    </row>
    <row r="1524" spans="1:27" ht="24" customHeight="1">
      <c r="A1524" s="16"/>
      <c r="B1524" s="16"/>
      <c r="C1524" s="16"/>
      <c r="D1524" s="16"/>
      <c r="E1524" s="16"/>
      <c r="F1524" s="16"/>
      <c r="G1524" s="205"/>
      <c r="H1524" s="205"/>
      <c r="I1524" s="16"/>
      <c r="J1524" s="16"/>
      <c r="K1524" s="205"/>
      <c r="L1524" s="16"/>
      <c r="M1524" s="16"/>
      <c r="N1524" s="16"/>
      <c r="O1524" s="16"/>
      <c r="P1524" s="16"/>
      <c r="Q1524" s="16"/>
      <c r="R1524" s="16"/>
      <c r="S1524" s="16"/>
      <c r="T1524" s="16"/>
      <c r="U1524" s="16"/>
      <c r="V1524" s="16"/>
      <c r="W1524" s="16"/>
      <c r="X1524" s="16"/>
      <c r="Y1524" s="16"/>
      <c r="Z1524" s="16"/>
      <c r="AA1524" s="16"/>
    </row>
    <row r="1525" spans="1:27" ht="24" customHeight="1">
      <c r="A1525" s="16"/>
      <c r="B1525" s="16"/>
      <c r="C1525" s="16"/>
      <c r="D1525" s="16"/>
      <c r="E1525" s="16"/>
      <c r="F1525" s="16"/>
      <c r="G1525" s="205"/>
      <c r="H1525" s="205"/>
      <c r="I1525" s="16"/>
      <c r="J1525" s="16"/>
      <c r="K1525" s="205"/>
      <c r="L1525" s="16"/>
      <c r="M1525" s="16"/>
      <c r="N1525" s="16"/>
      <c r="O1525" s="16"/>
      <c r="P1525" s="16"/>
      <c r="Q1525" s="16"/>
      <c r="R1525" s="16"/>
      <c r="S1525" s="16"/>
      <c r="T1525" s="16"/>
      <c r="U1525" s="16"/>
      <c r="V1525" s="16"/>
      <c r="W1525" s="16"/>
      <c r="X1525" s="16"/>
      <c r="Y1525" s="16"/>
      <c r="Z1525" s="16"/>
      <c r="AA1525" s="16"/>
    </row>
    <row r="1526" spans="1:27" ht="24" customHeight="1">
      <c r="A1526" s="16"/>
      <c r="B1526" s="16"/>
      <c r="C1526" s="16"/>
      <c r="D1526" s="16"/>
      <c r="E1526" s="16"/>
      <c r="F1526" s="16"/>
      <c r="G1526" s="205"/>
      <c r="H1526" s="205"/>
      <c r="I1526" s="16"/>
      <c r="J1526" s="16"/>
      <c r="K1526" s="205"/>
      <c r="L1526" s="16"/>
      <c r="M1526" s="16"/>
      <c r="N1526" s="16"/>
      <c r="O1526" s="16"/>
      <c r="P1526" s="16"/>
      <c r="Q1526" s="16"/>
      <c r="R1526" s="16"/>
      <c r="S1526" s="16"/>
      <c r="T1526" s="16"/>
      <c r="U1526" s="16"/>
      <c r="V1526" s="16"/>
      <c r="W1526" s="16"/>
      <c r="X1526" s="16"/>
      <c r="Y1526" s="16"/>
      <c r="Z1526" s="16"/>
      <c r="AA1526" s="16"/>
    </row>
    <row r="1527" spans="1:27" ht="24" customHeight="1">
      <c r="A1527" s="16"/>
      <c r="B1527" s="16"/>
      <c r="C1527" s="16"/>
      <c r="D1527" s="16"/>
      <c r="E1527" s="16"/>
      <c r="F1527" s="16"/>
      <c r="G1527" s="205"/>
      <c r="H1527" s="205"/>
      <c r="I1527" s="16"/>
      <c r="J1527" s="16"/>
      <c r="K1527" s="205"/>
      <c r="L1527" s="16"/>
      <c r="M1527" s="16"/>
      <c r="N1527" s="16"/>
      <c r="O1527" s="16"/>
      <c r="P1527" s="16"/>
      <c r="Q1527" s="16"/>
      <c r="R1527" s="16"/>
      <c r="S1527" s="16"/>
      <c r="T1527" s="16"/>
      <c r="U1527" s="16"/>
      <c r="V1527" s="16"/>
      <c r="W1527" s="16"/>
      <c r="X1527" s="16"/>
      <c r="Y1527" s="16"/>
      <c r="Z1527" s="16"/>
      <c r="AA1527" s="16"/>
    </row>
    <row r="1528" spans="1:27" ht="24" customHeight="1">
      <c r="A1528" s="16"/>
      <c r="B1528" s="16"/>
      <c r="C1528" s="16"/>
      <c r="D1528" s="16"/>
      <c r="E1528" s="16"/>
      <c r="F1528" s="16"/>
      <c r="G1528" s="205"/>
      <c r="H1528" s="205"/>
      <c r="I1528" s="16"/>
      <c r="J1528" s="16"/>
      <c r="K1528" s="205"/>
      <c r="L1528" s="16"/>
      <c r="M1528" s="16"/>
      <c r="N1528" s="16"/>
      <c r="O1528" s="16"/>
      <c r="P1528" s="16"/>
      <c r="Q1528" s="16"/>
      <c r="R1528" s="16"/>
      <c r="S1528" s="16"/>
      <c r="T1528" s="16"/>
      <c r="U1528" s="16"/>
      <c r="V1528" s="16"/>
      <c r="W1528" s="16"/>
      <c r="X1528" s="16"/>
      <c r="Y1528" s="16"/>
      <c r="Z1528" s="16"/>
      <c r="AA1528" s="16"/>
    </row>
    <row r="1529" spans="1:27" ht="24" customHeight="1">
      <c r="A1529" s="16"/>
      <c r="B1529" s="16"/>
      <c r="C1529" s="16"/>
      <c r="D1529" s="16"/>
      <c r="E1529" s="16"/>
      <c r="F1529" s="16"/>
      <c r="G1529" s="205"/>
      <c r="H1529" s="205"/>
      <c r="I1529" s="16"/>
      <c r="J1529" s="16"/>
      <c r="K1529" s="205"/>
      <c r="L1529" s="16"/>
      <c r="M1529" s="16"/>
      <c r="N1529" s="16"/>
      <c r="O1529" s="16"/>
      <c r="P1529" s="16"/>
      <c r="Q1529" s="16"/>
      <c r="R1529" s="16"/>
      <c r="S1529" s="16"/>
      <c r="T1529" s="16"/>
      <c r="U1529" s="16"/>
      <c r="V1529" s="16"/>
      <c r="W1529" s="16"/>
      <c r="X1529" s="16"/>
      <c r="Y1529" s="16"/>
      <c r="Z1529" s="16"/>
      <c r="AA1529" s="16"/>
    </row>
    <row r="1530" spans="1:27" ht="24" customHeight="1">
      <c r="A1530" s="16"/>
      <c r="B1530" s="16"/>
      <c r="C1530" s="16"/>
      <c r="D1530" s="16"/>
      <c r="E1530" s="16"/>
      <c r="F1530" s="16"/>
      <c r="G1530" s="205"/>
      <c r="H1530" s="205"/>
      <c r="I1530" s="16"/>
      <c r="J1530" s="16"/>
      <c r="K1530" s="205"/>
      <c r="L1530" s="16"/>
      <c r="M1530" s="16"/>
      <c r="N1530" s="16"/>
      <c r="O1530" s="16"/>
      <c r="P1530" s="16"/>
      <c r="Q1530" s="16"/>
      <c r="R1530" s="16"/>
      <c r="S1530" s="16"/>
      <c r="T1530" s="16"/>
      <c r="U1530" s="16"/>
      <c r="V1530" s="16"/>
      <c r="W1530" s="16"/>
      <c r="X1530" s="16"/>
      <c r="Y1530" s="16"/>
      <c r="Z1530" s="16"/>
      <c r="AA1530" s="16"/>
    </row>
    <row r="1531" spans="1:27" ht="24" customHeight="1">
      <c r="A1531" s="16"/>
      <c r="B1531" s="16"/>
      <c r="C1531" s="16"/>
      <c r="D1531" s="16"/>
      <c r="E1531" s="16"/>
      <c r="F1531" s="16"/>
      <c r="G1531" s="205"/>
      <c r="H1531" s="205"/>
      <c r="I1531" s="16"/>
      <c r="J1531" s="16"/>
      <c r="K1531" s="205"/>
      <c r="L1531" s="16"/>
      <c r="M1531" s="16"/>
      <c r="N1531" s="16"/>
      <c r="O1531" s="16"/>
      <c r="P1531" s="16"/>
      <c r="Q1531" s="16"/>
      <c r="R1531" s="16"/>
      <c r="S1531" s="16"/>
      <c r="T1531" s="16"/>
      <c r="U1531" s="16"/>
      <c r="V1531" s="16"/>
      <c r="W1531" s="16"/>
      <c r="X1531" s="16"/>
      <c r="Y1531" s="16"/>
      <c r="Z1531" s="16"/>
      <c r="AA1531" s="16"/>
    </row>
    <row r="1532" spans="1:27" ht="24" customHeight="1">
      <c r="A1532" s="16"/>
      <c r="B1532" s="16"/>
      <c r="C1532" s="16"/>
      <c r="D1532" s="16"/>
      <c r="E1532" s="16"/>
      <c r="F1532" s="16"/>
      <c r="G1532" s="205"/>
      <c r="H1532" s="205"/>
      <c r="I1532" s="16"/>
      <c r="J1532" s="16"/>
      <c r="K1532" s="205"/>
      <c r="L1532" s="16"/>
      <c r="M1532" s="16"/>
      <c r="N1532" s="16"/>
      <c r="O1532" s="16"/>
      <c r="P1532" s="16"/>
      <c r="Q1532" s="16"/>
      <c r="R1532" s="16"/>
      <c r="S1532" s="16"/>
      <c r="T1532" s="16"/>
      <c r="U1532" s="16"/>
      <c r="V1532" s="16"/>
      <c r="W1532" s="16"/>
      <c r="X1532" s="16"/>
      <c r="Y1532" s="16"/>
      <c r="Z1532" s="16"/>
      <c r="AA1532" s="16"/>
    </row>
    <row r="1533" spans="1:27" ht="24" customHeight="1">
      <c r="A1533" s="16"/>
      <c r="B1533" s="16"/>
      <c r="C1533" s="16"/>
      <c r="D1533" s="16"/>
      <c r="E1533" s="16"/>
      <c r="F1533" s="16"/>
      <c r="G1533" s="205"/>
      <c r="H1533" s="205"/>
      <c r="I1533" s="16"/>
      <c r="J1533" s="16"/>
      <c r="K1533" s="205"/>
      <c r="L1533" s="16"/>
      <c r="M1533" s="16"/>
      <c r="N1533" s="16"/>
      <c r="O1533" s="16"/>
      <c r="P1533" s="16"/>
      <c r="Q1533" s="16"/>
      <c r="R1533" s="16"/>
      <c r="S1533" s="16"/>
      <c r="T1533" s="16"/>
      <c r="U1533" s="16"/>
      <c r="V1533" s="16"/>
      <c r="W1533" s="16"/>
      <c r="X1533" s="16"/>
      <c r="Y1533" s="16"/>
      <c r="Z1533" s="16"/>
      <c r="AA1533" s="16"/>
    </row>
    <row r="1534" spans="1:27" ht="24" customHeight="1">
      <c r="A1534" s="16"/>
      <c r="B1534" s="16"/>
      <c r="C1534" s="16"/>
      <c r="D1534" s="16"/>
      <c r="E1534" s="16"/>
      <c r="F1534" s="16"/>
      <c r="G1534" s="205"/>
      <c r="H1534" s="205"/>
      <c r="I1534" s="16"/>
      <c r="J1534" s="16"/>
      <c r="K1534" s="205"/>
      <c r="L1534" s="16"/>
      <c r="M1534" s="16"/>
      <c r="N1534" s="16"/>
      <c r="O1534" s="16"/>
      <c r="P1534" s="16"/>
      <c r="Q1534" s="16"/>
      <c r="R1534" s="16"/>
      <c r="S1534" s="16"/>
      <c r="T1534" s="16"/>
      <c r="U1534" s="16"/>
      <c r="V1534" s="16"/>
      <c r="W1534" s="16"/>
      <c r="X1534" s="16"/>
      <c r="Y1534" s="16"/>
      <c r="Z1534" s="16"/>
      <c r="AA1534" s="16"/>
    </row>
    <row r="1535" spans="1:27" ht="24" customHeight="1">
      <c r="A1535" s="16"/>
      <c r="B1535" s="16"/>
      <c r="C1535" s="16"/>
      <c r="D1535" s="16"/>
      <c r="E1535" s="16"/>
      <c r="F1535" s="16"/>
      <c r="G1535" s="205"/>
      <c r="H1535" s="205"/>
      <c r="I1535" s="16"/>
      <c r="J1535" s="16"/>
      <c r="K1535" s="205"/>
      <c r="L1535" s="16"/>
      <c r="M1535" s="16"/>
      <c r="N1535" s="16"/>
      <c r="O1535" s="16"/>
      <c r="P1535" s="16"/>
      <c r="Q1535" s="16"/>
      <c r="R1535" s="16"/>
      <c r="S1535" s="16"/>
      <c r="T1535" s="16"/>
      <c r="U1535" s="16"/>
      <c r="V1535" s="16"/>
      <c r="W1535" s="16"/>
      <c r="X1535" s="16"/>
      <c r="Y1535" s="16"/>
      <c r="Z1535" s="16"/>
      <c r="AA1535" s="16"/>
    </row>
    <row r="1536" spans="1:27" ht="24" customHeight="1">
      <c r="A1536" s="16"/>
      <c r="B1536" s="16"/>
      <c r="C1536" s="16"/>
      <c r="D1536" s="16"/>
      <c r="E1536" s="16"/>
      <c r="F1536" s="16"/>
      <c r="G1536" s="205"/>
      <c r="H1536" s="205"/>
      <c r="I1536" s="16"/>
      <c r="J1536" s="16"/>
      <c r="K1536" s="205"/>
      <c r="L1536" s="16"/>
      <c r="M1536" s="16"/>
      <c r="N1536" s="16"/>
      <c r="O1536" s="16"/>
      <c r="P1536" s="16"/>
      <c r="Q1536" s="16"/>
      <c r="R1536" s="16"/>
      <c r="S1536" s="16"/>
      <c r="T1536" s="16"/>
      <c r="U1536" s="16"/>
      <c r="V1536" s="16"/>
      <c r="W1536" s="16"/>
      <c r="X1536" s="16"/>
      <c r="Y1536" s="16"/>
      <c r="Z1536" s="16"/>
      <c r="AA1536" s="16"/>
    </row>
    <row r="1537" spans="1:27" ht="24" customHeight="1">
      <c r="A1537" s="16"/>
      <c r="B1537" s="16"/>
      <c r="C1537" s="16"/>
      <c r="D1537" s="16"/>
      <c r="E1537" s="16"/>
      <c r="F1537" s="16"/>
      <c r="G1537" s="205"/>
      <c r="H1537" s="205"/>
      <c r="I1537" s="16"/>
      <c r="J1537" s="16"/>
      <c r="K1537" s="205"/>
      <c r="L1537" s="16"/>
      <c r="M1537" s="16"/>
      <c r="N1537" s="16"/>
      <c r="O1537" s="16"/>
      <c r="P1537" s="16"/>
      <c r="Q1537" s="16"/>
      <c r="R1537" s="16"/>
      <c r="S1537" s="16"/>
      <c r="T1537" s="16"/>
      <c r="U1537" s="16"/>
      <c r="V1537" s="16"/>
      <c r="W1537" s="16"/>
      <c r="X1537" s="16"/>
      <c r="Y1537" s="16"/>
      <c r="Z1537" s="16"/>
      <c r="AA1537" s="16"/>
    </row>
    <row r="1538" spans="1:27" ht="24" customHeight="1">
      <c r="A1538" s="16"/>
      <c r="B1538" s="16"/>
      <c r="C1538" s="16"/>
      <c r="D1538" s="16"/>
      <c r="E1538" s="16"/>
      <c r="F1538" s="16"/>
      <c r="G1538" s="205"/>
      <c r="H1538" s="205"/>
      <c r="I1538" s="16"/>
      <c r="J1538" s="16"/>
      <c r="K1538" s="205"/>
      <c r="L1538" s="16"/>
      <c r="M1538" s="16"/>
      <c r="N1538" s="16"/>
      <c r="O1538" s="16"/>
      <c r="P1538" s="16"/>
      <c r="Q1538" s="16"/>
      <c r="R1538" s="16"/>
      <c r="S1538" s="16"/>
      <c r="T1538" s="16"/>
      <c r="U1538" s="16"/>
      <c r="V1538" s="16"/>
      <c r="W1538" s="16"/>
      <c r="X1538" s="16"/>
      <c r="Y1538" s="16"/>
      <c r="Z1538" s="16"/>
      <c r="AA1538" s="16"/>
    </row>
    <row r="1539" spans="1:27" ht="24" customHeight="1">
      <c r="A1539" s="16"/>
      <c r="B1539" s="16"/>
      <c r="C1539" s="16"/>
      <c r="D1539" s="16"/>
      <c r="E1539" s="16"/>
      <c r="F1539" s="16"/>
      <c r="G1539" s="205"/>
      <c r="H1539" s="205"/>
      <c r="I1539" s="16"/>
      <c r="J1539" s="16"/>
      <c r="K1539" s="205"/>
      <c r="L1539" s="16"/>
      <c r="M1539" s="16"/>
      <c r="N1539" s="16"/>
      <c r="O1539" s="16"/>
      <c r="P1539" s="16"/>
      <c r="Q1539" s="16"/>
      <c r="R1539" s="16"/>
      <c r="S1539" s="16"/>
      <c r="T1539" s="16"/>
      <c r="U1539" s="16"/>
      <c r="V1539" s="16"/>
      <c r="W1539" s="16"/>
      <c r="X1539" s="16"/>
      <c r="Y1539" s="16"/>
      <c r="Z1539" s="16"/>
      <c r="AA1539" s="16"/>
    </row>
    <row r="1540" spans="1:27" ht="24" customHeight="1">
      <c r="A1540" s="16"/>
      <c r="B1540" s="16"/>
      <c r="C1540" s="16"/>
      <c r="D1540" s="16"/>
      <c r="E1540" s="16"/>
      <c r="F1540" s="16"/>
      <c r="G1540" s="205"/>
      <c r="H1540" s="205"/>
      <c r="I1540" s="16"/>
      <c r="J1540" s="16"/>
      <c r="K1540" s="205"/>
      <c r="L1540" s="16"/>
      <c r="M1540" s="16"/>
      <c r="N1540" s="16"/>
      <c r="O1540" s="16"/>
      <c r="P1540" s="16"/>
      <c r="Q1540" s="16"/>
      <c r="R1540" s="16"/>
      <c r="S1540" s="16"/>
      <c r="T1540" s="16"/>
      <c r="U1540" s="16"/>
      <c r="V1540" s="16"/>
      <c r="W1540" s="16"/>
      <c r="X1540" s="16"/>
      <c r="Y1540" s="16"/>
      <c r="Z1540" s="16"/>
      <c r="AA1540" s="16"/>
    </row>
    <row r="1541" spans="1:27" ht="24" customHeight="1">
      <c r="A1541" s="16"/>
      <c r="B1541" s="16"/>
      <c r="C1541" s="16"/>
      <c r="D1541" s="16"/>
      <c r="E1541" s="16"/>
      <c r="F1541" s="16"/>
      <c r="G1541" s="205"/>
      <c r="H1541" s="205"/>
      <c r="I1541" s="16"/>
      <c r="J1541" s="16"/>
      <c r="K1541" s="205"/>
      <c r="L1541" s="16"/>
      <c r="M1541" s="16"/>
      <c r="N1541" s="16"/>
      <c r="O1541" s="16"/>
      <c r="P1541" s="16"/>
      <c r="Q1541" s="16"/>
      <c r="R1541" s="16"/>
      <c r="S1541" s="16"/>
      <c r="T1541" s="16"/>
      <c r="U1541" s="16"/>
      <c r="V1541" s="16"/>
      <c r="W1541" s="16"/>
      <c r="X1541" s="16"/>
      <c r="Y1541" s="16"/>
      <c r="Z1541" s="16"/>
      <c r="AA1541" s="16"/>
    </row>
    <row r="1542" spans="1:27" ht="24" customHeight="1">
      <c r="A1542" s="16"/>
      <c r="B1542" s="16"/>
      <c r="C1542" s="16"/>
      <c r="D1542" s="16"/>
      <c r="E1542" s="16"/>
      <c r="F1542" s="16"/>
      <c r="G1542" s="205"/>
      <c r="H1542" s="205"/>
      <c r="I1542" s="16"/>
      <c r="J1542" s="16"/>
      <c r="K1542" s="205"/>
      <c r="L1542" s="16"/>
      <c r="M1542" s="16"/>
      <c r="N1542" s="16"/>
      <c r="O1542" s="16"/>
      <c r="P1542" s="16"/>
      <c r="Q1542" s="16"/>
      <c r="R1542" s="16"/>
      <c r="S1542" s="16"/>
      <c r="T1542" s="16"/>
      <c r="U1542" s="16"/>
      <c r="V1542" s="16"/>
      <c r="W1542" s="16"/>
      <c r="X1542" s="16"/>
      <c r="Y1542" s="16"/>
      <c r="Z1542" s="16"/>
      <c r="AA1542" s="16"/>
    </row>
    <row r="1543" spans="1:27" ht="24" customHeight="1">
      <c r="A1543" s="16"/>
      <c r="B1543" s="16"/>
      <c r="C1543" s="16"/>
      <c r="D1543" s="16"/>
      <c r="E1543" s="16"/>
      <c r="F1543" s="16"/>
      <c r="G1543" s="205"/>
      <c r="H1543" s="205"/>
      <c r="I1543" s="16"/>
      <c r="J1543" s="16"/>
      <c r="K1543" s="205"/>
      <c r="L1543" s="16"/>
      <c r="M1543" s="16"/>
      <c r="N1543" s="16"/>
      <c r="O1543" s="16"/>
      <c r="P1543" s="16"/>
      <c r="Q1543" s="16"/>
      <c r="R1543" s="16"/>
      <c r="S1543" s="16"/>
      <c r="T1543" s="16"/>
      <c r="U1543" s="16"/>
      <c r="V1543" s="16"/>
      <c r="W1543" s="16"/>
      <c r="X1543" s="16"/>
      <c r="Y1543" s="16"/>
      <c r="Z1543" s="16"/>
      <c r="AA1543" s="16"/>
    </row>
    <row r="1544" spans="1:27" ht="24" customHeight="1">
      <c r="A1544" s="16"/>
      <c r="B1544" s="16"/>
      <c r="C1544" s="16"/>
      <c r="D1544" s="16"/>
      <c r="E1544" s="16"/>
      <c r="F1544" s="16"/>
      <c r="G1544" s="205"/>
      <c r="H1544" s="205"/>
      <c r="I1544" s="16"/>
      <c r="J1544" s="16"/>
      <c r="K1544" s="205"/>
      <c r="L1544" s="16"/>
      <c r="M1544" s="16"/>
      <c r="N1544" s="16"/>
      <c r="O1544" s="16"/>
      <c r="P1544" s="16"/>
      <c r="Q1544" s="16"/>
      <c r="R1544" s="16"/>
      <c r="S1544" s="16"/>
      <c r="T1544" s="16"/>
      <c r="U1544" s="16"/>
      <c r="V1544" s="16"/>
      <c r="W1544" s="16"/>
      <c r="X1544" s="16"/>
      <c r="Y1544" s="16"/>
      <c r="Z1544" s="16"/>
      <c r="AA1544" s="16"/>
    </row>
    <row r="1545" spans="1:27" ht="24" customHeight="1">
      <c r="A1545" s="16"/>
      <c r="B1545" s="16"/>
      <c r="C1545" s="16"/>
      <c r="D1545" s="16"/>
      <c r="E1545" s="16"/>
      <c r="F1545" s="16"/>
      <c r="G1545" s="205"/>
      <c r="H1545" s="205"/>
      <c r="I1545" s="16"/>
      <c r="J1545" s="16"/>
      <c r="K1545" s="205"/>
      <c r="L1545" s="16"/>
      <c r="M1545" s="16"/>
      <c r="N1545" s="16"/>
      <c r="O1545" s="16"/>
      <c r="P1545" s="16"/>
      <c r="Q1545" s="16"/>
      <c r="R1545" s="16"/>
      <c r="S1545" s="16"/>
      <c r="T1545" s="16"/>
      <c r="U1545" s="16"/>
      <c r="V1545" s="16"/>
      <c r="W1545" s="16"/>
      <c r="X1545" s="16"/>
      <c r="Y1545" s="16"/>
      <c r="Z1545" s="16"/>
      <c r="AA1545" s="16"/>
    </row>
    <row r="1546" spans="1:27" ht="24" customHeight="1">
      <c r="A1546" s="16"/>
      <c r="B1546" s="16"/>
      <c r="C1546" s="16"/>
      <c r="D1546" s="16"/>
      <c r="E1546" s="16"/>
      <c r="F1546" s="16"/>
      <c r="G1546" s="205"/>
      <c r="H1546" s="205"/>
      <c r="I1546" s="16"/>
      <c r="J1546" s="16"/>
      <c r="K1546" s="205"/>
      <c r="L1546" s="16"/>
      <c r="M1546" s="16"/>
      <c r="N1546" s="16"/>
      <c r="O1546" s="16"/>
      <c r="P1546" s="16"/>
      <c r="Q1546" s="16"/>
      <c r="R1546" s="16"/>
      <c r="S1546" s="16"/>
      <c r="T1546" s="16"/>
      <c r="U1546" s="16"/>
      <c r="V1546" s="16"/>
      <c r="W1546" s="16"/>
      <c r="X1546" s="16"/>
      <c r="Y1546" s="16"/>
      <c r="Z1546" s="16"/>
      <c r="AA1546" s="16"/>
    </row>
    <row r="1547" spans="1:27" ht="24" customHeight="1">
      <c r="A1547" s="16"/>
      <c r="B1547" s="16"/>
      <c r="C1547" s="16"/>
      <c r="D1547" s="16"/>
      <c r="E1547" s="16"/>
      <c r="F1547" s="16"/>
      <c r="G1547" s="205"/>
      <c r="H1547" s="205"/>
      <c r="I1547" s="16"/>
      <c r="J1547" s="16"/>
      <c r="K1547" s="205"/>
      <c r="L1547" s="16"/>
      <c r="M1547" s="16"/>
      <c r="N1547" s="16"/>
      <c r="O1547" s="16"/>
      <c r="P1547" s="16"/>
      <c r="Q1547" s="16"/>
      <c r="R1547" s="16"/>
      <c r="S1547" s="16"/>
      <c r="T1547" s="16"/>
      <c r="U1547" s="16"/>
      <c r="V1547" s="16"/>
      <c r="W1547" s="16"/>
      <c r="X1547" s="16"/>
      <c r="Y1547" s="16"/>
      <c r="Z1547" s="16"/>
      <c r="AA1547" s="16"/>
    </row>
    <row r="1548" spans="1:27" ht="24" customHeight="1">
      <c r="A1548" s="16"/>
      <c r="B1548" s="16"/>
      <c r="C1548" s="16"/>
      <c r="D1548" s="16"/>
      <c r="E1548" s="16"/>
      <c r="F1548" s="16"/>
      <c r="G1548" s="205"/>
      <c r="H1548" s="205"/>
      <c r="I1548" s="16"/>
      <c r="J1548" s="16"/>
      <c r="K1548" s="205"/>
      <c r="L1548" s="16"/>
      <c r="M1548" s="16"/>
      <c r="N1548" s="16"/>
      <c r="O1548" s="16"/>
      <c r="P1548" s="16"/>
      <c r="Q1548" s="16"/>
      <c r="R1548" s="16"/>
      <c r="S1548" s="16"/>
      <c r="T1548" s="16"/>
      <c r="U1548" s="16"/>
      <c r="V1548" s="16"/>
      <c r="W1548" s="16"/>
      <c r="X1548" s="16"/>
      <c r="Y1548" s="16"/>
      <c r="Z1548" s="16"/>
      <c r="AA1548" s="16"/>
    </row>
    <row r="1549" spans="1:27" ht="24" customHeight="1">
      <c r="A1549" s="16"/>
      <c r="B1549" s="16"/>
      <c r="C1549" s="16"/>
      <c r="D1549" s="16"/>
      <c r="E1549" s="16"/>
      <c r="F1549" s="16"/>
      <c r="G1549" s="205"/>
      <c r="H1549" s="205"/>
      <c r="I1549" s="16"/>
      <c r="J1549" s="16"/>
      <c r="K1549" s="205"/>
      <c r="L1549" s="16"/>
      <c r="M1549" s="16"/>
      <c r="N1549" s="16"/>
      <c r="O1549" s="16"/>
      <c r="P1549" s="16"/>
      <c r="Q1549" s="16"/>
      <c r="R1549" s="16"/>
      <c r="S1549" s="16"/>
      <c r="T1549" s="16"/>
      <c r="U1549" s="16"/>
      <c r="V1549" s="16"/>
      <c r="W1549" s="16"/>
      <c r="X1549" s="16"/>
      <c r="Y1549" s="16"/>
      <c r="Z1549" s="16"/>
      <c r="AA1549" s="16"/>
    </row>
    <row r="1550" spans="1:27" ht="24" customHeight="1">
      <c r="A1550" s="16"/>
      <c r="B1550" s="16"/>
      <c r="C1550" s="16"/>
      <c r="D1550" s="16"/>
      <c r="E1550" s="16"/>
      <c r="F1550" s="16"/>
      <c r="G1550" s="205"/>
      <c r="H1550" s="205"/>
      <c r="I1550" s="16"/>
      <c r="J1550" s="16"/>
      <c r="K1550" s="205"/>
      <c r="L1550" s="16"/>
      <c r="M1550" s="16"/>
      <c r="N1550" s="16"/>
      <c r="O1550" s="16"/>
      <c r="P1550" s="16"/>
      <c r="Q1550" s="16"/>
      <c r="R1550" s="16"/>
      <c r="S1550" s="16"/>
      <c r="T1550" s="16"/>
      <c r="U1550" s="16"/>
      <c r="V1550" s="16"/>
      <c r="W1550" s="16"/>
      <c r="X1550" s="16"/>
      <c r="Y1550" s="16"/>
      <c r="Z1550" s="16"/>
      <c r="AA1550" s="16"/>
    </row>
    <row r="1551" spans="1:27" ht="24" customHeight="1">
      <c r="A1551" s="16"/>
      <c r="B1551" s="16"/>
      <c r="C1551" s="16"/>
      <c r="D1551" s="16"/>
      <c r="E1551" s="16"/>
      <c r="F1551" s="16"/>
      <c r="G1551" s="205"/>
      <c r="H1551" s="205"/>
      <c r="I1551" s="16"/>
      <c r="J1551" s="16"/>
      <c r="K1551" s="205"/>
      <c r="L1551" s="16"/>
      <c r="M1551" s="16"/>
      <c r="N1551" s="16"/>
      <c r="O1551" s="16"/>
      <c r="P1551" s="16"/>
      <c r="Q1551" s="16"/>
      <c r="R1551" s="16"/>
      <c r="S1551" s="16"/>
      <c r="T1551" s="16"/>
      <c r="U1551" s="16"/>
      <c r="V1551" s="16"/>
      <c r="W1551" s="16"/>
      <c r="X1551" s="16"/>
      <c r="Y1551" s="16"/>
      <c r="Z1551" s="16"/>
      <c r="AA1551" s="16"/>
    </row>
    <row r="1552" spans="1:27" ht="24" customHeight="1">
      <c r="A1552" s="16"/>
      <c r="B1552" s="16"/>
      <c r="C1552" s="16"/>
      <c r="D1552" s="16"/>
      <c r="E1552" s="16"/>
      <c r="F1552" s="16"/>
      <c r="G1552" s="205"/>
      <c r="H1552" s="205"/>
      <c r="I1552" s="16"/>
      <c r="J1552" s="16"/>
      <c r="K1552" s="205"/>
      <c r="L1552" s="16"/>
      <c r="M1552" s="16"/>
      <c r="N1552" s="16"/>
      <c r="O1552" s="16"/>
      <c r="P1552" s="16"/>
      <c r="Q1552" s="16"/>
      <c r="R1552" s="16"/>
      <c r="S1552" s="16"/>
      <c r="T1552" s="16"/>
      <c r="U1552" s="16"/>
      <c r="V1552" s="16"/>
      <c r="W1552" s="16"/>
      <c r="X1552" s="16"/>
      <c r="Y1552" s="16"/>
      <c r="Z1552" s="16"/>
      <c r="AA1552" s="16"/>
    </row>
    <row r="1553" spans="1:27" ht="24" customHeight="1">
      <c r="A1553" s="16"/>
      <c r="B1553" s="16"/>
      <c r="C1553" s="16"/>
      <c r="D1553" s="16"/>
      <c r="E1553" s="16"/>
      <c r="F1553" s="16"/>
      <c r="G1553" s="205"/>
      <c r="H1553" s="205"/>
      <c r="I1553" s="16"/>
      <c r="J1553" s="16"/>
      <c r="K1553" s="205"/>
      <c r="L1553" s="16"/>
      <c r="M1553" s="16"/>
      <c r="N1553" s="16"/>
      <c r="O1553" s="16"/>
      <c r="P1553" s="16"/>
      <c r="Q1553" s="16"/>
      <c r="R1553" s="16"/>
      <c r="S1553" s="16"/>
      <c r="T1553" s="16"/>
      <c r="U1553" s="16"/>
      <c r="V1553" s="16"/>
      <c r="W1553" s="16"/>
      <c r="X1553" s="16"/>
      <c r="Y1553" s="16"/>
      <c r="Z1553" s="16"/>
      <c r="AA1553" s="16"/>
    </row>
    <row r="1554" spans="1:27" ht="24" customHeight="1">
      <c r="A1554" s="16"/>
      <c r="B1554" s="16"/>
      <c r="C1554" s="16"/>
      <c r="D1554" s="16"/>
      <c r="E1554" s="16"/>
      <c r="F1554" s="16"/>
      <c r="G1554" s="205"/>
      <c r="H1554" s="205"/>
      <c r="I1554" s="16"/>
      <c r="J1554" s="16"/>
      <c r="K1554" s="205"/>
      <c r="L1554" s="16"/>
      <c r="M1554" s="16"/>
      <c r="N1554" s="16"/>
      <c r="O1554" s="16"/>
      <c r="P1554" s="16"/>
      <c r="Q1554" s="16"/>
      <c r="R1554" s="16"/>
      <c r="S1554" s="16"/>
      <c r="T1554" s="16"/>
      <c r="U1554" s="16"/>
      <c r="V1554" s="16"/>
      <c r="W1554" s="16"/>
      <c r="X1554" s="16"/>
      <c r="Y1554" s="16"/>
      <c r="Z1554" s="16"/>
      <c r="AA1554" s="16"/>
    </row>
    <row r="1555" spans="1:27" ht="24" customHeight="1">
      <c r="A1555" s="16"/>
      <c r="B1555" s="16"/>
      <c r="C1555" s="16"/>
      <c r="D1555" s="16"/>
      <c r="E1555" s="16"/>
      <c r="F1555" s="16"/>
      <c r="G1555" s="205"/>
      <c r="H1555" s="205"/>
      <c r="I1555" s="16"/>
      <c r="J1555" s="16"/>
      <c r="K1555" s="205"/>
      <c r="L1555" s="16"/>
      <c r="M1555" s="16"/>
      <c r="N1555" s="16"/>
      <c r="O1555" s="16"/>
      <c r="P1555" s="16"/>
      <c r="Q1555" s="16"/>
      <c r="R1555" s="16"/>
      <c r="S1555" s="16"/>
      <c r="T1555" s="16"/>
      <c r="U1555" s="16"/>
      <c r="V1555" s="16"/>
      <c r="W1555" s="16"/>
      <c r="X1555" s="16"/>
      <c r="Y1555" s="16"/>
      <c r="Z1555" s="16"/>
      <c r="AA1555" s="16"/>
    </row>
    <row r="1556" spans="1:27" ht="24" customHeight="1">
      <c r="A1556" s="16"/>
      <c r="B1556" s="16"/>
      <c r="C1556" s="16"/>
      <c r="D1556" s="16"/>
      <c r="E1556" s="16"/>
      <c r="F1556" s="16"/>
      <c r="G1556" s="205"/>
      <c r="H1556" s="205"/>
      <c r="I1556" s="16"/>
      <c r="J1556" s="16"/>
      <c r="K1556" s="205"/>
      <c r="L1556" s="16"/>
      <c r="M1556" s="16"/>
      <c r="N1556" s="16"/>
      <c r="O1556" s="16"/>
      <c r="P1556" s="16"/>
      <c r="Q1556" s="16"/>
      <c r="R1556" s="16"/>
      <c r="S1556" s="16"/>
      <c r="T1556" s="16"/>
      <c r="U1556" s="16"/>
      <c r="V1556" s="16"/>
      <c r="W1556" s="16"/>
      <c r="X1556" s="16"/>
      <c r="Y1556" s="16"/>
      <c r="Z1556" s="16"/>
      <c r="AA1556" s="16"/>
    </row>
    <row r="1557" spans="1:27" ht="24" customHeight="1">
      <c r="A1557" s="16"/>
      <c r="B1557" s="16"/>
      <c r="C1557" s="16"/>
      <c r="D1557" s="16"/>
      <c r="E1557" s="16"/>
      <c r="F1557" s="16"/>
      <c r="G1557" s="205"/>
      <c r="H1557" s="205"/>
      <c r="I1557" s="16"/>
      <c r="J1557" s="16"/>
      <c r="K1557" s="205"/>
      <c r="L1557" s="16"/>
      <c r="M1557" s="16"/>
      <c r="N1557" s="16"/>
      <c r="O1557" s="16"/>
      <c r="P1557" s="16"/>
      <c r="Q1557" s="16"/>
      <c r="R1557" s="16"/>
      <c r="S1557" s="16"/>
      <c r="T1557" s="16"/>
      <c r="U1557" s="16"/>
      <c r="V1557" s="16"/>
      <c r="W1557" s="16"/>
      <c r="X1557" s="16"/>
      <c r="Y1557" s="16"/>
      <c r="Z1557" s="16"/>
      <c r="AA1557" s="16"/>
    </row>
    <row r="1558" spans="1:27" ht="24" customHeight="1">
      <c r="A1558" s="16"/>
      <c r="B1558" s="16"/>
      <c r="C1558" s="16"/>
      <c r="D1558" s="16"/>
      <c r="E1558" s="16"/>
      <c r="F1558" s="16"/>
      <c r="G1558" s="205"/>
      <c r="H1558" s="205"/>
      <c r="I1558" s="16"/>
      <c r="J1558" s="16"/>
      <c r="K1558" s="205"/>
      <c r="L1558" s="16"/>
      <c r="M1558" s="16"/>
      <c r="N1558" s="16"/>
      <c r="O1558" s="16"/>
      <c r="P1558" s="16"/>
      <c r="Q1558" s="16"/>
      <c r="R1558" s="16"/>
      <c r="S1558" s="16"/>
      <c r="T1558" s="16"/>
      <c r="U1558" s="16"/>
      <c r="V1558" s="16"/>
      <c r="W1558" s="16"/>
      <c r="X1558" s="16"/>
      <c r="Y1558" s="16"/>
      <c r="Z1558" s="16"/>
      <c r="AA1558" s="16"/>
    </row>
    <row r="1559" spans="1:27" ht="24" customHeight="1">
      <c r="A1559" s="16"/>
      <c r="B1559" s="16"/>
      <c r="C1559" s="16"/>
      <c r="D1559" s="16"/>
      <c r="E1559" s="16"/>
      <c r="F1559" s="16"/>
      <c r="G1559" s="205"/>
      <c r="H1559" s="205"/>
      <c r="I1559" s="16"/>
      <c r="J1559" s="16"/>
      <c r="K1559" s="205"/>
      <c r="L1559" s="16"/>
      <c r="M1559" s="16"/>
      <c r="N1559" s="16"/>
      <c r="O1559" s="16"/>
      <c r="P1559" s="16"/>
      <c r="Q1559" s="16"/>
      <c r="R1559" s="16"/>
      <c r="S1559" s="16"/>
      <c r="T1559" s="16"/>
      <c r="U1559" s="16"/>
      <c r="V1559" s="16"/>
      <c r="W1559" s="16"/>
      <c r="X1559" s="16"/>
      <c r="Y1559" s="16"/>
      <c r="Z1559" s="16"/>
      <c r="AA1559" s="16"/>
    </row>
    <row r="1560" spans="1:27" ht="24" customHeight="1">
      <c r="A1560" s="16"/>
      <c r="B1560" s="16"/>
      <c r="C1560" s="16"/>
      <c r="D1560" s="16"/>
      <c r="E1560" s="16"/>
      <c r="F1560" s="16"/>
      <c r="G1560" s="205"/>
      <c r="H1560" s="205"/>
      <c r="I1560" s="16"/>
      <c r="J1560" s="16"/>
      <c r="K1560" s="205"/>
      <c r="L1560" s="16"/>
      <c r="M1560" s="16"/>
      <c r="N1560" s="16"/>
      <c r="O1560" s="16"/>
      <c r="P1560" s="16"/>
      <c r="Q1560" s="16"/>
      <c r="R1560" s="16"/>
      <c r="S1560" s="16"/>
      <c r="T1560" s="16"/>
      <c r="U1560" s="16"/>
      <c r="V1560" s="16"/>
      <c r="W1560" s="16"/>
      <c r="X1560" s="16"/>
      <c r="Y1560" s="16"/>
      <c r="Z1560" s="16"/>
      <c r="AA1560" s="16"/>
    </row>
    <row r="1561" spans="1:27" ht="24" customHeight="1">
      <c r="A1561" s="16"/>
      <c r="B1561" s="16"/>
      <c r="C1561" s="16"/>
      <c r="D1561" s="16"/>
      <c r="E1561" s="16"/>
      <c r="F1561" s="16"/>
      <c r="G1561" s="205"/>
      <c r="H1561" s="205"/>
      <c r="I1561" s="16"/>
      <c r="J1561" s="16"/>
      <c r="K1561" s="205"/>
      <c r="L1561" s="16"/>
      <c r="M1561" s="16"/>
      <c r="N1561" s="16"/>
      <c r="O1561" s="16"/>
      <c r="P1561" s="16"/>
      <c r="Q1561" s="16"/>
      <c r="R1561" s="16"/>
      <c r="S1561" s="16"/>
      <c r="T1561" s="16"/>
      <c r="U1561" s="16"/>
      <c r="V1561" s="16"/>
      <c r="W1561" s="16"/>
      <c r="X1561" s="16"/>
      <c r="Y1561" s="16"/>
      <c r="Z1561" s="16"/>
      <c r="AA1561" s="16"/>
    </row>
    <row r="1562" spans="1:27" ht="24" customHeight="1">
      <c r="A1562" s="16"/>
      <c r="B1562" s="16"/>
      <c r="C1562" s="16"/>
      <c r="D1562" s="16"/>
      <c r="E1562" s="16"/>
      <c r="F1562" s="16"/>
      <c r="G1562" s="205"/>
      <c r="H1562" s="205"/>
      <c r="I1562" s="16"/>
      <c r="J1562" s="16"/>
      <c r="K1562" s="205"/>
      <c r="L1562" s="16"/>
      <c r="M1562" s="16"/>
      <c r="N1562" s="16"/>
      <c r="O1562" s="16"/>
      <c r="P1562" s="16"/>
      <c r="Q1562" s="16"/>
      <c r="R1562" s="16"/>
      <c r="S1562" s="16"/>
      <c r="T1562" s="16"/>
      <c r="U1562" s="16"/>
      <c r="V1562" s="16"/>
      <c r="W1562" s="16"/>
      <c r="X1562" s="16"/>
      <c r="Y1562" s="16"/>
      <c r="Z1562" s="16"/>
      <c r="AA1562" s="16"/>
    </row>
    <row r="1563" spans="1:27" ht="24" customHeight="1">
      <c r="A1563" s="16"/>
      <c r="B1563" s="16"/>
      <c r="C1563" s="16"/>
      <c r="D1563" s="16"/>
      <c r="E1563" s="16"/>
      <c r="F1563" s="16"/>
      <c r="G1563" s="205"/>
      <c r="H1563" s="205"/>
      <c r="I1563" s="16"/>
      <c r="J1563" s="16"/>
      <c r="K1563" s="205"/>
      <c r="L1563" s="16"/>
      <c r="M1563" s="16"/>
      <c r="N1563" s="16"/>
      <c r="O1563" s="16"/>
      <c r="P1563" s="16"/>
      <c r="Q1563" s="16"/>
      <c r="R1563" s="16"/>
      <c r="S1563" s="16"/>
      <c r="T1563" s="16"/>
      <c r="U1563" s="16"/>
      <c r="V1563" s="16"/>
      <c r="W1563" s="16"/>
      <c r="X1563" s="16"/>
      <c r="Y1563" s="16"/>
      <c r="Z1563" s="16"/>
      <c r="AA1563" s="16"/>
    </row>
    <row r="1564" spans="1:27" ht="24" customHeight="1">
      <c r="A1564" s="16"/>
      <c r="B1564" s="16"/>
      <c r="C1564" s="16"/>
      <c r="D1564" s="16"/>
      <c r="E1564" s="16"/>
      <c r="F1564" s="16"/>
      <c r="G1564" s="205"/>
      <c r="H1564" s="205"/>
      <c r="I1564" s="16"/>
      <c r="J1564" s="16"/>
      <c r="K1564" s="205"/>
      <c r="L1564" s="16"/>
      <c r="M1564" s="16"/>
      <c r="N1564" s="16"/>
      <c r="O1564" s="16"/>
      <c r="P1564" s="16"/>
      <c r="Q1564" s="16"/>
      <c r="R1564" s="16"/>
      <c r="S1564" s="16"/>
      <c r="T1564" s="16"/>
      <c r="U1564" s="16"/>
      <c r="V1564" s="16"/>
      <c r="W1564" s="16"/>
      <c r="X1564" s="16"/>
      <c r="Y1564" s="16"/>
      <c r="Z1564" s="16"/>
      <c r="AA1564" s="16"/>
    </row>
    <row r="1565" spans="1:27" ht="24" customHeight="1">
      <c r="A1565" s="16"/>
      <c r="B1565" s="16"/>
      <c r="C1565" s="16"/>
      <c r="D1565" s="16"/>
      <c r="E1565" s="16"/>
      <c r="F1565" s="16"/>
      <c r="G1565" s="205"/>
      <c r="H1565" s="205"/>
      <c r="I1565" s="16"/>
      <c r="J1565" s="16"/>
      <c r="K1565" s="205"/>
      <c r="L1565" s="16"/>
      <c r="M1565" s="16"/>
      <c r="N1565" s="16"/>
      <c r="O1565" s="16"/>
      <c r="P1565" s="16"/>
      <c r="Q1565" s="16"/>
      <c r="R1565" s="16"/>
      <c r="S1565" s="16"/>
      <c r="T1565" s="16"/>
      <c r="U1565" s="16"/>
      <c r="V1565" s="16"/>
      <c r="W1565" s="16"/>
      <c r="X1565" s="16"/>
      <c r="Y1565" s="16"/>
      <c r="Z1565" s="16"/>
      <c r="AA1565" s="16"/>
    </row>
    <row r="1566" spans="1:27" ht="24" customHeight="1">
      <c r="A1566" s="16"/>
      <c r="B1566" s="16"/>
      <c r="C1566" s="16"/>
      <c r="D1566" s="16"/>
      <c r="E1566" s="16"/>
      <c r="F1566" s="16"/>
      <c r="G1566" s="205"/>
      <c r="H1566" s="205"/>
      <c r="I1566" s="16"/>
      <c r="J1566" s="16"/>
      <c r="K1566" s="205"/>
      <c r="L1566" s="16"/>
      <c r="M1566" s="16"/>
      <c r="N1566" s="16"/>
      <c r="O1566" s="16"/>
      <c r="P1566" s="16"/>
      <c r="Q1566" s="16"/>
      <c r="R1566" s="16"/>
      <c r="S1566" s="16"/>
      <c r="T1566" s="16"/>
      <c r="U1566" s="16"/>
      <c r="V1566" s="16"/>
      <c r="W1566" s="16"/>
      <c r="X1566" s="16"/>
      <c r="Y1566" s="16"/>
      <c r="Z1566" s="16"/>
      <c r="AA1566" s="16"/>
    </row>
    <row r="1567" spans="1:27" ht="24" customHeight="1">
      <c r="A1567" s="16"/>
      <c r="B1567" s="16"/>
      <c r="C1567" s="16"/>
      <c r="D1567" s="16"/>
      <c r="E1567" s="16"/>
      <c r="F1567" s="16"/>
      <c r="G1567" s="205"/>
      <c r="H1567" s="205"/>
      <c r="I1567" s="16"/>
      <c r="J1567" s="16"/>
      <c r="K1567" s="205"/>
      <c r="L1567" s="16"/>
      <c r="M1567" s="16"/>
      <c r="N1567" s="16"/>
      <c r="O1567" s="16"/>
      <c r="P1567" s="16"/>
      <c r="Q1567" s="16"/>
      <c r="R1567" s="16"/>
      <c r="S1567" s="16"/>
      <c r="T1567" s="16"/>
      <c r="U1567" s="16"/>
      <c r="V1567" s="16"/>
      <c r="W1567" s="16"/>
      <c r="X1567" s="16"/>
      <c r="Y1567" s="16"/>
      <c r="Z1567" s="16"/>
      <c r="AA1567" s="16"/>
    </row>
    <row r="1568" spans="1:27" ht="24" customHeight="1">
      <c r="A1568" s="16"/>
      <c r="B1568" s="16"/>
      <c r="C1568" s="16"/>
      <c r="D1568" s="16"/>
      <c r="E1568" s="16"/>
      <c r="F1568" s="16"/>
      <c r="G1568" s="205"/>
      <c r="H1568" s="205"/>
      <c r="I1568" s="16"/>
      <c r="J1568" s="16"/>
      <c r="K1568" s="205"/>
      <c r="L1568" s="16"/>
      <c r="M1568" s="16"/>
      <c r="N1568" s="16"/>
      <c r="O1568" s="16"/>
      <c r="P1568" s="16"/>
      <c r="Q1568" s="16"/>
      <c r="R1568" s="16"/>
      <c r="S1568" s="16"/>
      <c r="T1568" s="16"/>
      <c r="U1568" s="16"/>
      <c r="V1568" s="16"/>
      <c r="W1568" s="16"/>
      <c r="X1568" s="16"/>
      <c r="Y1568" s="16"/>
      <c r="Z1568" s="16"/>
      <c r="AA1568" s="16"/>
    </row>
    <row r="1569" spans="1:27" ht="24" customHeight="1">
      <c r="A1569" s="16"/>
      <c r="B1569" s="16"/>
      <c r="C1569" s="16"/>
      <c r="D1569" s="16"/>
      <c r="E1569" s="16"/>
      <c r="F1569" s="16"/>
      <c r="G1569" s="205"/>
      <c r="H1569" s="205"/>
      <c r="I1569" s="16"/>
      <c r="J1569" s="16"/>
      <c r="K1569" s="205"/>
      <c r="L1569" s="16"/>
      <c r="M1569" s="16"/>
      <c r="N1569" s="16"/>
      <c r="O1569" s="16"/>
      <c r="P1569" s="16"/>
      <c r="Q1569" s="16"/>
      <c r="R1569" s="16"/>
      <c r="S1569" s="16"/>
      <c r="T1569" s="16"/>
      <c r="U1569" s="16"/>
      <c r="V1569" s="16"/>
      <c r="W1569" s="16"/>
      <c r="X1569" s="16"/>
      <c r="Y1569" s="16"/>
      <c r="Z1569" s="16"/>
      <c r="AA1569" s="16"/>
    </row>
    <row r="1570" spans="1:27" ht="24" customHeight="1">
      <c r="A1570" s="16"/>
      <c r="B1570" s="16"/>
      <c r="C1570" s="16"/>
      <c r="D1570" s="16"/>
      <c r="E1570" s="16"/>
      <c r="F1570" s="16"/>
      <c r="G1570" s="205"/>
      <c r="H1570" s="205"/>
      <c r="I1570" s="16"/>
      <c r="J1570" s="16"/>
      <c r="K1570" s="205"/>
      <c r="L1570" s="16"/>
      <c r="M1570" s="16"/>
      <c r="N1570" s="16"/>
      <c r="O1570" s="16"/>
      <c r="P1570" s="16"/>
      <c r="Q1570" s="16"/>
      <c r="R1570" s="16"/>
      <c r="S1570" s="16"/>
      <c r="T1570" s="16"/>
      <c r="U1570" s="16"/>
      <c r="V1570" s="16"/>
      <c r="W1570" s="16"/>
      <c r="X1570" s="16"/>
      <c r="Y1570" s="16"/>
      <c r="Z1570" s="16"/>
      <c r="AA1570" s="16"/>
    </row>
    <row r="1571" spans="1:27" ht="24" customHeight="1">
      <c r="A1571" s="16"/>
      <c r="B1571" s="16"/>
      <c r="C1571" s="16"/>
      <c r="D1571" s="16"/>
      <c r="E1571" s="16"/>
      <c r="F1571" s="16"/>
      <c r="G1571" s="205"/>
      <c r="H1571" s="205"/>
      <c r="I1571" s="16"/>
      <c r="J1571" s="16"/>
      <c r="K1571" s="205"/>
      <c r="L1571" s="16"/>
      <c r="M1571" s="16"/>
      <c r="N1571" s="16"/>
      <c r="O1571" s="16"/>
      <c r="P1571" s="16"/>
      <c r="Q1571" s="16"/>
      <c r="R1571" s="16"/>
      <c r="S1571" s="16"/>
      <c r="T1571" s="16"/>
      <c r="U1571" s="16"/>
      <c r="V1571" s="16"/>
      <c r="W1571" s="16"/>
      <c r="X1571" s="16"/>
      <c r="Y1571" s="16"/>
      <c r="Z1571" s="16"/>
      <c r="AA1571" s="16"/>
    </row>
    <row r="1572" spans="1:27" ht="24" customHeight="1">
      <c r="A1572" s="16"/>
      <c r="B1572" s="16"/>
      <c r="C1572" s="16"/>
      <c r="D1572" s="16"/>
      <c r="E1572" s="16"/>
      <c r="F1572" s="16"/>
      <c r="G1572" s="205"/>
      <c r="H1572" s="205"/>
      <c r="I1572" s="16"/>
      <c r="J1572" s="16"/>
      <c r="K1572" s="205"/>
      <c r="L1572" s="16"/>
      <c r="M1572" s="16"/>
      <c r="N1572" s="16"/>
      <c r="O1572" s="16"/>
      <c r="P1572" s="16"/>
      <c r="Q1572" s="16"/>
      <c r="R1572" s="16"/>
      <c r="S1572" s="16"/>
      <c r="T1572" s="16"/>
      <c r="U1572" s="16"/>
      <c r="V1572" s="16"/>
      <c r="W1572" s="16"/>
      <c r="X1572" s="16"/>
      <c r="Y1572" s="16"/>
      <c r="Z1572" s="16"/>
      <c r="AA1572" s="16"/>
    </row>
    <row r="1573" spans="1:27" ht="24" customHeight="1">
      <c r="A1573" s="16"/>
      <c r="B1573" s="16"/>
      <c r="C1573" s="16"/>
      <c r="D1573" s="16"/>
      <c r="E1573" s="16"/>
      <c r="F1573" s="16"/>
      <c r="G1573" s="205"/>
      <c r="H1573" s="205"/>
      <c r="I1573" s="16"/>
      <c r="J1573" s="16"/>
      <c r="K1573" s="205"/>
      <c r="L1573" s="16"/>
      <c r="M1573" s="16"/>
      <c r="N1573" s="16"/>
      <c r="O1573" s="16"/>
      <c r="P1573" s="16"/>
      <c r="Q1573" s="16"/>
      <c r="R1573" s="16"/>
      <c r="S1573" s="16"/>
      <c r="T1573" s="16"/>
      <c r="U1573" s="16"/>
      <c r="V1573" s="16"/>
      <c r="W1573" s="16"/>
      <c r="X1573" s="16"/>
      <c r="Y1573" s="16"/>
      <c r="Z1573" s="16"/>
      <c r="AA1573" s="16"/>
    </row>
    <row r="1574" spans="1:27" ht="24" customHeight="1">
      <c r="A1574" s="16"/>
      <c r="B1574" s="16"/>
      <c r="C1574" s="16"/>
      <c r="D1574" s="16"/>
      <c r="E1574" s="16"/>
      <c r="F1574" s="16"/>
      <c r="G1574" s="205"/>
      <c r="H1574" s="205"/>
      <c r="I1574" s="16"/>
      <c r="J1574" s="16"/>
      <c r="K1574" s="205"/>
      <c r="L1574" s="16"/>
      <c r="M1574" s="16"/>
      <c r="N1574" s="16"/>
      <c r="O1574" s="16"/>
      <c r="P1574" s="16"/>
      <c r="Q1574" s="16"/>
      <c r="R1574" s="16"/>
      <c r="S1574" s="16"/>
      <c r="T1574" s="16"/>
      <c r="U1574" s="16"/>
      <c r="V1574" s="16"/>
      <c r="W1574" s="16"/>
      <c r="X1574" s="16"/>
      <c r="Y1574" s="16"/>
      <c r="Z1574" s="16"/>
      <c r="AA1574" s="16"/>
    </row>
    <row r="1575" spans="1:27" ht="24" customHeight="1">
      <c r="A1575" s="16"/>
      <c r="B1575" s="16"/>
      <c r="C1575" s="16"/>
      <c r="D1575" s="16"/>
      <c r="E1575" s="16"/>
      <c r="F1575" s="16"/>
      <c r="G1575" s="205"/>
      <c r="H1575" s="205"/>
      <c r="I1575" s="16"/>
      <c r="J1575" s="16"/>
      <c r="K1575" s="205"/>
      <c r="L1575" s="16"/>
      <c r="M1575" s="16"/>
      <c r="N1575" s="16"/>
      <c r="O1575" s="16"/>
      <c r="P1575" s="16"/>
      <c r="Q1575" s="16"/>
      <c r="R1575" s="16"/>
      <c r="S1575" s="16"/>
      <c r="T1575" s="16"/>
      <c r="U1575" s="16"/>
      <c r="V1575" s="16"/>
      <c r="W1575" s="16"/>
      <c r="X1575" s="16"/>
      <c r="Y1575" s="16"/>
      <c r="Z1575" s="16"/>
      <c r="AA1575" s="16"/>
    </row>
    <row r="1576" spans="1:27" ht="24" customHeight="1">
      <c r="A1576" s="16"/>
      <c r="B1576" s="16"/>
      <c r="C1576" s="16"/>
      <c r="D1576" s="16"/>
      <c r="E1576" s="16"/>
      <c r="F1576" s="16"/>
      <c r="G1576" s="205"/>
      <c r="H1576" s="205"/>
      <c r="I1576" s="16"/>
      <c r="J1576" s="16"/>
      <c r="K1576" s="205"/>
      <c r="L1576" s="16"/>
      <c r="M1576" s="16"/>
      <c r="N1576" s="16"/>
      <c r="O1576" s="16"/>
      <c r="P1576" s="16"/>
      <c r="Q1576" s="16"/>
      <c r="R1576" s="16"/>
      <c r="S1576" s="16"/>
      <c r="T1576" s="16"/>
      <c r="U1576" s="16"/>
      <c r="V1576" s="16"/>
      <c r="W1576" s="16"/>
      <c r="X1576" s="16"/>
      <c r="Y1576" s="16"/>
      <c r="Z1576" s="16"/>
      <c r="AA1576" s="16"/>
    </row>
    <row r="1577" spans="1:27" ht="24" customHeight="1">
      <c r="A1577" s="16"/>
      <c r="B1577" s="16"/>
      <c r="C1577" s="16"/>
      <c r="D1577" s="16"/>
      <c r="E1577" s="16"/>
      <c r="F1577" s="16"/>
      <c r="G1577" s="205"/>
      <c r="H1577" s="205"/>
      <c r="I1577" s="16"/>
      <c r="J1577" s="16"/>
      <c r="K1577" s="205"/>
      <c r="L1577" s="16"/>
      <c r="M1577" s="16"/>
      <c r="N1577" s="16"/>
      <c r="O1577" s="16"/>
      <c r="P1577" s="16"/>
      <c r="Q1577" s="16"/>
      <c r="R1577" s="16"/>
      <c r="S1577" s="16"/>
      <c r="T1577" s="16"/>
      <c r="U1577" s="16"/>
      <c r="V1577" s="16"/>
      <c r="W1577" s="16"/>
      <c r="X1577" s="16"/>
      <c r="Y1577" s="16"/>
      <c r="Z1577" s="16"/>
      <c r="AA1577" s="16"/>
    </row>
    <row r="1578" spans="1:27" ht="24" customHeight="1">
      <c r="A1578" s="16"/>
      <c r="B1578" s="16"/>
      <c r="C1578" s="16"/>
      <c r="D1578" s="16"/>
      <c r="E1578" s="16"/>
      <c r="F1578" s="16"/>
      <c r="G1578" s="205"/>
      <c r="H1578" s="205"/>
      <c r="I1578" s="16"/>
      <c r="J1578" s="16"/>
      <c r="K1578" s="205"/>
      <c r="L1578" s="16"/>
      <c r="M1578" s="16"/>
      <c r="N1578" s="16"/>
      <c r="O1578" s="16"/>
      <c r="P1578" s="16"/>
      <c r="Q1578" s="16"/>
      <c r="R1578" s="16"/>
      <c r="S1578" s="16"/>
      <c r="T1578" s="16"/>
      <c r="U1578" s="16"/>
      <c r="V1578" s="16"/>
      <c r="W1578" s="16"/>
      <c r="X1578" s="16"/>
      <c r="Y1578" s="16"/>
      <c r="Z1578" s="16"/>
      <c r="AA1578" s="16"/>
    </row>
    <row r="1579" spans="1:27" ht="24" customHeight="1">
      <c r="A1579" s="16"/>
      <c r="B1579" s="16"/>
      <c r="C1579" s="16"/>
      <c r="D1579" s="16"/>
      <c r="E1579" s="16"/>
      <c r="F1579" s="16"/>
      <c r="G1579" s="205"/>
      <c r="H1579" s="205"/>
      <c r="I1579" s="16"/>
      <c r="J1579" s="16"/>
      <c r="K1579" s="205"/>
      <c r="L1579" s="16"/>
      <c r="M1579" s="16"/>
      <c r="N1579" s="16"/>
      <c r="O1579" s="16"/>
      <c r="P1579" s="16"/>
      <c r="Q1579" s="16"/>
      <c r="R1579" s="16"/>
      <c r="S1579" s="16"/>
      <c r="T1579" s="16"/>
      <c r="U1579" s="16"/>
      <c r="V1579" s="16"/>
      <c r="W1579" s="16"/>
      <c r="X1579" s="16"/>
      <c r="Y1579" s="16"/>
      <c r="Z1579" s="16"/>
      <c r="AA1579" s="16"/>
    </row>
    <row r="1580" spans="1:27" ht="24" customHeight="1">
      <c r="A1580" s="16"/>
      <c r="B1580" s="16"/>
      <c r="C1580" s="16"/>
      <c r="D1580" s="16"/>
      <c r="E1580" s="16"/>
      <c r="F1580" s="16"/>
      <c r="G1580" s="205"/>
      <c r="H1580" s="205"/>
      <c r="I1580" s="16"/>
      <c r="J1580" s="16"/>
      <c r="K1580" s="205"/>
      <c r="L1580" s="16"/>
      <c r="M1580" s="16"/>
      <c r="N1580" s="16"/>
      <c r="O1580" s="16"/>
      <c r="P1580" s="16"/>
      <c r="Q1580" s="16"/>
      <c r="R1580" s="16"/>
      <c r="S1580" s="16"/>
      <c r="T1580" s="16"/>
      <c r="U1580" s="16"/>
      <c r="V1580" s="16"/>
      <c r="W1580" s="16"/>
      <c r="X1580" s="16"/>
      <c r="Y1580" s="16"/>
      <c r="Z1580" s="16"/>
      <c r="AA1580" s="16"/>
    </row>
    <row r="1581" spans="1:27" ht="24" customHeight="1">
      <c r="A1581" s="16"/>
      <c r="B1581" s="16"/>
      <c r="C1581" s="16"/>
      <c r="D1581" s="16"/>
      <c r="E1581" s="16"/>
      <c r="F1581" s="16"/>
      <c r="G1581" s="205"/>
      <c r="H1581" s="205"/>
      <c r="I1581" s="16"/>
      <c r="J1581" s="16"/>
      <c r="K1581" s="205"/>
      <c r="L1581" s="16"/>
      <c r="M1581" s="16"/>
      <c r="N1581" s="16"/>
      <c r="O1581" s="16"/>
      <c r="P1581" s="16"/>
      <c r="Q1581" s="16"/>
      <c r="R1581" s="16"/>
      <c r="S1581" s="16"/>
      <c r="T1581" s="16"/>
      <c r="U1581" s="16"/>
      <c r="V1581" s="16"/>
      <c r="W1581" s="16"/>
      <c r="X1581" s="16"/>
      <c r="Y1581" s="16"/>
      <c r="Z1581" s="16"/>
      <c r="AA1581" s="16"/>
    </row>
    <row r="1582" spans="1:27" ht="24" customHeight="1">
      <c r="A1582" s="16"/>
      <c r="B1582" s="16"/>
      <c r="C1582" s="16"/>
      <c r="D1582" s="16"/>
      <c r="E1582" s="16"/>
      <c r="F1582" s="16"/>
      <c r="G1582" s="205"/>
      <c r="H1582" s="205"/>
      <c r="I1582" s="16"/>
      <c r="J1582" s="16"/>
      <c r="K1582" s="205"/>
      <c r="L1582" s="16"/>
      <c r="M1582" s="16"/>
      <c r="N1582" s="16"/>
      <c r="O1582" s="16"/>
      <c r="P1582" s="16"/>
      <c r="Q1582" s="16"/>
      <c r="R1582" s="16"/>
      <c r="S1582" s="16"/>
      <c r="T1582" s="16"/>
      <c r="U1582" s="16"/>
      <c r="V1582" s="16"/>
      <c r="W1582" s="16"/>
      <c r="X1582" s="16"/>
      <c r="Y1582" s="16"/>
      <c r="Z1582" s="16"/>
      <c r="AA1582" s="16"/>
    </row>
    <row r="1583" spans="1:27" ht="24" customHeight="1">
      <c r="A1583" s="16"/>
      <c r="B1583" s="16"/>
      <c r="C1583" s="16"/>
      <c r="D1583" s="16"/>
      <c r="E1583" s="16"/>
      <c r="F1583" s="16"/>
      <c r="G1583" s="205"/>
      <c r="H1583" s="205"/>
      <c r="I1583" s="16"/>
      <c r="J1583" s="16"/>
      <c r="K1583" s="205"/>
      <c r="L1583" s="16"/>
      <c r="M1583" s="16"/>
      <c r="N1583" s="16"/>
      <c r="O1583" s="16"/>
      <c r="P1583" s="16"/>
      <c r="Q1583" s="16"/>
      <c r="R1583" s="16"/>
      <c r="S1583" s="16"/>
      <c r="T1583" s="16"/>
      <c r="U1583" s="16"/>
      <c r="V1583" s="16"/>
      <c r="W1583" s="16"/>
      <c r="X1583" s="16"/>
      <c r="Y1583" s="16"/>
      <c r="Z1583" s="16"/>
      <c r="AA1583" s="16"/>
    </row>
    <row r="1584" spans="1:27" ht="24" customHeight="1">
      <c r="A1584" s="16"/>
      <c r="B1584" s="16"/>
      <c r="C1584" s="16"/>
      <c r="D1584" s="16"/>
      <c r="E1584" s="16"/>
      <c r="F1584" s="16"/>
      <c r="G1584" s="205"/>
      <c r="H1584" s="205"/>
      <c r="I1584" s="16"/>
      <c r="J1584" s="16"/>
      <c r="K1584" s="205"/>
      <c r="L1584" s="16"/>
      <c r="M1584" s="16"/>
      <c r="N1584" s="16"/>
      <c r="O1584" s="16"/>
      <c r="P1584" s="16"/>
      <c r="Q1584" s="16"/>
      <c r="R1584" s="16"/>
      <c r="S1584" s="16"/>
      <c r="T1584" s="16"/>
      <c r="U1584" s="16"/>
      <c r="V1584" s="16"/>
      <c r="W1584" s="16"/>
      <c r="X1584" s="16"/>
      <c r="Y1584" s="16"/>
      <c r="Z1584" s="16"/>
      <c r="AA1584" s="16"/>
    </row>
    <row r="1585" spans="1:27" ht="24" customHeight="1">
      <c r="A1585" s="16"/>
      <c r="B1585" s="16"/>
      <c r="C1585" s="16"/>
      <c r="D1585" s="16"/>
      <c r="E1585" s="16"/>
      <c r="F1585" s="16"/>
      <c r="G1585" s="205"/>
      <c r="H1585" s="205"/>
      <c r="I1585" s="16"/>
      <c r="J1585" s="16"/>
      <c r="K1585" s="205"/>
      <c r="L1585" s="16"/>
      <c r="M1585" s="16"/>
      <c r="N1585" s="16"/>
      <c r="O1585" s="16"/>
      <c r="P1585" s="16"/>
      <c r="Q1585" s="16"/>
      <c r="R1585" s="16"/>
      <c r="S1585" s="16"/>
      <c r="T1585" s="16"/>
      <c r="U1585" s="16"/>
      <c r="V1585" s="16"/>
      <c r="W1585" s="16"/>
      <c r="X1585" s="16"/>
      <c r="Y1585" s="16"/>
      <c r="Z1585" s="16"/>
      <c r="AA1585" s="16"/>
    </row>
    <row r="1586" spans="1:27" ht="24" customHeight="1">
      <c r="A1586" s="16"/>
      <c r="B1586" s="16"/>
      <c r="C1586" s="16"/>
      <c r="D1586" s="16"/>
      <c r="E1586" s="16"/>
      <c r="F1586" s="16"/>
      <c r="G1586" s="205"/>
      <c r="H1586" s="205"/>
      <c r="I1586" s="16"/>
      <c r="J1586" s="16"/>
      <c r="K1586" s="205"/>
      <c r="L1586" s="16"/>
      <c r="M1586" s="16"/>
      <c r="N1586" s="16"/>
      <c r="O1586" s="16"/>
      <c r="P1586" s="16"/>
      <c r="Q1586" s="16"/>
      <c r="R1586" s="16"/>
      <c r="S1586" s="16"/>
      <c r="T1586" s="16"/>
      <c r="U1586" s="16"/>
      <c r="V1586" s="16"/>
      <c r="W1586" s="16"/>
      <c r="X1586" s="16"/>
      <c r="Y1586" s="16"/>
      <c r="Z1586" s="16"/>
      <c r="AA1586" s="16"/>
    </row>
    <row r="1587" spans="1:27" ht="24" customHeight="1">
      <c r="A1587" s="16"/>
      <c r="B1587" s="16"/>
      <c r="C1587" s="16"/>
      <c r="D1587" s="16"/>
      <c r="E1587" s="16"/>
      <c r="F1587" s="16"/>
      <c r="G1587" s="205"/>
      <c r="H1587" s="205"/>
      <c r="I1587" s="16"/>
      <c r="J1587" s="16"/>
      <c r="K1587" s="205"/>
      <c r="L1587" s="16"/>
      <c r="M1587" s="16"/>
      <c r="N1587" s="16"/>
      <c r="O1587" s="16"/>
      <c r="P1587" s="16"/>
      <c r="Q1587" s="16"/>
      <c r="R1587" s="16"/>
      <c r="S1587" s="16"/>
      <c r="T1587" s="16"/>
      <c r="U1587" s="16"/>
      <c r="V1587" s="16"/>
      <c r="W1587" s="16"/>
      <c r="X1587" s="16"/>
      <c r="Y1587" s="16"/>
      <c r="Z1587" s="16"/>
      <c r="AA1587" s="16"/>
    </row>
    <row r="1588" spans="1:27" ht="24" customHeight="1">
      <c r="A1588" s="16"/>
      <c r="B1588" s="16"/>
      <c r="C1588" s="16"/>
      <c r="D1588" s="16"/>
      <c r="E1588" s="16"/>
      <c r="F1588" s="16"/>
      <c r="G1588" s="205"/>
      <c r="H1588" s="205"/>
      <c r="I1588" s="16"/>
      <c r="J1588" s="16"/>
      <c r="K1588" s="205"/>
      <c r="L1588" s="16"/>
      <c r="M1588" s="16"/>
      <c r="N1588" s="16"/>
      <c r="O1588" s="16"/>
      <c r="P1588" s="16"/>
      <c r="Q1588" s="16"/>
      <c r="R1588" s="16"/>
      <c r="S1588" s="16"/>
      <c r="T1588" s="16"/>
      <c r="U1588" s="16"/>
      <c r="V1588" s="16"/>
      <c r="W1588" s="16"/>
      <c r="X1588" s="16"/>
      <c r="Y1588" s="16"/>
      <c r="Z1588" s="16"/>
      <c r="AA1588" s="16"/>
    </row>
    <row r="1589" spans="1:27" ht="24" customHeight="1">
      <c r="A1589" s="16"/>
      <c r="B1589" s="16"/>
      <c r="C1589" s="16"/>
      <c r="D1589" s="16"/>
      <c r="E1589" s="16"/>
      <c r="F1589" s="16"/>
      <c r="G1589" s="205"/>
      <c r="H1589" s="205"/>
      <c r="I1589" s="16"/>
      <c r="J1589" s="16"/>
      <c r="K1589" s="205"/>
      <c r="L1589" s="16"/>
      <c r="M1589" s="16"/>
      <c r="N1589" s="16"/>
      <c r="O1589" s="16"/>
      <c r="P1589" s="16"/>
      <c r="Q1589" s="16"/>
      <c r="R1589" s="16"/>
      <c r="S1589" s="16"/>
      <c r="T1589" s="16"/>
      <c r="U1589" s="16"/>
      <c r="V1589" s="16"/>
      <c r="W1589" s="16"/>
      <c r="X1589" s="16"/>
      <c r="Y1589" s="16"/>
      <c r="Z1589" s="16"/>
      <c r="AA1589" s="16"/>
    </row>
    <row r="1590" spans="1:27" ht="24" customHeight="1">
      <c r="A1590" s="16"/>
      <c r="B1590" s="16"/>
      <c r="C1590" s="16"/>
      <c r="D1590" s="16"/>
      <c r="E1590" s="16"/>
      <c r="F1590" s="16"/>
      <c r="G1590" s="205"/>
      <c r="H1590" s="205"/>
      <c r="I1590" s="16"/>
      <c r="J1590" s="16"/>
      <c r="K1590" s="205"/>
      <c r="L1590" s="16"/>
      <c r="M1590" s="16"/>
      <c r="N1590" s="16"/>
      <c r="O1590" s="16"/>
      <c r="P1590" s="16"/>
      <c r="Q1590" s="16"/>
      <c r="R1590" s="16"/>
      <c r="S1590" s="16"/>
      <c r="T1590" s="16"/>
      <c r="U1590" s="16"/>
      <c r="V1590" s="16"/>
      <c r="W1590" s="16"/>
      <c r="X1590" s="16"/>
      <c r="Y1590" s="16"/>
      <c r="Z1590" s="16"/>
      <c r="AA1590" s="16"/>
    </row>
    <row r="1591" spans="1:27" ht="24" customHeight="1">
      <c r="A1591" s="16"/>
      <c r="B1591" s="16"/>
      <c r="C1591" s="16"/>
      <c r="D1591" s="16"/>
      <c r="E1591" s="16"/>
      <c r="F1591" s="16"/>
      <c r="G1591" s="205"/>
      <c r="H1591" s="205"/>
      <c r="I1591" s="16"/>
      <c r="J1591" s="16"/>
      <c r="K1591" s="205"/>
      <c r="L1591" s="16"/>
      <c r="M1591" s="16"/>
      <c r="N1591" s="16"/>
      <c r="O1591" s="16"/>
      <c r="P1591" s="16"/>
      <c r="Q1591" s="16"/>
      <c r="R1591" s="16"/>
      <c r="S1591" s="16"/>
      <c r="T1591" s="16"/>
      <c r="U1591" s="16"/>
      <c r="V1591" s="16"/>
      <c r="W1591" s="16"/>
      <c r="X1591" s="16"/>
      <c r="Y1591" s="16"/>
      <c r="Z1591" s="16"/>
      <c r="AA1591" s="16"/>
    </row>
    <row r="1592" spans="1:27" ht="24" customHeight="1">
      <c r="A1592" s="16"/>
      <c r="B1592" s="16"/>
      <c r="C1592" s="16"/>
      <c r="D1592" s="16"/>
      <c r="E1592" s="16"/>
      <c r="F1592" s="16"/>
      <c r="G1592" s="205"/>
      <c r="H1592" s="205"/>
      <c r="I1592" s="16"/>
      <c r="J1592" s="16"/>
      <c r="K1592" s="205"/>
      <c r="L1592" s="16"/>
      <c r="M1592" s="16"/>
      <c r="N1592" s="16"/>
      <c r="O1592" s="16"/>
      <c r="P1592" s="16"/>
      <c r="Q1592" s="16"/>
      <c r="R1592" s="16"/>
      <c r="S1592" s="16"/>
      <c r="T1592" s="16"/>
      <c r="U1592" s="16"/>
      <c r="V1592" s="16"/>
      <c r="W1592" s="16"/>
      <c r="X1592" s="16"/>
      <c r="Y1592" s="16"/>
      <c r="Z1592" s="16"/>
      <c r="AA1592" s="16"/>
    </row>
    <row r="1593" spans="1:27" ht="24" customHeight="1">
      <c r="A1593" s="16"/>
      <c r="B1593" s="16"/>
      <c r="C1593" s="16"/>
      <c r="D1593" s="16"/>
      <c r="E1593" s="16"/>
      <c r="F1593" s="16"/>
      <c r="G1593" s="205"/>
      <c r="H1593" s="205"/>
      <c r="I1593" s="16"/>
      <c r="J1593" s="16"/>
      <c r="K1593" s="205"/>
      <c r="L1593" s="16"/>
      <c r="M1593" s="16"/>
      <c r="N1593" s="16"/>
      <c r="O1593" s="16"/>
      <c r="P1593" s="16"/>
      <c r="Q1593" s="16"/>
      <c r="R1593" s="16"/>
      <c r="S1593" s="16"/>
      <c r="T1593" s="16"/>
      <c r="U1593" s="16"/>
      <c r="V1593" s="16"/>
      <c r="W1593" s="16"/>
      <c r="X1593" s="16"/>
      <c r="Y1593" s="16"/>
      <c r="Z1593" s="16"/>
      <c r="AA1593" s="16"/>
    </row>
    <row r="1594" spans="1:27" ht="24" customHeight="1">
      <c r="A1594" s="16"/>
      <c r="B1594" s="16"/>
      <c r="C1594" s="16"/>
      <c r="D1594" s="16"/>
      <c r="E1594" s="16"/>
      <c r="F1594" s="16"/>
      <c r="G1594" s="205"/>
      <c r="H1594" s="205"/>
      <c r="I1594" s="16"/>
      <c r="J1594" s="16"/>
      <c r="K1594" s="205"/>
      <c r="L1594" s="16"/>
      <c r="M1594" s="16"/>
      <c r="N1594" s="16"/>
      <c r="O1594" s="16"/>
      <c r="P1594" s="16"/>
      <c r="Q1594" s="16"/>
      <c r="R1594" s="16"/>
      <c r="S1594" s="16"/>
      <c r="T1594" s="16"/>
      <c r="U1594" s="16"/>
      <c r="V1594" s="16"/>
      <c r="W1594" s="16"/>
      <c r="X1594" s="16"/>
      <c r="Y1594" s="16"/>
      <c r="Z1594" s="16"/>
      <c r="AA1594" s="16"/>
    </row>
    <row r="1595" spans="1:27" ht="24" customHeight="1">
      <c r="A1595" s="16"/>
      <c r="B1595" s="16"/>
      <c r="C1595" s="16"/>
      <c r="D1595" s="16"/>
      <c r="E1595" s="16"/>
      <c r="F1595" s="16"/>
      <c r="G1595" s="205"/>
      <c r="H1595" s="205"/>
      <c r="I1595" s="16"/>
      <c r="J1595" s="16"/>
      <c r="K1595" s="205"/>
      <c r="L1595" s="16"/>
      <c r="M1595" s="16"/>
      <c r="N1595" s="16"/>
      <c r="O1595" s="16"/>
      <c r="P1595" s="16"/>
      <c r="Q1595" s="16"/>
      <c r="R1595" s="16"/>
      <c r="S1595" s="16"/>
      <c r="T1595" s="16"/>
      <c r="U1595" s="16"/>
      <c r="V1595" s="16"/>
      <c r="W1595" s="16"/>
      <c r="X1595" s="16"/>
      <c r="Y1595" s="16"/>
      <c r="Z1595" s="16"/>
      <c r="AA1595" s="16"/>
    </row>
    <row r="1596" spans="1:27" ht="24" customHeight="1">
      <c r="A1596" s="16"/>
      <c r="B1596" s="16"/>
      <c r="C1596" s="16"/>
      <c r="D1596" s="16"/>
      <c r="E1596" s="16"/>
      <c r="F1596" s="16"/>
      <c r="G1596" s="205"/>
      <c r="H1596" s="205"/>
      <c r="I1596" s="16"/>
      <c r="J1596" s="16"/>
      <c r="K1596" s="205"/>
      <c r="L1596" s="16"/>
      <c r="M1596" s="16"/>
      <c r="N1596" s="16"/>
      <c r="O1596" s="16"/>
      <c r="P1596" s="16"/>
      <c r="Q1596" s="16"/>
      <c r="R1596" s="16"/>
      <c r="S1596" s="16"/>
      <c r="T1596" s="16"/>
      <c r="U1596" s="16"/>
      <c r="V1596" s="16"/>
      <c r="W1596" s="16"/>
      <c r="X1596" s="16"/>
      <c r="Y1596" s="16"/>
      <c r="Z1596" s="16"/>
      <c r="AA1596" s="16"/>
    </row>
    <row r="1597" spans="1:27" ht="24" customHeight="1">
      <c r="A1597" s="16"/>
      <c r="B1597" s="16"/>
      <c r="C1597" s="16"/>
      <c r="D1597" s="16"/>
      <c r="E1597" s="16"/>
      <c r="F1597" s="16"/>
      <c r="G1597" s="205"/>
      <c r="H1597" s="205"/>
      <c r="I1597" s="16"/>
      <c r="J1597" s="16"/>
      <c r="K1597" s="205"/>
      <c r="L1597" s="16"/>
      <c r="M1597" s="16"/>
      <c r="N1597" s="16"/>
      <c r="O1597" s="16"/>
      <c r="P1597" s="16"/>
      <c r="Q1597" s="16"/>
      <c r="R1597" s="16"/>
      <c r="S1597" s="16"/>
      <c r="T1597" s="16"/>
      <c r="U1597" s="16"/>
      <c r="V1597" s="16"/>
      <c r="W1597" s="16"/>
      <c r="X1597" s="16"/>
      <c r="Y1597" s="16"/>
      <c r="Z1597" s="16"/>
      <c r="AA1597" s="16"/>
    </row>
    <row r="1598" spans="1:27" ht="24" customHeight="1">
      <c r="A1598" s="16"/>
      <c r="B1598" s="16"/>
      <c r="C1598" s="16"/>
      <c r="D1598" s="16"/>
      <c r="E1598" s="16"/>
      <c r="F1598" s="16"/>
      <c r="G1598" s="205"/>
      <c r="H1598" s="205"/>
      <c r="I1598" s="16"/>
      <c r="J1598" s="16"/>
      <c r="K1598" s="205"/>
      <c r="L1598" s="16"/>
      <c r="M1598" s="16"/>
      <c r="N1598" s="16"/>
      <c r="O1598" s="16"/>
      <c r="P1598" s="16"/>
      <c r="Q1598" s="16"/>
      <c r="R1598" s="16"/>
      <c r="S1598" s="16"/>
      <c r="T1598" s="16"/>
      <c r="U1598" s="16"/>
      <c r="V1598" s="16"/>
      <c r="W1598" s="16"/>
      <c r="X1598" s="16"/>
      <c r="Y1598" s="16"/>
      <c r="Z1598" s="16"/>
      <c r="AA1598" s="16"/>
    </row>
    <row r="1599" spans="1:27" ht="24" customHeight="1">
      <c r="A1599" s="16"/>
      <c r="B1599" s="16"/>
      <c r="C1599" s="16"/>
      <c r="D1599" s="16"/>
      <c r="E1599" s="16"/>
      <c r="F1599" s="16"/>
      <c r="G1599" s="205"/>
      <c r="H1599" s="205"/>
      <c r="I1599" s="16"/>
      <c r="J1599" s="16"/>
      <c r="K1599" s="205"/>
      <c r="L1599" s="16"/>
      <c r="M1599" s="16"/>
      <c r="N1599" s="16"/>
      <c r="O1599" s="16"/>
      <c r="P1599" s="16"/>
      <c r="Q1599" s="16"/>
      <c r="R1599" s="16"/>
      <c r="S1599" s="16"/>
      <c r="T1599" s="16"/>
      <c r="U1599" s="16"/>
      <c r="V1599" s="16"/>
      <c r="W1599" s="16"/>
      <c r="X1599" s="16"/>
      <c r="Y1599" s="16"/>
      <c r="Z1599" s="16"/>
      <c r="AA1599" s="16"/>
    </row>
    <row r="1600" spans="1:27" ht="24" customHeight="1">
      <c r="A1600" s="16"/>
      <c r="B1600" s="16"/>
      <c r="C1600" s="16"/>
      <c r="D1600" s="16"/>
      <c r="E1600" s="16"/>
      <c r="F1600" s="16"/>
      <c r="G1600" s="205"/>
      <c r="H1600" s="205"/>
      <c r="I1600" s="16"/>
      <c r="J1600" s="16"/>
      <c r="K1600" s="205"/>
      <c r="L1600" s="16"/>
      <c r="M1600" s="16"/>
      <c r="N1600" s="16"/>
      <c r="O1600" s="16"/>
      <c r="P1600" s="16"/>
      <c r="Q1600" s="16"/>
      <c r="R1600" s="16"/>
      <c r="S1600" s="16"/>
      <c r="T1600" s="16"/>
      <c r="U1600" s="16"/>
      <c r="V1600" s="16"/>
      <c r="W1600" s="16"/>
      <c r="X1600" s="16"/>
      <c r="Y1600" s="16"/>
      <c r="Z1600" s="16"/>
      <c r="AA1600" s="16"/>
    </row>
    <row r="1601" spans="1:27" ht="24" customHeight="1">
      <c r="A1601" s="16"/>
      <c r="B1601" s="16"/>
      <c r="C1601" s="16"/>
      <c r="D1601" s="16"/>
      <c r="E1601" s="16"/>
      <c r="F1601" s="16"/>
      <c r="G1601" s="205"/>
      <c r="H1601" s="205"/>
      <c r="I1601" s="16"/>
      <c r="J1601" s="16"/>
      <c r="K1601" s="205"/>
      <c r="L1601" s="16"/>
      <c r="M1601" s="16"/>
      <c r="N1601" s="16"/>
      <c r="O1601" s="16"/>
      <c r="P1601" s="16"/>
      <c r="Q1601" s="16"/>
      <c r="R1601" s="16"/>
      <c r="S1601" s="16"/>
      <c r="T1601" s="16"/>
      <c r="U1601" s="16"/>
      <c r="V1601" s="16"/>
      <c r="W1601" s="16"/>
      <c r="X1601" s="16"/>
      <c r="Y1601" s="16"/>
      <c r="Z1601" s="16"/>
      <c r="AA1601" s="16"/>
    </row>
    <row r="1602" spans="1:27" ht="24" customHeight="1">
      <c r="A1602" s="16"/>
      <c r="B1602" s="16"/>
      <c r="C1602" s="16"/>
      <c r="D1602" s="16"/>
      <c r="E1602" s="16"/>
      <c r="F1602" s="16"/>
      <c r="G1602" s="205"/>
      <c r="H1602" s="205"/>
      <c r="I1602" s="16"/>
      <c r="J1602" s="16"/>
      <c r="K1602" s="205"/>
      <c r="L1602" s="16"/>
      <c r="M1602" s="16"/>
      <c r="N1602" s="16"/>
      <c r="O1602" s="16"/>
      <c r="P1602" s="16"/>
      <c r="Q1602" s="16"/>
      <c r="R1602" s="16"/>
      <c r="S1602" s="16"/>
      <c r="T1602" s="16"/>
      <c r="U1602" s="16"/>
      <c r="V1602" s="16"/>
      <c r="W1602" s="16"/>
      <c r="X1602" s="16"/>
      <c r="Y1602" s="16"/>
      <c r="Z1602" s="16"/>
      <c r="AA1602" s="16"/>
    </row>
    <row r="1603" spans="1:27" ht="24" customHeight="1">
      <c r="A1603" s="16"/>
      <c r="B1603" s="16"/>
      <c r="C1603" s="16"/>
      <c r="D1603" s="16"/>
      <c r="E1603" s="16"/>
      <c r="F1603" s="16"/>
      <c r="G1603" s="205"/>
      <c r="H1603" s="205"/>
      <c r="I1603" s="16"/>
      <c r="J1603" s="16"/>
      <c r="K1603" s="205"/>
      <c r="L1603" s="16"/>
      <c r="M1603" s="16"/>
      <c r="N1603" s="16"/>
      <c r="O1603" s="16"/>
      <c r="P1603" s="16"/>
      <c r="Q1603" s="16"/>
      <c r="R1603" s="16"/>
      <c r="S1603" s="16"/>
      <c r="T1603" s="16"/>
      <c r="U1603" s="16"/>
      <c r="V1603" s="16"/>
      <c r="W1603" s="16"/>
      <c r="X1603" s="16"/>
      <c r="Y1603" s="16"/>
      <c r="Z1603" s="16"/>
      <c r="AA1603" s="16"/>
    </row>
    <row r="1604" spans="1:27" ht="24" customHeight="1">
      <c r="A1604" s="16"/>
      <c r="B1604" s="16"/>
      <c r="C1604" s="16"/>
      <c r="D1604" s="16"/>
      <c r="E1604" s="16"/>
      <c r="F1604" s="16"/>
      <c r="G1604" s="205"/>
      <c r="H1604" s="205"/>
      <c r="I1604" s="16"/>
      <c r="J1604" s="16"/>
      <c r="K1604" s="205"/>
      <c r="L1604" s="16"/>
      <c r="M1604" s="16"/>
      <c r="N1604" s="16"/>
      <c r="O1604" s="16"/>
      <c r="P1604" s="16"/>
      <c r="Q1604" s="16"/>
      <c r="R1604" s="16"/>
      <c r="S1604" s="16"/>
      <c r="T1604" s="16"/>
      <c r="U1604" s="16"/>
      <c r="V1604" s="16"/>
      <c r="W1604" s="16"/>
      <c r="X1604" s="16"/>
      <c r="Y1604" s="16"/>
      <c r="Z1604" s="16"/>
      <c r="AA1604" s="16"/>
    </row>
    <row r="1605" spans="1:27" ht="24" customHeight="1">
      <c r="A1605" s="16"/>
      <c r="B1605" s="16"/>
      <c r="C1605" s="16"/>
      <c r="D1605" s="16"/>
      <c r="E1605" s="16"/>
      <c r="F1605" s="16"/>
      <c r="G1605" s="205"/>
      <c r="H1605" s="205"/>
      <c r="I1605" s="16"/>
      <c r="J1605" s="16"/>
      <c r="K1605" s="205"/>
      <c r="L1605" s="16"/>
      <c r="M1605" s="16"/>
      <c r="N1605" s="16"/>
      <c r="O1605" s="16"/>
      <c r="P1605" s="16"/>
      <c r="Q1605" s="16"/>
      <c r="R1605" s="16"/>
      <c r="S1605" s="16"/>
      <c r="T1605" s="16"/>
      <c r="U1605" s="16"/>
      <c r="V1605" s="16"/>
      <c r="W1605" s="16"/>
      <c r="X1605" s="16"/>
      <c r="Y1605" s="16"/>
      <c r="Z1605" s="16"/>
      <c r="AA1605" s="16"/>
    </row>
    <row r="1606" spans="1:27" ht="24" customHeight="1">
      <c r="A1606" s="16"/>
      <c r="B1606" s="16"/>
      <c r="C1606" s="16"/>
      <c r="D1606" s="16"/>
      <c r="E1606" s="16"/>
      <c r="F1606" s="16"/>
      <c r="G1606" s="205"/>
      <c r="H1606" s="205"/>
      <c r="I1606" s="16"/>
      <c r="J1606" s="16"/>
      <c r="K1606" s="205"/>
      <c r="L1606" s="16"/>
      <c r="M1606" s="16"/>
      <c r="N1606" s="16"/>
      <c r="O1606" s="16"/>
      <c r="P1606" s="16"/>
      <c r="Q1606" s="16"/>
      <c r="R1606" s="16"/>
      <c r="S1606" s="16"/>
      <c r="T1606" s="16"/>
      <c r="U1606" s="16"/>
      <c r="V1606" s="16"/>
      <c r="W1606" s="16"/>
      <c r="X1606" s="16"/>
      <c r="Y1606" s="16"/>
      <c r="Z1606" s="16"/>
      <c r="AA1606" s="16"/>
    </row>
    <row r="1607" spans="1:27" ht="24" customHeight="1">
      <c r="A1607" s="16"/>
      <c r="B1607" s="16"/>
      <c r="C1607" s="16"/>
      <c r="D1607" s="16"/>
      <c r="E1607" s="16"/>
      <c r="F1607" s="16"/>
      <c r="G1607" s="205"/>
      <c r="H1607" s="205"/>
      <c r="I1607" s="16"/>
      <c r="J1607" s="16"/>
      <c r="K1607" s="205"/>
      <c r="L1607" s="16"/>
      <c r="M1607" s="16"/>
      <c r="N1607" s="16"/>
      <c r="O1607" s="16"/>
      <c r="P1607" s="16"/>
      <c r="Q1607" s="16"/>
      <c r="R1607" s="16"/>
      <c r="S1607" s="16"/>
      <c r="T1607" s="16"/>
      <c r="U1607" s="16"/>
      <c r="V1607" s="16"/>
      <c r="W1607" s="16"/>
      <c r="X1607" s="16"/>
      <c r="Y1607" s="16"/>
      <c r="Z1607" s="16"/>
      <c r="AA1607" s="16"/>
    </row>
    <row r="1608" spans="1:27" ht="24" customHeight="1">
      <c r="A1608" s="16"/>
      <c r="B1608" s="16"/>
      <c r="C1608" s="16"/>
      <c r="D1608" s="16"/>
      <c r="E1608" s="16"/>
      <c r="F1608" s="16"/>
      <c r="G1608" s="205"/>
      <c r="H1608" s="205"/>
      <c r="I1608" s="16"/>
      <c r="J1608" s="16"/>
      <c r="K1608" s="205"/>
      <c r="L1608" s="16"/>
      <c r="M1608" s="16"/>
      <c r="N1608" s="16"/>
      <c r="O1608" s="16"/>
      <c r="P1608" s="16"/>
      <c r="Q1608" s="16"/>
      <c r="R1608" s="16"/>
      <c r="S1608" s="16"/>
      <c r="T1608" s="16"/>
      <c r="U1608" s="16"/>
      <c r="V1608" s="16"/>
      <c r="W1608" s="16"/>
      <c r="X1608" s="16"/>
      <c r="Y1608" s="16"/>
      <c r="Z1608" s="16"/>
      <c r="AA1608" s="16"/>
    </row>
    <row r="1609" spans="1:27" ht="24" customHeight="1">
      <c r="A1609" s="16"/>
      <c r="B1609" s="16"/>
      <c r="C1609" s="16"/>
      <c r="D1609" s="16"/>
      <c r="E1609" s="16"/>
      <c r="F1609" s="16"/>
      <c r="G1609" s="205"/>
      <c r="H1609" s="205"/>
      <c r="I1609" s="16"/>
      <c r="J1609" s="16"/>
      <c r="K1609" s="205"/>
      <c r="L1609" s="16"/>
      <c r="M1609" s="16"/>
      <c r="N1609" s="16"/>
      <c r="O1609" s="16"/>
      <c r="P1609" s="16"/>
      <c r="Q1609" s="16"/>
      <c r="R1609" s="16"/>
      <c r="S1609" s="16"/>
      <c r="T1609" s="16"/>
      <c r="U1609" s="16"/>
      <c r="V1609" s="16"/>
      <c r="W1609" s="16"/>
      <c r="X1609" s="16"/>
      <c r="Y1609" s="16"/>
      <c r="Z1609" s="16"/>
      <c r="AA1609" s="16"/>
    </row>
    <row r="1610" spans="1:27" ht="24" customHeight="1">
      <c r="A1610" s="16"/>
      <c r="B1610" s="16"/>
      <c r="C1610" s="16"/>
      <c r="D1610" s="16"/>
      <c r="E1610" s="16"/>
      <c r="F1610" s="16"/>
      <c r="G1610" s="205"/>
      <c r="H1610" s="205"/>
      <c r="I1610" s="16"/>
      <c r="J1610" s="16"/>
      <c r="K1610" s="205"/>
      <c r="L1610" s="16"/>
      <c r="M1610" s="16"/>
      <c r="N1610" s="16"/>
      <c r="O1610" s="16"/>
      <c r="P1610" s="16"/>
      <c r="Q1610" s="16"/>
      <c r="R1610" s="16"/>
      <c r="S1610" s="16"/>
      <c r="T1610" s="16"/>
      <c r="U1610" s="16"/>
      <c r="V1610" s="16"/>
      <c r="W1610" s="16"/>
      <c r="X1610" s="16"/>
      <c r="Y1610" s="16"/>
      <c r="Z1610" s="16"/>
      <c r="AA1610" s="16"/>
    </row>
    <row r="1611" spans="1:27" ht="24" customHeight="1">
      <c r="A1611" s="16"/>
      <c r="B1611" s="16"/>
      <c r="C1611" s="16"/>
      <c r="D1611" s="16"/>
      <c r="E1611" s="16"/>
      <c r="F1611" s="16"/>
      <c r="G1611" s="205"/>
      <c r="H1611" s="205"/>
      <c r="I1611" s="16"/>
      <c r="J1611" s="16"/>
      <c r="K1611" s="205"/>
      <c r="L1611" s="16"/>
      <c r="M1611" s="16"/>
      <c r="N1611" s="16"/>
      <c r="O1611" s="16"/>
      <c r="P1611" s="16"/>
      <c r="Q1611" s="16"/>
      <c r="R1611" s="16"/>
      <c r="S1611" s="16"/>
      <c r="T1611" s="16"/>
      <c r="U1611" s="16"/>
      <c r="V1611" s="16"/>
      <c r="W1611" s="16"/>
      <c r="X1611" s="16"/>
      <c r="Y1611" s="16"/>
      <c r="Z1611" s="16"/>
      <c r="AA1611" s="16"/>
    </row>
    <row r="1612" spans="1:27" ht="24" customHeight="1">
      <c r="A1612" s="16"/>
      <c r="B1612" s="16"/>
      <c r="C1612" s="16"/>
      <c r="D1612" s="16"/>
      <c r="E1612" s="16"/>
      <c r="F1612" s="16"/>
      <c r="G1612" s="205"/>
      <c r="H1612" s="205"/>
      <c r="I1612" s="16"/>
      <c r="J1612" s="16"/>
      <c r="K1612" s="205"/>
      <c r="L1612" s="16"/>
      <c r="M1612" s="16"/>
      <c r="N1612" s="16"/>
      <c r="O1612" s="16"/>
      <c r="P1612" s="16"/>
      <c r="Q1612" s="16"/>
      <c r="R1612" s="16"/>
      <c r="S1612" s="16"/>
      <c r="T1612" s="16"/>
      <c r="U1612" s="16"/>
      <c r="V1612" s="16"/>
      <c r="W1612" s="16"/>
      <c r="X1612" s="16"/>
      <c r="Y1612" s="16"/>
      <c r="Z1612" s="16"/>
      <c r="AA1612" s="16"/>
    </row>
    <row r="1613" spans="1:27" ht="24" customHeight="1">
      <c r="A1613" s="16"/>
      <c r="B1613" s="16"/>
      <c r="C1613" s="16"/>
      <c r="D1613" s="16"/>
      <c r="E1613" s="16"/>
      <c r="F1613" s="16"/>
      <c r="G1613" s="205"/>
      <c r="H1613" s="205"/>
      <c r="I1613" s="16"/>
      <c r="J1613" s="16"/>
      <c r="K1613" s="205"/>
      <c r="L1613" s="16"/>
      <c r="M1613" s="16"/>
      <c r="N1613" s="16"/>
      <c r="O1613" s="16"/>
      <c r="P1613" s="16"/>
      <c r="Q1613" s="16"/>
      <c r="R1613" s="16"/>
      <c r="S1613" s="16"/>
      <c r="T1613" s="16"/>
      <c r="U1613" s="16"/>
      <c r="V1613" s="16"/>
      <c r="W1613" s="16"/>
      <c r="X1613" s="16"/>
      <c r="Y1613" s="16"/>
      <c r="Z1613" s="16"/>
      <c r="AA1613" s="16"/>
    </row>
    <row r="1614" spans="1:27" ht="24" customHeight="1">
      <c r="A1614" s="16"/>
      <c r="B1614" s="16"/>
      <c r="C1614" s="16"/>
      <c r="D1614" s="16"/>
      <c r="E1614" s="16"/>
      <c r="F1614" s="16"/>
      <c r="G1614" s="205"/>
      <c r="H1614" s="205"/>
      <c r="I1614" s="16"/>
      <c r="J1614" s="16"/>
      <c r="K1614" s="205"/>
      <c r="L1614" s="16"/>
      <c r="M1614" s="16"/>
      <c r="N1614" s="16"/>
      <c r="O1614" s="16"/>
      <c r="P1614" s="16"/>
      <c r="Q1614" s="16"/>
      <c r="R1614" s="16"/>
      <c r="S1614" s="16"/>
      <c r="T1614" s="16"/>
      <c r="U1614" s="16"/>
      <c r="V1614" s="16"/>
      <c r="W1614" s="16"/>
      <c r="X1614" s="16"/>
      <c r="Y1614" s="16"/>
      <c r="Z1614" s="16"/>
      <c r="AA1614" s="16"/>
    </row>
    <row r="1615" spans="1:27" ht="24" customHeight="1">
      <c r="A1615" s="16"/>
      <c r="B1615" s="16"/>
      <c r="C1615" s="16"/>
      <c r="D1615" s="16"/>
      <c r="E1615" s="16"/>
      <c r="F1615" s="16"/>
      <c r="G1615" s="205"/>
      <c r="H1615" s="205"/>
      <c r="I1615" s="16"/>
      <c r="J1615" s="16"/>
      <c r="K1615" s="205"/>
      <c r="L1615" s="16"/>
      <c r="M1615" s="16"/>
      <c r="N1615" s="16"/>
      <c r="O1615" s="16"/>
      <c r="P1615" s="16"/>
      <c r="Q1615" s="16"/>
      <c r="R1615" s="16"/>
      <c r="S1615" s="16"/>
      <c r="T1615" s="16"/>
      <c r="U1615" s="16"/>
      <c r="V1615" s="16"/>
      <c r="W1615" s="16"/>
      <c r="X1615" s="16"/>
      <c r="Y1615" s="16"/>
      <c r="Z1615" s="16"/>
      <c r="AA1615" s="16"/>
    </row>
    <row r="1616" spans="1:27" ht="24" customHeight="1">
      <c r="A1616" s="16"/>
      <c r="B1616" s="16"/>
      <c r="C1616" s="16"/>
      <c r="D1616" s="16"/>
      <c r="E1616" s="16"/>
      <c r="F1616" s="16"/>
      <c r="G1616" s="205"/>
      <c r="H1616" s="205"/>
      <c r="I1616" s="16"/>
      <c r="J1616" s="16"/>
      <c r="K1616" s="205"/>
      <c r="L1616" s="16"/>
      <c r="M1616" s="16"/>
      <c r="N1616" s="16"/>
      <c r="O1616" s="16"/>
      <c r="P1616" s="16"/>
      <c r="Q1616" s="16"/>
      <c r="R1616" s="16"/>
      <c r="S1616" s="16"/>
      <c r="T1616" s="16"/>
      <c r="U1616" s="16"/>
      <c r="V1616" s="16"/>
      <c r="W1616" s="16"/>
      <c r="X1616" s="16"/>
      <c r="Y1616" s="16"/>
      <c r="Z1616" s="16"/>
      <c r="AA1616" s="16"/>
    </row>
    <row r="1617" spans="1:27" ht="24" customHeight="1">
      <c r="A1617" s="16"/>
      <c r="B1617" s="16"/>
      <c r="C1617" s="16"/>
      <c r="D1617" s="16"/>
      <c r="E1617" s="16"/>
      <c r="F1617" s="16"/>
      <c r="G1617" s="205"/>
      <c r="H1617" s="205"/>
      <c r="I1617" s="16"/>
      <c r="J1617" s="16"/>
      <c r="K1617" s="205"/>
      <c r="L1617" s="16"/>
      <c r="M1617" s="16"/>
      <c r="N1617" s="16"/>
      <c r="O1617" s="16"/>
      <c r="P1617" s="16"/>
      <c r="Q1617" s="16"/>
      <c r="R1617" s="16"/>
      <c r="S1617" s="16"/>
      <c r="T1617" s="16"/>
      <c r="U1617" s="16"/>
      <c r="V1617" s="16"/>
      <c r="W1617" s="16"/>
      <c r="X1617" s="16"/>
      <c r="Y1617" s="16"/>
      <c r="Z1617" s="16"/>
      <c r="AA1617" s="16"/>
    </row>
    <row r="1618" spans="1:27" ht="24" customHeight="1">
      <c r="A1618" s="16"/>
      <c r="B1618" s="16"/>
      <c r="C1618" s="16"/>
      <c r="D1618" s="16"/>
      <c r="E1618" s="16"/>
      <c r="F1618" s="16"/>
      <c r="G1618" s="205"/>
      <c r="H1618" s="205"/>
      <c r="I1618" s="16"/>
      <c r="J1618" s="16"/>
      <c r="K1618" s="205"/>
      <c r="L1618" s="16"/>
      <c r="M1618" s="16"/>
      <c r="N1618" s="16"/>
      <c r="O1618" s="16"/>
      <c r="P1618" s="16"/>
      <c r="Q1618" s="16"/>
      <c r="R1618" s="16"/>
      <c r="S1618" s="16"/>
      <c r="T1618" s="16"/>
      <c r="U1618" s="16"/>
      <c r="V1618" s="16"/>
      <c r="W1618" s="16"/>
      <c r="X1618" s="16"/>
      <c r="Y1618" s="16"/>
      <c r="Z1618" s="16"/>
      <c r="AA1618" s="16"/>
    </row>
    <row r="1619" spans="1:27" ht="24" customHeight="1">
      <c r="A1619" s="16"/>
      <c r="B1619" s="16"/>
      <c r="C1619" s="16"/>
      <c r="D1619" s="16"/>
      <c r="E1619" s="16"/>
      <c r="F1619" s="16"/>
      <c r="G1619" s="205"/>
      <c r="H1619" s="205"/>
      <c r="I1619" s="16"/>
      <c r="J1619" s="16"/>
      <c r="K1619" s="205"/>
      <c r="L1619" s="16"/>
      <c r="M1619" s="16"/>
      <c r="N1619" s="16"/>
      <c r="O1619" s="16"/>
      <c r="P1619" s="16"/>
      <c r="Q1619" s="16"/>
      <c r="R1619" s="16"/>
      <c r="S1619" s="16"/>
      <c r="T1619" s="16"/>
      <c r="U1619" s="16"/>
      <c r="V1619" s="16"/>
      <c r="W1619" s="16"/>
      <c r="X1619" s="16"/>
      <c r="Y1619" s="16"/>
      <c r="Z1619" s="16"/>
      <c r="AA1619" s="16"/>
    </row>
    <row r="1620" spans="1:27" ht="24" customHeight="1">
      <c r="A1620" s="16"/>
      <c r="B1620" s="16"/>
      <c r="C1620" s="16"/>
      <c r="D1620" s="16"/>
      <c r="E1620" s="16"/>
      <c r="F1620" s="16"/>
      <c r="G1620" s="205"/>
      <c r="H1620" s="205"/>
      <c r="I1620" s="16"/>
      <c r="J1620" s="16"/>
      <c r="K1620" s="205"/>
      <c r="L1620" s="16"/>
      <c r="M1620" s="16"/>
      <c r="N1620" s="16"/>
      <c r="O1620" s="16"/>
      <c r="P1620" s="16"/>
      <c r="Q1620" s="16"/>
      <c r="R1620" s="16"/>
      <c r="S1620" s="16"/>
      <c r="T1620" s="16"/>
      <c r="U1620" s="16"/>
      <c r="V1620" s="16"/>
      <c r="W1620" s="16"/>
      <c r="X1620" s="16"/>
      <c r="Y1620" s="16"/>
      <c r="Z1620" s="16"/>
      <c r="AA1620" s="16"/>
    </row>
    <row r="1621" spans="1:27" ht="24" customHeight="1">
      <c r="A1621" s="16"/>
      <c r="B1621" s="16"/>
      <c r="C1621" s="16"/>
      <c r="D1621" s="16"/>
      <c r="E1621" s="16"/>
      <c r="F1621" s="16"/>
      <c r="G1621" s="205"/>
      <c r="H1621" s="205"/>
      <c r="I1621" s="16"/>
      <c r="J1621" s="16"/>
      <c r="K1621" s="205"/>
      <c r="L1621" s="16"/>
      <c r="M1621" s="16"/>
      <c r="N1621" s="16"/>
      <c r="O1621" s="16"/>
      <c r="P1621" s="16"/>
      <c r="Q1621" s="16"/>
      <c r="R1621" s="16"/>
      <c r="S1621" s="16"/>
      <c r="T1621" s="16"/>
      <c r="U1621" s="16"/>
      <c r="V1621" s="16"/>
      <c r="W1621" s="16"/>
      <c r="X1621" s="16"/>
      <c r="Y1621" s="16"/>
      <c r="Z1621" s="16"/>
      <c r="AA1621" s="16"/>
    </row>
    <row r="1622" spans="1:27" ht="24" customHeight="1">
      <c r="A1622" s="16"/>
      <c r="B1622" s="16"/>
      <c r="C1622" s="16"/>
      <c r="D1622" s="16"/>
      <c r="E1622" s="16"/>
      <c r="F1622" s="16"/>
      <c r="G1622" s="205"/>
      <c r="H1622" s="205"/>
      <c r="I1622" s="16"/>
      <c r="J1622" s="16"/>
      <c r="K1622" s="205"/>
      <c r="L1622" s="16"/>
      <c r="M1622" s="16"/>
      <c r="N1622" s="16"/>
      <c r="O1622" s="16"/>
      <c r="P1622" s="16"/>
      <c r="Q1622" s="16"/>
      <c r="R1622" s="16"/>
      <c r="S1622" s="16"/>
      <c r="T1622" s="16"/>
      <c r="U1622" s="16"/>
      <c r="V1622" s="16"/>
      <c r="W1622" s="16"/>
      <c r="X1622" s="16"/>
      <c r="Y1622" s="16"/>
      <c r="Z1622" s="16"/>
      <c r="AA1622" s="16"/>
    </row>
    <row r="1623" spans="1:27" ht="24" customHeight="1">
      <c r="A1623" s="16"/>
      <c r="B1623" s="16"/>
      <c r="C1623" s="16"/>
      <c r="D1623" s="16"/>
      <c r="E1623" s="16"/>
      <c r="F1623" s="16"/>
      <c r="G1623" s="205"/>
      <c r="H1623" s="205"/>
      <c r="I1623" s="16"/>
      <c r="J1623" s="16"/>
      <c r="K1623" s="205"/>
      <c r="L1623" s="16"/>
      <c r="M1623" s="16"/>
      <c r="N1623" s="16"/>
      <c r="O1623" s="16"/>
      <c r="P1623" s="16"/>
      <c r="Q1623" s="16"/>
      <c r="R1623" s="16"/>
      <c r="S1623" s="16"/>
      <c r="T1623" s="16"/>
      <c r="U1623" s="16"/>
      <c r="V1623" s="16"/>
      <c r="W1623" s="16"/>
      <c r="X1623" s="16"/>
      <c r="Y1623" s="16"/>
      <c r="Z1623" s="16"/>
      <c r="AA1623" s="16"/>
    </row>
    <row r="1624" spans="1:27" ht="24" customHeight="1">
      <c r="A1624" s="16"/>
      <c r="B1624" s="16"/>
      <c r="C1624" s="16"/>
      <c r="D1624" s="16"/>
      <c r="E1624" s="16"/>
      <c r="F1624" s="16"/>
      <c r="G1624" s="205"/>
      <c r="H1624" s="205"/>
      <c r="I1624" s="16"/>
      <c r="J1624" s="16"/>
      <c r="K1624" s="205"/>
      <c r="L1624" s="16"/>
      <c r="M1624" s="16"/>
      <c r="N1624" s="16"/>
      <c r="O1624" s="16"/>
      <c r="P1624" s="16"/>
      <c r="Q1624" s="16"/>
      <c r="R1624" s="16"/>
      <c r="S1624" s="16"/>
      <c r="T1624" s="16"/>
      <c r="U1624" s="16"/>
      <c r="V1624" s="16"/>
      <c r="W1624" s="16"/>
      <c r="X1624" s="16"/>
      <c r="Y1624" s="16"/>
      <c r="Z1624" s="16"/>
      <c r="AA1624" s="16"/>
    </row>
    <row r="1625" spans="1:27" ht="24" customHeight="1">
      <c r="A1625" s="16"/>
      <c r="B1625" s="16"/>
      <c r="C1625" s="16"/>
      <c r="D1625" s="16"/>
      <c r="E1625" s="16"/>
      <c r="F1625" s="16"/>
      <c r="G1625" s="205"/>
      <c r="H1625" s="205"/>
      <c r="I1625" s="16"/>
      <c r="J1625" s="16"/>
      <c r="K1625" s="205"/>
      <c r="L1625" s="16"/>
      <c r="M1625" s="16"/>
      <c r="N1625" s="16"/>
      <c r="O1625" s="16"/>
      <c r="P1625" s="16"/>
      <c r="Q1625" s="16"/>
      <c r="R1625" s="16"/>
      <c r="S1625" s="16"/>
      <c r="T1625" s="16"/>
      <c r="U1625" s="16"/>
      <c r="V1625" s="16"/>
      <c r="W1625" s="16"/>
      <c r="X1625" s="16"/>
      <c r="Y1625" s="16"/>
      <c r="Z1625" s="16"/>
      <c r="AA1625" s="16"/>
    </row>
    <row r="1626" spans="1:27" ht="24" customHeight="1">
      <c r="A1626" s="16"/>
      <c r="B1626" s="16"/>
      <c r="C1626" s="16"/>
      <c r="D1626" s="16"/>
      <c r="E1626" s="16"/>
      <c r="F1626" s="16"/>
      <c r="G1626" s="205"/>
      <c r="H1626" s="205"/>
      <c r="I1626" s="16"/>
      <c r="J1626" s="16"/>
      <c r="K1626" s="205"/>
      <c r="L1626" s="16"/>
      <c r="M1626" s="16"/>
      <c r="N1626" s="16"/>
      <c r="O1626" s="16"/>
      <c r="P1626" s="16"/>
      <c r="Q1626" s="16"/>
      <c r="R1626" s="16"/>
      <c r="S1626" s="16"/>
      <c r="T1626" s="16"/>
      <c r="U1626" s="16"/>
      <c r="V1626" s="16"/>
      <c r="W1626" s="16"/>
      <c r="X1626" s="16"/>
      <c r="Y1626" s="16"/>
      <c r="Z1626" s="16"/>
      <c r="AA1626" s="16"/>
    </row>
    <row r="1627" spans="1:27" ht="24" customHeight="1">
      <c r="A1627" s="16"/>
      <c r="B1627" s="16"/>
      <c r="C1627" s="16"/>
      <c r="D1627" s="16"/>
      <c r="E1627" s="16"/>
      <c r="F1627" s="16"/>
      <c r="G1627" s="205"/>
      <c r="H1627" s="205"/>
      <c r="I1627" s="16"/>
      <c r="J1627" s="16"/>
      <c r="K1627" s="205"/>
      <c r="L1627" s="16"/>
      <c r="M1627" s="16"/>
      <c r="N1627" s="16"/>
      <c r="O1627" s="16"/>
      <c r="P1627" s="16"/>
      <c r="Q1627" s="16"/>
      <c r="R1627" s="16"/>
      <c r="S1627" s="16"/>
      <c r="T1627" s="16"/>
      <c r="U1627" s="16"/>
      <c r="V1627" s="16"/>
      <c r="W1627" s="16"/>
      <c r="X1627" s="16"/>
      <c r="Y1627" s="16"/>
      <c r="Z1627" s="16"/>
      <c r="AA1627" s="16"/>
    </row>
    <row r="1628" spans="1:27" ht="24" customHeight="1">
      <c r="A1628" s="16"/>
      <c r="B1628" s="16"/>
      <c r="C1628" s="16"/>
      <c r="D1628" s="16"/>
      <c r="E1628" s="16"/>
      <c r="F1628" s="16"/>
      <c r="G1628" s="205"/>
      <c r="H1628" s="205"/>
      <c r="I1628" s="16"/>
      <c r="J1628" s="16"/>
      <c r="K1628" s="205"/>
      <c r="L1628" s="16"/>
      <c r="M1628" s="16"/>
      <c r="N1628" s="16"/>
      <c r="O1628" s="16"/>
      <c r="P1628" s="16"/>
      <c r="Q1628" s="16"/>
      <c r="R1628" s="16"/>
      <c r="S1628" s="16"/>
      <c r="T1628" s="16"/>
      <c r="U1628" s="16"/>
      <c r="V1628" s="16"/>
      <c r="W1628" s="16"/>
      <c r="X1628" s="16"/>
      <c r="Y1628" s="16"/>
      <c r="Z1628" s="16"/>
      <c r="AA1628" s="16"/>
    </row>
    <row r="1629" spans="1:27" ht="24" customHeight="1">
      <c r="A1629" s="16"/>
      <c r="B1629" s="16"/>
      <c r="C1629" s="16"/>
      <c r="D1629" s="16"/>
      <c r="E1629" s="16"/>
      <c r="F1629" s="16"/>
      <c r="G1629" s="205"/>
      <c r="H1629" s="205"/>
      <c r="I1629" s="16"/>
      <c r="J1629" s="16"/>
      <c r="K1629" s="205"/>
      <c r="L1629" s="16"/>
      <c r="M1629" s="16"/>
      <c r="N1629" s="16"/>
      <c r="O1629" s="16"/>
      <c r="P1629" s="16"/>
      <c r="Q1629" s="16"/>
      <c r="R1629" s="16"/>
      <c r="S1629" s="16"/>
      <c r="T1629" s="16"/>
      <c r="U1629" s="16"/>
      <c r="V1629" s="16"/>
      <c r="W1629" s="16"/>
      <c r="X1629" s="16"/>
      <c r="Y1629" s="16"/>
      <c r="Z1629" s="16"/>
      <c r="AA1629" s="16"/>
    </row>
    <row r="1630" spans="1:27" ht="24" customHeight="1">
      <c r="A1630" s="16"/>
      <c r="B1630" s="16"/>
      <c r="C1630" s="16"/>
      <c r="D1630" s="16"/>
      <c r="E1630" s="16"/>
      <c r="F1630" s="16"/>
      <c r="G1630" s="205"/>
      <c r="H1630" s="205"/>
      <c r="I1630" s="16"/>
      <c r="J1630" s="16"/>
      <c r="K1630" s="205"/>
      <c r="L1630" s="16"/>
      <c r="M1630" s="16"/>
      <c r="N1630" s="16"/>
      <c r="O1630" s="16"/>
      <c r="P1630" s="16"/>
      <c r="Q1630" s="16"/>
      <c r="R1630" s="16"/>
      <c r="S1630" s="16"/>
      <c r="T1630" s="16"/>
      <c r="U1630" s="16"/>
      <c r="V1630" s="16"/>
      <c r="W1630" s="16"/>
      <c r="X1630" s="16"/>
      <c r="Y1630" s="16"/>
      <c r="Z1630" s="16"/>
      <c r="AA1630" s="16"/>
    </row>
    <row r="1631" spans="1:27" ht="24" customHeight="1">
      <c r="A1631" s="16"/>
      <c r="B1631" s="16"/>
      <c r="C1631" s="16"/>
      <c r="D1631" s="16"/>
      <c r="E1631" s="16"/>
      <c r="F1631" s="16"/>
      <c r="G1631" s="205"/>
      <c r="H1631" s="205"/>
      <c r="I1631" s="16"/>
      <c r="J1631" s="16"/>
      <c r="K1631" s="205"/>
      <c r="L1631" s="16"/>
      <c r="M1631" s="16"/>
      <c r="N1631" s="16"/>
      <c r="O1631" s="16"/>
      <c r="P1631" s="16"/>
      <c r="Q1631" s="16"/>
      <c r="R1631" s="16"/>
      <c r="S1631" s="16"/>
      <c r="T1631" s="16"/>
      <c r="U1631" s="16"/>
      <c r="V1631" s="16"/>
      <c r="W1631" s="16"/>
      <c r="X1631" s="16"/>
      <c r="Y1631" s="16"/>
      <c r="Z1631" s="16"/>
      <c r="AA1631" s="16"/>
    </row>
    <row r="1632" spans="1:27" ht="24" customHeight="1">
      <c r="A1632" s="16"/>
      <c r="B1632" s="16"/>
      <c r="C1632" s="16"/>
      <c r="D1632" s="16"/>
      <c r="E1632" s="16"/>
      <c r="F1632" s="16"/>
      <c r="G1632" s="205"/>
      <c r="H1632" s="205"/>
      <c r="I1632" s="16"/>
      <c r="J1632" s="16"/>
      <c r="K1632" s="205"/>
      <c r="L1632" s="16"/>
      <c r="M1632" s="16"/>
      <c r="N1632" s="16"/>
      <c r="O1632" s="16"/>
      <c r="P1632" s="16"/>
      <c r="Q1632" s="16"/>
      <c r="R1632" s="16"/>
      <c r="S1632" s="16"/>
      <c r="T1632" s="16"/>
      <c r="U1632" s="16"/>
      <c r="V1632" s="16"/>
      <c r="W1632" s="16"/>
      <c r="X1632" s="16"/>
      <c r="Y1632" s="16"/>
      <c r="Z1632" s="16"/>
      <c r="AA1632" s="16"/>
    </row>
    <row r="1633" spans="1:27" ht="24" customHeight="1">
      <c r="A1633" s="16"/>
      <c r="B1633" s="16"/>
      <c r="C1633" s="16"/>
      <c r="D1633" s="16"/>
      <c r="E1633" s="16"/>
      <c r="F1633" s="16"/>
      <c r="G1633" s="205"/>
      <c r="H1633" s="205"/>
      <c r="I1633" s="16"/>
      <c r="J1633" s="16"/>
      <c r="K1633" s="205"/>
      <c r="L1633" s="16"/>
      <c r="M1633" s="16"/>
      <c r="N1633" s="16"/>
      <c r="O1633" s="16"/>
      <c r="P1633" s="16"/>
      <c r="Q1633" s="16"/>
      <c r="R1633" s="16"/>
      <c r="S1633" s="16"/>
      <c r="T1633" s="16"/>
      <c r="U1633" s="16"/>
      <c r="V1633" s="16"/>
      <c r="W1633" s="16"/>
      <c r="X1633" s="16"/>
      <c r="Y1633" s="16"/>
      <c r="Z1633" s="16"/>
      <c r="AA1633" s="16"/>
    </row>
    <row r="1634" spans="1:27" ht="24" customHeight="1">
      <c r="A1634" s="16"/>
      <c r="B1634" s="16"/>
      <c r="C1634" s="16"/>
      <c r="D1634" s="16"/>
      <c r="E1634" s="16"/>
      <c r="F1634" s="16"/>
      <c r="G1634" s="205"/>
      <c r="H1634" s="205"/>
      <c r="I1634" s="16"/>
      <c r="J1634" s="16"/>
      <c r="K1634" s="205"/>
      <c r="L1634" s="16"/>
      <c r="M1634" s="16"/>
      <c r="N1634" s="16"/>
      <c r="O1634" s="16"/>
      <c r="P1634" s="16"/>
      <c r="Q1634" s="16"/>
      <c r="R1634" s="16"/>
      <c r="S1634" s="16"/>
      <c r="T1634" s="16"/>
      <c r="U1634" s="16"/>
      <c r="V1634" s="16"/>
      <c r="W1634" s="16"/>
      <c r="X1634" s="16"/>
      <c r="Y1634" s="16"/>
      <c r="Z1634" s="16"/>
      <c r="AA1634" s="16"/>
    </row>
    <row r="1635" spans="1:27" ht="24" customHeight="1">
      <c r="A1635" s="16"/>
      <c r="B1635" s="16"/>
      <c r="C1635" s="16"/>
      <c r="D1635" s="16"/>
      <c r="E1635" s="16"/>
      <c r="F1635" s="16"/>
      <c r="G1635" s="205"/>
      <c r="H1635" s="205"/>
      <c r="I1635" s="16"/>
      <c r="J1635" s="16"/>
      <c r="K1635" s="205"/>
      <c r="L1635" s="16"/>
      <c r="M1635" s="16"/>
      <c r="N1635" s="16"/>
      <c r="O1635" s="16"/>
      <c r="P1635" s="16"/>
      <c r="Q1635" s="16"/>
      <c r="R1635" s="16"/>
      <c r="S1635" s="16"/>
      <c r="T1635" s="16"/>
      <c r="U1635" s="16"/>
      <c r="V1635" s="16"/>
      <c r="W1635" s="16"/>
      <c r="X1635" s="16"/>
      <c r="Y1635" s="16"/>
      <c r="Z1635" s="16"/>
      <c r="AA1635" s="16"/>
    </row>
    <row r="1636" spans="1:27" ht="24" customHeight="1">
      <c r="A1636" s="16"/>
      <c r="B1636" s="16"/>
      <c r="C1636" s="16"/>
      <c r="D1636" s="16"/>
      <c r="E1636" s="16"/>
      <c r="F1636" s="16"/>
      <c r="G1636" s="205"/>
      <c r="H1636" s="205"/>
      <c r="I1636" s="16"/>
      <c r="J1636" s="16"/>
      <c r="K1636" s="205"/>
      <c r="L1636" s="16"/>
      <c r="M1636" s="16"/>
      <c r="N1636" s="16"/>
      <c r="O1636" s="16"/>
      <c r="P1636" s="16"/>
      <c r="Q1636" s="16"/>
      <c r="R1636" s="16"/>
      <c r="S1636" s="16"/>
      <c r="T1636" s="16"/>
      <c r="U1636" s="16"/>
      <c r="V1636" s="16"/>
      <c r="W1636" s="16"/>
      <c r="X1636" s="16"/>
      <c r="Y1636" s="16"/>
      <c r="Z1636" s="16"/>
      <c r="AA1636" s="16"/>
    </row>
    <row r="1637" spans="1:27" ht="24" customHeight="1">
      <c r="A1637" s="16"/>
      <c r="B1637" s="16"/>
      <c r="C1637" s="16"/>
      <c r="D1637" s="16"/>
      <c r="E1637" s="16"/>
      <c r="F1637" s="16"/>
      <c r="G1637" s="205"/>
      <c r="H1637" s="205"/>
      <c r="I1637" s="16"/>
      <c r="J1637" s="16"/>
      <c r="K1637" s="205"/>
      <c r="L1637" s="16"/>
      <c r="M1637" s="16"/>
      <c r="N1637" s="16"/>
      <c r="O1637" s="16"/>
      <c r="P1637" s="16"/>
      <c r="Q1637" s="16"/>
      <c r="R1637" s="16"/>
      <c r="S1637" s="16"/>
      <c r="T1637" s="16"/>
      <c r="U1637" s="16"/>
      <c r="V1637" s="16"/>
      <c r="W1637" s="16"/>
      <c r="X1637" s="16"/>
      <c r="Y1637" s="16"/>
      <c r="Z1637" s="16"/>
      <c r="AA1637" s="16"/>
    </row>
    <row r="1638" spans="1:27" ht="24" customHeight="1">
      <c r="A1638" s="16"/>
      <c r="B1638" s="16"/>
      <c r="C1638" s="16"/>
      <c r="D1638" s="16"/>
      <c r="E1638" s="16"/>
      <c r="F1638" s="16"/>
      <c r="G1638" s="205"/>
      <c r="H1638" s="205"/>
      <c r="I1638" s="16"/>
      <c r="J1638" s="16"/>
      <c r="K1638" s="205"/>
      <c r="L1638" s="16"/>
      <c r="M1638" s="16"/>
      <c r="N1638" s="16"/>
      <c r="O1638" s="16"/>
      <c r="P1638" s="16"/>
      <c r="Q1638" s="16"/>
      <c r="R1638" s="16"/>
      <c r="S1638" s="16"/>
      <c r="T1638" s="16"/>
      <c r="U1638" s="16"/>
      <c r="V1638" s="16"/>
      <c r="W1638" s="16"/>
      <c r="X1638" s="16"/>
      <c r="Y1638" s="16"/>
      <c r="Z1638" s="16"/>
      <c r="AA1638" s="16"/>
    </row>
    <row r="1639" spans="1:27" ht="24" customHeight="1">
      <c r="A1639" s="16"/>
      <c r="B1639" s="16"/>
      <c r="C1639" s="16"/>
      <c r="D1639" s="16"/>
      <c r="E1639" s="16"/>
      <c r="F1639" s="16"/>
      <c r="G1639" s="205"/>
      <c r="H1639" s="205"/>
      <c r="I1639" s="16"/>
      <c r="J1639" s="16"/>
      <c r="K1639" s="205"/>
      <c r="L1639" s="16"/>
      <c r="M1639" s="16"/>
      <c r="N1639" s="16"/>
      <c r="O1639" s="16"/>
      <c r="P1639" s="16"/>
      <c r="Q1639" s="16"/>
      <c r="R1639" s="16"/>
      <c r="S1639" s="16"/>
      <c r="T1639" s="16"/>
      <c r="U1639" s="16"/>
      <c r="V1639" s="16"/>
      <c r="W1639" s="16"/>
      <c r="X1639" s="16"/>
      <c r="Y1639" s="16"/>
      <c r="Z1639" s="16"/>
      <c r="AA1639" s="16"/>
    </row>
    <row r="1640" spans="1:27" ht="24" customHeight="1">
      <c r="A1640" s="16"/>
      <c r="B1640" s="16"/>
      <c r="C1640" s="16"/>
      <c r="D1640" s="16"/>
      <c r="E1640" s="16"/>
      <c r="F1640" s="16"/>
      <c r="G1640" s="205"/>
      <c r="H1640" s="205"/>
      <c r="I1640" s="16"/>
      <c r="J1640" s="16"/>
      <c r="K1640" s="205"/>
      <c r="L1640" s="16"/>
      <c r="M1640" s="16"/>
      <c r="N1640" s="16"/>
      <c r="O1640" s="16"/>
      <c r="P1640" s="16"/>
      <c r="Q1640" s="16"/>
      <c r="R1640" s="16"/>
      <c r="S1640" s="16"/>
      <c r="T1640" s="16"/>
      <c r="U1640" s="16"/>
      <c r="V1640" s="16"/>
      <c r="W1640" s="16"/>
      <c r="X1640" s="16"/>
      <c r="Y1640" s="16"/>
      <c r="Z1640" s="16"/>
      <c r="AA1640" s="16"/>
    </row>
    <row r="1641" spans="1:27" ht="24" customHeight="1">
      <c r="A1641" s="16"/>
      <c r="B1641" s="16"/>
      <c r="C1641" s="16"/>
      <c r="D1641" s="16"/>
      <c r="E1641" s="16"/>
      <c r="F1641" s="16"/>
      <c r="G1641" s="205"/>
      <c r="H1641" s="205"/>
      <c r="I1641" s="16"/>
      <c r="J1641" s="16"/>
      <c r="K1641" s="205"/>
      <c r="L1641" s="16"/>
      <c r="M1641" s="16"/>
      <c r="N1641" s="16"/>
      <c r="O1641" s="16"/>
      <c r="P1641" s="16"/>
      <c r="Q1641" s="16"/>
      <c r="R1641" s="16"/>
      <c r="S1641" s="16"/>
      <c r="T1641" s="16"/>
      <c r="U1641" s="16"/>
      <c r="V1641" s="16"/>
      <c r="W1641" s="16"/>
      <c r="X1641" s="16"/>
      <c r="Y1641" s="16"/>
      <c r="Z1641" s="16"/>
      <c r="AA1641" s="16"/>
    </row>
    <row r="1642" spans="1:27" ht="24" customHeight="1">
      <c r="A1642" s="16"/>
      <c r="B1642" s="16"/>
      <c r="C1642" s="16"/>
      <c r="D1642" s="16"/>
      <c r="E1642" s="16"/>
      <c r="F1642" s="16"/>
      <c r="G1642" s="205"/>
      <c r="H1642" s="205"/>
      <c r="I1642" s="16"/>
      <c r="J1642" s="16"/>
      <c r="K1642" s="205"/>
      <c r="L1642" s="16"/>
      <c r="M1642" s="16"/>
      <c r="N1642" s="16"/>
      <c r="O1642" s="16"/>
      <c r="P1642" s="16"/>
      <c r="Q1642" s="16"/>
      <c r="R1642" s="16"/>
      <c r="S1642" s="16"/>
      <c r="T1642" s="16"/>
      <c r="U1642" s="16"/>
      <c r="V1642" s="16"/>
      <c r="W1642" s="16"/>
      <c r="X1642" s="16"/>
      <c r="Y1642" s="16"/>
      <c r="Z1642" s="16"/>
      <c r="AA1642" s="16"/>
    </row>
    <row r="1643" spans="1:27" ht="24" customHeight="1">
      <c r="A1643" s="16"/>
      <c r="B1643" s="16"/>
      <c r="C1643" s="16"/>
      <c r="D1643" s="16"/>
      <c r="E1643" s="16"/>
      <c r="F1643" s="16"/>
      <c r="G1643" s="205"/>
      <c r="H1643" s="205"/>
      <c r="I1643" s="16"/>
      <c r="J1643" s="16"/>
      <c r="K1643" s="205"/>
      <c r="L1643" s="16"/>
      <c r="M1643" s="16"/>
      <c r="N1643" s="16"/>
      <c r="O1643" s="16"/>
      <c r="P1643" s="16"/>
      <c r="Q1643" s="16"/>
      <c r="R1643" s="16"/>
      <c r="S1643" s="16"/>
      <c r="T1643" s="16"/>
      <c r="U1643" s="16"/>
      <c r="V1643" s="16"/>
      <c r="W1643" s="16"/>
      <c r="X1643" s="16"/>
      <c r="Y1643" s="16"/>
      <c r="Z1643" s="16"/>
      <c r="AA1643" s="16"/>
    </row>
    <row r="1644" spans="1:27" ht="24" customHeight="1">
      <c r="A1644" s="16"/>
      <c r="B1644" s="16"/>
      <c r="C1644" s="16"/>
      <c r="D1644" s="16"/>
      <c r="E1644" s="16"/>
      <c r="F1644" s="16"/>
      <c r="G1644" s="205"/>
      <c r="H1644" s="205"/>
      <c r="I1644" s="16"/>
      <c r="J1644" s="16"/>
      <c r="K1644" s="205"/>
      <c r="L1644" s="16"/>
      <c r="M1644" s="16"/>
      <c r="N1644" s="16"/>
      <c r="O1644" s="16"/>
      <c r="P1644" s="16"/>
      <c r="Q1644" s="16"/>
      <c r="R1644" s="16"/>
      <c r="S1644" s="16"/>
      <c r="T1644" s="16"/>
      <c r="U1644" s="16"/>
      <c r="V1644" s="16"/>
      <c r="W1644" s="16"/>
      <c r="X1644" s="16"/>
      <c r="Y1644" s="16"/>
      <c r="Z1644" s="16"/>
      <c r="AA1644" s="16"/>
    </row>
    <row r="1645" spans="1:27" ht="24" customHeight="1">
      <c r="A1645" s="16"/>
      <c r="B1645" s="16"/>
      <c r="C1645" s="16"/>
      <c r="D1645" s="16"/>
      <c r="E1645" s="16"/>
      <c r="F1645" s="16"/>
      <c r="G1645" s="205"/>
      <c r="H1645" s="205"/>
      <c r="I1645" s="16"/>
      <c r="J1645" s="16"/>
      <c r="K1645" s="205"/>
      <c r="L1645" s="16"/>
      <c r="M1645" s="16"/>
      <c r="N1645" s="16"/>
      <c r="O1645" s="16"/>
      <c r="P1645" s="16"/>
      <c r="Q1645" s="16"/>
      <c r="R1645" s="16"/>
      <c r="S1645" s="16"/>
      <c r="T1645" s="16"/>
      <c r="U1645" s="16"/>
      <c r="V1645" s="16"/>
      <c r="W1645" s="16"/>
      <c r="X1645" s="16"/>
      <c r="Y1645" s="16"/>
      <c r="Z1645" s="16"/>
      <c r="AA1645" s="16"/>
    </row>
    <row r="1646" spans="1:27" ht="24" customHeight="1">
      <c r="A1646" s="16"/>
      <c r="B1646" s="16"/>
      <c r="C1646" s="16"/>
      <c r="D1646" s="16"/>
      <c r="E1646" s="16"/>
      <c r="F1646" s="16"/>
      <c r="G1646" s="205"/>
      <c r="H1646" s="205"/>
      <c r="I1646" s="16"/>
      <c r="J1646" s="16"/>
      <c r="K1646" s="205"/>
      <c r="L1646" s="16"/>
      <c r="M1646" s="16"/>
      <c r="N1646" s="16"/>
      <c r="O1646" s="16"/>
      <c r="P1646" s="16"/>
      <c r="Q1646" s="16"/>
      <c r="R1646" s="16"/>
      <c r="S1646" s="16"/>
      <c r="T1646" s="16"/>
      <c r="U1646" s="16"/>
      <c r="V1646" s="16"/>
      <c r="W1646" s="16"/>
      <c r="X1646" s="16"/>
      <c r="Y1646" s="16"/>
      <c r="Z1646" s="16"/>
      <c r="AA1646" s="16"/>
    </row>
    <row r="1647" spans="1:27" ht="24" customHeight="1">
      <c r="A1647" s="16"/>
      <c r="B1647" s="16"/>
      <c r="C1647" s="16"/>
      <c r="D1647" s="16"/>
      <c r="E1647" s="16"/>
      <c r="F1647" s="16"/>
      <c r="G1647" s="205"/>
      <c r="H1647" s="205"/>
      <c r="I1647" s="16"/>
      <c r="J1647" s="16"/>
      <c r="K1647" s="205"/>
      <c r="L1647" s="16"/>
      <c r="M1647" s="16"/>
      <c r="N1647" s="16"/>
      <c r="O1647" s="16"/>
      <c r="P1647" s="16"/>
      <c r="Q1647" s="16"/>
      <c r="R1647" s="16"/>
      <c r="S1647" s="16"/>
      <c r="T1647" s="16"/>
      <c r="U1647" s="16"/>
      <c r="V1647" s="16"/>
      <c r="W1647" s="16"/>
      <c r="X1647" s="16"/>
      <c r="Y1647" s="16"/>
      <c r="Z1647" s="16"/>
      <c r="AA1647" s="16"/>
    </row>
    <row r="1648" spans="1:27" ht="24" customHeight="1">
      <c r="A1648" s="16"/>
      <c r="B1648" s="16"/>
      <c r="C1648" s="16"/>
      <c r="D1648" s="16"/>
      <c r="E1648" s="16"/>
      <c r="F1648" s="16"/>
      <c r="G1648" s="205"/>
      <c r="H1648" s="205"/>
      <c r="I1648" s="16"/>
      <c r="J1648" s="16"/>
      <c r="K1648" s="205"/>
      <c r="L1648" s="16"/>
      <c r="M1648" s="16"/>
      <c r="N1648" s="16"/>
      <c r="O1648" s="16"/>
      <c r="P1648" s="16"/>
      <c r="Q1648" s="16"/>
      <c r="R1648" s="16"/>
      <c r="S1648" s="16"/>
      <c r="T1648" s="16"/>
      <c r="U1648" s="16"/>
      <c r="V1648" s="16"/>
      <c r="W1648" s="16"/>
      <c r="X1648" s="16"/>
      <c r="Y1648" s="16"/>
      <c r="Z1648" s="16"/>
      <c r="AA1648" s="16"/>
    </row>
    <row r="1649" spans="1:27" ht="24" customHeight="1">
      <c r="A1649" s="16"/>
      <c r="B1649" s="16"/>
      <c r="C1649" s="16"/>
      <c r="D1649" s="16"/>
      <c r="E1649" s="16"/>
      <c r="F1649" s="16"/>
      <c r="G1649" s="205"/>
      <c r="H1649" s="205"/>
      <c r="I1649" s="16"/>
      <c r="J1649" s="16"/>
      <c r="K1649" s="205"/>
      <c r="L1649" s="16"/>
      <c r="M1649" s="16"/>
      <c r="N1649" s="16"/>
      <c r="O1649" s="16"/>
      <c r="P1649" s="16"/>
      <c r="Q1649" s="16"/>
      <c r="R1649" s="16"/>
      <c r="S1649" s="16"/>
      <c r="T1649" s="16"/>
      <c r="U1649" s="16"/>
      <c r="V1649" s="16"/>
      <c r="W1649" s="16"/>
      <c r="X1649" s="16"/>
      <c r="Y1649" s="16"/>
      <c r="Z1649" s="16"/>
      <c r="AA1649" s="16"/>
    </row>
    <row r="1650" spans="1:27" ht="24" customHeight="1">
      <c r="A1650" s="16"/>
      <c r="B1650" s="16"/>
      <c r="C1650" s="16"/>
      <c r="D1650" s="16"/>
      <c r="E1650" s="16"/>
      <c r="F1650" s="16"/>
      <c r="G1650" s="205"/>
      <c r="H1650" s="205"/>
      <c r="I1650" s="16"/>
      <c r="J1650" s="16"/>
      <c r="K1650" s="205"/>
      <c r="L1650" s="16"/>
      <c r="M1650" s="16"/>
      <c r="N1650" s="16"/>
      <c r="O1650" s="16"/>
      <c r="P1650" s="16"/>
      <c r="Q1650" s="16"/>
      <c r="R1650" s="16"/>
      <c r="S1650" s="16"/>
      <c r="T1650" s="16"/>
      <c r="U1650" s="16"/>
      <c r="V1650" s="16"/>
      <c r="W1650" s="16"/>
      <c r="X1650" s="16"/>
      <c r="Y1650" s="16"/>
      <c r="Z1650" s="16"/>
      <c r="AA1650" s="16"/>
    </row>
    <row r="1651" spans="1:27" ht="24" customHeight="1">
      <c r="A1651" s="16"/>
      <c r="B1651" s="16"/>
      <c r="C1651" s="16"/>
      <c r="D1651" s="16"/>
      <c r="E1651" s="16"/>
      <c r="F1651" s="16"/>
      <c r="G1651" s="205"/>
      <c r="H1651" s="205"/>
      <c r="I1651" s="16"/>
      <c r="J1651" s="16"/>
      <c r="K1651" s="205"/>
      <c r="L1651" s="16"/>
      <c r="M1651" s="16"/>
      <c r="N1651" s="16"/>
      <c r="O1651" s="16"/>
      <c r="P1651" s="16"/>
      <c r="Q1651" s="16"/>
      <c r="R1651" s="16"/>
      <c r="S1651" s="16"/>
      <c r="T1651" s="16"/>
      <c r="U1651" s="16"/>
      <c r="V1651" s="16"/>
      <c r="W1651" s="16"/>
      <c r="X1651" s="16"/>
      <c r="Y1651" s="16"/>
      <c r="Z1651" s="16"/>
      <c r="AA1651" s="16"/>
    </row>
    <row r="1652" spans="1:27" ht="24" customHeight="1">
      <c r="A1652" s="16"/>
      <c r="B1652" s="16"/>
      <c r="C1652" s="16"/>
      <c r="D1652" s="16"/>
      <c r="E1652" s="16"/>
      <c r="F1652" s="16"/>
      <c r="G1652" s="205"/>
      <c r="H1652" s="205"/>
      <c r="I1652" s="16"/>
      <c r="J1652" s="16"/>
      <c r="K1652" s="205"/>
      <c r="L1652" s="16"/>
      <c r="M1652" s="16"/>
      <c r="N1652" s="16"/>
      <c r="O1652" s="16"/>
      <c r="P1652" s="16"/>
      <c r="Q1652" s="16"/>
      <c r="R1652" s="16"/>
      <c r="S1652" s="16"/>
      <c r="T1652" s="16"/>
      <c r="U1652" s="16"/>
      <c r="V1652" s="16"/>
      <c r="W1652" s="16"/>
      <c r="X1652" s="16"/>
      <c r="Y1652" s="16"/>
      <c r="Z1652" s="16"/>
      <c r="AA1652" s="16"/>
    </row>
    <row r="1653" spans="1:27" ht="24" customHeight="1">
      <c r="A1653" s="16"/>
      <c r="B1653" s="16"/>
      <c r="C1653" s="16"/>
      <c r="D1653" s="16"/>
      <c r="E1653" s="16"/>
      <c r="F1653" s="16"/>
      <c r="G1653" s="205"/>
      <c r="H1653" s="205"/>
      <c r="I1653" s="16"/>
      <c r="J1653" s="16"/>
      <c r="K1653" s="205"/>
      <c r="L1653" s="16"/>
      <c r="M1653" s="16"/>
      <c r="N1653" s="16"/>
      <c r="O1653" s="16"/>
      <c r="P1653" s="16"/>
      <c r="Q1653" s="16"/>
      <c r="R1653" s="16"/>
      <c r="S1653" s="16"/>
      <c r="T1653" s="16"/>
      <c r="U1653" s="16"/>
      <c r="V1653" s="16"/>
      <c r="W1653" s="16"/>
      <c r="X1653" s="16"/>
      <c r="Y1653" s="16"/>
      <c r="Z1653" s="16"/>
      <c r="AA1653" s="16"/>
    </row>
    <row r="1654" spans="1:27" ht="24" customHeight="1">
      <c r="A1654" s="16"/>
      <c r="B1654" s="16"/>
      <c r="C1654" s="16"/>
      <c r="D1654" s="16"/>
      <c r="E1654" s="16"/>
      <c r="F1654" s="16"/>
      <c r="G1654" s="205"/>
      <c r="H1654" s="205"/>
      <c r="I1654" s="16"/>
      <c r="J1654" s="16"/>
      <c r="K1654" s="205"/>
      <c r="L1654" s="16"/>
      <c r="M1654" s="16"/>
      <c r="N1654" s="16"/>
      <c r="O1654" s="16"/>
      <c r="P1654" s="16"/>
      <c r="Q1654" s="16"/>
      <c r="R1654" s="16"/>
      <c r="S1654" s="16"/>
      <c r="T1654" s="16"/>
      <c r="U1654" s="16"/>
      <c r="V1654" s="16"/>
      <c r="W1654" s="16"/>
      <c r="X1654" s="16"/>
      <c r="Y1654" s="16"/>
      <c r="Z1654" s="16"/>
      <c r="AA1654" s="16"/>
    </row>
    <row r="1655" spans="1:27" ht="24" customHeight="1">
      <c r="A1655" s="16"/>
      <c r="B1655" s="16"/>
      <c r="C1655" s="16"/>
      <c r="D1655" s="16"/>
      <c r="E1655" s="16"/>
      <c r="F1655" s="16"/>
      <c r="G1655" s="205"/>
      <c r="H1655" s="205"/>
      <c r="I1655" s="16"/>
      <c r="J1655" s="16"/>
      <c r="K1655" s="205"/>
      <c r="L1655" s="16"/>
      <c r="M1655" s="16"/>
      <c r="N1655" s="16"/>
      <c r="O1655" s="16"/>
      <c r="P1655" s="16"/>
      <c r="Q1655" s="16"/>
      <c r="R1655" s="16"/>
      <c r="S1655" s="16"/>
      <c r="T1655" s="16"/>
      <c r="U1655" s="16"/>
      <c r="V1655" s="16"/>
      <c r="W1655" s="16"/>
      <c r="X1655" s="16"/>
      <c r="Y1655" s="16"/>
      <c r="Z1655" s="16"/>
      <c r="AA1655" s="16"/>
    </row>
    <row r="1656" spans="1:27" ht="24" customHeight="1">
      <c r="A1656" s="16"/>
      <c r="B1656" s="16"/>
      <c r="C1656" s="16"/>
      <c r="D1656" s="16"/>
      <c r="E1656" s="16"/>
      <c r="F1656" s="16"/>
      <c r="G1656" s="205"/>
      <c r="H1656" s="205"/>
      <c r="I1656" s="16"/>
      <c r="J1656" s="16"/>
      <c r="K1656" s="205"/>
      <c r="L1656" s="16"/>
      <c r="M1656" s="16"/>
      <c r="N1656" s="16"/>
      <c r="O1656" s="16"/>
      <c r="P1656" s="16"/>
      <c r="Q1656" s="16"/>
      <c r="R1656" s="16"/>
      <c r="S1656" s="16"/>
      <c r="T1656" s="16"/>
      <c r="U1656" s="16"/>
      <c r="V1656" s="16"/>
      <c r="W1656" s="16"/>
      <c r="X1656" s="16"/>
      <c r="Y1656" s="16"/>
      <c r="Z1656" s="16"/>
      <c r="AA1656" s="16"/>
    </row>
    <row r="1657" spans="1:27" ht="24" customHeight="1">
      <c r="A1657" s="16"/>
      <c r="B1657" s="16"/>
      <c r="C1657" s="16"/>
      <c r="D1657" s="16"/>
      <c r="E1657" s="16"/>
      <c r="F1657" s="16"/>
      <c r="G1657" s="205"/>
      <c r="H1657" s="205"/>
      <c r="I1657" s="16"/>
      <c r="J1657" s="16"/>
      <c r="K1657" s="205"/>
      <c r="L1657" s="16"/>
      <c r="M1657" s="16"/>
      <c r="N1657" s="16"/>
      <c r="O1657" s="16"/>
      <c r="P1657" s="16"/>
      <c r="Q1657" s="16"/>
      <c r="R1657" s="16"/>
      <c r="S1657" s="16"/>
      <c r="T1657" s="16"/>
      <c r="U1657" s="16"/>
      <c r="V1657" s="16"/>
      <c r="W1657" s="16"/>
      <c r="X1657" s="16"/>
      <c r="Y1657" s="16"/>
      <c r="Z1657" s="16"/>
      <c r="AA1657" s="16"/>
    </row>
    <row r="1658" spans="1:27" ht="24" customHeight="1">
      <c r="A1658" s="16"/>
      <c r="B1658" s="16"/>
      <c r="C1658" s="16"/>
      <c r="D1658" s="16"/>
      <c r="E1658" s="16"/>
      <c r="F1658" s="16"/>
      <c r="G1658" s="205"/>
      <c r="H1658" s="205"/>
      <c r="I1658" s="16"/>
      <c r="J1658" s="16"/>
      <c r="K1658" s="205"/>
      <c r="L1658" s="16"/>
      <c r="M1658" s="16"/>
      <c r="N1658" s="16"/>
      <c r="O1658" s="16"/>
      <c r="P1658" s="16"/>
      <c r="Q1658" s="16"/>
      <c r="R1658" s="16"/>
      <c r="S1658" s="16"/>
      <c r="T1658" s="16"/>
      <c r="U1658" s="16"/>
      <c r="V1658" s="16"/>
      <c r="W1658" s="16"/>
      <c r="X1658" s="16"/>
      <c r="Y1658" s="16"/>
      <c r="Z1658" s="16"/>
      <c r="AA1658" s="16"/>
    </row>
    <row r="1659" spans="1:27" ht="24" customHeight="1">
      <c r="A1659" s="16"/>
      <c r="B1659" s="16"/>
      <c r="C1659" s="16"/>
      <c r="D1659" s="16"/>
      <c r="E1659" s="16"/>
      <c r="F1659" s="16"/>
      <c r="G1659" s="205"/>
      <c r="H1659" s="205"/>
      <c r="I1659" s="16"/>
      <c r="J1659" s="16"/>
      <c r="K1659" s="205"/>
      <c r="L1659" s="16"/>
      <c r="M1659" s="16"/>
      <c r="N1659" s="16"/>
      <c r="O1659" s="16"/>
      <c r="P1659" s="16"/>
      <c r="Q1659" s="16"/>
      <c r="R1659" s="16"/>
      <c r="S1659" s="16"/>
      <c r="T1659" s="16"/>
      <c r="U1659" s="16"/>
      <c r="V1659" s="16"/>
      <c r="W1659" s="16"/>
      <c r="X1659" s="16"/>
      <c r="Y1659" s="16"/>
      <c r="Z1659" s="16"/>
      <c r="AA1659" s="16"/>
    </row>
    <row r="1660" spans="1:27" ht="24" customHeight="1">
      <c r="A1660" s="16"/>
      <c r="B1660" s="16"/>
      <c r="C1660" s="16"/>
      <c r="D1660" s="16"/>
      <c r="E1660" s="16"/>
      <c r="F1660" s="16"/>
      <c r="G1660" s="205"/>
      <c r="H1660" s="205"/>
      <c r="I1660" s="16"/>
      <c r="J1660" s="16"/>
      <c r="K1660" s="205"/>
      <c r="L1660" s="16"/>
      <c r="M1660" s="16"/>
      <c r="N1660" s="16"/>
      <c r="O1660" s="16"/>
      <c r="P1660" s="16"/>
      <c r="Q1660" s="16"/>
      <c r="R1660" s="16"/>
      <c r="S1660" s="16"/>
      <c r="T1660" s="16"/>
      <c r="U1660" s="16"/>
      <c r="V1660" s="16"/>
      <c r="W1660" s="16"/>
      <c r="X1660" s="16"/>
      <c r="Y1660" s="16"/>
      <c r="Z1660" s="16"/>
      <c r="AA1660" s="16"/>
    </row>
    <row r="1661" spans="1:27" ht="24" customHeight="1">
      <c r="A1661" s="16"/>
      <c r="B1661" s="16"/>
      <c r="C1661" s="16"/>
      <c r="D1661" s="16"/>
      <c r="E1661" s="16"/>
      <c r="F1661" s="16"/>
      <c r="G1661" s="205"/>
      <c r="H1661" s="205"/>
      <c r="I1661" s="16"/>
      <c r="J1661" s="16"/>
      <c r="K1661" s="205"/>
      <c r="L1661" s="16"/>
      <c r="M1661" s="16"/>
      <c r="N1661" s="16"/>
      <c r="O1661" s="16"/>
      <c r="P1661" s="16"/>
      <c r="Q1661" s="16"/>
      <c r="R1661" s="16"/>
      <c r="S1661" s="16"/>
      <c r="T1661" s="16"/>
      <c r="U1661" s="16"/>
      <c r="V1661" s="16"/>
      <c r="W1661" s="16"/>
      <c r="X1661" s="16"/>
      <c r="Y1661" s="16"/>
      <c r="Z1661" s="16"/>
      <c r="AA1661" s="16"/>
    </row>
    <row r="1662" spans="1:27" ht="24" customHeight="1">
      <c r="A1662" s="16"/>
      <c r="B1662" s="16"/>
      <c r="C1662" s="16"/>
      <c r="D1662" s="16"/>
      <c r="E1662" s="16"/>
      <c r="F1662" s="16"/>
      <c r="G1662" s="205"/>
      <c r="H1662" s="205"/>
      <c r="I1662" s="16"/>
      <c r="J1662" s="16"/>
      <c r="K1662" s="205"/>
      <c r="L1662" s="16"/>
      <c r="M1662" s="16"/>
      <c r="N1662" s="16"/>
      <c r="O1662" s="16"/>
      <c r="P1662" s="16"/>
      <c r="Q1662" s="16"/>
      <c r="R1662" s="16"/>
      <c r="S1662" s="16"/>
      <c r="T1662" s="16"/>
      <c r="U1662" s="16"/>
      <c r="V1662" s="16"/>
      <c r="W1662" s="16"/>
      <c r="X1662" s="16"/>
      <c r="Y1662" s="16"/>
      <c r="Z1662" s="16"/>
      <c r="AA1662" s="16"/>
    </row>
    <row r="1663" spans="1:27" ht="24" customHeight="1">
      <c r="A1663" s="16"/>
      <c r="B1663" s="16"/>
      <c r="C1663" s="16"/>
      <c r="D1663" s="16"/>
      <c r="E1663" s="16"/>
      <c r="F1663" s="16"/>
      <c r="G1663" s="205"/>
      <c r="H1663" s="205"/>
      <c r="I1663" s="16"/>
      <c r="J1663" s="16"/>
      <c r="K1663" s="205"/>
      <c r="L1663" s="16"/>
      <c r="M1663" s="16"/>
      <c r="N1663" s="16"/>
      <c r="O1663" s="16"/>
      <c r="P1663" s="16"/>
      <c r="Q1663" s="16"/>
      <c r="R1663" s="16"/>
      <c r="S1663" s="16"/>
      <c r="T1663" s="16"/>
      <c r="U1663" s="16"/>
      <c r="V1663" s="16"/>
      <c r="W1663" s="16"/>
      <c r="X1663" s="16"/>
      <c r="Y1663" s="16"/>
      <c r="Z1663" s="16"/>
      <c r="AA1663" s="16"/>
    </row>
    <row r="1664" spans="1:27" ht="24" customHeight="1">
      <c r="A1664" s="16"/>
      <c r="B1664" s="16"/>
      <c r="C1664" s="16"/>
      <c r="D1664" s="16"/>
      <c r="E1664" s="16"/>
      <c r="F1664" s="16"/>
      <c r="G1664" s="205"/>
      <c r="H1664" s="205"/>
      <c r="I1664" s="16"/>
      <c r="J1664" s="16"/>
      <c r="K1664" s="205"/>
      <c r="L1664" s="16"/>
      <c r="M1664" s="16"/>
      <c r="N1664" s="16"/>
      <c r="O1664" s="16"/>
      <c r="P1664" s="16"/>
      <c r="Q1664" s="16"/>
      <c r="R1664" s="16"/>
      <c r="S1664" s="16"/>
      <c r="T1664" s="16"/>
      <c r="U1664" s="16"/>
      <c r="V1664" s="16"/>
      <c r="W1664" s="16"/>
      <c r="X1664" s="16"/>
      <c r="Y1664" s="16"/>
      <c r="Z1664" s="16"/>
      <c r="AA1664" s="16"/>
    </row>
    <row r="1665" spans="1:27" ht="24" customHeight="1">
      <c r="A1665" s="16"/>
      <c r="B1665" s="16"/>
      <c r="C1665" s="16"/>
      <c r="D1665" s="16"/>
      <c r="E1665" s="16"/>
      <c r="F1665" s="16"/>
      <c r="G1665" s="205"/>
      <c r="H1665" s="205"/>
      <c r="I1665" s="16"/>
      <c r="J1665" s="16"/>
      <c r="K1665" s="205"/>
      <c r="L1665" s="16"/>
      <c r="M1665" s="16"/>
      <c r="N1665" s="16"/>
      <c r="O1665" s="16"/>
      <c r="P1665" s="16"/>
      <c r="Q1665" s="16"/>
      <c r="R1665" s="16"/>
      <c r="S1665" s="16"/>
      <c r="T1665" s="16"/>
      <c r="U1665" s="16"/>
      <c r="V1665" s="16"/>
      <c r="W1665" s="16"/>
      <c r="X1665" s="16"/>
      <c r="Y1665" s="16"/>
      <c r="Z1665" s="16"/>
      <c r="AA1665" s="16"/>
    </row>
    <row r="1666" spans="1:27" ht="24" customHeight="1">
      <c r="A1666" s="16"/>
      <c r="B1666" s="16"/>
      <c r="C1666" s="16"/>
      <c r="D1666" s="16"/>
      <c r="E1666" s="16"/>
      <c r="F1666" s="16"/>
      <c r="G1666" s="205"/>
      <c r="H1666" s="205"/>
      <c r="I1666" s="16"/>
      <c r="J1666" s="16"/>
      <c r="K1666" s="205"/>
      <c r="L1666" s="16"/>
      <c r="M1666" s="16"/>
      <c r="N1666" s="16"/>
      <c r="O1666" s="16"/>
      <c r="P1666" s="16"/>
      <c r="Q1666" s="16"/>
      <c r="R1666" s="16"/>
      <c r="S1666" s="16"/>
      <c r="T1666" s="16"/>
      <c r="U1666" s="16"/>
      <c r="V1666" s="16"/>
      <c r="W1666" s="16"/>
      <c r="X1666" s="16"/>
      <c r="Y1666" s="16"/>
      <c r="Z1666" s="16"/>
      <c r="AA1666" s="16"/>
    </row>
    <row r="1667" spans="1:27" ht="24" customHeight="1">
      <c r="A1667" s="16"/>
      <c r="B1667" s="16"/>
      <c r="C1667" s="16"/>
      <c r="D1667" s="16"/>
      <c r="E1667" s="16"/>
      <c r="F1667" s="16"/>
      <c r="G1667" s="205"/>
      <c r="H1667" s="205"/>
      <c r="I1667" s="16"/>
      <c r="J1667" s="16"/>
      <c r="K1667" s="205"/>
      <c r="L1667" s="16"/>
      <c r="M1667" s="16"/>
      <c r="N1667" s="16"/>
      <c r="O1667" s="16"/>
      <c r="P1667" s="16"/>
      <c r="Q1667" s="16"/>
      <c r="R1667" s="16"/>
      <c r="S1667" s="16"/>
      <c r="T1667" s="16"/>
      <c r="U1667" s="16"/>
      <c r="V1667" s="16"/>
      <c r="W1667" s="16"/>
      <c r="X1667" s="16"/>
      <c r="Y1667" s="16"/>
      <c r="Z1667" s="16"/>
      <c r="AA1667" s="16"/>
    </row>
    <row r="1668" spans="1:27" ht="24" customHeight="1">
      <c r="A1668" s="16"/>
      <c r="B1668" s="16"/>
      <c r="C1668" s="16"/>
      <c r="D1668" s="16"/>
      <c r="E1668" s="16"/>
      <c r="F1668" s="16"/>
      <c r="G1668" s="205"/>
      <c r="H1668" s="205"/>
      <c r="I1668" s="16"/>
      <c r="J1668" s="16"/>
      <c r="K1668" s="205"/>
      <c r="L1668" s="16"/>
      <c r="M1668" s="16"/>
      <c r="N1668" s="16"/>
      <c r="O1668" s="16"/>
      <c r="P1668" s="16"/>
      <c r="Q1668" s="16"/>
      <c r="R1668" s="16"/>
      <c r="S1668" s="16"/>
      <c r="T1668" s="16"/>
      <c r="U1668" s="16"/>
      <c r="V1668" s="16"/>
      <c r="W1668" s="16"/>
      <c r="X1668" s="16"/>
      <c r="Y1668" s="16"/>
      <c r="Z1668" s="16"/>
      <c r="AA1668" s="16"/>
    </row>
    <row r="1669" spans="1:27" ht="24" customHeight="1">
      <c r="A1669" s="16"/>
      <c r="B1669" s="16"/>
      <c r="C1669" s="16"/>
      <c r="D1669" s="16"/>
      <c r="E1669" s="16"/>
      <c r="F1669" s="16"/>
      <c r="G1669" s="205"/>
      <c r="H1669" s="205"/>
      <c r="I1669" s="16"/>
      <c r="J1669" s="16"/>
      <c r="K1669" s="205"/>
      <c r="L1669" s="16"/>
      <c r="M1669" s="16"/>
      <c r="N1669" s="16"/>
      <c r="O1669" s="16"/>
      <c r="P1669" s="16"/>
      <c r="Q1669" s="16"/>
      <c r="R1669" s="16"/>
      <c r="S1669" s="16"/>
      <c r="T1669" s="16"/>
      <c r="U1669" s="16"/>
      <c r="V1669" s="16"/>
      <c r="W1669" s="16"/>
      <c r="X1669" s="16"/>
      <c r="Y1669" s="16"/>
      <c r="Z1669" s="16"/>
      <c r="AA1669" s="16"/>
    </row>
    <row r="1670" spans="1:27" ht="24" customHeight="1">
      <c r="A1670" s="16"/>
      <c r="B1670" s="16"/>
      <c r="C1670" s="16"/>
      <c r="D1670" s="16"/>
      <c r="E1670" s="16"/>
      <c r="F1670" s="16"/>
      <c r="G1670" s="205"/>
      <c r="H1670" s="205"/>
      <c r="I1670" s="16"/>
      <c r="J1670" s="16"/>
      <c r="K1670" s="205"/>
      <c r="L1670" s="16"/>
      <c r="M1670" s="16"/>
      <c r="N1670" s="16"/>
      <c r="O1670" s="16"/>
      <c r="P1670" s="16"/>
      <c r="Q1670" s="16"/>
      <c r="R1670" s="16"/>
      <c r="S1670" s="16"/>
      <c r="T1670" s="16"/>
      <c r="U1670" s="16"/>
      <c r="V1670" s="16"/>
      <c r="W1670" s="16"/>
      <c r="X1670" s="16"/>
      <c r="Y1670" s="16"/>
      <c r="Z1670" s="16"/>
      <c r="AA1670" s="16"/>
    </row>
    <row r="1671" spans="1:27" ht="24" customHeight="1">
      <c r="A1671" s="16"/>
      <c r="B1671" s="16"/>
      <c r="C1671" s="16"/>
      <c r="D1671" s="16"/>
      <c r="E1671" s="16"/>
      <c r="F1671" s="16"/>
      <c r="G1671" s="205"/>
      <c r="H1671" s="205"/>
      <c r="I1671" s="16"/>
      <c r="J1671" s="16"/>
      <c r="K1671" s="205"/>
      <c r="L1671" s="16"/>
      <c r="M1671" s="16"/>
      <c r="N1671" s="16"/>
      <c r="O1671" s="16"/>
      <c r="P1671" s="16"/>
      <c r="Q1671" s="16"/>
      <c r="R1671" s="16"/>
      <c r="S1671" s="16"/>
      <c r="T1671" s="16"/>
      <c r="U1671" s="16"/>
      <c r="V1671" s="16"/>
      <c r="W1671" s="16"/>
      <c r="X1671" s="16"/>
      <c r="Y1671" s="16"/>
      <c r="Z1671" s="16"/>
      <c r="AA1671" s="16"/>
    </row>
    <row r="1672" spans="1:27" ht="24" customHeight="1">
      <c r="A1672" s="16"/>
      <c r="B1672" s="16"/>
      <c r="C1672" s="16"/>
      <c r="D1672" s="16"/>
      <c r="E1672" s="16"/>
      <c r="F1672" s="16"/>
      <c r="G1672" s="205"/>
      <c r="H1672" s="205"/>
      <c r="I1672" s="16"/>
      <c r="J1672" s="16"/>
      <c r="K1672" s="205"/>
      <c r="L1672" s="16"/>
      <c r="M1672" s="16"/>
      <c r="N1672" s="16"/>
      <c r="O1672" s="16"/>
      <c r="P1672" s="16"/>
      <c r="Q1672" s="16"/>
      <c r="R1672" s="16"/>
      <c r="S1672" s="16"/>
      <c r="T1672" s="16"/>
      <c r="U1672" s="16"/>
      <c r="V1672" s="16"/>
      <c r="W1672" s="16"/>
      <c r="X1672" s="16"/>
      <c r="Y1672" s="16"/>
      <c r="Z1672" s="16"/>
      <c r="AA1672" s="16"/>
    </row>
    <row r="1673" spans="1:27" ht="24" customHeight="1">
      <c r="A1673" s="16"/>
      <c r="B1673" s="16"/>
      <c r="C1673" s="16"/>
      <c r="D1673" s="16"/>
      <c r="E1673" s="16"/>
      <c r="F1673" s="16"/>
      <c r="G1673" s="205"/>
      <c r="H1673" s="205"/>
      <c r="I1673" s="16"/>
      <c r="J1673" s="16"/>
      <c r="K1673" s="205"/>
      <c r="L1673" s="16"/>
      <c r="M1673" s="16"/>
      <c r="N1673" s="16"/>
      <c r="O1673" s="16"/>
      <c r="P1673" s="16"/>
      <c r="Q1673" s="16"/>
      <c r="R1673" s="16"/>
      <c r="S1673" s="16"/>
      <c r="T1673" s="16"/>
      <c r="U1673" s="16"/>
      <c r="V1673" s="16"/>
      <c r="W1673" s="16"/>
      <c r="X1673" s="16"/>
      <c r="Y1673" s="16"/>
      <c r="Z1673" s="16"/>
      <c r="AA1673" s="16"/>
    </row>
    <row r="1674" spans="1:27" ht="24" customHeight="1">
      <c r="A1674" s="16"/>
      <c r="B1674" s="16"/>
      <c r="C1674" s="16"/>
      <c r="D1674" s="16"/>
      <c r="E1674" s="16"/>
      <c r="F1674" s="16"/>
      <c r="G1674" s="205"/>
      <c r="H1674" s="205"/>
      <c r="I1674" s="16"/>
      <c r="J1674" s="16"/>
      <c r="K1674" s="205"/>
      <c r="L1674" s="16"/>
      <c r="M1674" s="16"/>
      <c r="N1674" s="16"/>
      <c r="O1674" s="16"/>
      <c r="P1674" s="16"/>
      <c r="Q1674" s="16"/>
      <c r="R1674" s="16"/>
      <c r="S1674" s="16"/>
      <c r="T1674" s="16"/>
      <c r="U1674" s="16"/>
      <c r="V1674" s="16"/>
      <c r="W1674" s="16"/>
      <c r="X1674" s="16"/>
      <c r="Y1674" s="16"/>
      <c r="Z1674" s="16"/>
      <c r="AA1674" s="16"/>
    </row>
    <row r="1675" spans="1:27" ht="24" customHeight="1">
      <c r="A1675" s="16"/>
      <c r="B1675" s="16"/>
      <c r="C1675" s="16"/>
      <c r="D1675" s="16"/>
      <c r="E1675" s="16"/>
      <c r="F1675" s="16"/>
      <c r="G1675" s="205"/>
      <c r="H1675" s="205"/>
      <c r="I1675" s="16"/>
      <c r="J1675" s="16"/>
      <c r="K1675" s="205"/>
      <c r="L1675" s="16"/>
      <c r="M1675" s="16"/>
      <c r="N1675" s="16"/>
      <c r="O1675" s="16"/>
      <c r="P1675" s="16"/>
      <c r="Q1675" s="16"/>
      <c r="R1675" s="16"/>
      <c r="S1675" s="16"/>
      <c r="T1675" s="16"/>
      <c r="U1675" s="16"/>
      <c r="V1675" s="16"/>
      <c r="W1675" s="16"/>
      <c r="X1675" s="16"/>
      <c r="Y1675" s="16"/>
      <c r="Z1675" s="16"/>
      <c r="AA1675" s="16"/>
    </row>
    <row r="1676" spans="1:27" ht="24" customHeight="1">
      <c r="A1676" s="16"/>
      <c r="B1676" s="16"/>
      <c r="C1676" s="16"/>
      <c r="D1676" s="16"/>
      <c r="E1676" s="16"/>
      <c r="F1676" s="16"/>
      <c r="G1676" s="205"/>
      <c r="H1676" s="205"/>
      <c r="I1676" s="16"/>
      <c r="J1676" s="16"/>
      <c r="K1676" s="205"/>
      <c r="L1676" s="16"/>
      <c r="M1676" s="16"/>
      <c r="N1676" s="16"/>
      <c r="O1676" s="16"/>
      <c r="P1676" s="16"/>
      <c r="Q1676" s="16"/>
      <c r="R1676" s="16"/>
      <c r="S1676" s="16"/>
      <c r="T1676" s="16"/>
      <c r="U1676" s="16"/>
      <c r="V1676" s="16"/>
      <c r="W1676" s="16"/>
      <c r="X1676" s="16"/>
      <c r="Y1676" s="16"/>
      <c r="Z1676" s="16"/>
      <c r="AA1676" s="16"/>
    </row>
    <row r="1677" spans="1:27" ht="24" customHeight="1">
      <c r="A1677" s="16"/>
      <c r="B1677" s="16"/>
      <c r="C1677" s="16"/>
      <c r="D1677" s="16"/>
      <c r="E1677" s="16"/>
      <c r="F1677" s="16"/>
      <c r="G1677" s="205"/>
      <c r="H1677" s="205"/>
      <c r="I1677" s="16"/>
      <c r="J1677" s="16"/>
      <c r="K1677" s="205"/>
      <c r="L1677" s="16"/>
      <c r="M1677" s="16"/>
      <c r="N1677" s="16"/>
      <c r="O1677" s="16"/>
      <c r="P1677" s="16"/>
      <c r="Q1677" s="16"/>
      <c r="R1677" s="16"/>
      <c r="S1677" s="16"/>
      <c r="T1677" s="16"/>
      <c r="U1677" s="16"/>
      <c r="V1677" s="16"/>
      <c r="W1677" s="16"/>
      <c r="X1677" s="16"/>
      <c r="Y1677" s="16"/>
      <c r="Z1677" s="16"/>
      <c r="AA1677" s="16"/>
    </row>
    <row r="1678" spans="1:27" ht="24" customHeight="1">
      <c r="A1678" s="16"/>
      <c r="B1678" s="16"/>
      <c r="C1678" s="16"/>
      <c r="D1678" s="16"/>
      <c r="E1678" s="16"/>
      <c r="F1678" s="16"/>
      <c r="G1678" s="205"/>
      <c r="H1678" s="205"/>
      <c r="I1678" s="16"/>
      <c r="J1678" s="16"/>
      <c r="K1678" s="205"/>
      <c r="L1678" s="16"/>
      <c r="M1678" s="16"/>
      <c r="N1678" s="16"/>
      <c r="O1678" s="16"/>
      <c r="P1678" s="16"/>
      <c r="Q1678" s="16"/>
      <c r="R1678" s="16"/>
      <c r="S1678" s="16"/>
      <c r="T1678" s="16"/>
      <c r="U1678" s="16"/>
      <c r="V1678" s="16"/>
      <c r="W1678" s="16"/>
      <c r="X1678" s="16"/>
      <c r="Y1678" s="16"/>
      <c r="Z1678" s="16"/>
      <c r="AA1678" s="16"/>
    </row>
    <row r="1679" spans="1:27" ht="24" customHeight="1">
      <c r="A1679" s="16"/>
      <c r="B1679" s="16"/>
      <c r="C1679" s="16"/>
      <c r="D1679" s="16"/>
      <c r="E1679" s="16"/>
      <c r="F1679" s="16"/>
      <c r="G1679" s="205"/>
      <c r="H1679" s="205"/>
      <c r="I1679" s="16"/>
      <c r="J1679" s="16"/>
      <c r="K1679" s="205"/>
      <c r="L1679" s="16"/>
      <c r="M1679" s="16"/>
      <c r="N1679" s="16"/>
      <c r="O1679" s="16"/>
      <c r="P1679" s="16"/>
      <c r="Q1679" s="16"/>
      <c r="R1679" s="16"/>
      <c r="S1679" s="16"/>
      <c r="T1679" s="16"/>
      <c r="U1679" s="16"/>
      <c r="V1679" s="16"/>
      <c r="W1679" s="16"/>
      <c r="X1679" s="16"/>
      <c r="Y1679" s="16"/>
      <c r="Z1679" s="16"/>
      <c r="AA1679" s="16"/>
    </row>
    <row r="1680" spans="1:27" ht="24" customHeight="1">
      <c r="A1680" s="16"/>
      <c r="B1680" s="16"/>
      <c r="C1680" s="16"/>
      <c r="D1680" s="16"/>
      <c r="E1680" s="16"/>
      <c r="F1680" s="16"/>
      <c r="G1680" s="205"/>
      <c r="H1680" s="205"/>
      <c r="I1680" s="16"/>
      <c r="J1680" s="16"/>
      <c r="K1680" s="205"/>
      <c r="L1680" s="16"/>
      <c r="M1680" s="16"/>
      <c r="N1680" s="16"/>
      <c r="O1680" s="16"/>
      <c r="P1680" s="16"/>
      <c r="Q1680" s="16"/>
      <c r="R1680" s="16"/>
      <c r="S1680" s="16"/>
      <c r="T1680" s="16"/>
      <c r="U1680" s="16"/>
      <c r="V1680" s="16"/>
      <c r="W1680" s="16"/>
      <c r="X1680" s="16"/>
      <c r="Y1680" s="16"/>
      <c r="Z1680" s="16"/>
      <c r="AA1680" s="16"/>
    </row>
    <row r="1681" spans="1:27" ht="24" customHeight="1">
      <c r="A1681" s="16"/>
      <c r="B1681" s="16"/>
      <c r="C1681" s="16"/>
      <c r="D1681" s="16"/>
      <c r="E1681" s="16"/>
      <c r="F1681" s="16"/>
      <c r="G1681" s="205"/>
      <c r="H1681" s="205"/>
      <c r="I1681" s="16"/>
      <c r="J1681" s="16"/>
      <c r="K1681" s="205"/>
      <c r="L1681" s="16"/>
      <c r="M1681" s="16"/>
      <c r="N1681" s="16"/>
      <c r="O1681" s="16"/>
      <c r="P1681" s="16"/>
      <c r="Q1681" s="16"/>
      <c r="R1681" s="16"/>
      <c r="S1681" s="16"/>
      <c r="T1681" s="16"/>
      <c r="U1681" s="16"/>
      <c r="V1681" s="16"/>
      <c r="W1681" s="16"/>
      <c r="X1681" s="16"/>
      <c r="Y1681" s="16"/>
      <c r="Z1681" s="16"/>
      <c r="AA1681" s="16"/>
    </row>
    <row r="1682" spans="1:27" ht="24" customHeight="1">
      <c r="A1682" s="16"/>
      <c r="B1682" s="16"/>
      <c r="C1682" s="16"/>
      <c r="D1682" s="16"/>
      <c r="E1682" s="16"/>
      <c r="F1682" s="16"/>
      <c r="G1682" s="205"/>
      <c r="H1682" s="205"/>
      <c r="I1682" s="16"/>
      <c r="J1682" s="16"/>
      <c r="K1682" s="205"/>
      <c r="L1682" s="16"/>
      <c r="M1682" s="16"/>
      <c r="N1682" s="16"/>
      <c r="O1682" s="16"/>
      <c r="P1682" s="16"/>
      <c r="Q1682" s="16"/>
      <c r="R1682" s="16"/>
      <c r="S1682" s="16"/>
      <c r="T1682" s="16"/>
      <c r="U1682" s="16"/>
      <c r="V1682" s="16"/>
      <c r="W1682" s="16"/>
      <c r="X1682" s="16"/>
      <c r="Y1682" s="16"/>
      <c r="Z1682" s="16"/>
      <c r="AA1682" s="16"/>
    </row>
    <row r="1683" spans="1:27" ht="24" customHeight="1">
      <c r="A1683" s="16"/>
      <c r="B1683" s="16"/>
      <c r="C1683" s="16"/>
      <c r="D1683" s="16"/>
      <c r="E1683" s="16"/>
      <c r="F1683" s="16"/>
      <c r="G1683" s="205"/>
      <c r="H1683" s="205"/>
      <c r="I1683" s="16"/>
      <c r="J1683" s="16"/>
      <c r="K1683" s="205"/>
      <c r="L1683" s="16"/>
      <c r="M1683" s="16"/>
      <c r="N1683" s="16"/>
      <c r="O1683" s="16"/>
      <c r="P1683" s="16"/>
      <c r="Q1683" s="16"/>
      <c r="R1683" s="16"/>
      <c r="S1683" s="16"/>
      <c r="T1683" s="16"/>
      <c r="U1683" s="16"/>
      <c r="V1683" s="16"/>
      <c r="W1683" s="16"/>
      <c r="X1683" s="16"/>
      <c r="Y1683" s="16"/>
      <c r="Z1683" s="16"/>
      <c r="AA1683" s="16"/>
    </row>
    <row r="1684" spans="1:27" ht="24" customHeight="1">
      <c r="A1684" s="16"/>
      <c r="B1684" s="16"/>
      <c r="C1684" s="16"/>
      <c r="D1684" s="16"/>
      <c r="E1684" s="16"/>
      <c r="F1684" s="16"/>
      <c r="G1684" s="205"/>
      <c r="H1684" s="205"/>
      <c r="I1684" s="16"/>
      <c r="J1684" s="16"/>
      <c r="K1684" s="205"/>
      <c r="L1684" s="16"/>
      <c r="M1684" s="16"/>
      <c r="N1684" s="16"/>
      <c r="O1684" s="16"/>
      <c r="P1684" s="16"/>
      <c r="Q1684" s="16"/>
      <c r="R1684" s="16"/>
      <c r="S1684" s="16"/>
      <c r="T1684" s="16"/>
      <c r="U1684" s="16"/>
      <c r="V1684" s="16"/>
      <c r="W1684" s="16"/>
      <c r="X1684" s="16"/>
      <c r="Y1684" s="16"/>
      <c r="Z1684" s="16"/>
      <c r="AA1684" s="16"/>
    </row>
    <row r="1685" spans="1:27" ht="24" customHeight="1">
      <c r="A1685" s="16"/>
      <c r="B1685" s="16"/>
      <c r="C1685" s="16"/>
      <c r="D1685" s="16"/>
      <c r="E1685" s="16"/>
      <c r="F1685" s="16"/>
      <c r="G1685" s="205"/>
      <c r="H1685" s="205"/>
      <c r="I1685" s="16"/>
      <c r="J1685" s="16"/>
      <c r="K1685" s="205"/>
      <c r="L1685" s="16"/>
      <c r="M1685" s="16"/>
      <c r="N1685" s="16"/>
      <c r="O1685" s="16"/>
      <c r="P1685" s="16"/>
      <c r="Q1685" s="16"/>
      <c r="R1685" s="16"/>
      <c r="S1685" s="16"/>
      <c r="T1685" s="16"/>
      <c r="U1685" s="16"/>
      <c r="V1685" s="16"/>
      <c r="W1685" s="16"/>
      <c r="X1685" s="16"/>
      <c r="Y1685" s="16"/>
      <c r="Z1685" s="16"/>
      <c r="AA1685" s="16"/>
    </row>
    <row r="1686" spans="1:27" ht="24" customHeight="1">
      <c r="A1686" s="16"/>
      <c r="B1686" s="16"/>
      <c r="C1686" s="16"/>
      <c r="D1686" s="16"/>
      <c r="E1686" s="16"/>
      <c r="F1686" s="16"/>
      <c r="G1686" s="205"/>
      <c r="H1686" s="205"/>
      <c r="I1686" s="16"/>
      <c r="J1686" s="16"/>
      <c r="K1686" s="205"/>
      <c r="L1686" s="16"/>
      <c r="M1686" s="16"/>
      <c r="N1686" s="16"/>
      <c r="O1686" s="16"/>
      <c r="P1686" s="16"/>
      <c r="Q1686" s="16"/>
      <c r="R1686" s="16"/>
      <c r="S1686" s="16"/>
      <c r="T1686" s="16"/>
      <c r="U1686" s="16"/>
      <c r="V1686" s="16"/>
      <c r="W1686" s="16"/>
      <c r="X1686" s="16"/>
      <c r="Y1686" s="16"/>
      <c r="Z1686" s="16"/>
      <c r="AA1686" s="16"/>
    </row>
    <row r="1687" spans="1:27" ht="24" customHeight="1">
      <c r="A1687" s="16"/>
      <c r="B1687" s="16"/>
      <c r="C1687" s="16"/>
      <c r="D1687" s="16"/>
      <c r="E1687" s="16"/>
      <c r="F1687" s="16"/>
      <c r="G1687" s="205"/>
      <c r="H1687" s="205"/>
      <c r="I1687" s="16"/>
      <c r="J1687" s="16"/>
      <c r="K1687" s="205"/>
      <c r="L1687" s="16"/>
      <c r="M1687" s="16"/>
      <c r="N1687" s="16"/>
      <c r="O1687" s="16"/>
      <c r="P1687" s="16"/>
      <c r="Q1687" s="16"/>
      <c r="R1687" s="16"/>
      <c r="S1687" s="16"/>
      <c r="T1687" s="16"/>
      <c r="U1687" s="16"/>
      <c r="V1687" s="16"/>
      <c r="W1687" s="16"/>
      <c r="X1687" s="16"/>
      <c r="Y1687" s="16"/>
      <c r="Z1687" s="16"/>
      <c r="AA1687" s="16"/>
    </row>
    <row r="1688" spans="1:27" ht="24" customHeight="1">
      <c r="A1688" s="16"/>
      <c r="B1688" s="16"/>
      <c r="C1688" s="16"/>
      <c r="D1688" s="16"/>
      <c r="E1688" s="16"/>
      <c r="F1688" s="16"/>
      <c r="G1688" s="205"/>
      <c r="H1688" s="205"/>
      <c r="I1688" s="16"/>
      <c r="J1688" s="16"/>
      <c r="K1688" s="205"/>
      <c r="L1688" s="16"/>
      <c r="M1688" s="16"/>
      <c r="N1688" s="16"/>
      <c r="O1688" s="16"/>
      <c r="P1688" s="16"/>
      <c r="Q1688" s="16"/>
      <c r="R1688" s="16"/>
      <c r="S1688" s="16"/>
      <c r="T1688" s="16"/>
      <c r="U1688" s="16"/>
      <c r="V1688" s="16"/>
      <c r="W1688" s="16"/>
      <c r="X1688" s="16"/>
      <c r="Y1688" s="16"/>
      <c r="Z1688" s="16"/>
      <c r="AA1688" s="16"/>
    </row>
    <row r="1689" spans="1:27" ht="24" customHeight="1">
      <c r="A1689" s="16"/>
      <c r="B1689" s="16"/>
      <c r="C1689" s="16"/>
      <c r="D1689" s="16"/>
      <c r="E1689" s="16"/>
      <c r="F1689" s="16"/>
      <c r="G1689" s="205"/>
      <c r="H1689" s="205"/>
      <c r="I1689" s="16"/>
      <c r="J1689" s="16"/>
      <c r="K1689" s="205"/>
      <c r="L1689" s="16"/>
      <c r="M1689" s="16"/>
      <c r="N1689" s="16"/>
      <c r="O1689" s="16"/>
      <c r="P1689" s="16"/>
      <c r="Q1689" s="16"/>
      <c r="R1689" s="16"/>
      <c r="S1689" s="16"/>
      <c r="T1689" s="16"/>
      <c r="U1689" s="16"/>
      <c r="V1689" s="16"/>
      <c r="W1689" s="16"/>
      <c r="X1689" s="16"/>
      <c r="Y1689" s="16"/>
      <c r="Z1689" s="16"/>
      <c r="AA1689" s="16"/>
    </row>
    <row r="1690" spans="1:27" ht="24" customHeight="1">
      <c r="A1690" s="16"/>
      <c r="B1690" s="16"/>
      <c r="C1690" s="16"/>
      <c r="D1690" s="16"/>
      <c r="E1690" s="16"/>
      <c r="F1690" s="16"/>
      <c r="G1690" s="205"/>
      <c r="H1690" s="205"/>
      <c r="I1690" s="16"/>
      <c r="J1690" s="16"/>
      <c r="K1690" s="205"/>
      <c r="L1690" s="16"/>
      <c r="M1690" s="16"/>
      <c r="N1690" s="16"/>
      <c r="O1690" s="16"/>
      <c r="P1690" s="16"/>
      <c r="Q1690" s="16"/>
      <c r="R1690" s="16"/>
      <c r="S1690" s="16"/>
      <c r="T1690" s="16"/>
      <c r="U1690" s="16"/>
      <c r="V1690" s="16"/>
      <c r="W1690" s="16"/>
      <c r="X1690" s="16"/>
      <c r="Y1690" s="16"/>
      <c r="Z1690" s="16"/>
      <c r="AA1690" s="16"/>
    </row>
    <row r="1691" spans="1:27" ht="24" customHeight="1">
      <c r="A1691" s="16"/>
      <c r="B1691" s="16"/>
      <c r="C1691" s="16"/>
      <c r="D1691" s="16"/>
      <c r="E1691" s="16"/>
      <c r="F1691" s="16"/>
      <c r="G1691" s="205"/>
      <c r="H1691" s="205"/>
      <c r="I1691" s="16"/>
      <c r="J1691" s="16"/>
      <c r="K1691" s="205"/>
      <c r="L1691" s="16"/>
      <c r="M1691" s="16"/>
      <c r="N1691" s="16"/>
      <c r="O1691" s="16"/>
      <c r="P1691" s="16"/>
      <c r="Q1691" s="16"/>
      <c r="R1691" s="16"/>
      <c r="S1691" s="16"/>
      <c r="T1691" s="16"/>
      <c r="U1691" s="16"/>
      <c r="V1691" s="16"/>
      <c r="W1691" s="16"/>
      <c r="X1691" s="16"/>
      <c r="Y1691" s="16"/>
      <c r="Z1691" s="16"/>
      <c r="AA1691" s="16"/>
    </row>
    <row r="1692" spans="1:27" ht="24" customHeight="1">
      <c r="A1692" s="16"/>
      <c r="B1692" s="16"/>
      <c r="C1692" s="16"/>
      <c r="D1692" s="16"/>
      <c r="E1692" s="16"/>
      <c r="F1692" s="16"/>
      <c r="G1692" s="205"/>
      <c r="H1692" s="205"/>
      <c r="I1692" s="16"/>
      <c r="J1692" s="16"/>
      <c r="K1692" s="205"/>
      <c r="L1692" s="16"/>
      <c r="M1692" s="16"/>
      <c r="N1692" s="16"/>
      <c r="O1692" s="16"/>
      <c r="P1692" s="16"/>
      <c r="Q1692" s="16"/>
      <c r="R1692" s="16"/>
      <c r="S1692" s="16"/>
      <c r="T1692" s="16"/>
      <c r="U1692" s="16"/>
      <c r="V1692" s="16"/>
      <c r="W1692" s="16"/>
      <c r="X1692" s="16"/>
      <c r="Y1692" s="16"/>
      <c r="Z1692" s="16"/>
      <c r="AA1692" s="16"/>
    </row>
    <row r="1693" spans="1:27" ht="24" customHeight="1">
      <c r="A1693" s="16"/>
      <c r="B1693" s="16"/>
      <c r="C1693" s="16"/>
      <c r="D1693" s="16"/>
      <c r="E1693" s="16"/>
      <c r="F1693" s="16"/>
      <c r="G1693" s="205"/>
      <c r="H1693" s="205"/>
      <c r="I1693" s="16"/>
      <c r="J1693" s="16"/>
      <c r="K1693" s="205"/>
      <c r="L1693" s="16"/>
      <c r="M1693" s="16"/>
      <c r="N1693" s="16"/>
      <c r="O1693" s="16"/>
      <c r="P1693" s="16"/>
      <c r="Q1693" s="16"/>
      <c r="R1693" s="16"/>
      <c r="S1693" s="16"/>
      <c r="T1693" s="16"/>
      <c r="U1693" s="16"/>
      <c r="V1693" s="16"/>
      <c r="W1693" s="16"/>
      <c r="X1693" s="16"/>
      <c r="Y1693" s="16"/>
      <c r="Z1693" s="16"/>
      <c r="AA1693" s="16"/>
    </row>
    <row r="1694" spans="1:27" ht="24" customHeight="1">
      <c r="A1694" s="16"/>
      <c r="B1694" s="16"/>
      <c r="C1694" s="16"/>
      <c r="D1694" s="16"/>
      <c r="E1694" s="16"/>
      <c r="F1694" s="16"/>
      <c r="G1694" s="205"/>
      <c r="H1694" s="205"/>
      <c r="I1694" s="16"/>
      <c r="J1694" s="16"/>
      <c r="K1694" s="205"/>
      <c r="L1694" s="16"/>
      <c r="M1694" s="16"/>
      <c r="N1694" s="16"/>
      <c r="O1694" s="16"/>
      <c r="P1694" s="16"/>
      <c r="Q1694" s="16"/>
      <c r="R1694" s="16"/>
      <c r="S1694" s="16"/>
      <c r="T1694" s="16"/>
      <c r="U1694" s="16"/>
      <c r="V1694" s="16"/>
      <c r="W1694" s="16"/>
      <c r="X1694" s="16"/>
      <c r="Y1694" s="16"/>
      <c r="Z1694" s="16"/>
      <c r="AA1694" s="16"/>
    </row>
    <row r="1695" spans="1:27" ht="24" customHeight="1">
      <c r="A1695" s="16"/>
      <c r="B1695" s="16"/>
      <c r="C1695" s="16"/>
      <c r="D1695" s="16"/>
      <c r="E1695" s="16"/>
      <c r="F1695" s="16"/>
      <c r="G1695" s="205"/>
      <c r="H1695" s="205"/>
      <c r="I1695" s="16"/>
      <c r="J1695" s="16"/>
      <c r="K1695" s="205"/>
      <c r="L1695" s="16"/>
      <c r="M1695" s="16"/>
      <c r="N1695" s="16"/>
      <c r="O1695" s="16"/>
      <c r="P1695" s="16"/>
      <c r="Q1695" s="16"/>
      <c r="R1695" s="16"/>
      <c r="S1695" s="16"/>
      <c r="T1695" s="16"/>
      <c r="U1695" s="16"/>
      <c r="V1695" s="16"/>
      <c r="W1695" s="16"/>
      <c r="X1695" s="16"/>
      <c r="Y1695" s="16"/>
      <c r="Z1695" s="16"/>
      <c r="AA1695" s="16"/>
    </row>
    <row r="1696" spans="1:27" ht="24" customHeight="1">
      <c r="A1696" s="16"/>
      <c r="B1696" s="16"/>
      <c r="C1696" s="16"/>
      <c r="D1696" s="16"/>
      <c r="E1696" s="16"/>
      <c r="F1696" s="16"/>
      <c r="G1696" s="205"/>
      <c r="H1696" s="205"/>
      <c r="I1696" s="16"/>
      <c r="J1696" s="16"/>
      <c r="K1696" s="205"/>
      <c r="L1696" s="16"/>
      <c r="M1696" s="16"/>
      <c r="N1696" s="16"/>
      <c r="O1696" s="16"/>
      <c r="P1696" s="16"/>
      <c r="Q1696" s="16"/>
      <c r="R1696" s="16"/>
      <c r="S1696" s="16"/>
      <c r="T1696" s="16"/>
      <c r="U1696" s="16"/>
      <c r="V1696" s="16"/>
      <c r="W1696" s="16"/>
      <c r="X1696" s="16"/>
      <c r="Y1696" s="16"/>
      <c r="Z1696" s="16"/>
      <c r="AA1696" s="16"/>
    </row>
    <row r="1697" spans="1:27" ht="24" customHeight="1">
      <c r="A1697" s="16"/>
      <c r="B1697" s="16"/>
      <c r="C1697" s="16"/>
      <c r="D1697" s="16"/>
      <c r="E1697" s="16"/>
      <c r="F1697" s="16"/>
      <c r="G1697" s="205"/>
      <c r="H1697" s="205"/>
      <c r="I1697" s="16"/>
      <c r="J1697" s="16"/>
      <c r="K1697" s="205"/>
      <c r="L1697" s="16"/>
      <c r="M1697" s="16"/>
      <c r="N1697" s="16"/>
      <c r="O1697" s="16"/>
      <c r="P1697" s="16"/>
      <c r="Q1697" s="16"/>
      <c r="R1697" s="16"/>
      <c r="S1697" s="16"/>
      <c r="T1697" s="16"/>
      <c r="U1697" s="16"/>
      <c r="V1697" s="16"/>
      <c r="W1697" s="16"/>
      <c r="X1697" s="16"/>
      <c r="Y1697" s="16"/>
      <c r="Z1697" s="16"/>
      <c r="AA1697" s="16"/>
    </row>
    <row r="1698" spans="1:27" ht="24" customHeight="1">
      <c r="A1698" s="16"/>
      <c r="B1698" s="16"/>
      <c r="C1698" s="16"/>
      <c r="D1698" s="16"/>
      <c r="E1698" s="16"/>
      <c r="F1698" s="16"/>
      <c r="G1698" s="205"/>
      <c r="H1698" s="205"/>
      <c r="I1698" s="16"/>
      <c r="J1698" s="16"/>
      <c r="K1698" s="205"/>
      <c r="L1698" s="16"/>
      <c r="M1698" s="16"/>
      <c r="N1698" s="16"/>
      <c r="O1698" s="16"/>
      <c r="P1698" s="16"/>
      <c r="Q1698" s="16"/>
      <c r="R1698" s="16"/>
      <c r="S1698" s="16"/>
      <c r="T1698" s="16"/>
      <c r="U1698" s="16"/>
      <c r="V1698" s="16"/>
      <c r="W1698" s="16"/>
      <c r="X1698" s="16"/>
      <c r="Y1698" s="16"/>
      <c r="Z1698" s="16"/>
      <c r="AA1698" s="16"/>
    </row>
    <row r="1699" spans="1:27" ht="24" customHeight="1">
      <c r="A1699" s="16"/>
      <c r="B1699" s="16"/>
      <c r="C1699" s="16"/>
      <c r="D1699" s="16"/>
      <c r="E1699" s="16"/>
      <c r="F1699" s="16"/>
      <c r="G1699" s="205"/>
      <c r="H1699" s="205"/>
      <c r="I1699" s="16"/>
      <c r="J1699" s="16"/>
      <c r="K1699" s="205"/>
      <c r="L1699" s="16"/>
      <c r="M1699" s="16"/>
      <c r="N1699" s="16"/>
      <c r="O1699" s="16"/>
      <c r="P1699" s="16"/>
      <c r="Q1699" s="16"/>
      <c r="R1699" s="16"/>
      <c r="S1699" s="16"/>
      <c r="T1699" s="16"/>
      <c r="U1699" s="16"/>
      <c r="V1699" s="16"/>
      <c r="W1699" s="16"/>
      <c r="X1699" s="16"/>
      <c r="Y1699" s="16"/>
      <c r="Z1699" s="16"/>
      <c r="AA1699" s="16"/>
    </row>
    <row r="1700" spans="1:27" ht="24" customHeight="1">
      <c r="A1700" s="16"/>
      <c r="B1700" s="16"/>
      <c r="C1700" s="16"/>
      <c r="D1700" s="16"/>
      <c r="E1700" s="16"/>
      <c r="F1700" s="16"/>
      <c r="G1700" s="205"/>
      <c r="H1700" s="205"/>
      <c r="I1700" s="16"/>
      <c r="J1700" s="16"/>
      <c r="K1700" s="205"/>
      <c r="L1700" s="16"/>
      <c r="M1700" s="16"/>
      <c r="N1700" s="16"/>
      <c r="O1700" s="16"/>
      <c r="P1700" s="16"/>
      <c r="Q1700" s="16"/>
      <c r="R1700" s="16"/>
      <c r="S1700" s="16"/>
      <c r="T1700" s="16"/>
      <c r="U1700" s="16"/>
      <c r="V1700" s="16"/>
      <c r="W1700" s="16"/>
      <c r="X1700" s="16"/>
      <c r="Y1700" s="16"/>
      <c r="Z1700" s="16"/>
      <c r="AA1700" s="16"/>
    </row>
    <row r="1701" spans="1:27" ht="24" customHeight="1">
      <c r="A1701" s="16"/>
      <c r="B1701" s="16"/>
      <c r="C1701" s="16"/>
      <c r="D1701" s="16"/>
      <c r="E1701" s="16"/>
      <c r="F1701" s="16"/>
      <c r="G1701" s="205"/>
      <c r="H1701" s="205"/>
      <c r="I1701" s="16"/>
      <c r="J1701" s="16"/>
      <c r="K1701" s="205"/>
      <c r="L1701" s="16"/>
      <c r="M1701" s="16"/>
      <c r="N1701" s="16"/>
      <c r="O1701" s="16"/>
      <c r="P1701" s="16"/>
      <c r="Q1701" s="16"/>
      <c r="R1701" s="16"/>
      <c r="S1701" s="16"/>
      <c r="T1701" s="16"/>
      <c r="U1701" s="16"/>
      <c r="V1701" s="16"/>
      <c r="W1701" s="16"/>
      <c r="X1701" s="16"/>
      <c r="Y1701" s="16"/>
      <c r="Z1701" s="16"/>
      <c r="AA1701" s="16"/>
    </row>
    <row r="1702" spans="1:27" ht="24" customHeight="1">
      <c r="A1702" s="16"/>
      <c r="B1702" s="16"/>
      <c r="C1702" s="16"/>
      <c r="D1702" s="16"/>
      <c r="E1702" s="16"/>
      <c r="F1702" s="16"/>
      <c r="G1702" s="205"/>
      <c r="H1702" s="205"/>
      <c r="I1702" s="16"/>
      <c r="J1702" s="16"/>
      <c r="K1702" s="205"/>
      <c r="L1702" s="16"/>
      <c r="M1702" s="16"/>
      <c r="N1702" s="16"/>
      <c r="O1702" s="16"/>
      <c r="P1702" s="16"/>
      <c r="Q1702" s="16"/>
      <c r="R1702" s="16"/>
      <c r="S1702" s="16"/>
      <c r="T1702" s="16"/>
      <c r="U1702" s="16"/>
      <c r="V1702" s="16"/>
      <c r="W1702" s="16"/>
      <c r="X1702" s="16"/>
      <c r="Y1702" s="16"/>
      <c r="Z1702" s="16"/>
      <c r="AA1702" s="16"/>
    </row>
    <row r="1703" spans="1:27" ht="24" customHeight="1">
      <c r="A1703" s="16"/>
      <c r="B1703" s="16"/>
      <c r="C1703" s="16"/>
      <c r="D1703" s="16"/>
      <c r="E1703" s="16"/>
      <c r="F1703" s="16"/>
      <c r="G1703" s="205"/>
      <c r="H1703" s="205"/>
      <c r="I1703" s="16"/>
      <c r="J1703" s="16"/>
      <c r="K1703" s="205"/>
      <c r="L1703" s="16"/>
      <c r="M1703" s="16"/>
      <c r="N1703" s="16"/>
      <c r="O1703" s="16"/>
      <c r="P1703" s="16"/>
      <c r="Q1703" s="16"/>
      <c r="R1703" s="16"/>
      <c r="S1703" s="16"/>
      <c r="T1703" s="16"/>
      <c r="U1703" s="16"/>
      <c r="V1703" s="16"/>
      <c r="W1703" s="16"/>
      <c r="X1703" s="16"/>
      <c r="Y1703" s="16"/>
      <c r="Z1703" s="16"/>
      <c r="AA1703" s="16"/>
    </row>
    <row r="1704" spans="1:27" ht="24" customHeight="1">
      <c r="A1704" s="16"/>
      <c r="B1704" s="16"/>
      <c r="C1704" s="16"/>
      <c r="D1704" s="16"/>
      <c r="E1704" s="16"/>
      <c r="F1704" s="16"/>
      <c r="G1704" s="205"/>
      <c r="H1704" s="205"/>
      <c r="I1704" s="16"/>
      <c r="J1704" s="16"/>
      <c r="K1704" s="205"/>
      <c r="L1704" s="16"/>
      <c r="M1704" s="16"/>
      <c r="N1704" s="16"/>
      <c r="O1704" s="16"/>
      <c r="P1704" s="16"/>
      <c r="Q1704" s="16"/>
      <c r="R1704" s="16"/>
      <c r="S1704" s="16"/>
      <c r="T1704" s="16"/>
      <c r="U1704" s="16"/>
      <c r="V1704" s="16"/>
      <c r="W1704" s="16"/>
      <c r="X1704" s="16"/>
      <c r="Y1704" s="16"/>
      <c r="Z1704" s="16"/>
      <c r="AA1704" s="16"/>
    </row>
    <row r="1705" spans="1:27" ht="24" customHeight="1">
      <c r="A1705" s="16"/>
      <c r="B1705" s="16"/>
      <c r="C1705" s="16"/>
      <c r="D1705" s="16"/>
      <c r="E1705" s="16"/>
      <c r="F1705" s="16"/>
      <c r="G1705" s="205"/>
      <c r="H1705" s="205"/>
      <c r="I1705" s="16"/>
      <c r="J1705" s="16"/>
      <c r="K1705" s="205"/>
      <c r="L1705" s="16"/>
      <c r="M1705" s="16"/>
      <c r="N1705" s="16"/>
      <c r="O1705" s="16"/>
      <c r="P1705" s="16"/>
      <c r="Q1705" s="16"/>
      <c r="R1705" s="16"/>
      <c r="S1705" s="16"/>
      <c r="T1705" s="16"/>
      <c r="U1705" s="16"/>
      <c r="V1705" s="16"/>
      <c r="W1705" s="16"/>
      <c r="X1705" s="16"/>
      <c r="Y1705" s="16"/>
      <c r="Z1705" s="16"/>
      <c r="AA1705" s="16"/>
    </row>
    <row r="1706" spans="1:27" ht="24" customHeight="1">
      <c r="A1706" s="16"/>
      <c r="B1706" s="16"/>
      <c r="C1706" s="16"/>
      <c r="D1706" s="16"/>
      <c r="E1706" s="16"/>
      <c r="F1706" s="16"/>
      <c r="G1706" s="205"/>
      <c r="H1706" s="205"/>
      <c r="I1706" s="16"/>
      <c r="J1706" s="16"/>
      <c r="K1706" s="205"/>
      <c r="L1706" s="16"/>
      <c r="M1706" s="16"/>
      <c r="N1706" s="16"/>
      <c r="O1706" s="16"/>
      <c r="P1706" s="16"/>
      <c r="Q1706" s="16"/>
      <c r="R1706" s="16"/>
      <c r="S1706" s="16"/>
      <c r="T1706" s="16"/>
      <c r="U1706" s="16"/>
      <c r="V1706" s="16"/>
      <c r="W1706" s="16"/>
      <c r="X1706" s="16"/>
      <c r="Y1706" s="16"/>
      <c r="Z1706" s="16"/>
      <c r="AA1706" s="16"/>
    </row>
    <row r="1707" spans="1:27" ht="24" customHeight="1">
      <c r="A1707" s="16"/>
      <c r="B1707" s="16"/>
      <c r="C1707" s="16"/>
      <c r="D1707" s="16"/>
      <c r="E1707" s="16"/>
      <c r="F1707" s="16"/>
      <c r="G1707" s="205"/>
      <c r="H1707" s="205"/>
      <c r="I1707" s="16"/>
      <c r="J1707" s="16"/>
      <c r="K1707" s="205"/>
      <c r="L1707" s="16"/>
      <c r="M1707" s="16"/>
      <c r="N1707" s="16"/>
      <c r="O1707" s="16"/>
      <c r="P1707" s="16"/>
      <c r="Q1707" s="16"/>
      <c r="R1707" s="16"/>
      <c r="S1707" s="16"/>
      <c r="T1707" s="16"/>
      <c r="U1707" s="16"/>
      <c r="V1707" s="16"/>
      <c r="W1707" s="16"/>
      <c r="X1707" s="16"/>
      <c r="Y1707" s="16"/>
      <c r="Z1707" s="16"/>
      <c r="AA1707" s="16"/>
    </row>
    <row r="1708" spans="1:27" ht="24" customHeight="1">
      <c r="A1708" s="16"/>
      <c r="B1708" s="16"/>
      <c r="C1708" s="16"/>
      <c r="D1708" s="16"/>
      <c r="E1708" s="16"/>
      <c r="F1708" s="16"/>
      <c r="G1708" s="205"/>
      <c r="H1708" s="205"/>
      <c r="I1708" s="16"/>
      <c r="J1708" s="16"/>
      <c r="K1708" s="205"/>
      <c r="L1708" s="16"/>
      <c r="M1708" s="16"/>
      <c r="N1708" s="16"/>
      <c r="O1708" s="16"/>
      <c r="P1708" s="16"/>
      <c r="Q1708" s="16"/>
      <c r="R1708" s="16"/>
      <c r="S1708" s="16"/>
      <c r="T1708" s="16"/>
      <c r="U1708" s="16"/>
      <c r="V1708" s="16"/>
      <c r="W1708" s="16"/>
      <c r="X1708" s="16"/>
      <c r="Y1708" s="16"/>
      <c r="Z1708" s="16"/>
      <c r="AA1708" s="16"/>
    </row>
    <row r="1709" spans="1:27" ht="24" customHeight="1">
      <c r="A1709" s="16"/>
      <c r="B1709" s="16"/>
      <c r="C1709" s="16"/>
      <c r="D1709" s="16"/>
      <c r="E1709" s="16"/>
      <c r="F1709" s="16"/>
      <c r="G1709" s="205"/>
      <c r="H1709" s="205"/>
      <c r="I1709" s="16"/>
      <c r="J1709" s="16"/>
      <c r="K1709" s="205"/>
      <c r="L1709" s="16"/>
      <c r="M1709" s="16"/>
      <c r="N1709" s="16"/>
      <c r="O1709" s="16"/>
      <c r="P1709" s="16"/>
      <c r="Q1709" s="16"/>
      <c r="R1709" s="16"/>
      <c r="S1709" s="16"/>
      <c r="T1709" s="16"/>
      <c r="U1709" s="16"/>
      <c r="V1709" s="16"/>
      <c r="W1709" s="16"/>
      <c r="X1709" s="16"/>
      <c r="Y1709" s="16"/>
      <c r="Z1709" s="16"/>
      <c r="AA1709" s="16"/>
    </row>
    <row r="1710" spans="1:27" ht="24" customHeight="1">
      <c r="A1710" s="16"/>
      <c r="B1710" s="16"/>
      <c r="C1710" s="16"/>
      <c r="D1710" s="16"/>
      <c r="E1710" s="16"/>
      <c r="F1710" s="16"/>
      <c r="G1710" s="205"/>
      <c r="H1710" s="205"/>
      <c r="I1710" s="16"/>
      <c r="J1710" s="16"/>
      <c r="K1710" s="205"/>
      <c r="L1710" s="16"/>
      <c r="M1710" s="16"/>
      <c r="N1710" s="16"/>
      <c r="O1710" s="16"/>
      <c r="P1710" s="16"/>
      <c r="Q1710" s="16"/>
      <c r="R1710" s="16"/>
      <c r="S1710" s="16"/>
      <c r="T1710" s="16"/>
      <c r="U1710" s="16"/>
      <c r="V1710" s="16"/>
      <c r="W1710" s="16"/>
      <c r="X1710" s="16"/>
      <c r="Y1710" s="16"/>
      <c r="Z1710" s="16"/>
      <c r="AA1710" s="16"/>
    </row>
    <row r="1711" spans="1:27" ht="24" customHeight="1">
      <c r="A1711" s="16"/>
      <c r="B1711" s="16"/>
      <c r="C1711" s="16"/>
      <c r="D1711" s="16"/>
      <c r="E1711" s="16"/>
      <c r="F1711" s="16"/>
      <c r="G1711" s="205"/>
      <c r="H1711" s="205"/>
      <c r="I1711" s="16"/>
      <c r="J1711" s="16"/>
      <c r="K1711" s="205"/>
      <c r="L1711" s="16"/>
      <c r="M1711" s="16"/>
      <c r="N1711" s="16"/>
      <c r="O1711" s="16"/>
      <c r="P1711" s="16"/>
      <c r="Q1711" s="16"/>
      <c r="R1711" s="16"/>
      <c r="S1711" s="16"/>
      <c r="T1711" s="16"/>
      <c r="U1711" s="16"/>
      <c r="V1711" s="16"/>
      <c r="W1711" s="16"/>
      <c r="X1711" s="16"/>
      <c r="Y1711" s="16"/>
      <c r="Z1711" s="16"/>
      <c r="AA1711" s="16"/>
    </row>
    <row r="1712" spans="1:27" ht="24" customHeight="1">
      <c r="A1712" s="16"/>
      <c r="B1712" s="16"/>
      <c r="C1712" s="16"/>
      <c r="D1712" s="16"/>
      <c r="E1712" s="16"/>
      <c r="F1712" s="16"/>
      <c r="G1712" s="205"/>
      <c r="H1712" s="205"/>
      <c r="I1712" s="16"/>
      <c r="J1712" s="16"/>
      <c r="K1712" s="205"/>
      <c r="L1712" s="16"/>
      <c r="M1712" s="16"/>
      <c r="N1712" s="16"/>
      <c r="O1712" s="16"/>
      <c r="P1712" s="16"/>
      <c r="Q1712" s="16"/>
      <c r="R1712" s="16"/>
      <c r="S1712" s="16"/>
      <c r="T1712" s="16"/>
      <c r="U1712" s="16"/>
      <c r="V1712" s="16"/>
      <c r="W1712" s="16"/>
      <c r="X1712" s="16"/>
      <c r="Y1712" s="16"/>
      <c r="Z1712" s="16"/>
      <c r="AA1712" s="16"/>
    </row>
    <row r="1713" spans="1:27" ht="24" customHeight="1">
      <c r="A1713" s="16"/>
      <c r="B1713" s="16"/>
      <c r="C1713" s="16"/>
      <c r="D1713" s="16"/>
      <c r="E1713" s="16"/>
      <c r="F1713" s="16"/>
      <c r="G1713" s="205"/>
      <c r="H1713" s="205"/>
      <c r="I1713" s="16"/>
      <c r="J1713" s="16"/>
      <c r="K1713" s="205"/>
      <c r="L1713" s="16"/>
      <c r="M1713" s="16"/>
      <c r="N1713" s="16"/>
      <c r="O1713" s="16"/>
      <c r="P1713" s="16"/>
      <c r="Q1713" s="16"/>
      <c r="R1713" s="16"/>
      <c r="S1713" s="16"/>
      <c r="T1713" s="16"/>
      <c r="U1713" s="16"/>
      <c r="V1713" s="16"/>
      <c r="W1713" s="16"/>
      <c r="X1713" s="16"/>
      <c r="Y1713" s="16"/>
      <c r="Z1713" s="16"/>
      <c r="AA1713" s="16"/>
    </row>
    <row r="1714" spans="1:27" ht="24" customHeight="1">
      <c r="A1714" s="16"/>
      <c r="B1714" s="16"/>
      <c r="C1714" s="16"/>
      <c r="D1714" s="16"/>
      <c r="E1714" s="16"/>
      <c r="F1714" s="16"/>
      <c r="G1714" s="205"/>
      <c r="H1714" s="205"/>
      <c r="I1714" s="16"/>
      <c r="J1714" s="16"/>
      <c r="K1714" s="205"/>
      <c r="L1714" s="16"/>
      <c r="M1714" s="16"/>
      <c r="N1714" s="16"/>
      <c r="O1714" s="16"/>
      <c r="P1714" s="16"/>
      <c r="Q1714" s="16"/>
      <c r="R1714" s="16"/>
      <c r="S1714" s="16"/>
      <c r="T1714" s="16"/>
      <c r="U1714" s="16"/>
      <c r="V1714" s="16"/>
      <c r="W1714" s="16"/>
      <c r="X1714" s="16"/>
      <c r="Y1714" s="16"/>
      <c r="Z1714" s="16"/>
      <c r="AA1714" s="16"/>
    </row>
    <row r="1715" spans="1:27" ht="24" customHeight="1">
      <c r="A1715" s="16"/>
      <c r="B1715" s="16"/>
      <c r="C1715" s="16"/>
      <c r="D1715" s="16"/>
      <c r="E1715" s="16"/>
      <c r="F1715" s="16"/>
      <c r="G1715" s="205"/>
      <c r="H1715" s="205"/>
      <c r="I1715" s="16"/>
      <c r="J1715" s="16"/>
      <c r="K1715" s="205"/>
      <c r="L1715" s="16"/>
      <c r="M1715" s="16"/>
      <c r="N1715" s="16"/>
      <c r="O1715" s="16"/>
      <c r="P1715" s="16"/>
      <c r="Q1715" s="16"/>
      <c r="R1715" s="16"/>
      <c r="S1715" s="16"/>
      <c r="T1715" s="16"/>
      <c r="U1715" s="16"/>
      <c r="V1715" s="16"/>
      <c r="W1715" s="16"/>
      <c r="X1715" s="16"/>
      <c r="Y1715" s="16"/>
      <c r="Z1715" s="16"/>
      <c r="AA1715" s="16"/>
    </row>
    <row r="1716" spans="1:27" ht="24" customHeight="1">
      <c r="A1716" s="16"/>
      <c r="B1716" s="16"/>
      <c r="C1716" s="16"/>
      <c r="D1716" s="16"/>
      <c r="E1716" s="16"/>
      <c r="F1716" s="16"/>
      <c r="G1716" s="205"/>
      <c r="H1716" s="205"/>
      <c r="I1716" s="16"/>
      <c r="J1716" s="16"/>
      <c r="K1716" s="205"/>
      <c r="L1716" s="16"/>
      <c r="M1716" s="16"/>
      <c r="N1716" s="16"/>
      <c r="O1716" s="16"/>
      <c r="P1716" s="16"/>
      <c r="Q1716" s="16"/>
      <c r="R1716" s="16"/>
      <c r="S1716" s="16"/>
      <c r="T1716" s="16"/>
      <c r="U1716" s="16"/>
      <c r="V1716" s="16"/>
      <c r="W1716" s="16"/>
      <c r="X1716" s="16"/>
      <c r="Y1716" s="16"/>
      <c r="Z1716" s="16"/>
      <c r="AA1716" s="16"/>
    </row>
    <row r="1717" spans="1:27" ht="24" customHeight="1">
      <c r="A1717" s="16"/>
      <c r="B1717" s="16"/>
      <c r="C1717" s="16"/>
      <c r="D1717" s="16"/>
      <c r="E1717" s="16"/>
      <c r="F1717" s="16"/>
      <c r="G1717" s="205"/>
      <c r="H1717" s="205"/>
      <c r="I1717" s="16"/>
      <c r="J1717" s="16"/>
      <c r="K1717" s="205"/>
      <c r="L1717" s="16"/>
      <c r="M1717" s="16"/>
      <c r="N1717" s="16"/>
      <c r="O1717" s="16"/>
      <c r="P1717" s="16"/>
      <c r="Q1717" s="16"/>
      <c r="R1717" s="16"/>
      <c r="S1717" s="16"/>
      <c r="T1717" s="16"/>
      <c r="U1717" s="16"/>
      <c r="V1717" s="16"/>
      <c r="W1717" s="16"/>
      <c r="X1717" s="16"/>
      <c r="Y1717" s="16"/>
      <c r="Z1717" s="16"/>
      <c r="AA1717" s="16"/>
    </row>
    <row r="1718" spans="1:27" ht="24" customHeight="1">
      <c r="A1718" s="16"/>
      <c r="B1718" s="16"/>
      <c r="C1718" s="16"/>
      <c r="D1718" s="16"/>
      <c r="E1718" s="16"/>
      <c r="F1718" s="16"/>
      <c r="G1718" s="205"/>
      <c r="H1718" s="205"/>
      <c r="I1718" s="16"/>
      <c r="J1718" s="16"/>
      <c r="K1718" s="205"/>
      <c r="L1718" s="16"/>
      <c r="M1718" s="16"/>
      <c r="N1718" s="16"/>
      <c r="O1718" s="16"/>
      <c r="P1718" s="16"/>
      <c r="Q1718" s="16"/>
      <c r="R1718" s="16"/>
      <c r="S1718" s="16"/>
      <c r="T1718" s="16"/>
      <c r="U1718" s="16"/>
      <c r="V1718" s="16"/>
      <c r="W1718" s="16"/>
      <c r="X1718" s="16"/>
      <c r="Y1718" s="16"/>
      <c r="Z1718" s="16"/>
      <c r="AA1718" s="16"/>
    </row>
    <row r="1719" spans="1:27" ht="24" customHeight="1">
      <c r="A1719" s="16"/>
      <c r="B1719" s="16"/>
      <c r="C1719" s="16"/>
      <c r="D1719" s="16"/>
      <c r="E1719" s="16"/>
      <c r="F1719" s="16"/>
      <c r="G1719" s="205"/>
      <c r="H1719" s="205"/>
      <c r="I1719" s="16"/>
      <c r="J1719" s="16"/>
      <c r="K1719" s="205"/>
      <c r="L1719" s="16"/>
      <c r="M1719" s="16"/>
      <c r="N1719" s="16"/>
      <c r="O1719" s="16"/>
      <c r="P1719" s="16"/>
      <c r="Q1719" s="16"/>
      <c r="R1719" s="16"/>
      <c r="S1719" s="16"/>
      <c r="T1719" s="16"/>
      <c r="U1719" s="16"/>
      <c r="V1719" s="16"/>
      <c r="W1719" s="16"/>
      <c r="X1719" s="16"/>
      <c r="Y1719" s="16"/>
      <c r="Z1719" s="16"/>
      <c r="AA1719" s="16"/>
    </row>
    <row r="1720" spans="1:27" ht="24" customHeight="1">
      <c r="A1720" s="16"/>
      <c r="B1720" s="16"/>
      <c r="C1720" s="16"/>
      <c r="D1720" s="16"/>
      <c r="E1720" s="16"/>
      <c r="F1720" s="16"/>
      <c r="G1720" s="205"/>
      <c r="H1720" s="205"/>
      <c r="I1720" s="16"/>
      <c r="J1720" s="16"/>
      <c r="K1720" s="205"/>
      <c r="L1720" s="16"/>
      <c r="M1720" s="16"/>
      <c r="N1720" s="16"/>
      <c r="O1720" s="16"/>
      <c r="P1720" s="16"/>
      <c r="Q1720" s="16"/>
      <c r="R1720" s="16"/>
      <c r="S1720" s="16"/>
      <c r="T1720" s="16"/>
      <c r="U1720" s="16"/>
      <c r="V1720" s="16"/>
      <c r="W1720" s="16"/>
      <c r="X1720" s="16"/>
      <c r="Y1720" s="16"/>
      <c r="Z1720" s="16"/>
      <c r="AA1720" s="16"/>
    </row>
    <row r="1721" spans="1:27" ht="24" customHeight="1">
      <c r="A1721" s="16"/>
      <c r="B1721" s="16"/>
      <c r="C1721" s="16"/>
      <c r="D1721" s="16"/>
      <c r="E1721" s="16"/>
      <c r="F1721" s="16"/>
      <c r="G1721" s="205"/>
      <c r="H1721" s="205"/>
      <c r="I1721" s="16"/>
      <c r="J1721" s="16"/>
      <c r="K1721" s="205"/>
      <c r="L1721" s="16"/>
      <c r="M1721" s="16"/>
      <c r="N1721" s="16"/>
      <c r="O1721" s="16"/>
      <c r="P1721" s="16"/>
      <c r="Q1721" s="16"/>
      <c r="R1721" s="16"/>
      <c r="S1721" s="16"/>
      <c r="T1721" s="16"/>
      <c r="U1721" s="16"/>
      <c r="V1721" s="16"/>
      <c r="W1721" s="16"/>
      <c r="X1721" s="16"/>
      <c r="Y1721" s="16"/>
      <c r="Z1721" s="16"/>
      <c r="AA1721" s="16"/>
    </row>
    <row r="1722" spans="1:27" ht="24" customHeight="1">
      <c r="A1722" s="16"/>
      <c r="B1722" s="16"/>
      <c r="C1722" s="16"/>
      <c r="D1722" s="16"/>
      <c r="E1722" s="16"/>
      <c r="F1722" s="16"/>
      <c r="G1722" s="205"/>
      <c r="H1722" s="205"/>
      <c r="I1722" s="16"/>
      <c r="J1722" s="16"/>
      <c r="K1722" s="205"/>
      <c r="L1722" s="16"/>
      <c r="M1722" s="16"/>
      <c r="N1722" s="16"/>
      <c r="O1722" s="16"/>
      <c r="P1722" s="16"/>
      <c r="Q1722" s="16"/>
      <c r="R1722" s="16"/>
      <c r="S1722" s="16"/>
      <c r="T1722" s="16"/>
      <c r="U1722" s="16"/>
      <c r="V1722" s="16"/>
      <c r="W1722" s="16"/>
      <c r="X1722" s="16"/>
      <c r="Y1722" s="16"/>
      <c r="Z1722" s="16"/>
      <c r="AA1722" s="16"/>
    </row>
    <row r="1723" spans="1:27" ht="24" customHeight="1">
      <c r="A1723" s="16"/>
      <c r="B1723" s="16"/>
      <c r="C1723" s="16"/>
      <c r="D1723" s="16"/>
      <c r="E1723" s="16"/>
      <c r="F1723" s="16"/>
      <c r="G1723" s="205"/>
      <c r="H1723" s="205"/>
      <c r="I1723" s="16"/>
      <c r="J1723" s="16"/>
      <c r="K1723" s="205"/>
      <c r="L1723" s="16"/>
      <c r="M1723" s="16"/>
      <c r="N1723" s="16"/>
      <c r="O1723" s="16"/>
      <c r="P1723" s="16"/>
      <c r="Q1723" s="16"/>
      <c r="R1723" s="16"/>
      <c r="S1723" s="16"/>
      <c r="T1723" s="16"/>
      <c r="U1723" s="16"/>
      <c r="V1723" s="16"/>
      <c r="W1723" s="16"/>
      <c r="X1723" s="16"/>
      <c r="Y1723" s="16"/>
      <c r="Z1723" s="16"/>
      <c r="AA1723" s="16"/>
    </row>
    <row r="1724" spans="1:27" ht="24" customHeight="1">
      <c r="A1724" s="16"/>
      <c r="B1724" s="16"/>
      <c r="C1724" s="16"/>
      <c r="D1724" s="16"/>
      <c r="E1724" s="16"/>
      <c r="F1724" s="16"/>
      <c r="G1724" s="205"/>
      <c r="H1724" s="205"/>
      <c r="I1724" s="16"/>
      <c r="J1724" s="16"/>
      <c r="K1724" s="205"/>
      <c r="L1724" s="16"/>
      <c r="M1724" s="16"/>
      <c r="N1724" s="16"/>
      <c r="O1724" s="16"/>
      <c r="P1724" s="16"/>
      <c r="Q1724" s="16"/>
      <c r="R1724" s="16"/>
      <c r="S1724" s="16"/>
      <c r="T1724" s="16"/>
      <c r="U1724" s="16"/>
      <c r="V1724" s="16"/>
      <c r="W1724" s="16"/>
      <c r="X1724" s="16"/>
      <c r="Y1724" s="16"/>
      <c r="Z1724" s="16"/>
      <c r="AA1724" s="16"/>
    </row>
    <row r="1725" spans="1:27" ht="24" customHeight="1">
      <c r="A1725" s="16"/>
      <c r="B1725" s="16"/>
      <c r="C1725" s="16"/>
      <c r="D1725" s="16"/>
      <c r="E1725" s="16"/>
      <c r="F1725" s="16"/>
      <c r="G1725" s="205"/>
      <c r="H1725" s="205"/>
      <c r="I1725" s="16"/>
      <c r="J1725" s="16"/>
      <c r="K1725" s="205"/>
      <c r="L1725" s="16"/>
      <c r="M1725" s="16"/>
      <c r="N1725" s="16"/>
      <c r="O1725" s="16"/>
      <c r="P1725" s="16"/>
      <c r="Q1725" s="16"/>
      <c r="R1725" s="16"/>
      <c r="S1725" s="16"/>
      <c r="T1725" s="16"/>
      <c r="U1725" s="16"/>
      <c r="V1725" s="16"/>
      <c r="W1725" s="16"/>
      <c r="X1725" s="16"/>
      <c r="Y1725" s="16"/>
      <c r="Z1725" s="16"/>
      <c r="AA1725" s="16"/>
    </row>
    <row r="1726" spans="1:27" ht="24" customHeight="1">
      <c r="A1726" s="16"/>
      <c r="B1726" s="16"/>
      <c r="C1726" s="16"/>
      <c r="D1726" s="16"/>
      <c r="E1726" s="16"/>
      <c r="F1726" s="16"/>
      <c r="G1726" s="205"/>
      <c r="H1726" s="205"/>
      <c r="I1726" s="16"/>
      <c r="J1726" s="16"/>
      <c r="K1726" s="205"/>
      <c r="L1726" s="16"/>
      <c r="M1726" s="16"/>
      <c r="N1726" s="16"/>
      <c r="O1726" s="16"/>
      <c r="P1726" s="16"/>
      <c r="Q1726" s="16"/>
      <c r="R1726" s="16"/>
      <c r="S1726" s="16"/>
      <c r="T1726" s="16"/>
      <c r="U1726" s="16"/>
      <c r="V1726" s="16"/>
      <c r="W1726" s="16"/>
      <c r="X1726" s="16"/>
      <c r="Y1726" s="16"/>
      <c r="Z1726" s="16"/>
      <c r="AA1726" s="16"/>
    </row>
    <row r="1727" spans="1:27" ht="24" customHeight="1">
      <c r="A1727" s="16"/>
      <c r="B1727" s="16"/>
      <c r="C1727" s="16"/>
      <c r="D1727" s="16"/>
      <c r="E1727" s="16"/>
      <c r="F1727" s="16"/>
      <c r="G1727" s="205"/>
      <c r="H1727" s="205"/>
      <c r="I1727" s="16"/>
      <c r="J1727" s="16"/>
      <c r="K1727" s="205"/>
      <c r="L1727" s="16"/>
      <c r="M1727" s="16"/>
      <c r="N1727" s="16"/>
      <c r="O1727" s="16"/>
      <c r="P1727" s="16"/>
      <c r="Q1727" s="16"/>
      <c r="R1727" s="16"/>
      <c r="S1727" s="16"/>
      <c r="T1727" s="16"/>
      <c r="U1727" s="16"/>
      <c r="V1727" s="16"/>
      <c r="W1727" s="16"/>
      <c r="X1727" s="16"/>
      <c r="Y1727" s="16"/>
      <c r="Z1727" s="16"/>
      <c r="AA1727" s="16"/>
    </row>
    <row r="1728" spans="1:27" ht="24" customHeight="1">
      <c r="A1728" s="16"/>
      <c r="B1728" s="16"/>
      <c r="C1728" s="16"/>
      <c r="D1728" s="16"/>
      <c r="E1728" s="16"/>
      <c r="F1728" s="16"/>
      <c r="G1728" s="205"/>
      <c r="H1728" s="205"/>
      <c r="I1728" s="16"/>
      <c r="J1728" s="16"/>
      <c r="K1728" s="205"/>
      <c r="L1728" s="16"/>
      <c r="M1728" s="16"/>
      <c r="N1728" s="16"/>
      <c r="O1728" s="16"/>
      <c r="P1728" s="16"/>
      <c r="Q1728" s="16"/>
      <c r="R1728" s="16"/>
      <c r="S1728" s="16"/>
      <c r="T1728" s="16"/>
      <c r="U1728" s="16"/>
      <c r="V1728" s="16"/>
      <c r="W1728" s="16"/>
      <c r="X1728" s="16"/>
      <c r="Y1728" s="16"/>
      <c r="Z1728" s="16"/>
      <c r="AA1728" s="16"/>
    </row>
    <row r="1729" spans="1:27" ht="24" customHeight="1">
      <c r="A1729" s="16"/>
      <c r="B1729" s="16"/>
      <c r="C1729" s="16"/>
      <c r="D1729" s="16"/>
      <c r="E1729" s="16"/>
      <c r="F1729" s="16"/>
      <c r="G1729" s="205"/>
      <c r="H1729" s="205"/>
      <c r="I1729" s="16"/>
      <c r="J1729" s="16"/>
      <c r="K1729" s="205"/>
      <c r="L1729" s="16"/>
      <c r="M1729" s="16"/>
      <c r="N1729" s="16"/>
      <c r="O1729" s="16"/>
      <c r="P1729" s="16"/>
      <c r="Q1729" s="16"/>
      <c r="R1729" s="16"/>
      <c r="S1729" s="16"/>
      <c r="T1729" s="16"/>
      <c r="U1729" s="16"/>
      <c r="V1729" s="16"/>
      <c r="W1729" s="16"/>
      <c r="X1729" s="16"/>
      <c r="Y1729" s="16"/>
      <c r="Z1729" s="16"/>
      <c r="AA1729" s="16"/>
    </row>
    <row r="1730" spans="1:27" ht="24" customHeight="1">
      <c r="A1730" s="16"/>
      <c r="B1730" s="16"/>
      <c r="C1730" s="16"/>
      <c r="D1730" s="16"/>
      <c r="E1730" s="16"/>
      <c r="F1730" s="16"/>
      <c r="G1730" s="205"/>
      <c r="H1730" s="205"/>
      <c r="I1730" s="16"/>
      <c r="J1730" s="16"/>
      <c r="K1730" s="205"/>
      <c r="L1730" s="16"/>
      <c r="M1730" s="16"/>
      <c r="N1730" s="16"/>
      <c r="O1730" s="16"/>
      <c r="P1730" s="16"/>
      <c r="Q1730" s="16"/>
      <c r="R1730" s="16"/>
      <c r="S1730" s="16"/>
      <c r="T1730" s="16"/>
      <c r="U1730" s="16"/>
      <c r="V1730" s="16"/>
      <c r="W1730" s="16"/>
      <c r="X1730" s="16"/>
      <c r="Y1730" s="16"/>
      <c r="Z1730" s="16"/>
      <c r="AA1730" s="16"/>
    </row>
    <row r="1731" spans="1:27" ht="24" customHeight="1">
      <c r="A1731" s="16"/>
      <c r="B1731" s="16"/>
      <c r="C1731" s="16"/>
      <c r="D1731" s="16"/>
      <c r="E1731" s="16"/>
      <c r="F1731" s="16"/>
      <c r="G1731" s="205"/>
      <c r="H1731" s="205"/>
      <c r="I1731" s="16"/>
      <c r="J1731" s="16"/>
      <c r="K1731" s="205"/>
      <c r="L1731" s="16"/>
      <c r="M1731" s="16"/>
      <c r="N1731" s="16"/>
      <c r="O1731" s="16"/>
      <c r="P1731" s="16"/>
      <c r="Q1731" s="16"/>
      <c r="R1731" s="16"/>
      <c r="S1731" s="16"/>
      <c r="T1731" s="16"/>
      <c r="U1731" s="16"/>
      <c r="V1731" s="16"/>
      <c r="W1731" s="16"/>
      <c r="X1731" s="16"/>
      <c r="Y1731" s="16"/>
      <c r="Z1731" s="16"/>
      <c r="AA1731" s="16"/>
    </row>
    <row r="1732" spans="1:27" ht="24" customHeight="1">
      <c r="A1732" s="16"/>
      <c r="B1732" s="16"/>
      <c r="C1732" s="16"/>
      <c r="D1732" s="16"/>
      <c r="E1732" s="16"/>
      <c r="F1732" s="16"/>
      <c r="G1732" s="205"/>
      <c r="H1732" s="205"/>
      <c r="I1732" s="16"/>
      <c r="J1732" s="16"/>
      <c r="K1732" s="205"/>
      <c r="L1732" s="16"/>
      <c r="M1732" s="16"/>
      <c r="N1732" s="16"/>
      <c r="O1732" s="16"/>
      <c r="P1732" s="16"/>
      <c r="Q1732" s="16"/>
      <c r="R1732" s="16"/>
      <c r="S1732" s="16"/>
      <c r="T1732" s="16"/>
      <c r="U1732" s="16"/>
      <c r="V1732" s="16"/>
      <c r="W1732" s="16"/>
      <c r="X1732" s="16"/>
      <c r="Y1732" s="16"/>
      <c r="Z1732" s="16"/>
      <c r="AA1732" s="16"/>
    </row>
    <row r="1733" spans="1:27" ht="24" customHeight="1">
      <c r="A1733" s="16"/>
      <c r="B1733" s="16"/>
      <c r="C1733" s="16"/>
      <c r="D1733" s="16"/>
      <c r="E1733" s="16"/>
      <c r="F1733" s="16"/>
      <c r="G1733" s="205"/>
      <c r="H1733" s="205"/>
      <c r="I1733" s="16"/>
      <c r="J1733" s="16"/>
      <c r="K1733" s="205"/>
      <c r="L1733" s="16"/>
      <c r="M1733" s="16"/>
      <c r="N1733" s="16"/>
      <c r="O1733" s="16"/>
      <c r="P1733" s="16"/>
      <c r="Q1733" s="16"/>
      <c r="R1733" s="16"/>
      <c r="S1733" s="16"/>
      <c r="T1733" s="16"/>
      <c r="U1733" s="16"/>
      <c r="V1733" s="16"/>
      <c r="W1733" s="16"/>
      <c r="X1733" s="16"/>
      <c r="Y1733" s="16"/>
      <c r="Z1733" s="16"/>
      <c r="AA1733" s="16"/>
    </row>
    <row r="1734" spans="1:27" ht="24" customHeight="1">
      <c r="A1734" s="16"/>
      <c r="B1734" s="16"/>
      <c r="C1734" s="16"/>
      <c r="D1734" s="16"/>
      <c r="E1734" s="16"/>
      <c r="F1734" s="16"/>
      <c r="G1734" s="205"/>
      <c r="H1734" s="205"/>
      <c r="I1734" s="16"/>
      <c r="J1734" s="16"/>
      <c r="K1734" s="205"/>
      <c r="L1734" s="16"/>
      <c r="M1734" s="16"/>
      <c r="N1734" s="16"/>
      <c r="O1734" s="16"/>
      <c r="P1734" s="16"/>
      <c r="Q1734" s="16"/>
      <c r="R1734" s="16"/>
      <c r="S1734" s="16"/>
      <c r="T1734" s="16"/>
      <c r="U1734" s="16"/>
      <c r="V1734" s="16"/>
      <c r="W1734" s="16"/>
      <c r="X1734" s="16"/>
      <c r="Y1734" s="16"/>
      <c r="Z1734" s="16"/>
      <c r="AA1734" s="16"/>
    </row>
    <row r="1735" spans="1:27" ht="24" customHeight="1">
      <c r="A1735" s="16"/>
      <c r="B1735" s="16"/>
      <c r="C1735" s="16"/>
      <c r="D1735" s="16"/>
      <c r="E1735" s="16"/>
      <c r="F1735" s="16"/>
      <c r="G1735" s="205"/>
      <c r="H1735" s="205"/>
      <c r="I1735" s="16"/>
      <c r="J1735" s="16"/>
      <c r="K1735" s="205"/>
      <c r="L1735" s="16"/>
      <c r="M1735" s="16"/>
      <c r="N1735" s="16"/>
      <c r="O1735" s="16"/>
      <c r="P1735" s="16"/>
      <c r="Q1735" s="16"/>
      <c r="R1735" s="16"/>
      <c r="S1735" s="16"/>
      <c r="T1735" s="16"/>
      <c r="U1735" s="16"/>
      <c r="V1735" s="16"/>
      <c r="W1735" s="16"/>
      <c r="X1735" s="16"/>
      <c r="Y1735" s="16"/>
      <c r="Z1735" s="16"/>
      <c r="AA1735" s="16"/>
    </row>
    <row r="1736" spans="1:27" ht="24" customHeight="1">
      <c r="A1736" s="16"/>
      <c r="B1736" s="16"/>
      <c r="C1736" s="16"/>
      <c r="D1736" s="16"/>
      <c r="E1736" s="16"/>
      <c r="F1736" s="16"/>
      <c r="G1736" s="205"/>
      <c r="H1736" s="205"/>
      <c r="I1736" s="16"/>
      <c r="J1736" s="16"/>
      <c r="K1736" s="205"/>
      <c r="L1736" s="16"/>
      <c r="M1736" s="16"/>
      <c r="N1736" s="16"/>
      <c r="O1736" s="16"/>
      <c r="P1736" s="16"/>
      <c r="Q1736" s="16"/>
      <c r="R1736" s="16"/>
      <c r="S1736" s="16"/>
      <c r="T1736" s="16"/>
      <c r="U1736" s="16"/>
      <c r="V1736" s="16"/>
      <c r="W1736" s="16"/>
      <c r="X1736" s="16"/>
      <c r="Y1736" s="16"/>
      <c r="Z1736" s="16"/>
      <c r="AA1736" s="16"/>
    </row>
    <row r="1737" spans="1:27" ht="24" customHeight="1">
      <c r="A1737" s="16"/>
      <c r="B1737" s="16"/>
      <c r="C1737" s="16"/>
      <c r="D1737" s="16"/>
      <c r="E1737" s="16"/>
      <c r="F1737" s="16"/>
      <c r="G1737" s="205"/>
      <c r="H1737" s="205"/>
      <c r="I1737" s="16"/>
      <c r="J1737" s="16"/>
      <c r="K1737" s="205"/>
      <c r="L1737" s="16"/>
      <c r="M1737" s="16"/>
      <c r="N1737" s="16"/>
      <c r="O1737" s="16"/>
      <c r="P1737" s="16"/>
      <c r="Q1737" s="16"/>
      <c r="R1737" s="16"/>
      <c r="S1737" s="16"/>
      <c r="T1737" s="16"/>
      <c r="U1737" s="16"/>
      <c r="V1737" s="16"/>
      <c r="W1737" s="16"/>
      <c r="X1737" s="16"/>
      <c r="Y1737" s="16"/>
      <c r="Z1737" s="16"/>
      <c r="AA1737" s="16"/>
    </row>
    <row r="1738" spans="1:27" ht="24" customHeight="1">
      <c r="A1738" s="16"/>
      <c r="B1738" s="16"/>
      <c r="C1738" s="16"/>
      <c r="D1738" s="16"/>
      <c r="E1738" s="16"/>
      <c r="F1738" s="16"/>
      <c r="G1738" s="205"/>
      <c r="H1738" s="205"/>
      <c r="I1738" s="16"/>
      <c r="J1738" s="16"/>
      <c r="K1738" s="205"/>
      <c r="L1738" s="16"/>
      <c r="M1738" s="16"/>
      <c r="N1738" s="16"/>
      <c r="O1738" s="16"/>
      <c r="P1738" s="16"/>
      <c r="Q1738" s="16"/>
      <c r="R1738" s="16"/>
      <c r="S1738" s="16"/>
      <c r="T1738" s="16"/>
      <c r="U1738" s="16"/>
      <c r="V1738" s="16"/>
      <c r="W1738" s="16"/>
      <c r="X1738" s="16"/>
      <c r="Y1738" s="16"/>
      <c r="Z1738" s="16"/>
      <c r="AA1738" s="16"/>
    </row>
    <row r="1739" spans="1:27" ht="24" customHeight="1">
      <c r="A1739" s="16"/>
      <c r="B1739" s="16"/>
      <c r="C1739" s="16"/>
      <c r="D1739" s="16"/>
      <c r="E1739" s="16"/>
      <c r="F1739" s="16"/>
      <c r="G1739" s="205"/>
      <c r="H1739" s="205"/>
      <c r="I1739" s="16"/>
      <c r="J1739" s="16"/>
      <c r="K1739" s="205"/>
      <c r="L1739" s="16"/>
      <c r="M1739" s="16"/>
      <c r="N1739" s="16"/>
      <c r="O1739" s="16"/>
      <c r="P1739" s="16"/>
      <c r="Q1739" s="16"/>
      <c r="R1739" s="16"/>
      <c r="S1739" s="16"/>
      <c r="T1739" s="16"/>
      <c r="U1739" s="16"/>
      <c r="V1739" s="16"/>
      <c r="W1739" s="16"/>
      <c r="X1739" s="16"/>
      <c r="Y1739" s="16"/>
      <c r="Z1739" s="16"/>
      <c r="AA1739" s="16"/>
    </row>
    <row r="1740" spans="1:27" ht="24" customHeight="1">
      <c r="A1740" s="16"/>
      <c r="B1740" s="16"/>
      <c r="C1740" s="16"/>
      <c r="D1740" s="16"/>
      <c r="E1740" s="16"/>
      <c r="F1740" s="16"/>
      <c r="G1740" s="205"/>
      <c r="H1740" s="205"/>
      <c r="I1740" s="16"/>
      <c r="J1740" s="16"/>
      <c r="K1740" s="205"/>
      <c r="L1740" s="16"/>
      <c r="M1740" s="16"/>
      <c r="N1740" s="16"/>
      <c r="O1740" s="16"/>
      <c r="P1740" s="16"/>
      <c r="Q1740" s="16"/>
      <c r="R1740" s="16"/>
      <c r="S1740" s="16"/>
      <c r="T1740" s="16"/>
      <c r="U1740" s="16"/>
      <c r="V1740" s="16"/>
      <c r="W1740" s="16"/>
      <c r="X1740" s="16"/>
      <c r="Y1740" s="16"/>
      <c r="Z1740" s="16"/>
      <c r="AA1740" s="16"/>
    </row>
    <row r="1741" spans="1:27" ht="24" customHeight="1">
      <c r="A1741" s="16"/>
      <c r="B1741" s="16"/>
      <c r="C1741" s="16"/>
      <c r="D1741" s="16"/>
      <c r="E1741" s="16"/>
      <c r="F1741" s="16"/>
      <c r="G1741" s="205"/>
      <c r="H1741" s="205"/>
      <c r="I1741" s="16"/>
      <c r="J1741" s="16"/>
      <c r="K1741" s="205"/>
      <c r="L1741" s="16"/>
      <c r="M1741" s="16"/>
      <c r="N1741" s="16"/>
      <c r="O1741" s="16"/>
      <c r="P1741" s="16"/>
      <c r="Q1741" s="16"/>
      <c r="R1741" s="16"/>
      <c r="S1741" s="16"/>
      <c r="T1741" s="16"/>
      <c r="U1741" s="16"/>
      <c r="V1741" s="16"/>
      <c r="W1741" s="16"/>
      <c r="X1741" s="16"/>
      <c r="Y1741" s="16"/>
      <c r="Z1741" s="16"/>
      <c r="AA1741" s="16"/>
    </row>
    <row r="1742" spans="1:27" ht="24" customHeight="1">
      <c r="A1742" s="16"/>
      <c r="B1742" s="16"/>
      <c r="C1742" s="16"/>
      <c r="D1742" s="16"/>
      <c r="E1742" s="16"/>
      <c r="F1742" s="16"/>
      <c r="G1742" s="205"/>
      <c r="H1742" s="205"/>
      <c r="I1742" s="16"/>
      <c r="J1742" s="16"/>
      <c r="K1742" s="205"/>
      <c r="L1742" s="16"/>
      <c r="M1742" s="16"/>
      <c r="N1742" s="16"/>
      <c r="O1742" s="16"/>
      <c r="P1742" s="16"/>
      <c r="Q1742" s="16"/>
      <c r="R1742" s="16"/>
      <c r="S1742" s="16"/>
      <c r="T1742" s="16"/>
      <c r="U1742" s="16"/>
      <c r="V1742" s="16"/>
      <c r="W1742" s="16"/>
      <c r="X1742" s="16"/>
      <c r="Y1742" s="16"/>
      <c r="Z1742" s="16"/>
      <c r="AA1742" s="16"/>
    </row>
    <row r="1743" spans="1:27" ht="24" customHeight="1">
      <c r="A1743" s="16"/>
      <c r="B1743" s="16"/>
      <c r="C1743" s="16"/>
      <c r="D1743" s="16"/>
      <c r="E1743" s="16"/>
      <c r="F1743" s="16"/>
      <c r="G1743" s="205"/>
      <c r="H1743" s="205"/>
      <c r="I1743" s="16"/>
      <c r="J1743" s="16"/>
      <c r="K1743" s="205"/>
      <c r="L1743" s="16"/>
      <c r="M1743" s="16"/>
      <c r="N1743" s="16"/>
      <c r="O1743" s="16"/>
      <c r="P1743" s="16"/>
      <c r="Q1743" s="16"/>
      <c r="R1743" s="16"/>
      <c r="S1743" s="16"/>
      <c r="T1743" s="16"/>
      <c r="U1743" s="16"/>
      <c r="V1743" s="16"/>
      <c r="W1743" s="16"/>
      <c r="X1743" s="16"/>
      <c r="Y1743" s="16"/>
      <c r="Z1743" s="16"/>
      <c r="AA1743" s="16"/>
    </row>
    <row r="1744" spans="1:27" ht="24" customHeight="1">
      <c r="A1744" s="16"/>
      <c r="B1744" s="16"/>
      <c r="C1744" s="16"/>
      <c r="D1744" s="16"/>
      <c r="E1744" s="16"/>
      <c r="F1744" s="16"/>
      <c r="G1744" s="205"/>
      <c r="H1744" s="205"/>
      <c r="I1744" s="16"/>
      <c r="J1744" s="16"/>
      <c r="K1744" s="205"/>
      <c r="L1744" s="16"/>
      <c r="M1744" s="16"/>
      <c r="N1744" s="16"/>
      <c r="O1744" s="16"/>
      <c r="P1744" s="16"/>
      <c r="Q1744" s="16"/>
      <c r="R1744" s="16"/>
      <c r="S1744" s="16"/>
      <c r="T1744" s="16"/>
      <c r="U1744" s="16"/>
      <c r="V1744" s="16"/>
      <c r="W1744" s="16"/>
      <c r="X1744" s="16"/>
      <c r="Y1744" s="16"/>
      <c r="Z1744" s="16"/>
      <c r="AA1744" s="16"/>
    </row>
    <row r="1745" spans="1:27" ht="24" customHeight="1">
      <c r="A1745" s="16"/>
      <c r="B1745" s="16"/>
      <c r="C1745" s="16"/>
      <c r="D1745" s="16"/>
      <c r="E1745" s="16"/>
      <c r="F1745" s="16"/>
      <c r="G1745" s="205"/>
      <c r="H1745" s="205"/>
      <c r="I1745" s="16"/>
      <c r="J1745" s="16"/>
      <c r="K1745" s="205"/>
      <c r="L1745" s="16"/>
      <c r="M1745" s="16"/>
      <c r="N1745" s="16"/>
      <c r="O1745" s="16"/>
      <c r="P1745" s="16"/>
      <c r="Q1745" s="16"/>
      <c r="R1745" s="16"/>
      <c r="S1745" s="16"/>
      <c r="T1745" s="16"/>
      <c r="U1745" s="16"/>
      <c r="V1745" s="16"/>
      <c r="W1745" s="16"/>
      <c r="X1745" s="16"/>
      <c r="Y1745" s="16"/>
      <c r="Z1745" s="16"/>
      <c r="AA1745" s="16"/>
    </row>
    <row r="1746" spans="1:27" ht="24" customHeight="1">
      <c r="A1746" s="16"/>
      <c r="B1746" s="16"/>
      <c r="C1746" s="16"/>
      <c r="D1746" s="16"/>
      <c r="E1746" s="16"/>
      <c r="F1746" s="16"/>
      <c r="G1746" s="205"/>
      <c r="H1746" s="205"/>
      <c r="I1746" s="16"/>
      <c r="J1746" s="16"/>
      <c r="K1746" s="205"/>
      <c r="L1746" s="16"/>
      <c r="M1746" s="16"/>
      <c r="N1746" s="16"/>
      <c r="O1746" s="16"/>
      <c r="P1746" s="16"/>
      <c r="Q1746" s="16"/>
      <c r="R1746" s="16"/>
      <c r="S1746" s="16"/>
      <c r="T1746" s="16"/>
      <c r="U1746" s="16"/>
      <c r="V1746" s="16"/>
      <c r="W1746" s="16"/>
      <c r="X1746" s="16"/>
      <c r="Y1746" s="16"/>
      <c r="Z1746" s="16"/>
      <c r="AA1746" s="16"/>
    </row>
    <row r="1747" spans="1:27" ht="24" customHeight="1">
      <c r="A1747" s="16"/>
      <c r="B1747" s="16"/>
      <c r="C1747" s="16"/>
      <c r="D1747" s="16"/>
      <c r="E1747" s="16"/>
      <c r="F1747" s="16"/>
      <c r="G1747" s="205"/>
      <c r="H1747" s="205"/>
      <c r="I1747" s="16"/>
      <c r="J1747" s="16"/>
      <c r="K1747" s="205"/>
      <c r="L1747" s="16"/>
      <c r="M1747" s="16"/>
      <c r="N1747" s="16"/>
      <c r="O1747" s="16"/>
      <c r="P1747" s="16"/>
      <c r="Q1747" s="16"/>
      <c r="R1747" s="16"/>
      <c r="S1747" s="16"/>
      <c r="T1747" s="16"/>
      <c r="U1747" s="16"/>
      <c r="V1747" s="16"/>
      <c r="W1747" s="16"/>
      <c r="X1747" s="16"/>
      <c r="Y1747" s="16"/>
      <c r="Z1747" s="16"/>
      <c r="AA1747" s="16"/>
    </row>
    <row r="1748" spans="1:27" ht="24" customHeight="1">
      <c r="A1748" s="16"/>
      <c r="B1748" s="16"/>
      <c r="C1748" s="16"/>
      <c r="D1748" s="16"/>
      <c r="E1748" s="16"/>
      <c r="F1748" s="16"/>
      <c r="G1748" s="205"/>
      <c r="H1748" s="205"/>
      <c r="I1748" s="16"/>
      <c r="J1748" s="16"/>
      <c r="K1748" s="205"/>
      <c r="L1748" s="16"/>
      <c r="M1748" s="16"/>
      <c r="N1748" s="16"/>
      <c r="O1748" s="16"/>
      <c r="P1748" s="16"/>
      <c r="Q1748" s="16"/>
      <c r="R1748" s="16"/>
      <c r="S1748" s="16"/>
      <c r="T1748" s="16"/>
      <c r="U1748" s="16"/>
      <c r="V1748" s="16"/>
      <c r="W1748" s="16"/>
      <c r="X1748" s="16"/>
      <c r="Y1748" s="16"/>
      <c r="Z1748" s="16"/>
      <c r="AA1748" s="16"/>
    </row>
    <row r="1749" spans="1:27" ht="24" customHeight="1">
      <c r="A1749" s="16"/>
      <c r="B1749" s="16"/>
      <c r="C1749" s="16"/>
      <c r="D1749" s="16"/>
      <c r="E1749" s="16"/>
      <c r="F1749" s="16"/>
      <c r="G1749" s="205"/>
      <c r="H1749" s="205"/>
      <c r="I1749" s="16"/>
      <c r="J1749" s="16"/>
      <c r="K1749" s="205"/>
      <c r="L1749" s="16"/>
      <c r="M1749" s="16"/>
      <c r="N1749" s="16"/>
      <c r="O1749" s="16"/>
      <c r="P1749" s="16"/>
      <c r="Q1749" s="16"/>
      <c r="R1749" s="16"/>
      <c r="S1749" s="16"/>
      <c r="T1749" s="16"/>
      <c r="U1749" s="16"/>
      <c r="V1749" s="16"/>
      <c r="W1749" s="16"/>
      <c r="X1749" s="16"/>
      <c r="Y1749" s="16"/>
      <c r="Z1749" s="16"/>
      <c r="AA1749" s="16"/>
    </row>
    <row r="1750" spans="1:27" ht="24" customHeight="1">
      <c r="A1750" s="16"/>
      <c r="B1750" s="16"/>
      <c r="C1750" s="16"/>
      <c r="D1750" s="16"/>
      <c r="E1750" s="16"/>
      <c r="F1750" s="16"/>
      <c r="G1750" s="205"/>
      <c r="H1750" s="205"/>
      <c r="I1750" s="16"/>
      <c r="J1750" s="16"/>
      <c r="K1750" s="205"/>
      <c r="L1750" s="16"/>
      <c r="M1750" s="16"/>
      <c r="N1750" s="16"/>
      <c r="O1750" s="16"/>
      <c r="P1750" s="16"/>
      <c r="Q1750" s="16"/>
      <c r="R1750" s="16"/>
      <c r="S1750" s="16"/>
      <c r="T1750" s="16"/>
      <c r="U1750" s="16"/>
      <c r="V1750" s="16"/>
      <c r="W1750" s="16"/>
      <c r="X1750" s="16"/>
      <c r="Y1750" s="16"/>
      <c r="Z1750" s="16"/>
      <c r="AA1750" s="16"/>
    </row>
    <row r="1751" spans="1:27" ht="24" customHeight="1">
      <c r="A1751" s="16"/>
      <c r="B1751" s="16"/>
      <c r="C1751" s="16"/>
      <c r="D1751" s="16"/>
      <c r="E1751" s="16"/>
      <c r="F1751" s="16"/>
      <c r="G1751" s="205"/>
      <c r="H1751" s="205"/>
      <c r="I1751" s="16"/>
      <c r="J1751" s="16"/>
      <c r="K1751" s="205"/>
      <c r="L1751" s="16"/>
      <c r="M1751" s="16"/>
      <c r="N1751" s="16"/>
      <c r="O1751" s="16"/>
      <c r="P1751" s="16"/>
      <c r="Q1751" s="16"/>
      <c r="R1751" s="16"/>
      <c r="S1751" s="16"/>
      <c r="T1751" s="16"/>
      <c r="U1751" s="16"/>
      <c r="V1751" s="16"/>
      <c r="W1751" s="16"/>
      <c r="X1751" s="16"/>
      <c r="Y1751" s="16"/>
      <c r="Z1751" s="16"/>
      <c r="AA1751" s="16"/>
    </row>
    <row r="1752" spans="1:27" ht="24" customHeight="1">
      <c r="A1752" s="16"/>
      <c r="B1752" s="16"/>
      <c r="C1752" s="16"/>
      <c r="D1752" s="16"/>
      <c r="E1752" s="16"/>
      <c r="F1752" s="16"/>
      <c r="G1752" s="205"/>
      <c r="H1752" s="205"/>
      <c r="I1752" s="16"/>
      <c r="J1752" s="16"/>
      <c r="K1752" s="205"/>
      <c r="L1752" s="16"/>
      <c r="M1752" s="16"/>
      <c r="N1752" s="16"/>
      <c r="O1752" s="16"/>
      <c r="P1752" s="16"/>
      <c r="Q1752" s="16"/>
      <c r="R1752" s="16"/>
      <c r="S1752" s="16"/>
      <c r="T1752" s="16"/>
      <c r="U1752" s="16"/>
      <c r="V1752" s="16"/>
      <c r="W1752" s="16"/>
      <c r="X1752" s="16"/>
      <c r="Y1752" s="16"/>
      <c r="Z1752" s="16"/>
      <c r="AA1752" s="16"/>
    </row>
    <row r="1753" spans="1:27" ht="24" customHeight="1">
      <c r="A1753" s="16"/>
      <c r="B1753" s="16"/>
      <c r="C1753" s="16"/>
      <c r="D1753" s="16"/>
      <c r="E1753" s="16"/>
      <c r="F1753" s="16"/>
      <c r="G1753" s="205"/>
      <c r="H1753" s="205"/>
      <c r="I1753" s="16"/>
      <c r="J1753" s="16"/>
      <c r="K1753" s="205"/>
      <c r="L1753" s="16"/>
      <c r="M1753" s="16"/>
      <c r="N1753" s="16"/>
      <c r="O1753" s="16"/>
      <c r="P1753" s="16"/>
      <c r="Q1753" s="16"/>
      <c r="R1753" s="16"/>
      <c r="S1753" s="16"/>
      <c r="T1753" s="16"/>
      <c r="U1753" s="16"/>
      <c r="V1753" s="16"/>
      <c r="W1753" s="16"/>
      <c r="X1753" s="16"/>
      <c r="Y1753" s="16"/>
      <c r="Z1753" s="16"/>
      <c r="AA1753" s="16"/>
    </row>
    <row r="1754" spans="1:27" ht="24" customHeight="1">
      <c r="A1754" s="16"/>
      <c r="B1754" s="16"/>
      <c r="C1754" s="16"/>
      <c r="D1754" s="16"/>
      <c r="E1754" s="16"/>
      <c r="F1754" s="16"/>
      <c r="G1754" s="205"/>
      <c r="H1754" s="205"/>
      <c r="I1754" s="16"/>
      <c r="J1754" s="16"/>
      <c r="K1754" s="205"/>
      <c r="L1754" s="16"/>
      <c r="M1754" s="16"/>
      <c r="N1754" s="16"/>
      <c r="O1754" s="16"/>
      <c r="P1754" s="16"/>
      <c r="Q1754" s="16"/>
      <c r="R1754" s="16"/>
      <c r="S1754" s="16"/>
      <c r="T1754" s="16"/>
      <c r="U1754" s="16"/>
      <c r="V1754" s="16"/>
      <c r="W1754" s="16"/>
      <c r="X1754" s="16"/>
      <c r="Y1754" s="16"/>
      <c r="Z1754" s="16"/>
      <c r="AA1754" s="16"/>
    </row>
    <row r="1755" spans="1:27" ht="24" customHeight="1">
      <c r="A1755" s="16"/>
      <c r="B1755" s="16"/>
      <c r="C1755" s="16"/>
      <c r="D1755" s="16"/>
      <c r="E1755" s="16"/>
      <c r="F1755" s="16"/>
      <c r="G1755" s="205"/>
      <c r="H1755" s="205"/>
      <c r="I1755" s="16"/>
      <c r="J1755" s="16"/>
      <c r="K1755" s="205"/>
      <c r="L1755" s="16"/>
      <c r="M1755" s="16"/>
      <c r="N1755" s="16"/>
      <c r="O1755" s="16"/>
      <c r="P1755" s="16"/>
      <c r="Q1755" s="16"/>
      <c r="R1755" s="16"/>
      <c r="S1755" s="16"/>
      <c r="T1755" s="16"/>
      <c r="U1755" s="16"/>
      <c r="V1755" s="16"/>
      <c r="W1755" s="16"/>
      <c r="X1755" s="16"/>
      <c r="Y1755" s="16"/>
      <c r="Z1755" s="16"/>
      <c r="AA1755" s="16"/>
    </row>
    <row r="1756" spans="1:27" ht="24" customHeight="1">
      <c r="A1756" s="16"/>
      <c r="B1756" s="16"/>
      <c r="C1756" s="16"/>
      <c r="D1756" s="16"/>
      <c r="E1756" s="16"/>
      <c r="F1756" s="16"/>
      <c r="G1756" s="205"/>
      <c r="H1756" s="205"/>
      <c r="I1756" s="16"/>
      <c r="J1756" s="16"/>
      <c r="K1756" s="205"/>
      <c r="L1756" s="16"/>
      <c r="M1756" s="16"/>
      <c r="N1756" s="16"/>
      <c r="O1756" s="16"/>
      <c r="P1756" s="16"/>
      <c r="Q1756" s="16"/>
      <c r="R1756" s="16"/>
      <c r="S1756" s="16"/>
      <c r="T1756" s="16"/>
      <c r="U1756" s="16"/>
      <c r="V1756" s="16"/>
      <c r="W1756" s="16"/>
      <c r="X1756" s="16"/>
      <c r="Y1756" s="16"/>
      <c r="Z1756" s="16"/>
      <c r="AA1756" s="16"/>
    </row>
    <row r="1757" spans="1:27" ht="24" customHeight="1">
      <c r="A1757" s="16"/>
      <c r="B1757" s="16"/>
      <c r="C1757" s="16"/>
      <c r="D1757" s="16"/>
      <c r="E1757" s="16"/>
      <c r="F1757" s="16"/>
      <c r="G1757" s="205"/>
      <c r="H1757" s="205"/>
      <c r="I1757" s="16"/>
      <c r="J1757" s="16"/>
      <c r="K1757" s="205"/>
      <c r="L1757" s="16"/>
      <c r="M1757" s="16"/>
      <c r="N1757" s="16"/>
      <c r="O1757" s="16"/>
      <c r="P1757" s="16"/>
      <c r="Q1757" s="16"/>
      <c r="R1757" s="16"/>
      <c r="S1757" s="16"/>
      <c r="T1757" s="16"/>
      <c r="U1757" s="16"/>
      <c r="V1757" s="16"/>
      <c r="W1757" s="16"/>
      <c r="X1757" s="16"/>
      <c r="Y1757" s="16"/>
      <c r="Z1757" s="16"/>
      <c r="AA1757" s="16"/>
    </row>
    <row r="1758" spans="1:27" ht="24" customHeight="1">
      <c r="A1758" s="16"/>
      <c r="B1758" s="16"/>
      <c r="C1758" s="16"/>
      <c r="D1758" s="16"/>
      <c r="E1758" s="16"/>
      <c r="F1758" s="16"/>
      <c r="G1758" s="205"/>
      <c r="H1758" s="205"/>
      <c r="I1758" s="16"/>
      <c r="J1758" s="16"/>
      <c r="K1758" s="205"/>
      <c r="L1758" s="16"/>
      <c r="M1758" s="16"/>
      <c r="N1758" s="16"/>
      <c r="O1758" s="16"/>
      <c r="P1758" s="16"/>
      <c r="Q1758" s="16"/>
      <c r="R1758" s="16"/>
      <c r="S1758" s="16"/>
      <c r="T1758" s="16"/>
      <c r="U1758" s="16"/>
      <c r="V1758" s="16"/>
      <c r="W1758" s="16"/>
      <c r="X1758" s="16"/>
      <c r="Y1758" s="16"/>
      <c r="Z1758" s="16"/>
      <c r="AA1758" s="16"/>
    </row>
    <row r="1759" spans="1:27" ht="24" customHeight="1">
      <c r="A1759" s="16"/>
      <c r="B1759" s="16"/>
      <c r="C1759" s="16"/>
      <c r="D1759" s="16"/>
      <c r="E1759" s="16"/>
      <c r="F1759" s="16"/>
      <c r="G1759" s="205"/>
      <c r="H1759" s="205"/>
      <c r="I1759" s="16"/>
      <c r="J1759" s="16"/>
      <c r="K1759" s="205"/>
      <c r="L1759" s="16"/>
      <c r="M1759" s="16"/>
      <c r="N1759" s="16"/>
      <c r="O1759" s="16"/>
      <c r="P1759" s="16"/>
      <c r="Q1759" s="16"/>
      <c r="R1759" s="16"/>
      <c r="S1759" s="16"/>
      <c r="T1759" s="16"/>
      <c r="U1759" s="16"/>
      <c r="V1759" s="16"/>
      <c r="W1759" s="16"/>
      <c r="X1759" s="16"/>
      <c r="Y1759" s="16"/>
      <c r="Z1759" s="16"/>
      <c r="AA1759" s="16"/>
    </row>
    <row r="1760" spans="1:27" ht="24" customHeight="1">
      <c r="A1760" s="16"/>
      <c r="B1760" s="16"/>
      <c r="C1760" s="16"/>
      <c r="D1760" s="16"/>
      <c r="E1760" s="16"/>
      <c r="F1760" s="16"/>
      <c r="G1760" s="205"/>
      <c r="H1760" s="205"/>
      <c r="I1760" s="16"/>
      <c r="J1760" s="16"/>
      <c r="K1760" s="205"/>
      <c r="L1760" s="16"/>
      <c r="M1760" s="16"/>
      <c r="N1760" s="16"/>
      <c r="O1760" s="16"/>
      <c r="P1760" s="16"/>
      <c r="Q1760" s="16"/>
      <c r="R1760" s="16"/>
      <c r="S1760" s="16"/>
      <c r="T1760" s="16"/>
      <c r="U1760" s="16"/>
      <c r="V1760" s="16"/>
      <c r="W1760" s="16"/>
      <c r="X1760" s="16"/>
      <c r="Y1760" s="16"/>
      <c r="Z1760" s="16"/>
      <c r="AA1760" s="16"/>
    </row>
    <row r="1761" spans="1:27" ht="24" customHeight="1">
      <c r="A1761" s="16"/>
      <c r="B1761" s="16"/>
      <c r="C1761" s="16"/>
      <c r="D1761" s="16"/>
      <c r="E1761" s="16"/>
      <c r="F1761" s="16"/>
      <c r="G1761" s="205"/>
      <c r="H1761" s="205"/>
      <c r="I1761" s="16"/>
      <c r="J1761" s="16"/>
      <c r="K1761" s="205"/>
      <c r="L1761" s="16"/>
      <c r="M1761" s="16"/>
      <c r="N1761" s="16"/>
      <c r="O1761" s="16"/>
      <c r="P1761" s="16"/>
      <c r="Q1761" s="16"/>
      <c r="R1761" s="16"/>
      <c r="S1761" s="16"/>
      <c r="T1761" s="16"/>
      <c r="U1761" s="16"/>
      <c r="V1761" s="16"/>
      <c r="W1761" s="16"/>
      <c r="X1761" s="16"/>
      <c r="Y1761" s="16"/>
      <c r="Z1761" s="16"/>
      <c r="AA1761" s="16"/>
    </row>
    <row r="1762" spans="1:27" ht="24" customHeight="1">
      <c r="A1762" s="16"/>
      <c r="B1762" s="16"/>
      <c r="C1762" s="16"/>
      <c r="D1762" s="16"/>
      <c r="E1762" s="16"/>
      <c r="F1762" s="16"/>
      <c r="G1762" s="205"/>
      <c r="H1762" s="205"/>
      <c r="I1762" s="16"/>
      <c r="J1762" s="16"/>
      <c r="K1762" s="205"/>
      <c r="L1762" s="16"/>
      <c r="M1762" s="16"/>
      <c r="N1762" s="16"/>
      <c r="O1762" s="16"/>
      <c r="P1762" s="16"/>
      <c r="Q1762" s="16"/>
      <c r="R1762" s="16"/>
      <c r="S1762" s="16"/>
      <c r="T1762" s="16"/>
      <c r="U1762" s="16"/>
      <c r="V1762" s="16"/>
      <c r="W1762" s="16"/>
      <c r="X1762" s="16"/>
      <c r="Y1762" s="16"/>
      <c r="Z1762" s="16"/>
      <c r="AA1762" s="16"/>
    </row>
    <row r="1763" spans="1:27" ht="24" customHeight="1">
      <c r="A1763" s="16"/>
      <c r="B1763" s="16"/>
      <c r="C1763" s="16"/>
      <c r="D1763" s="16"/>
      <c r="E1763" s="16"/>
      <c r="F1763" s="16"/>
      <c r="G1763" s="205"/>
      <c r="H1763" s="205"/>
      <c r="I1763" s="16"/>
      <c r="J1763" s="16"/>
      <c r="K1763" s="205"/>
      <c r="L1763" s="16"/>
      <c r="M1763" s="16"/>
      <c r="N1763" s="16"/>
      <c r="O1763" s="16"/>
      <c r="P1763" s="16"/>
      <c r="Q1763" s="16"/>
      <c r="R1763" s="16"/>
      <c r="S1763" s="16"/>
      <c r="T1763" s="16"/>
      <c r="U1763" s="16"/>
      <c r="V1763" s="16"/>
      <c r="W1763" s="16"/>
      <c r="X1763" s="16"/>
      <c r="Y1763" s="16"/>
      <c r="Z1763" s="16"/>
      <c r="AA1763" s="16"/>
    </row>
    <row r="1764" spans="1:27" ht="24" customHeight="1">
      <c r="A1764" s="16"/>
      <c r="B1764" s="16"/>
      <c r="C1764" s="16"/>
      <c r="D1764" s="16"/>
      <c r="E1764" s="16"/>
      <c r="F1764" s="16"/>
      <c r="G1764" s="205"/>
      <c r="H1764" s="205"/>
      <c r="I1764" s="16"/>
      <c r="J1764" s="16"/>
      <c r="K1764" s="205"/>
      <c r="L1764" s="16"/>
      <c r="M1764" s="16"/>
      <c r="N1764" s="16"/>
      <c r="O1764" s="16"/>
      <c r="P1764" s="16"/>
      <c r="Q1764" s="16"/>
      <c r="R1764" s="16"/>
      <c r="S1764" s="16"/>
      <c r="T1764" s="16"/>
      <c r="U1764" s="16"/>
      <c r="V1764" s="16"/>
      <c r="W1764" s="16"/>
      <c r="X1764" s="16"/>
      <c r="Y1764" s="16"/>
      <c r="Z1764" s="16"/>
      <c r="AA1764" s="16"/>
    </row>
    <row r="1765" spans="1:27" ht="24" customHeight="1">
      <c r="A1765" s="16"/>
      <c r="B1765" s="16"/>
      <c r="C1765" s="16"/>
      <c r="D1765" s="16"/>
      <c r="E1765" s="16"/>
      <c r="F1765" s="16"/>
      <c r="G1765" s="205"/>
      <c r="H1765" s="205"/>
      <c r="I1765" s="16"/>
      <c r="J1765" s="16"/>
      <c r="K1765" s="205"/>
      <c r="L1765" s="16"/>
      <c r="M1765" s="16"/>
      <c r="N1765" s="16"/>
      <c r="O1765" s="16"/>
      <c r="P1765" s="16"/>
      <c r="Q1765" s="16"/>
      <c r="R1765" s="16"/>
      <c r="S1765" s="16"/>
      <c r="T1765" s="16"/>
      <c r="U1765" s="16"/>
      <c r="V1765" s="16"/>
      <c r="W1765" s="16"/>
      <c r="X1765" s="16"/>
      <c r="Y1765" s="16"/>
      <c r="Z1765" s="16"/>
      <c r="AA1765" s="16"/>
    </row>
    <row r="1766" spans="1:27" ht="24" customHeight="1">
      <c r="A1766" s="16"/>
      <c r="B1766" s="16"/>
      <c r="C1766" s="16"/>
      <c r="D1766" s="16"/>
      <c r="E1766" s="16"/>
      <c r="F1766" s="16"/>
      <c r="G1766" s="205"/>
      <c r="H1766" s="205"/>
      <c r="I1766" s="16"/>
      <c r="J1766" s="16"/>
      <c r="K1766" s="205"/>
      <c r="L1766" s="16"/>
      <c r="M1766" s="16"/>
      <c r="N1766" s="16"/>
      <c r="O1766" s="16"/>
      <c r="P1766" s="16"/>
      <c r="Q1766" s="16"/>
      <c r="R1766" s="16"/>
      <c r="S1766" s="16"/>
      <c r="T1766" s="16"/>
      <c r="U1766" s="16"/>
      <c r="V1766" s="16"/>
      <c r="W1766" s="16"/>
      <c r="X1766" s="16"/>
      <c r="Y1766" s="16"/>
      <c r="Z1766" s="16"/>
      <c r="AA1766" s="16"/>
    </row>
    <row r="1767" spans="1:27" ht="24" customHeight="1">
      <c r="A1767" s="16"/>
      <c r="B1767" s="16"/>
      <c r="C1767" s="16"/>
      <c r="D1767" s="16"/>
      <c r="E1767" s="16"/>
      <c r="F1767" s="16"/>
      <c r="G1767" s="205"/>
      <c r="H1767" s="205"/>
      <c r="I1767" s="16"/>
      <c r="J1767" s="16"/>
      <c r="K1767" s="205"/>
      <c r="L1767" s="16"/>
      <c r="M1767" s="16"/>
      <c r="N1767" s="16"/>
      <c r="O1767" s="16"/>
      <c r="P1767" s="16"/>
      <c r="Q1767" s="16"/>
      <c r="R1767" s="16"/>
      <c r="S1767" s="16"/>
      <c r="T1767" s="16"/>
      <c r="U1767" s="16"/>
      <c r="V1767" s="16"/>
      <c r="W1767" s="16"/>
      <c r="X1767" s="16"/>
      <c r="Y1767" s="16"/>
      <c r="Z1767" s="16"/>
      <c r="AA1767" s="16"/>
    </row>
    <row r="1768" spans="1:27" ht="24" customHeight="1">
      <c r="A1768" s="16"/>
      <c r="B1768" s="16"/>
      <c r="C1768" s="16"/>
      <c r="D1768" s="16"/>
      <c r="E1768" s="16"/>
      <c r="F1768" s="16"/>
      <c r="G1768" s="205"/>
      <c r="H1768" s="205"/>
      <c r="I1768" s="16"/>
      <c r="J1768" s="16"/>
      <c r="K1768" s="205"/>
      <c r="L1768" s="16"/>
      <c r="M1768" s="16"/>
      <c r="N1768" s="16"/>
      <c r="O1768" s="16"/>
      <c r="P1768" s="16"/>
      <c r="Q1768" s="16"/>
      <c r="R1768" s="16"/>
      <c r="S1768" s="16"/>
      <c r="T1768" s="16"/>
      <c r="U1768" s="16"/>
      <c r="V1768" s="16"/>
      <c r="W1768" s="16"/>
      <c r="X1768" s="16"/>
      <c r="Y1768" s="16"/>
      <c r="Z1768" s="16"/>
      <c r="AA1768" s="16"/>
    </row>
    <row r="1769" spans="1:27" ht="24" customHeight="1">
      <c r="A1769" s="16"/>
      <c r="B1769" s="16"/>
      <c r="C1769" s="16"/>
      <c r="D1769" s="16"/>
      <c r="E1769" s="16"/>
      <c r="F1769" s="16"/>
      <c r="G1769" s="205"/>
      <c r="H1769" s="205"/>
      <c r="I1769" s="16"/>
      <c r="J1769" s="16"/>
      <c r="K1769" s="205"/>
      <c r="L1769" s="16"/>
      <c r="M1769" s="16"/>
      <c r="N1769" s="16"/>
      <c r="O1769" s="16"/>
      <c r="P1769" s="16"/>
      <c r="Q1769" s="16"/>
      <c r="R1769" s="16"/>
      <c r="S1769" s="16"/>
      <c r="T1769" s="16"/>
      <c r="U1769" s="16"/>
      <c r="V1769" s="16"/>
      <c r="W1769" s="16"/>
      <c r="X1769" s="16"/>
      <c r="Y1769" s="16"/>
      <c r="Z1769" s="16"/>
      <c r="AA1769" s="16"/>
    </row>
    <row r="1770" spans="1:27" ht="24" customHeight="1">
      <c r="A1770" s="16"/>
      <c r="B1770" s="16"/>
      <c r="C1770" s="16"/>
      <c r="D1770" s="16"/>
      <c r="E1770" s="16"/>
      <c r="F1770" s="16"/>
      <c r="G1770" s="205"/>
      <c r="H1770" s="205"/>
      <c r="I1770" s="16"/>
      <c r="J1770" s="16"/>
      <c r="K1770" s="205"/>
      <c r="L1770" s="16"/>
      <c r="M1770" s="16"/>
      <c r="N1770" s="16"/>
      <c r="O1770" s="16"/>
      <c r="P1770" s="16"/>
      <c r="Q1770" s="16"/>
      <c r="R1770" s="16"/>
      <c r="S1770" s="16"/>
      <c r="T1770" s="16"/>
      <c r="U1770" s="16"/>
      <c r="V1770" s="16"/>
      <c r="W1770" s="16"/>
      <c r="X1770" s="16"/>
      <c r="Y1770" s="16"/>
      <c r="Z1770" s="16"/>
      <c r="AA1770" s="16"/>
    </row>
    <row r="1771" spans="1:27" ht="24" customHeight="1">
      <c r="A1771" s="16"/>
      <c r="B1771" s="16"/>
      <c r="C1771" s="16"/>
      <c r="D1771" s="16"/>
      <c r="E1771" s="16"/>
      <c r="F1771" s="16"/>
      <c r="G1771" s="205"/>
      <c r="H1771" s="205"/>
      <c r="I1771" s="16"/>
      <c r="J1771" s="16"/>
      <c r="K1771" s="205"/>
      <c r="L1771" s="16"/>
      <c r="M1771" s="16"/>
      <c r="N1771" s="16"/>
      <c r="O1771" s="16"/>
      <c r="P1771" s="16"/>
      <c r="Q1771" s="16"/>
      <c r="R1771" s="16"/>
      <c r="S1771" s="16"/>
      <c r="T1771" s="16"/>
      <c r="U1771" s="16"/>
      <c r="V1771" s="16"/>
      <c r="W1771" s="16"/>
      <c r="X1771" s="16"/>
      <c r="Y1771" s="16"/>
      <c r="Z1771" s="16"/>
      <c r="AA1771" s="16"/>
    </row>
    <row r="1772" spans="1:27" ht="24" customHeight="1">
      <c r="A1772" s="16"/>
      <c r="B1772" s="16"/>
      <c r="C1772" s="16"/>
      <c r="D1772" s="16"/>
      <c r="E1772" s="16"/>
      <c r="F1772" s="16"/>
      <c r="G1772" s="205"/>
      <c r="H1772" s="205"/>
      <c r="I1772" s="16"/>
      <c r="J1772" s="16"/>
      <c r="K1772" s="205"/>
      <c r="L1772" s="16"/>
      <c r="M1772" s="16"/>
      <c r="N1772" s="16"/>
      <c r="O1772" s="16"/>
      <c r="P1772" s="16"/>
      <c r="Q1772" s="16"/>
      <c r="R1772" s="16"/>
      <c r="S1772" s="16"/>
      <c r="T1772" s="16"/>
      <c r="U1772" s="16"/>
      <c r="V1772" s="16"/>
      <c r="W1772" s="16"/>
      <c r="X1772" s="16"/>
      <c r="Y1772" s="16"/>
      <c r="Z1772" s="16"/>
      <c r="AA1772" s="16"/>
    </row>
    <row r="1773" spans="1:27" ht="24" customHeight="1">
      <c r="A1773" s="16"/>
      <c r="B1773" s="16"/>
      <c r="C1773" s="16"/>
      <c r="D1773" s="16"/>
      <c r="E1773" s="16"/>
      <c r="F1773" s="16"/>
      <c r="G1773" s="205"/>
      <c r="H1773" s="205"/>
      <c r="I1773" s="16"/>
      <c r="J1773" s="16"/>
      <c r="K1773" s="205"/>
      <c r="L1773" s="16"/>
      <c r="M1773" s="16"/>
      <c r="N1773" s="16"/>
      <c r="O1773" s="16"/>
      <c r="P1773" s="16"/>
      <c r="Q1773" s="16"/>
      <c r="R1773" s="16"/>
      <c r="S1773" s="16"/>
      <c r="T1773" s="16"/>
      <c r="U1773" s="16"/>
      <c r="V1773" s="16"/>
      <c r="W1773" s="16"/>
      <c r="X1773" s="16"/>
      <c r="Y1773" s="16"/>
      <c r="Z1773" s="16"/>
      <c r="AA1773" s="16"/>
    </row>
    <row r="1774" spans="1:27" ht="24" customHeight="1">
      <c r="A1774" s="16"/>
      <c r="B1774" s="16"/>
      <c r="C1774" s="16"/>
      <c r="D1774" s="16"/>
      <c r="E1774" s="16"/>
      <c r="F1774" s="16"/>
      <c r="G1774" s="205"/>
      <c r="H1774" s="205"/>
      <c r="I1774" s="16"/>
      <c r="J1774" s="16"/>
      <c r="K1774" s="205"/>
      <c r="L1774" s="16"/>
      <c r="M1774" s="16"/>
      <c r="N1774" s="16"/>
      <c r="O1774" s="16"/>
      <c r="P1774" s="16"/>
      <c r="Q1774" s="16"/>
      <c r="R1774" s="16"/>
      <c r="S1774" s="16"/>
      <c r="T1774" s="16"/>
      <c r="U1774" s="16"/>
      <c r="V1774" s="16"/>
      <c r="W1774" s="16"/>
      <c r="X1774" s="16"/>
      <c r="Y1774" s="16"/>
      <c r="Z1774" s="16"/>
      <c r="AA1774" s="16"/>
    </row>
    <row r="1775" spans="1:27" ht="24" customHeight="1">
      <c r="A1775" s="16"/>
      <c r="B1775" s="16"/>
      <c r="C1775" s="16"/>
      <c r="D1775" s="16"/>
      <c r="E1775" s="16"/>
      <c r="F1775" s="16"/>
      <c r="G1775" s="205"/>
      <c r="H1775" s="205"/>
      <c r="I1775" s="16"/>
      <c r="J1775" s="16"/>
      <c r="K1775" s="205"/>
      <c r="L1775" s="16"/>
      <c r="M1775" s="16"/>
      <c r="N1775" s="16"/>
      <c r="O1775" s="16"/>
      <c r="P1775" s="16"/>
      <c r="Q1775" s="16"/>
      <c r="R1775" s="16"/>
      <c r="S1775" s="16"/>
      <c r="T1775" s="16"/>
      <c r="U1775" s="16"/>
      <c r="V1775" s="16"/>
      <c r="W1775" s="16"/>
      <c r="X1775" s="16"/>
      <c r="Y1775" s="16"/>
      <c r="Z1775" s="16"/>
      <c r="AA1775" s="16"/>
    </row>
    <row r="1776" spans="1:27" ht="24" customHeight="1">
      <c r="A1776" s="16"/>
      <c r="B1776" s="16"/>
      <c r="C1776" s="16"/>
      <c r="D1776" s="16"/>
      <c r="E1776" s="16"/>
      <c r="F1776" s="16"/>
      <c r="G1776" s="205"/>
      <c r="H1776" s="205"/>
      <c r="I1776" s="16"/>
      <c r="J1776" s="16"/>
      <c r="K1776" s="205"/>
      <c r="L1776" s="16"/>
      <c r="M1776" s="16"/>
      <c r="N1776" s="16"/>
      <c r="O1776" s="16"/>
      <c r="P1776" s="16"/>
      <c r="Q1776" s="16"/>
      <c r="R1776" s="16"/>
      <c r="S1776" s="16"/>
      <c r="T1776" s="16"/>
      <c r="U1776" s="16"/>
      <c r="V1776" s="16"/>
      <c r="W1776" s="16"/>
      <c r="X1776" s="16"/>
      <c r="Y1776" s="16"/>
      <c r="Z1776" s="16"/>
      <c r="AA1776" s="16"/>
    </row>
    <row r="1777" spans="1:27" ht="24" customHeight="1">
      <c r="A1777" s="16"/>
      <c r="B1777" s="16"/>
      <c r="C1777" s="16"/>
      <c r="D1777" s="16"/>
      <c r="E1777" s="16"/>
      <c r="F1777" s="16"/>
      <c r="G1777" s="205"/>
      <c r="H1777" s="205"/>
      <c r="I1777" s="16"/>
      <c r="J1777" s="16"/>
      <c r="K1777" s="205"/>
      <c r="L1777" s="16"/>
      <c r="M1777" s="16"/>
      <c r="N1777" s="16"/>
      <c r="O1777" s="16"/>
      <c r="P1777" s="16"/>
      <c r="Q1777" s="16"/>
      <c r="R1777" s="16"/>
      <c r="S1777" s="16"/>
      <c r="T1777" s="16"/>
      <c r="U1777" s="16"/>
      <c r="V1777" s="16"/>
      <c r="W1777" s="16"/>
      <c r="X1777" s="16"/>
      <c r="Y1777" s="16"/>
      <c r="Z1777" s="16"/>
      <c r="AA1777" s="16"/>
    </row>
    <row r="1778" spans="1:27" ht="24" customHeight="1">
      <c r="A1778" s="16"/>
      <c r="B1778" s="16"/>
      <c r="C1778" s="16"/>
      <c r="D1778" s="16"/>
      <c r="E1778" s="16"/>
      <c r="F1778" s="16"/>
      <c r="G1778" s="205"/>
      <c r="H1778" s="205"/>
      <c r="I1778" s="16"/>
      <c r="J1778" s="16"/>
      <c r="K1778" s="205"/>
      <c r="L1778" s="16"/>
      <c r="M1778" s="16"/>
      <c r="N1778" s="16"/>
      <c r="O1778" s="16"/>
      <c r="P1778" s="16"/>
      <c r="Q1778" s="16"/>
      <c r="R1778" s="16"/>
      <c r="S1778" s="16"/>
      <c r="T1778" s="16"/>
      <c r="U1778" s="16"/>
      <c r="V1778" s="16"/>
      <c r="W1778" s="16"/>
      <c r="X1778" s="16"/>
      <c r="Y1778" s="16"/>
      <c r="Z1778" s="16"/>
      <c r="AA1778" s="16"/>
    </row>
    <row r="1779" spans="1:27" ht="24" customHeight="1">
      <c r="A1779" s="16"/>
      <c r="B1779" s="16"/>
      <c r="C1779" s="16"/>
      <c r="D1779" s="16"/>
      <c r="E1779" s="16"/>
      <c r="F1779" s="16"/>
      <c r="G1779" s="205"/>
      <c r="H1779" s="205"/>
      <c r="I1779" s="16"/>
      <c r="J1779" s="16"/>
      <c r="K1779" s="205"/>
      <c r="L1779" s="16"/>
      <c r="M1779" s="16"/>
      <c r="N1779" s="16"/>
      <c r="O1779" s="16"/>
      <c r="P1779" s="16"/>
      <c r="Q1779" s="16"/>
      <c r="R1779" s="16"/>
      <c r="S1779" s="16"/>
      <c r="T1779" s="16"/>
      <c r="U1779" s="16"/>
      <c r="V1779" s="16"/>
      <c r="W1779" s="16"/>
      <c r="X1779" s="16"/>
      <c r="Y1779" s="16"/>
      <c r="Z1779" s="16"/>
      <c r="AA1779" s="16"/>
    </row>
    <row r="1780" spans="1:27" ht="24" customHeight="1">
      <c r="A1780" s="16"/>
      <c r="B1780" s="16"/>
      <c r="C1780" s="16"/>
      <c r="D1780" s="16"/>
      <c r="E1780" s="16"/>
      <c r="F1780" s="16"/>
      <c r="G1780" s="205"/>
      <c r="H1780" s="205"/>
      <c r="I1780" s="16"/>
      <c r="J1780" s="16"/>
      <c r="K1780" s="205"/>
      <c r="L1780" s="16"/>
      <c r="M1780" s="16"/>
      <c r="N1780" s="16"/>
      <c r="O1780" s="16"/>
      <c r="P1780" s="16"/>
      <c r="Q1780" s="16"/>
      <c r="R1780" s="16"/>
      <c r="S1780" s="16"/>
      <c r="T1780" s="16"/>
      <c r="U1780" s="16"/>
      <c r="V1780" s="16"/>
      <c r="W1780" s="16"/>
      <c r="X1780" s="16"/>
      <c r="Y1780" s="16"/>
      <c r="Z1780" s="16"/>
      <c r="AA1780" s="16"/>
    </row>
    <row r="1781" spans="1:27" ht="24" customHeight="1">
      <c r="A1781" s="16"/>
      <c r="B1781" s="16"/>
      <c r="C1781" s="16"/>
      <c r="D1781" s="16"/>
      <c r="E1781" s="16"/>
      <c r="F1781" s="16"/>
      <c r="G1781" s="205"/>
      <c r="H1781" s="205"/>
      <c r="I1781" s="16"/>
      <c r="J1781" s="16"/>
      <c r="K1781" s="205"/>
      <c r="L1781" s="16"/>
      <c r="M1781" s="16"/>
      <c r="N1781" s="16"/>
      <c r="O1781" s="16"/>
      <c r="P1781" s="16"/>
      <c r="Q1781" s="16"/>
      <c r="R1781" s="16"/>
      <c r="S1781" s="16"/>
      <c r="T1781" s="16"/>
      <c r="U1781" s="16"/>
      <c r="V1781" s="16"/>
      <c r="W1781" s="16"/>
      <c r="X1781" s="16"/>
      <c r="Y1781" s="16"/>
      <c r="Z1781" s="16"/>
      <c r="AA1781" s="16"/>
    </row>
    <row r="1782" spans="1:27" ht="24" customHeight="1">
      <c r="A1782" s="16"/>
      <c r="B1782" s="16"/>
      <c r="C1782" s="16"/>
      <c r="D1782" s="16"/>
      <c r="E1782" s="16"/>
      <c r="F1782" s="16"/>
      <c r="G1782" s="205"/>
      <c r="H1782" s="205"/>
      <c r="I1782" s="16"/>
      <c r="J1782" s="16"/>
      <c r="K1782" s="205"/>
      <c r="L1782" s="16"/>
      <c r="M1782" s="16"/>
      <c r="N1782" s="16"/>
      <c r="O1782" s="16"/>
      <c r="P1782" s="16"/>
      <c r="Q1782" s="16"/>
      <c r="R1782" s="16"/>
      <c r="S1782" s="16"/>
      <c r="T1782" s="16"/>
      <c r="U1782" s="16"/>
      <c r="V1782" s="16"/>
      <c r="W1782" s="16"/>
      <c r="X1782" s="16"/>
      <c r="Y1782" s="16"/>
      <c r="Z1782" s="16"/>
      <c r="AA1782" s="16"/>
    </row>
    <row r="1783" spans="1:27" ht="24" customHeight="1">
      <c r="A1783" s="16"/>
      <c r="B1783" s="16"/>
      <c r="C1783" s="16"/>
      <c r="D1783" s="16"/>
      <c r="E1783" s="16"/>
      <c r="F1783" s="16"/>
      <c r="G1783" s="205"/>
      <c r="H1783" s="205"/>
      <c r="I1783" s="16"/>
      <c r="J1783" s="16"/>
      <c r="K1783" s="205"/>
      <c r="L1783" s="16"/>
      <c r="M1783" s="16"/>
      <c r="N1783" s="16"/>
      <c r="O1783" s="16"/>
      <c r="P1783" s="16"/>
      <c r="Q1783" s="16"/>
      <c r="R1783" s="16"/>
      <c r="S1783" s="16"/>
      <c r="T1783" s="16"/>
      <c r="U1783" s="16"/>
      <c r="V1783" s="16"/>
      <c r="W1783" s="16"/>
      <c r="X1783" s="16"/>
      <c r="Y1783" s="16"/>
      <c r="Z1783" s="16"/>
      <c r="AA1783" s="16"/>
    </row>
    <row r="1784" spans="1:27" ht="24" customHeight="1">
      <c r="A1784" s="16"/>
      <c r="B1784" s="16"/>
      <c r="C1784" s="16"/>
      <c r="D1784" s="16"/>
      <c r="E1784" s="16"/>
      <c r="F1784" s="16"/>
      <c r="G1784" s="205"/>
      <c r="H1784" s="205"/>
      <c r="I1784" s="16"/>
      <c r="J1784" s="16"/>
      <c r="K1784" s="205"/>
      <c r="L1784" s="16"/>
      <c r="M1784" s="16"/>
      <c r="N1784" s="16"/>
      <c r="O1784" s="16"/>
      <c r="P1784" s="16"/>
      <c r="Q1784" s="16"/>
      <c r="R1784" s="16"/>
      <c r="S1784" s="16"/>
      <c r="T1784" s="16"/>
      <c r="U1784" s="16"/>
      <c r="V1784" s="16"/>
      <c r="W1784" s="16"/>
      <c r="X1784" s="16"/>
      <c r="Y1784" s="16"/>
      <c r="Z1784" s="16"/>
      <c r="AA1784" s="16"/>
    </row>
    <row r="1785" spans="1:27" ht="24" customHeight="1">
      <c r="A1785" s="16"/>
      <c r="B1785" s="16"/>
      <c r="C1785" s="16"/>
      <c r="D1785" s="16"/>
      <c r="E1785" s="16"/>
      <c r="F1785" s="16"/>
      <c r="G1785" s="205"/>
      <c r="H1785" s="205"/>
      <c r="I1785" s="16"/>
      <c r="J1785" s="16"/>
      <c r="K1785" s="205"/>
      <c r="L1785" s="16"/>
      <c r="M1785" s="16"/>
      <c r="N1785" s="16"/>
      <c r="O1785" s="16"/>
      <c r="P1785" s="16"/>
      <c r="Q1785" s="16"/>
      <c r="R1785" s="16"/>
      <c r="S1785" s="16"/>
      <c r="T1785" s="16"/>
      <c r="U1785" s="16"/>
      <c r="V1785" s="16"/>
      <c r="W1785" s="16"/>
      <c r="X1785" s="16"/>
      <c r="Y1785" s="16"/>
      <c r="Z1785" s="16"/>
      <c r="AA1785" s="16"/>
    </row>
    <row r="1786" spans="1:27" ht="24" customHeight="1">
      <c r="A1786" s="16"/>
      <c r="B1786" s="16"/>
      <c r="C1786" s="16"/>
      <c r="D1786" s="16"/>
      <c r="E1786" s="16"/>
      <c r="F1786" s="16"/>
      <c r="G1786" s="205"/>
      <c r="H1786" s="205"/>
      <c r="I1786" s="16"/>
      <c r="J1786" s="16"/>
      <c r="K1786" s="205"/>
      <c r="L1786" s="16"/>
      <c r="M1786" s="16"/>
      <c r="N1786" s="16"/>
      <c r="O1786" s="16"/>
      <c r="P1786" s="16"/>
      <c r="Q1786" s="16"/>
      <c r="R1786" s="16"/>
      <c r="S1786" s="16"/>
      <c r="T1786" s="16"/>
      <c r="U1786" s="16"/>
      <c r="V1786" s="16"/>
      <c r="W1786" s="16"/>
      <c r="X1786" s="16"/>
      <c r="Y1786" s="16"/>
      <c r="Z1786" s="16"/>
      <c r="AA1786" s="16"/>
    </row>
    <row r="1787" spans="1:27" ht="24" customHeight="1">
      <c r="A1787" s="16"/>
      <c r="B1787" s="16"/>
      <c r="C1787" s="16"/>
      <c r="D1787" s="16"/>
      <c r="E1787" s="16"/>
      <c r="F1787" s="16"/>
      <c r="G1787" s="205"/>
      <c r="H1787" s="205"/>
      <c r="I1787" s="16"/>
      <c r="J1787" s="16"/>
      <c r="K1787" s="205"/>
      <c r="L1787" s="16"/>
      <c r="M1787" s="16"/>
      <c r="N1787" s="16"/>
      <c r="O1787" s="16"/>
      <c r="P1787" s="16"/>
      <c r="Q1787" s="16"/>
      <c r="R1787" s="16"/>
      <c r="S1787" s="16"/>
      <c r="T1787" s="16"/>
      <c r="U1787" s="16"/>
      <c r="V1787" s="16"/>
      <c r="W1787" s="16"/>
      <c r="X1787" s="16"/>
      <c r="Y1787" s="16"/>
      <c r="Z1787" s="16"/>
      <c r="AA1787" s="16"/>
    </row>
    <row r="1788" spans="1:27" ht="24" customHeight="1">
      <c r="A1788" s="16"/>
      <c r="B1788" s="16"/>
      <c r="C1788" s="16"/>
      <c r="D1788" s="16"/>
      <c r="E1788" s="16"/>
      <c r="F1788" s="16"/>
      <c r="G1788" s="205"/>
      <c r="H1788" s="205"/>
      <c r="I1788" s="16"/>
      <c r="J1788" s="16"/>
      <c r="K1788" s="205"/>
      <c r="L1788" s="16"/>
      <c r="M1788" s="16"/>
      <c r="N1788" s="16"/>
      <c r="O1788" s="16"/>
      <c r="P1788" s="16"/>
      <c r="Q1788" s="16"/>
      <c r="R1788" s="16"/>
      <c r="S1788" s="16"/>
      <c r="T1788" s="16"/>
      <c r="U1788" s="16"/>
      <c r="V1788" s="16"/>
      <c r="W1788" s="16"/>
      <c r="X1788" s="16"/>
      <c r="Y1788" s="16"/>
      <c r="Z1788" s="16"/>
      <c r="AA1788" s="16"/>
    </row>
    <row r="1789" spans="1:27" ht="24" customHeight="1">
      <c r="A1789" s="16"/>
      <c r="B1789" s="16"/>
      <c r="C1789" s="16"/>
      <c r="D1789" s="16"/>
      <c r="E1789" s="16"/>
      <c r="F1789" s="16"/>
      <c r="G1789" s="205"/>
      <c r="H1789" s="205"/>
      <c r="I1789" s="16"/>
      <c r="J1789" s="16"/>
      <c r="K1789" s="205"/>
      <c r="L1789" s="16"/>
      <c r="M1789" s="16"/>
      <c r="N1789" s="16"/>
      <c r="O1789" s="16"/>
      <c r="P1789" s="16"/>
      <c r="Q1789" s="16"/>
      <c r="R1789" s="16"/>
      <c r="S1789" s="16"/>
      <c r="T1789" s="16"/>
      <c r="U1789" s="16"/>
      <c r="V1789" s="16"/>
      <c r="W1789" s="16"/>
      <c r="X1789" s="16"/>
      <c r="Y1789" s="16"/>
      <c r="Z1789" s="16"/>
      <c r="AA1789" s="16"/>
    </row>
    <row r="1790" spans="1:27" ht="24" customHeight="1">
      <c r="A1790" s="16"/>
      <c r="B1790" s="16"/>
      <c r="C1790" s="16"/>
      <c r="D1790" s="16"/>
      <c r="E1790" s="16"/>
      <c r="F1790" s="16"/>
      <c r="G1790" s="205"/>
      <c r="H1790" s="205"/>
      <c r="I1790" s="16"/>
      <c r="J1790" s="16"/>
      <c r="K1790" s="205"/>
      <c r="L1790" s="16"/>
      <c r="M1790" s="16"/>
      <c r="N1790" s="16"/>
      <c r="O1790" s="16"/>
      <c r="P1790" s="16"/>
      <c r="Q1790" s="16"/>
      <c r="R1790" s="16"/>
      <c r="S1790" s="16"/>
      <c r="T1790" s="16"/>
      <c r="U1790" s="16"/>
      <c r="V1790" s="16"/>
      <c r="W1790" s="16"/>
      <c r="X1790" s="16"/>
      <c r="Y1790" s="16"/>
      <c r="Z1790" s="16"/>
      <c r="AA1790" s="16"/>
    </row>
    <row r="1791" spans="1:27" ht="24" customHeight="1">
      <c r="A1791" s="16"/>
      <c r="B1791" s="16"/>
      <c r="C1791" s="16"/>
      <c r="D1791" s="16"/>
      <c r="E1791" s="16"/>
      <c r="F1791" s="16"/>
      <c r="G1791" s="205"/>
      <c r="H1791" s="205"/>
      <c r="I1791" s="16"/>
      <c r="J1791" s="16"/>
      <c r="K1791" s="205"/>
      <c r="L1791" s="16"/>
      <c r="M1791" s="16"/>
      <c r="N1791" s="16"/>
      <c r="O1791" s="16"/>
      <c r="P1791" s="16"/>
      <c r="Q1791" s="16"/>
      <c r="R1791" s="16"/>
      <c r="S1791" s="16"/>
      <c r="T1791" s="16"/>
      <c r="U1791" s="16"/>
      <c r="V1791" s="16"/>
      <c r="W1791" s="16"/>
      <c r="X1791" s="16"/>
      <c r="Y1791" s="16"/>
      <c r="Z1791" s="16"/>
      <c r="AA1791" s="16"/>
    </row>
    <row r="1792" spans="1:27" ht="24" customHeight="1">
      <c r="A1792" s="16"/>
      <c r="B1792" s="16"/>
      <c r="C1792" s="16"/>
      <c r="D1792" s="16"/>
      <c r="E1792" s="16"/>
      <c r="F1792" s="16"/>
      <c r="G1792" s="205"/>
      <c r="H1792" s="205"/>
      <c r="I1792" s="16"/>
      <c r="J1792" s="16"/>
      <c r="K1792" s="205"/>
      <c r="L1792" s="16"/>
      <c r="M1792" s="16"/>
      <c r="N1792" s="16"/>
      <c r="O1792" s="16"/>
      <c r="P1792" s="16"/>
      <c r="Q1792" s="16"/>
      <c r="R1792" s="16"/>
      <c r="S1792" s="16"/>
      <c r="T1792" s="16"/>
      <c r="U1792" s="16"/>
      <c r="V1792" s="16"/>
      <c r="W1792" s="16"/>
      <c r="X1792" s="16"/>
      <c r="Y1792" s="16"/>
      <c r="Z1792" s="16"/>
      <c r="AA1792" s="16"/>
    </row>
    <row r="1793" spans="1:27" ht="24" customHeight="1">
      <c r="A1793" s="16"/>
      <c r="B1793" s="16"/>
      <c r="C1793" s="16"/>
      <c r="D1793" s="16"/>
      <c r="E1793" s="16"/>
      <c r="F1793" s="16"/>
      <c r="G1793" s="205"/>
      <c r="H1793" s="205"/>
      <c r="I1793" s="16"/>
      <c r="J1793" s="16"/>
      <c r="K1793" s="205"/>
      <c r="L1793" s="16"/>
      <c r="M1793" s="16"/>
      <c r="N1793" s="16"/>
      <c r="O1793" s="16"/>
      <c r="P1793" s="16"/>
      <c r="Q1793" s="16"/>
      <c r="R1793" s="16"/>
      <c r="S1793" s="16"/>
      <c r="T1793" s="16"/>
      <c r="U1793" s="16"/>
      <c r="V1793" s="16"/>
      <c r="W1793" s="16"/>
      <c r="X1793" s="16"/>
      <c r="Y1793" s="16"/>
      <c r="Z1793" s="16"/>
      <c r="AA1793" s="16"/>
    </row>
    <row r="1794" spans="1:27" ht="24" customHeight="1">
      <c r="A1794" s="16"/>
      <c r="B1794" s="16"/>
      <c r="C1794" s="16"/>
      <c r="D1794" s="16"/>
      <c r="E1794" s="16"/>
      <c r="F1794" s="16"/>
      <c r="G1794" s="205"/>
      <c r="H1794" s="205"/>
      <c r="I1794" s="16"/>
      <c r="J1794" s="16"/>
      <c r="K1794" s="205"/>
      <c r="L1794" s="16"/>
      <c r="M1794" s="16"/>
      <c r="N1794" s="16"/>
      <c r="O1794" s="16"/>
      <c r="P1794" s="16"/>
      <c r="Q1794" s="16"/>
      <c r="R1794" s="16"/>
      <c r="S1794" s="16"/>
      <c r="T1794" s="16"/>
      <c r="U1794" s="16"/>
      <c r="V1794" s="16"/>
      <c r="W1794" s="16"/>
      <c r="X1794" s="16"/>
      <c r="Y1794" s="16"/>
      <c r="Z1794" s="16"/>
      <c r="AA1794" s="16"/>
    </row>
    <row r="1795" spans="1:27" ht="24" customHeight="1">
      <c r="A1795" s="16"/>
      <c r="B1795" s="16"/>
      <c r="C1795" s="16"/>
      <c r="D1795" s="16"/>
      <c r="E1795" s="16"/>
      <c r="F1795" s="16"/>
      <c r="G1795" s="205"/>
      <c r="H1795" s="205"/>
      <c r="I1795" s="16"/>
      <c r="J1795" s="16"/>
      <c r="K1795" s="205"/>
      <c r="L1795" s="16"/>
      <c r="M1795" s="16"/>
      <c r="N1795" s="16"/>
      <c r="O1795" s="16"/>
      <c r="P1795" s="16"/>
      <c r="Q1795" s="16"/>
      <c r="R1795" s="16"/>
      <c r="S1795" s="16"/>
      <c r="T1795" s="16"/>
      <c r="U1795" s="16"/>
      <c r="V1795" s="16"/>
      <c r="W1795" s="16"/>
      <c r="X1795" s="16"/>
      <c r="Y1795" s="16"/>
      <c r="Z1795" s="16"/>
      <c r="AA1795" s="16"/>
    </row>
    <row r="1796" spans="1:27" ht="24" customHeight="1">
      <c r="A1796" s="16"/>
      <c r="B1796" s="16"/>
      <c r="C1796" s="16"/>
      <c r="D1796" s="16"/>
      <c r="E1796" s="16"/>
      <c r="F1796" s="16"/>
      <c r="G1796" s="205"/>
      <c r="H1796" s="205"/>
      <c r="I1796" s="16"/>
      <c r="J1796" s="16"/>
      <c r="K1796" s="205"/>
      <c r="L1796" s="16"/>
      <c r="M1796" s="16"/>
      <c r="N1796" s="16"/>
      <c r="O1796" s="16"/>
      <c r="P1796" s="16"/>
      <c r="Q1796" s="16"/>
      <c r="R1796" s="16"/>
      <c r="S1796" s="16"/>
      <c r="T1796" s="16"/>
      <c r="U1796" s="16"/>
      <c r="V1796" s="16"/>
      <c r="W1796" s="16"/>
      <c r="X1796" s="16"/>
      <c r="Y1796" s="16"/>
      <c r="Z1796" s="16"/>
      <c r="AA1796" s="16"/>
    </row>
    <row r="1797" spans="1:27" ht="24" customHeight="1">
      <c r="A1797" s="16"/>
      <c r="B1797" s="16"/>
      <c r="C1797" s="16"/>
      <c r="D1797" s="16"/>
      <c r="E1797" s="16"/>
      <c r="F1797" s="16"/>
      <c r="G1797" s="205"/>
      <c r="H1797" s="205"/>
      <c r="I1797" s="16"/>
      <c r="J1797" s="16"/>
      <c r="K1797" s="205"/>
      <c r="L1797" s="16"/>
      <c r="M1797" s="16"/>
      <c r="N1797" s="16"/>
      <c r="O1797" s="16"/>
      <c r="P1797" s="16"/>
      <c r="Q1797" s="16"/>
      <c r="R1797" s="16"/>
      <c r="S1797" s="16"/>
      <c r="T1797" s="16"/>
      <c r="U1797" s="16"/>
      <c r="V1797" s="16"/>
      <c r="W1797" s="16"/>
      <c r="X1797" s="16"/>
      <c r="Y1797" s="16"/>
      <c r="Z1797" s="16"/>
      <c r="AA1797" s="16"/>
    </row>
    <row r="1798" spans="1:27" ht="24" customHeight="1">
      <c r="A1798" s="16"/>
      <c r="B1798" s="16"/>
      <c r="C1798" s="16"/>
      <c r="D1798" s="16"/>
      <c r="E1798" s="16"/>
      <c r="F1798" s="16"/>
      <c r="G1798" s="205"/>
      <c r="H1798" s="205"/>
      <c r="I1798" s="16"/>
      <c r="J1798" s="16"/>
      <c r="K1798" s="205"/>
      <c r="L1798" s="16"/>
      <c r="M1798" s="16"/>
      <c r="N1798" s="16"/>
      <c r="O1798" s="16"/>
      <c r="P1798" s="16"/>
      <c r="Q1798" s="16"/>
      <c r="R1798" s="16"/>
      <c r="S1798" s="16"/>
      <c r="T1798" s="16"/>
      <c r="U1798" s="16"/>
      <c r="V1798" s="16"/>
      <c r="W1798" s="16"/>
      <c r="X1798" s="16"/>
      <c r="Y1798" s="16"/>
      <c r="Z1798" s="16"/>
      <c r="AA1798" s="16"/>
    </row>
    <row r="1799" spans="1:27" ht="24" customHeight="1">
      <c r="A1799" s="16"/>
      <c r="B1799" s="16"/>
      <c r="C1799" s="16"/>
      <c r="D1799" s="16"/>
      <c r="E1799" s="16"/>
      <c r="F1799" s="16"/>
      <c r="G1799" s="205"/>
      <c r="H1799" s="205"/>
      <c r="I1799" s="16"/>
      <c r="J1799" s="16"/>
      <c r="K1799" s="205"/>
      <c r="L1799" s="16"/>
      <c r="M1799" s="16"/>
      <c r="N1799" s="16"/>
      <c r="O1799" s="16"/>
      <c r="P1799" s="16"/>
      <c r="Q1799" s="16"/>
      <c r="R1799" s="16"/>
      <c r="S1799" s="16"/>
      <c r="T1799" s="16"/>
      <c r="U1799" s="16"/>
      <c r="V1799" s="16"/>
      <c r="W1799" s="16"/>
      <c r="X1799" s="16"/>
      <c r="Y1799" s="16"/>
      <c r="Z1799" s="16"/>
      <c r="AA1799" s="16"/>
    </row>
    <row r="1800" spans="1:27" ht="24" customHeight="1">
      <c r="A1800" s="16"/>
      <c r="B1800" s="16"/>
      <c r="C1800" s="16"/>
      <c r="D1800" s="16"/>
      <c r="E1800" s="16"/>
      <c r="F1800" s="16"/>
      <c r="G1800" s="205"/>
      <c r="H1800" s="205"/>
      <c r="I1800" s="16"/>
      <c r="J1800" s="16"/>
      <c r="K1800" s="205"/>
      <c r="L1800" s="16"/>
      <c r="M1800" s="16"/>
      <c r="N1800" s="16"/>
      <c r="O1800" s="16"/>
      <c r="P1800" s="16"/>
      <c r="Q1800" s="16"/>
      <c r="R1800" s="16"/>
      <c r="S1800" s="16"/>
      <c r="T1800" s="16"/>
      <c r="U1800" s="16"/>
      <c r="V1800" s="16"/>
      <c r="W1800" s="16"/>
      <c r="X1800" s="16"/>
      <c r="Y1800" s="16"/>
      <c r="Z1800" s="16"/>
      <c r="AA1800" s="16"/>
    </row>
    <row r="1801" spans="1:27" ht="24" customHeight="1">
      <c r="A1801" s="16"/>
      <c r="B1801" s="16"/>
      <c r="C1801" s="16"/>
      <c r="D1801" s="16"/>
      <c r="E1801" s="16"/>
      <c r="F1801" s="16"/>
      <c r="G1801" s="205"/>
      <c r="H1801" s="205"/>
      <c r="I1801" s="16"/>
      <c r="J1801" s="16"/>
      <c r="K1801" s="205"/>
      <c r="L1801" s="16"/>
      <c r="M1801" s="16"/>
      <c r="N1801" s="16"/>
      <c r="O1801" s="16"/>
      <c r="P1801" s="16"/>
      <c r="Q1801" s="16"/>
      <c r="R1801" s="16"/>
      <c r="S1801" s="16"/>
      <c r="T1801" s="16"/>
      <c r="U1801" s="16"/>
      <c r="V1801" s="16"/>
      <c r="W1801" s="16"/>
      <c r="X1801" s="16"/>
      <c r="Y1801" s="16"/>
      <c r="Z1801" s="16"/>
      <c r="AA1801" s="16"/>
    </row>
    <row r="1802" spans="1:27" ht="24" customHeight="1">
      <c r="A1802" s="16"/>
      <c r="B1802" s="16"/>
      <c r="C1802" s="16"/>
      <c r="D1802" s="16"/>
      <c r="E1802" s="16"/>
      <c r="F1802" s="16"/>
      <c r="G1802" s="205"/>
      <c r="H1802" s="205"/>
      <c r="I1802" s="16"/>
      <c r="J1802" s="16"/>
      <c r="K1802" s="205"/>
      <c r="L1802" s="16"/>
      <c r="M1802" s="16"/>
      <c r="N1802" s="16"/>
      <c r="O1802" s="16"/>
      <c r="P1802" s="16"/>
      <c r="Q1802" s="16"/>
      <c r="R1802" s="16"/>
      <c r="S1802" s="16"/>
      <c r="T1802" s="16"/>
      <c r="U1802" s="16"/>
      <c r="V1802" s="16"/>
      <c r="W1802" s="16"/>
      <c r="X1802" s="16"/>
      <c r="Y1802" s="16"/>
      <c r="Z1802" s="16"/>
      <c r="AA1802" s="16"/>
    </row>
    <row r="1803" spans="1:27" ht="24" customHeight="1">
      <c r="A1803" s="16"/>
      <c r="B1803" s="16"/>
      <c r="C1803" s="16"/>
      <c r="D1803" s="16"/>
      <c r="E1803" s="16"/>
      <c r="F1803" s="16"/>
      <c r="G1803" s="205"/>
      <c r="H1803" s="205"/>
      <c r="I1803" s="16"/>
      <c r="J1803" s="16"/>
      <c r="K1803" s="205"/>
      <c r="L1803" s="16"/>
      <c r="M1803" s="16"/>
      <c r="N1803" s="16"/>
      <c r="O1803" s="16"/>
      <c r="P1803" s="16"/>
      <c r="Q1803" s="16"/>
      <c r="R1803" s="16"/>
      <c r="S1803" s="16"/>
      <c r="T1803" s="16"/>
      <c r="U1803" s="16"/>
      <c r="V1803" s="16"/>
      <c r="W1803" s="16"/>
      <c r="X1803" s="16"/>
      <c r="Y1803" s="16"/>
      <c r="Z1803" s="16"/>
      <c r="AA1803" s="16"/>
    </row>
    <row r="1804" spans="1:27" ht="24" customHeight="1">
      <c r="A1804" s="16"/>
      <c r="B1804" s="16"/>
      <c r="C1804" s="16"/>
      <c r="D1804" s="16"/>
      <c r="E1804" s="16"/>
      <c r="F1804" s="16"/>
      <c r="G1804" s="205"/>
      <c r="H1804" s="205"/>
      <c r="I1804" s="16"/>
      <c r="J1804" s="16"/>
      <c r="K1804" s="205"/>
      <c r="L1804" s="16"/>
      <c r="M1804" s="16"/>
      <c r="N1804" s="16"/>
      <c r="O1804" s="16"/>
      <c r="P1804" s="16"/>
      <c r="Q1804" s="16"/>
      <c r="R1804" s="16"/>
      <c r="S1804" s="16"/>
      <c r="T1804" s="16"/>
      <c r="U1804" s="16"/>
      <c r="V1804" s="16"/>
      <c r="W1804" s="16"/>
      <c r="X1804" s="16"/>
      <c r="Y1804" s="16"/>
      <c r="Z1804" s="16"/>
      <c r="AA1804" s="16"/>
    </row>
    <row r="1805" spans="1:27" ht="24" customHeight="1">
      <c r="A1805" s="16"/>
      <c r="B1805" s="16"/>
      <c r="C1805" s="16"/>
      <c r="D1805" s="16"/>
      <c r="E1805" s="16"/>
      <c r="F1805" s="16"/>
      <c r="G1805" s="205"/>
      <c r="H1805" s="205"/>
      <c r="I1805" s="16"/>
      <c r="J1805" s="16"/>
      <c r="K1805" s="205"/>
      <c r="L1805" s="16"/>
      <c r="M1805" s="16"/>
      <c r="N1805" s="16"/>
      <c r="O1805" s="16"/>
      <c r="P1805" s="16"/>
      <c r="Q1805" s="16"/>
      <c r="R1805" s="16"/>
      <c r="S1805" s="16"/>
      <c r="T1805" s="16"/>
      <c r="U1805" s="16"/>
      <c r="V1805" s="16"/>
      <c r="W1805" s="16"/>
      <c r="X1805" s="16"/>
      <c r="Y1805" s="16"/>
      <c r="Z1805" s="16"/>
      <c r="AA1805" s="16"/>
    </row>
    <row r="1806" spans="1:27" ht="24" customHeight="1">
      <c r="A1806" s="16"/>
      <c r="B1806" s="16"/>
      <c r="C1806" s="16"/>
      <c r="D1806" s="16"/>
      <c r="E1806" s="16"/>
      <c r="F1806" s="16"/>
      <c r="G1806" s="205"/>
      <c r="H1806" s="205"/>
      <c r="I1806" s="16"/>
      <c r="J1806" s="16"/>
      <c r="K1806" s="205"/>
      <c r="L1806" s="16"/>
      <c r="M1806" s="16"/>
      <c r="N1806" s="16"/>
      <c r="O1806" s="16"/>
      <c r="P1806" s="16"/>
      <c r="Q1806" s="16"/>
      <c r="R1806" s="16"/>
      <c r="S1806" s="16"/>
      <c r="T1806" s="16"/>
      <c r="U1806" s="16"/>
      <c r="V1806" s="16"/>
      <c r="W1806" s="16"/>
      <c r="X1806" s="16"/>
      <c r="Y1806" s="16"/>
      <c r="Z1806" s="16"/>
      <c r="AA1806" s="16"/>
    </row>
    <row r="1807" spans="1:27" ht="24" customHeight="1">
      <c r="A1807" s="16"/>
      <c r="B1807" s="16"/>
      <c r="C1807" s="16"/>
      <c r="D1807" s="16"/>
      <c r="E1807" s="16"/>
      <c r="F1807" s="16"/>
      <c r="G1807" s="205"/>
      <c r="H1807" s="205"/>
      <c r="I1807" s="16"/>
      <c r="J1807" s="16"/>
      <c r="K1807" s="205"/>
      <c r="L1807" s="16"/>
      <c r="M1807" s="16"/>
      <c r="N1807" s="16"/>
      <c r="O1807" s="16"/>
      <c r="P1807" s="16"/>
      <c r="Q1807" s="16"/>
      <c r="R1807" s="16"/>
      <c r="S1807" s="16"/>
      <c r="T1807" s="16"/>
      <c r="U1807" s="16"/>
      <c r="V1807" s="16"/>
      <c r="W1807" s="16"/>
      <c r="X1807" s="16"/>
      <c r="Y1807" s="16"/>
      <c r="Z1807" s="16"/>
      <c r="AA1807" s="16"/>
    </row>
    <row r="1808" spans="1:27" ht="24" customHeight="1">
      <c r="A1808" s="16"/>
      <c r="B1808" s="16"/>
      <c r="C1808" s="16"/>
      <c r="D1808" s="16"/>
      <c r="E1808" s="16"/>
      <c r="F1808" s="16"/>
      <c r="G1808" s="205"/>
      <c r="H1808" s="205"/>
      <c r="I1808" s="16"/>
      <c r="J1808" s="16"/>
      <c r="K1808" s="205"/>
      <c r="L1808" s="16"/>
      <c r="M1808" s="16"/>
      <c r="N1808" s="16"/>
      <c r="O1808" s="16"/>
      <c r="P1808" s="16"/>
      <c r="Q1808" s="16"/>
      <c r="R1808" s="16"/>
      <c r="S1808" s="16"/>
      <c r="T1808" s="16"/>
      <c r="U1808" s="16"/>
      <c r="V1808" s="16"/>
      <c r="W1808" s="16"/>
      <c r="X1808" s="16"/>
      <c r="Y1808" s="16"/>
      <c r="Z1808" s="16"/>
      <c r="AA1808" s="16"/>
    </row>
    <row r="1809" spans="1:27" ht="24" customHeight="1">
      <c r="A1809" s="16"/>
      <c r="B1809" s="16"/>
      <c r="C1809" s="16"/>
      <c r="D1809" s="16"/>
      <c r="E1809" s="16"/>
      <c r="F1809" s="16"/>
      <c r="G1809" s="205"/>
      <c r="H1809" s="205"/>
      <c r="I1809" s="16"/>
      <c r="J1809" s="16"/>
      <c r="K1809" s="205"/>
      <c r="L1809" s="16"/>
      <c r="M1809" s="16"/>
      <c r="N1809" s="16"/>
      <c r="O1809" s="16"/>
      <c r="P1809" s="16"/>
      <c r="Q1809" s="16"/>
      <c r="R1809" s="16"/>
      <c r="S1809" s="16"/>
      <c r="T1809" s="16"/>
      <c r="U1809" s="16"/>
      <c r="V1809" s="16"/>
      <c r="W1809" s="16"/>
      <c r="X1809" s="16"/>
      <c r="Y1809" s="16"/>
      <c r="Z1809" s="16"/>
      <c r="AA1809" s="16"/>
    </row>
    <row r="1810" spans="1:27" ht="24" customHeight="1">
      <c r="A1810" s="16"/>
      <c r="B1810" s="16"/>
      <c r="C1810" s="16"/>
      <c r="D1810" s="16"/>
      <c r="E1810" s="16"/>
      <c r="F1810" s="16"/>
      <c r="G1810" s="205"/>
      <c r="H1810" s="205"/>
      <c r="I1810" s="16"/>
      <c r="J1810" s="16"/>
      <c r="K1810" s="205"/>
      <c r="L1810" s="16"/>
      <c r="M1810" s="16"/>
      <c r="N1810" s="16"/>
      <c r="O1810" s="16"/>
      <c r="P1810" s="16"/>
      <c r="Q1810" s="16"/>
      <c r="R1810" s="16"/>
      <c r="S1810" s="16"/>
      <c r="T1810" s="16"/>
      <c r="U1810" s="16"/>
      <c r="V1810" s="16"/>
      <c r="W1810" s="16"/>
      <c r="X1810" s="16"/>
      <c r="Y1810" s="16"/>
      <c r="Z1810" s="16"/>
      <c r="AA1810" s="16"/>
    </row>
    <row r="1811" spans="1:27" ht="24" customHeight="1">
      <c r="A1811" s="16"/>
      <c r="B1811" s="16"/>
      <c r="C1811" s="16"/>
      <c r="D1811" s="16"/>
      <c r="E1811" s="16"/>
      <c r="F1811" s="16"/>
      <c r="G1811" s="205"/>
      <c r="H1811" s="205"/>
      <c r="I1811" s="16"/>
      <c r="J1811" s="16"/>
      <c r="K1811" s="205"/>
      <c r="L1811" s="16"/>
      <c r="M1811" s="16"/>
      <c r="N1811" s="16"/>
      <c r="O1811" s="16"/>
      <c r="P1811" s="16"/>
      <c r="Q1811" s="16"/>
      <c r="R1811" s="16"/>
      <c r="S1811" s="16"/>
      <c r="T1811" s="16"/>
      <c r="U1811" s="16"/>
      <c r="V1811" s="16"/>
      <c r="W1811" s="16"/>
      <c r="X1811" s="16"/>
      <c r="Y1811" s="16"/>
      <c r="Z1811" s="16"/>
      <c r="AA1811" s="16"/>
    </row>
    <row r="1812" spans="1:27" ht="24" customHeight="1">
      <c r="A1812" s="16"/>
      <c r="B1812" s="16"/>
      <c r="C1812" s="16"/>
      <c r="D1812" s="16"/>
      <c r="E1812" s="16"/>
      <c r="F1812" s="16"/>
      <c r="G1812" s="205"/>
      <c r="H1812" s="205"/>
      <c r="I1812" s="16"/>
      <c r="J1812" s="16"/>
      <c r="K1812" s="205"/>
      <c r="L1812" s="16"/>
      <c r="M1812" s="16"/>
      <c r="N1812" s="16"/>
      <c r="O1812" s="16"/>
      <c r="P1812" s="16"/>
      <c r="Q1812" s="16"/>
      <c r="R1812" s="16"/>
      <c r="S1812" s="16"/>
      <c r="T1812" s="16"/>
      <c r="U1812" s="16"/>
      <c r="V1812" s="16"/>
      <c r="W1812" s="16"/>
      <c r="X1812" s="16"/>
      <c r="Y1812" s="16"/>
      <c r="Z1812" s="16"/>
      <c r="AA1812" s="16"/>
    </row>
    <row r="1813" spans="1:27" ht="24" customHeight="1">
      <c r="A1813" s="16"/>
      <c r="B1813" s="16"/>
      <c r="C1813" s="16"/>
      <c r="D1813" s="16"/>
      <c r="E1813" s="16"/>
      <c r="F1813" s="16"/>
      <c r="G1813" s="205"/>
      <c r="H1813" s="205"/>
      <c r="I1813" s="16"/>
      <c r="J1813" s="16"/>
      <c r="K1813" s="205"/>
      <c r="L1813" s="16"/>
      <c r="M1813" s="16"/>
      <c r="N1813" s="16"/>
      <c r="O1813" s="16"/>
      <c r="P1813" s="16"/>
      <c r="Q1813" s="16"/>
      <c r="R1813" s="16"/>
      <c r="S1813" s="16"/>
      <c r="T1813" s="16"/>
      <c r="U1813" s="16"/>
      <c r="V1813" s="16"/>
      <c r="W1813" s="16"/>
      <c r="X1813" s="16"/>
      <c r="Y1813" s="16"/>
      <c r="Z1813" s="16"/>
      <c r="AA1813" s="16"/>
    </row>
    <row r="1814" spans="1:27" ht="24" customHeight="1">
      <c r="A1814" s="16"/>
      <c r="B1814" s="16"/>
      <c r="C1814" s="16"/>
      <c r="D1814" s="16"/>
      <c r="E1814" s="16"/>
      <c r="F1814" s="16"/>
      <c r="G1814" s="205"/>
      <c r="H1814" s="205"/>
      <c r="I1814" s="16"/>
      <c r="J1814" s="16"/>
      <c r="K1814" s="205"/>
      <c r="L1814" s="16"/>
      <c r="M1814" s="16"/>
      <c r="N1814" s="16"/>
      <c r="O1814" s="16"/>
      <c r="P1814" s="16"/>
      <c r="Q1814" s="16"/>
      <c r="R1814" s="16"/>
      <c r="S1814" s="16"/>
      <c r="T1814" s="16"/>
      <c r="U1814" s="16"/>
      <c r="V1814" s="16"/>
      <c r="W1814" s="16"/>
      <c r="X1814" s="16"/>
      <c r="Y1814" s="16"/>
      <c r="Z1814" s="16"/>
      <c r="AA1814" s="16"/>
    </row>
    <row r="1815" spans="1:27" ht="24" customHeight="1">
      <c r="A1815" s="16"/>
      <c r="B1815" s="16"/>
      <c r="C1815" s="16"/>
      <c r="D1815" s="16"/>
      <c r="E1815" s="16"/>
      <c r="F1815" s="16"/>
      <c r="G1815" s="205"/>
      <c r="H1815" s="205"/>
      <c r="I1815" s="16"/>
      <c r="J1815" s="16"/>
      <c r="K1815" s="205"/>
      <c r="L1815" s="16"/>
      <c r="M1815" s="16"/>
      <c r="N1815" s="16"/>
      <c r="O1815" s="16"/>
      <c r="P1815" s="16"/>
      <c r="Q1815" s="16"/>
      <c r="R1815" s="16"/>
      <c r="S1815" s="16"/>
      <c r="T1815" s="16"/>
      <c r="U1815" s="16"/>
      <c r="V1815" s="16"/>
      <c r="W1815" s="16"/>
      <c r="X1815" s="16"/>
      <c r="Y1815" s="16"/>
      <c r="Z1815" s="16"/>
      <c r="AA1815" s="16"/>
    </row>
    <row r="1816" spans="1:27" ht="24" customHeight="1">
      <c r="A1816" s="16"/>
      <c r="B1816" s="16"/>
      <c r="C1816" s="16"/>
      <c r="D1816" s="16"/>
      <c r="E1816" s="16"/>
      <c r="F1816" s="16"/>
      <c r="G1816" s="205"/>
      <c r="H1816" s="205"/>
      <c r="I1816" s="16"/>
      <c r="J1816" s="16"/>
      <c r="K1816" s="205"/>
      <c r="L1816" s="16"/>
      <c r="M1816" s="16"/>
      <c r="N1816" s="16"/>
      <c r="O1816" s="16"/>
      <c r="P1816" s="16"/>
      <c r="Q1816" s="16"/>
      <c r="R1816" s="16"/>
      <c r="S1816" s="16"/>
      <c r="T1816" s="16"/>
      <c r="U1816" s="16"/>
      <c r="V1816" s="16"/>
      <c r="W1816" s="16"/>
      <c r="X1816" s="16"/>
      <c r="Y1816" s="16"/>
      <c r="Z1816" s="16"/>
      <c r="AA1816" s="16"/>
    </row>
    <row r="1817" spans="1:27" ht="24" customHeight="1">
      <c r="A1817" s="16"/>
      <c r="B1817" s="16"/>
      <c r="C1817" s="16"/>
      <c r="D1817" s="16"/>
      <c r="E1817" s="16"/>
      <c r="F1817" s="16"/>
      <c r="G1817" s="205"/>
      <c r="H1817" s="205"/>
      <c r="I1817" s="16"/>
      <c r="J1817" s="16"/>
      <c r="K1817" s="205"/>
      <c r="L1817" s="16"/>
      <c r="M1817" s="16"/>
      <c r="N1817" s="16"/>
      <c r="O1817" s="16"/>
      <c r="P1817" s="16"/>
      <c r="Q1817" s="16"/>
      <c r="R1817" s="16"/>
      <c r="S1817" s="16"/>
      <c r="T1817" s="16"/>
      <c r="U1817" s="16"/>
      <c r="V1817" s="16"/>
      <c r="W1817" s="16"/>
      <c r="X1817" s="16"/>
      <c r="Y1817" s="16"/>
      <c r="Z1817" s="16"/>
      <c r="AA1817" s="16"/>
    </row>
    <row r="1818" spans="1:27" ht="24" customHeight="1">
      <c r="A1818" s="16"/>
      <c r="B1818" s="16"/>
      <c r="C1818" s="16"/>
      <c r="D1818" s="16"/>
      <c r="E1818" s="16"/>
      <c r="F1818" s="16"/>
      <c r="G1818" s="205"/>
      <c r="H1818" s="205"/>
      <c r="I1818" s="16"/>
      <c r="J1818" s="16"/>
      <c r="K1818" s="205"/>
      <c r="L1818" s="16"/>
      <c r="M1818" s="16"/>
      <c r="N1818" s="16"/>
      <c r="O1818" s="16"/>
      <c r="P1818" s="16"/>
      <c r="Q1818" s="16"/>
      <c r="R1818" s="16"/>
      <c r="S1818" s="16"/>
      <c r="T1818" s="16"/>
      <c r="U1818" s="16"/>
      <c r="V1818" s="16"/>
      <c r="W1818" s="16"/>
      <c r="X1818" s="16"/>
      <c r="Y1818" s="16"/>
      <c r="Z1818" s="16"/>
      <c r="AA1818" s="16"/>
    </row>
    <row r="1819" spans="1:27" ht="24" customHeight="1">
      <c r="A1819" s="16"/>
      <c r="B1819" s="16"/>
      <c r="C1819" s="16"/>
      <c r="D1819" s="16"/>
      <c r="E1819" s="16"/>
      <c r="F1819" s="16"/>
      <c r="G1819" s="205"/>
      <c r="H1819" s="205"/>
      <c r="I1819" s="16"/>
      <c r="J1819" s="16"/>
      <c r="K1819" s="205"/>
      <c r="L1819" s="16"/>
      <c r="M1819" s="16"/>
      <c r="N1819" s="16"/>
      <c r="O1819" s="16"/>
      <c r="P1819" s="16"/>
      <c r="Q1819" s="16"/>
      <c r="R1819" s="16"/>
      <c r="S1819" s="16"/>
      <c r="T1819" s="16"/>
      <c r="U1819" s="16"/>
      <c r="V1819" s="16"/>
      <c r="W1819" s="16"/>
      <c r="X1819" s="16"/>
      <c r="Y1819" s="16"/>
      <c r="Z1819" s="16"/>
      <c r="AA1819" s="16"/>
    </row>
    <row r="1820" spans="1:27" ht="24" customHeight="1">
      <c r="A1820" s="16"/>
      <c r="B1820" s="16"/>
      <c r="C1820" s="16"/>
      <c r="D1820" s="16"/>
      <c r="E1820" s="16"/>
      <c r="F1820" s="16"/>
      <c r="G1820" s="205"/>
      <c r="H1820" s="205"/>
      <c r="I1820" s="16"/>
      <c r="J1820" s="16"/>
      <c r="K1820" s="205"/>
      <c r="L1820" s="16"/>
      <c r="M1820" s="16"/>
      <c r="N1820" s="16"/>
      <c r="O1820" s="16"/>
      <c r="P1820" s="16"/>
      <c r="Q1820" s="16"/>
      <c r="R1820" s="16"/>
      <c r="S1820" s="16"/>
      <c r="T1820" s="16"/>
      <c r="U1820" s="16"/>
      <c r="V1820" s="16"/>
      <c r="W1820" s="16"/>
      <c r="X1820" s="16"/>
      <c r="Y1820" s="16"/>
      <c r="Z1820" s="16"/>
      <c r="AA1820" s="16"/>
    </row>
    <row r="1821" spans="1:27" ht="24" customHeight="1">
      <c r="A1821" s="16"/>
      <c r="B1821" s="16"/>
      <c r="C1821" s="16"/>
      <c r="D1821" s="16"/>
      <c r="E1821" s="16"/>
      <c r="F1821" s="16"/>
      <c r="G1821" s="205"/>
      <c r="H1821" s="205"/>
      <c r="I1821" s="16"/>
      <c r="J1821" s="16"/>
      <c r="K1821" s="205"/>
      <c r="L1821" s="16"/>
      <c r="M1821" s="16"/>
      <c r="N1821" s="16"/>
      <c r="O1821" s="16"/>
      <c r="P1821" s="16"/>
      <c r="Q1821" s="16"/>
      <c r="R1821" s="16"/>
      <c r="S1821" s="16"/>
      <c r="T1821" s="16"/>
      <c r="U1821" s="16"/>
      <c r="V1821" s="16"/>
      <c r="W1821" s="16"/>
      <c r="X1821" s="16"/>
      <c r="Y1821" s="16"/>
      <c r="Z1821" s="16"/>
      <c r="AA1821" s="16"/>
    </row>
    <row r="1822" spans="1:27" ht="24" customHeight="1">
      <c r="A1822" s="16"/>
      <c r="B1822" s="16"/>
      <c r="C1822" s="16"/>
      <c r="D1822" s="16"/>
      <c r="E1822" s="16"/>
      <c r="F1822" s="16"/>
      <c r="G1822" s="205"/>
      <c r="H1822" s="205"/>
      <c r="I1822" s="16"/>
      <c r="J1822" s="16"/>
      <c r="K1822" s="205"/>
      <c r="L1822" s="16"/>
      <c r="M1822" s="16"/>
      <c r="N1822" s="16"/>
      <c r="O1822" s="16"/>
      <c r="P1822" s="16"/>
      <c r="Q1822" s="16"/>
      <c r="R1822" s="16"/>
      <c r="S1822" s="16"/>
      <c r="T1822" s="16"/>
      <c r="U1822" s="16"/>
      <c r="V1822" s="16"/>
      <c r="W1822" s="16"/>
      <c r="X1822" s="16"/>
      <c r="Y1822" s="16"/>
      <c r="Z1822" s="16"/>
      <c r="AA1822" s="16"/>
    </row>
    <row r="1823" spans="1:27" ht="24" customHeight="1">
      <c r="A1823" s="16"/>
      <c r="B1823" s="16"/>
      <c r="C1823" s="16"/>
      <c r="D1823" s="16"/>
      <c r="E1823" s="16"/>
      <c r="F1823" s="16"/>
      <c r="G1823" s="205"/>
      <c r="H1823" s="205"/>
      <c r="I1823" s="16"/>
      <c r="J1823" s="16"/>
      <c r="K1823" s="205"/>
      <c r="L1823" s="16"/>
      <c r="M1823" s="16"/>
      <c r="N1823" s="16"/>
      <c r="O1823" s="16"/>
      <c r="P1823" s="16"/>
      <c r="Q1823" s="16"/>
      <c r="R1823" s="16"/>
      <c r="S1823" s="16"/>
      <c r="T1823" s="16"/>
      <c r="U1823" s="16"/>
      <c r="V1823" s="16"/>
      <c r="W1823" s="16"/>
      <c r="X1823" s="16"/>
      <c r="Y1823" s="16"/>
      <c r="Z1823" s="16"/>
      <c r="AA1823" s="16"/>
    </row>
    <row r="1824" spans="1:27" ht="24" customHeight="1">
      <c r="A1824" s="16"/>
      <c r="B1824" s="16"/>
      <c r="C1824" s="16"/>
      <c r="D1824" s="16"/>
      <c r="E1824" s="16"/>
      <c r="F1824" s="16"/>
      <c r="G1824" s="205"/>
      <c r="H1824" s="205"/>
      <c r="I1824" s="16"/>
      <c r="J1824" s="16"/>
      <c r="K1824" s="205"/>
      <c r="L1824" s="16"/>
      <c r="M1824" s="16"/>
      <c r="N1824" s="16"/>
      <c r="O1824" s="16"/>
      <c r="P1824" s="16"/>
      <c r="Q1824" s="16"/>
      <c r="R1824" s="16"/>
      <c r="S1824" s="16"/>
      <c r="T1824" s="16"/>
      <c r="U1824" s="16"/>
      <c r="V1824" s="16"/>
      <c r="W1824" s="16"/>
      <c r="X1824" s="16"/>
      <c r="Y1824" s="16"/>
      <c r="Z1824" s="16"/>
      <c r="AA1824" s="16"/>
    </row>
    <row r="1825" spans="1:27" ht="24" customHeight="1">
      <c r="A1825" s="16"/>
      <c r="B1825" s="16"/>
      <c r="C1825" s="16"/>
      <c r="D1825" s="16"/>
      <c r="E1825" s="16"/>
      <c r="F1825" s="16"/>
      <c r="G1825" s="205"/>
      <c r="H1825" s="205"/>
      <c r="I1825" s="16"/>
      <c r="J1825" s="16"/>
      <c r="K1825" s="205"/>
      <c r="L1825" s="16"/>
      <c r="M1825" s="16"/>
      <c r="N1825" s="16"/>
      <c r="O1825" s="16"/>
      <c r="P1825" s="16"/>
      <c r="Q1825" s="16"/>
      <c r="R1825" s="16"/>
      <c r="S1825" s="16"/>
      <c r="T1825" s="16"/>
      <c r="U1825" s="16"/>
      <c r="V1825" s="16"/>
      <c r="W1825" s="16"/>
      <c r="X1825" s="16"/>
      <c r="Y1825" s="16"/>
      <c r="Z1825" s="16"/>
      <c r="AA1825" s="16"/>
    </row>
    <row r="1826" spans="1:27" ht="24" customHeight="1">
      <c r="A1826" s="16"/>
      <c r="B1826" s="16"/>
      <c r="C1826" s="16"/>
      <c r="D1826" s="16"/>
      <c r="E1826" s="16"/>
      <c r="F1826" s="16"/>
      <c r="G1826" s="205"/>
      <c r="H1826" s="205"/>
      <c r="I1826" s="16"/>
      <c r="J1826" s="16"/>
      <c r="K1826" s="205"/>
      <c r="L1826" s="16"/>
      <c r="M1826" s="16"/>
      <c r="N1826" s="16"/>
      <c r="O1826" s="16"/>
      <c r="P1826" s="16"/>
      <c r="Q1826" s="16"/>
      <c r="R1826" s="16"/>
      <c r="S1826" s="16"/>
      <c r="T1826" s="16"/>
      <c r="U1826" s="16"/>
      <c r="V1826" s="16"/>
      <c r="W1826" s="16"/>
      <c r="X1826" s="16"/>
      <c r="Y1826" s="16"/>
      <c r="Z1826" s="16"/>
      <c r="AA1826" s="16"/>
    </row>
    <row r="1827" spans="1:27" ht="24" customHeight="1">
      <c r="A1827" s="16"/>
      <c r="B1827" s="16"/>
      <c r="C1827" s="16"/>
      <c r="D1827" s="16"/>
      <c r="E1827" s="16"/>
      <c r="F1827" s="16"/>
      <c r="G1827" s="205"/>
      <c r="H1827" s="205"/>
      <c r="I1827" s="16"/>
      <c r="J1827" s="16"/>
      <c r="K1827" s="205"/>
      <c r="L1827" s="16"/>
      <c r="M1827" s="16"/>
      <c r="N1827" s="16"/>
      <c r="O1827" s="16"/>
      <c r="P1827" s="16"/>
      <c r="Q1827" s="16"/>
      <c r="R1827" s="16"/>
      <c r="S1827" s="16"/>
      <c r="T1827" s="16"/>
      <c r="U1827" s="16"/>
      <c r="V1827" s="16"/>
      <c r="W1827" s="16"/>
      <c r="X1827" s="16"/>
      <c r="Y1827" s="16"/>
      <c r="Z1827" s="16"/>
      <c r="AA1827" s="16"/>
    </row>
    <row r="1828" spans="1:27" ht="24" customHeight="1">
      <c r="A1828" s="16"/>
      <c r="B1828" s="16"/>
      <c r="C1828" s="16"/>
      <c r="D1828" s="16"/>
      <c r="E1828" s="16"/>
      <c r="F1828" s="16"/>
      <c r="G1828" s="205"/>
      <c r="H1828" s="205"/>
      <c r="I1828" s="16"/>
      <c r="J1828" s="16"/>
      <c r="K1828" s="205"/>
      <c r="L1828" s="16"/>
      <c r="M1828" s="16"/>
      <c r="N1828" s="16"/>
      <c r="O1828" s="16"/>
      <c r="P1828" s="16"/>
      <c r="Q1828" s="16"/>
      <c r="R1828" s="16"/>
      <c r="S1828" s="16"/>
      <c r="T1828" s="16"/>
      <c r="U1828" s="16"/>
      <c r="V1828" s="16"/>
      <c r="W1828" s="16"/>
      <c r="X1828" s="16"/>
      <c r="Y1828" s="16"/>
      <c r="Z1828" s="16"/>
      <c r="AA1828" s="16"/>
    </row>
    <row r="1829" spans="1:27" ht="24" customHeight="1">
      <c r="A1829" s="16"/>
      <c r="B1829" s="16"/>
      <c r="C1829" s="16"/>
      <c r="D1829" s="16"/>
      <c r="E1829" s="16"/>
      <c r="F1829" s="16"/>
      <c r="G1829" s="205"/>
      <c r="H1829" s="205"/>
      <c r="I1829" s="16"/>
      <c r="J1829" s="16"/>
      <c r="K1829" s="205"/>
      <c r="L1829" s="16"/>
      <c r="M1829" s="16"/>
      <c r="N1829" s="16"/>
      <c r="O1829" s="16"/>
      <c r="P1829" s="16"/>
      <c r="Q1829" s="16"/>
      <c r="R1829" s="16"/>
      <c r="S1829" s="16"/>
      <c r="T1829" s="16"/>
      <c r="U1829" s="16"/>
      <c r="V1829" s="16"/>
      <c r="W1829" s="16"/>
      <c r="X1829" s="16"/>
      <c r="Y1829" s="16"/>
      <c r="Z1829" s="16"/>
      <c r="AA1829" s="16"/>
    </row>
    <row r="1830" spans="1:27" ht="24" customHeight="1">
      <c r="A1830" s="16"/>
      <c r="B1830" s="16"/>
      <c r="C1830" s="16"/>
      <c r="D1830" s="16"/>
      <c r="E1830" s="16"/>
      <c r="F1830" s="16"/>
      <c r="G1830" s="205"/>
      <c r="H1830" s="205"/>
      <c r="I1830" s="16"/>
      <c r="J1830" s="16"/>
      <c r="K1830" s="205"/>
      <c r="L1830" s="16"/>
      <c r="M1830" s="16"/>
      <c r="N1830" s="16"/>
      <c r="O1830" s="16"/>
      <c r="P1830" s="16"/>
      <c r="Q1830" s="16"/>
      <c r="R1830" s="16"/>
      <c r="S1830" s="16"/>
      <c r="T1830" s="16"/>
      <c r="U1830" s="16"/>
      <c r="V1830" s="16"/>
      <c r="W1830" s="16"/>
      <c r="X1830" s="16"/>
      <c r="Y1830" s="16"/>
      <c r="Z1830" s="16"/>
      <c r="AA1830" s="16"/>
    </row>
    <row r="1831" spans="1:27" ht="24" customHeight="1">
      <c r="A1831" s="16"/>
      <c r="B1831" s="16"/>
      <c r="C1831" s="16"/>
      <c r="D1831" s="16"/>
      <c r="E1831" s="16"/>
      <c r="F1831" s="16"/>
      <c r="G1831" s="205"/>
      <c r="H1831" s="205"/>
      <c r="I1831" s="16"/>
      <c r="J1831" s="16"/>
      <c r="K1831" s="205"/>
      <c r="L1831" s="16"/>
      <c r="M1831" s="16"/>
      <c r="N1831" s="16"/>
      <c r="O1831" s="16"/>
      <c r="P1831" s="16"/>
      <c r="Q1831" s="16"/>
      <c r="R1831" s="16"/>
      <c r="S1831" s="16"/>
      <c r="T1831" s="16"/>
      <c r="U1831" s="16"/>
      <c r="V1831" s="16"/>
      <c r="W1831" s="16"/>
      <c r="X1831" s="16"/>
      <c r="Y1831" s="16"/>
      <c r="Z1831" s="16"/>
      <c r="AA1831" s="16"/>
    </row>
    <row r="1832" spans="1:27" ht="24" customHeight="1">
      <c r="A1832" s="16"/>
      <c r="B1832" s="16"/>
      <c r="C1832" s="16"/>
      <c r="D1832" s="16"/>
      <c r="E1832" s="16"/>
      <c r="F1832" s="16"/>
      <c r="G1832" s="205"/>
      <c r="H1832" s="205"/>
      <c r="I1832" s="16"/>
      <c r="J1832" s="16"/>
      <c r="K1832" s="205"/>
      <c r="L1832" s="16"/>
      <c r="M1832" s="16"/>
      <c r="N1832" s="16"/>
      <c r="O1832" s="16"/>
      <c r="P1832" s="16"/>
      <c r="Q1832" s="16"/>
      <c r="R1832" s="16"/>
      <c r="S1832" s="16"/>
      <c r="T1832" s="16"/>
      <c r="U1832" s="16"/>
      <c r="V1832" s="16"/>
      <c r="W1832" s="16"/>
      <c r="X1832" s="16"/>
      <c r="Y1832" s="16"/>
      <c r="Z1832" s="16"/>
      <c r="AA1832" s="16"/>
    </row>
    <row r="1833" spans="1:27" ht="24" customHeight="1">
      <c r="A1833" s="16"/>
      <c r="B1833" s="16"/>
      <c r="C1833" s="16"/>
      <c r="D1833" s="16"/>
      <c r="E1833" s="16"/>
      <c r="F1833" s="16"/>
      <c r="G1833" s="205"/>
      <c r="H1833" s="205"/>
      <c r="I1833" s="16"/>
      <c r="J1833" s="16"/>
      <c r="K1833" s="205"/>
      <c r="L1833" s="16"/>
      <c r="M1833" s="16"/>
      <c r="N1833" s="16"/>
      <c r="O1833" s="16"/>
      <c r="P1833" s="16"/>
      <c r="Q1833" s="16"/>
      <c r="R1833" s="16"/>
      <c r="S1833" s="16"/>
      <c r="T1833" s="16"/>
      <c r="U1833" s="16"/>
      <c r="V1833" s="16"/>
      <c r="W1833" s="16"/>
      <c r="X1833" s="16"/>
      <c r="Y1833" s="16"/>
      <c r="Z1833" s="16"/>
      <c r="AA1833" s="16"/>
    </row>
    <row r="1834" spans="1:27" ht="24" customHeight="1">
      <c r="A1834" s="16"/>
      <c r="B1834" s="16"/>
      <c r="C1834" s="16"/>
      <c r="D1834" s="16"/>
      <c r="E1834" s="16"/>
      <c r="F1834" s="16"/>
      <c r="G1834" s="205"/>
      <c r="H1834" s="205"/>
      <c r="I1834" s="16"/>
      <c r="J1834" s="16"/>
      <c r="K1834" s="205"/>
      <c r="L1834" s="16"/>
      <c r="M1834" s="16"/>
      <c r="N1834" s="16"/>
      <c r="O1834" s="16"/>
      <c r="P1834" s="16"/>
      <c r="Q1834" s="16"/>
      <c r="R1834" s="16"/>
      <c r="S1834" s="16"/>
      <c r="T1834" s="16"/>
      <c r="U1834" s="16"/>
      <c r="V1834" s="16"/>
      <c r="W1834" s="16"/>
      <c r="X1834" s="16"/>
      <c r="Y1834" s="16"/>
      <c r="Z1834" s="16"/>
      <c r="AA1834" s="16"/>
    </row>
    <row r="1835" spans="1:27" ht="24" customHeight="1">
      <c r="A1835" s="16"/>
      <c r="B1835" s="16"/>
      <c r="C1835" s="16"/>
      <c r="D1835" s="16"/>
      <c r="E1835" s="16"/>
      <c r="F1835" s="16"/>
      <c r="G1835" s="205"/>
      <c r="H1835" s="205"/>
      <c r="I1835" s="16"/>
      <c r="J1835" s="16"/>
      <c r="K1835" s="205"/>
      <c r="L1835" s="16"/>
      <c r="M1835" s="16"/>
      <c r="N1835" s="16"/>
      <c r="O1835" s="16"/>
      <c r="P1835" s="16"/>
      <c r="Q1835" s="16"/>
      <c r="R1835" s="16"/>
      <c r="S1835" s="16"/>
      <c r="T1835" s="16"/>
      <c r="U1835" s="16"/>
      <c r="V1835" s="16"/>
      <c r="W1835" s="16"/>
      <c r="X1835" s="16"/>
      <c r="Y1835" s="16"/>
      <c r="Z1835" s="16"/>
      <c r="AA1835" s="16"/>
    </row>
    <row r="1836" spans="1:27" ht="24" customHeight="1">
      <c r="A1836" s="16"/>
      <c r="B1836" s="16"/>
      <c r="C1836" s="16"/>
      <c r="D1836" s="16"/>
      <c r="E1836" s="16"/>
      <c r="F1836" s="16"/>
      <c r="G1836" s="205"/>
      <c r="H1836" s="205"/>
      <c r="I1836" s="16"/>
      <c r="J1836" s="16"/>
      <c r="K1836" s="205"/>
      <c r="L1836" s="16"/>
      <c r="M1836" s="16"/>
      <c r="N1836" s="16"/>
      <c r="O1836" s="16"/>
      <c r="P1836" s="16"/>
      <c r="Q1836" s="16"/>
      <c r="R1836" s="16"/>
      <c r="S1836" s="16"/>
      <c r="T1836" s="16"/>
      <c r="U1836" s="16"/>
      <c r="V1836" s="16"/>
      <c r="W1836" s="16"/>
      <c r="X1836" s="16"/>
      <c r="Y1836" s="16"/>
      <c r="Z1836" s="16"/>
      <c r="AA1836" s="16"/>
    </row>
    <row r="1837" spans="1:27" ht="24" customHeight="1">
      <c r="A1837" s="16"/>
      <c r="B1837" s="16"/>
      <c r="C1837" s="16"/>
      <c r="D1837" s="16"/>
      <c r="E1837" s="16"/>
      <c r="F1837" s="16"/>
      <c r="G1837" s="205"/>
      <c r="H1837" s="205"/>
      <c r="I1837" s="16"/>
      <c r="J1837" s="16"/>
      <c r="K1837" s="205"/>
      <c r="L1837" s="16"/>
      <c r="M1837" s="16"/>
      <c r="N1837" s="16"/>
      <c r="O1837" s="16"/>
      <c r="P1837" s="16"/>
      <c r="Q1837" s="16"/>
      <c r="R1837" s="16"/>
      <c r="S1837" s="16"/>
      <c r="T1837" s="16"/>
      <c r="U1837" s="16"/>
      <c r="V1837" s="16"/>
      <c r="W1837" s="16"/>
      <c r="X1837" s="16"/>
      <c r="Y1837" s="16"/>
      <c r="Z1837" s="16"/>
      <c r="AA1837" s="16"/>
    </row>
    <row r="1838" spans="1:27" ht="24" customHeight="1">
      <c r="A1838" s="16"/>
      <c r="B1838" s="16"/>
      <c r="C1838" s="16"/>
      <c r="D1838" s="16"/>
      <c r="E1838" s="16"/>
      <c r="F1838" s="16"/>
      <c r="G1838" s="205"/>
      <c r="H1838" s="205"/>
      <c r="I1838" s="16"/>
      <c r="J1838" s="16"/>
      <c r="K1838" s="205"/>
      <c r="L1838" s="16"/>
      <c r="M1838" s="16"/>
      <c r="N1838" s="16"/>
      <c r="O1838" s="16"/>
      <c r="P1838" s="16"/>
      <c r="Q1838" s="16"/>
      <c r="R1838" s="16"/>
      <c r="S1838" s="16"/>
      <c r="T1838" s="16"/>
      <c r="U1838" s="16"/>
      <c r="V1838" s="16"/>
      <c r="W1838" s="16"/>
      <c r="X1838" s="16"/>
      <c r="Y1838" s="16"/>
      <c r="Z1838" s="16"/>
      <c r="AA1838" s="16"/>
    </row>
    <row r="1839" spans="1:27" ht="24" customHeight="1">
      <c r="A1839" s="16"/>
      <c r="B1839" s="16"/>
      <c r="C1839" s="16"/>
      <c r="D1839" s="16"/>
      <c r="E1839" s="16"/>
      <c r="F1839" s="16"/>
      <c r="G1839" s="205"/>
      <c r="H1839" s="205"/>
      <c r="I1839" s="16"/>
      <c r="J1839" s="16"/>
      <c r="K1839" s="205"/>
      <c r="L1839" s="16"/>
      <c r="M1839" s="16"/>
      <c r="N1839" s="16"/>
      <c r="O1839" s="16"/>
      <c r="P1839" s="16"/>
      <c r="Q1839" s="16"/>
      <c r="R1839" s="16"/>
      <c r="S1839" s="16"/>
      <c r="T1839" s="16"/>
      <c r="U1839" s="16"/>
      <c r="V1839" s="16"/>
      <c r="W1839" s="16"/>
      <c r="X1839" s="16"/>
      <c r="Y1839" s="16"/>
      <c r="Z1839" s="16"/>
      <c r="AA1839" s="16"/>
    </row>
    <row r="1840" spans="1:27" ht="24" customHeight="1">
      <c r="A1840" s="16"/>
      <c r="B1840" s="16"/>
      <c r="C1840" s="16"/>
      <c r="D1840" s="16"/>
      <c r="E1840" s="16"/>
      <c r="F1840" s="16"/>
      <c r="G1840" s="205"/>
      <c r="H1840" s="205"/>
      <c r="I1840" s="16"/>
      <c r="J1840" s="16"/>
      <c r="K1840" s="205"/>
      <c r="L1840" s="16"/>
      <c r="M1840" s="16"/>
      <c r="N1840" s="16"/>
      <c r="O1840" s="16"/>
      <c r="P1840" s="16"/>
      <c r="Q1840" s="16"/>
      <c r="R1840" s="16"/>
      <c r="S1840" s="16"/>
      <c r="T1840" s="16"/>
      <c r="U1840" s="16"/>
      <c r="V1840" s="16"/>
      <c r="W1840" s="16"/>
      <c r="X1840" s="16"/>
      <c r="Y1840" s="16"/>
      <c r="Z1840" s="16"/>
      <c r="AA1840" s="16"/>
    </row>
    <row r="1841" spans="1:27" ht="24" customHeight="1">
      <c r="A1841" s="16"/>
      <c r="B1841" s="16"/>
      <c r="C1841" s="16"/>
      <c r="D1841" s="16"/>
      <c r="E1841" s="16"/>
      <c r="F1841" s="16"/>
      <c r="G1841" s="205"/>
      <c r="H1841" s="205"/>
      <c r="I1841" s="16"/>
      <c r="J1841" s="16"/>
      <c r="K1841" s="205"/>
      <c r="L1841" s="16"/>
      <c r="M1841" s="16"/>
      <c r="N1841" s="16"/>
      <c r="O1841" s="16"/>
      <c r="P1841" s="16"/>
      <c r="Q1841" s="16"/>
      <c r="R1841" s="16"/>
      <c r="S1841" s="16"/>
      <c r="T1841" s="16"/>
      <c r="U1841" s="16"/>
      <c r="V1841" s="16"/>
      <c r="W1841" s="16"/>
      <c r="X1841" s="16"/>
      <c r="Y1841" s="16"/>
      <c r="Z1841" s="16"/>
      <c r="AA1841" s="16"/>
    </row>
    <row r="1842" spans="1:27" ht="24" customHeight="1">
      <c r="A1842" s="16"/>
      <c r="B1842" s="16"/>
      <c r="C1842" s="16"/>
      <c r="D1842" s="16"/>
      <c r="E1842" s="16"/>
      <c r="F1842" s="16"/>
      <c r="G1842" s="205"/>
      <c r="H1842" s="205"/>
      <c r="I1842" s="16"/>
      <c r="J1842" s="16"/>
      <c r="K1842" s="205"/>
      <c r="L1842" s="16"/>
      <c r="M1842" s="16"/>
      <c r="N1842" s="16"/>
      <c r="O1842" s="16"/>
      <c r="P1842" s="16"/>
      <c r="Q1842" s="16"/>
      <c r="R1842" s="16"/>
      <c r="S1842" s="16"/>
      <c r="T1842" s="16"/>
      <c r="U1842" s="16"/>
      <c r="V1842" s="16"/>
      <c r="W1842" s="16"/>
      <c r="X1842" s="16"/>
      <c r="Y1842" s="16"/>
      <c r="Z1842" s="16"/>
      <c r="AA1842" s="16"/>
    </row>
    <row r="1843" spans="1:27" ht="24" customHeight="1">
      <c r="A1843" s="16"/>
      <c r="B1843" s="16"/>
      <c r="C1843" s="16"/>
      <c r="D1843" s="16"/>
      <c r="E1843" s="16"/>
      <c r="F1843" s="16"/>
      <c r="G1843" s="205"/>
      <c r="H1843" s="205"/>
      <c r="I1843" s="16"/>
      <c r="J1843" s="16"/>
      <c r="K1843" s="205"/>
      <c r="L1843" s="16"/>
      <c r="M1843" s="16"/>
      <c r="N1843" s="16"/>
      <c r="O1843" s="16"/>
      <c r="P1843" s="16"/>
      <c r="Q1843" s="16"/>
      <c r="R1843" s="16"/>
      <c r="S1843" s="16"/>
      <c r="T1843" s="16"/>
      <c r="U1843" s="16"/>
      <c r="V1843" s="16"/>
      <c r="W1843" s="16"/>
      <c r="X1843" s="16"/>
      <c r="Y1843" s="16"/>
      <c r="Z1843" s="16"/>
      <c r="AA1843" s="16"/>
    </row>
    <row r="1844" spans="1:27" ht="24" customHeight="1">
      <c r="A1844" s="16"/>
      <c r="B1844" s="16"/>
      <c r="C1844" s="16"/>
      <c r="D1844" s="16"/>
      <c r="E1844" s="16"/>
      <c r="F1844" s="16"/>
      <c r="G1844" s="205"/>
      <c r="H1844" s="205"/>
      <c r="I1844" s="16"/>
      <c r="J1844" s="16"/>
      <c r="K1844" s="205"/>
      <c r="L1844" s="16"/>
      <c r="M1844" s="16"/>
      <c r="N1844" s="16"/>
      <c r="O1844" s="16"/>
      <c r="P1844" s="16"/>
      <c r="Q1844" s="16"/>
      <c r="R1844" s="16"/>
      <c r="S1844" s="16"/>
      <c r="T1844" s="16"/>
      <c r="U1844" s="16"/>
      <c r="V1844" s="16"/>
      <c r="W1844" s="16"/>
      <c r="X1844" s="16"/>
      <c r="Y1844" s="16"/>
      <c r="Z1844" s="16"/>
      <c r="AA1844" s="16"/>
    </row>
    <row r="1845" spans="1:27" ht="24" customHeight="1">
      <c r="A1845" s="16"/>
      <c r="B1845" s="16"/>
      <c r="C1845" s="16"/>
      <c r="D1845" s="16"/>
      <c r="E1845" s="16"/>
      <c r="F1845" s="16"/>
      <c r="G1845" s="205"/>
      <c r="H1845" s="205"/>
      <c r="I1845" s="16"/>
      <c r="J1845" s="16"/>
      <c r="K1845" s="205"/>
      <c r="L1845" s="16"/>
      <c r="M1845" s="16"/>
      <c r="N1845" s="16"/>
      <c r="O1845" s="16"/>
      <c r="P1845" s="16"/>
      <c r="Q1845" s="16"/>
      <c r="R1845" s="16"/>
      <c r="S1845" s="16"/>
      <c r="T1845" s="16"/>
      <c r="U1845" s="16"/>
      <c r="V1845" s="16"/>
      <c r="W1845" s="16"/>
      <c r="X1845" s="16"/>
      <c r="Y1845" s="16"/>
      <c r="Z1845" s="16"/>
      <c r="AA1845" s="16"/>
    </row>
    <row r="1846" spans="1:27" ht="24" customHeight="1">
      <c r="A1846" s="16"/>
      <c r="B1846" s="16"/>
      <c r="C1846" s="16"/>
      <c r="D1846" s="16"/>
      <c r="E1846" s="16"/>
      <c r="F1846" s="16"/>
      <c r="G1846" s="205"/>
      <c r="H1846" s="205"/>
      <c r="I1846" s="16"/>
      <c r="J1846" s="16"/>
      <c r="K1846" s="205"/>
      <c r="L1846" s="16"/>
      <c r="M1846" s="16"/>
      <c r="N1846" s="16"/>
      <c r="O1846" s="16"/>
      <c r="P1846" s="16"/>
      <c r="Q1846" s="16"/>
      <c r="R1846" s="16"/>
      <c r="S1846" s="16"/>
      <c r="T1846" s="16"/>
      <c r="U1846" s="16"/>
      <c r="V1846" s="16"/>
      <c r="W1846" s="16"/>
      <c r="X1846" s="16"/>
      <c r="Y1846" s="16"/>
      <c r="Z1846" s="16"/>
      <c r="AA1846" s="16"/>
    </row>
    <row r="1847" spans="1:27" ht="24" customHeight="1">
      <c r="A1847" s="16"/>
      <c r="B1847" s="16"/>
      <c r="C1847" s="16"/>
      <c r="D1847" s="16"/>
      <c r="E1847" s="16"/>
      <c r="F1847" s="16"/>
      <c r="G1847" s="205"/>
      <c r="H1847" s="205"/>
      <c r="I1847" s="16"/>
      <c r="J1847" s="16"/>
      <c r="K1847" s="205"/>
      <c r="L1847" s="16"/>
      <c r="M1847" s="16"/>
      <c r="N1847" s="16"/>
      <c r="O1847" s="16"/>
      <c r="P1847" s="16"/>
      <c r="Q1847" s="16"/>
      <c r="R1847" s="16"/>
      <c r="S1847" s="16"/>
      <c r="T1847" s="16"/>
      <c r="U1847" s="16"/>
      <c r="V1847" s="16"/>
      <c r="W1847" s="16"/>
      <c r="X1847" s="16"/>
      <c r="Y1847" s="16"/>
      <c r="Z1847" s="16"/>
      <c r="AA1847" s="16"/>
    </row>
    <row r="1848" spans="1:27" ht="24" customHeight="1">
      <c r="A1848" s="16"/>
      <c r="B1848" s="16"/>
      <c r="C1848" s="16"/>
      <c r="D1848" s="16"/>
      <c r="E1848" s="16"/>
      <c r="F1848" s="16"/>
      <c r="G1848" s="205"/>
      <c r="H1848" s="205"/>
      <c r="I1848" s="16"/>
      <c r="J1848" s="16"/>
      <c r="K1848" s="205"/>
      <c r="L1848" s="16"/>
      <c r="M1848" s="16"/>
      <c r="N1848" s="16"/>
      <c r="O1848" s="16"/>
      <c r="P1848" s="16"/>
      <c r="Q1848" s="16"/>
      <c r="R1848" s="16"/>
      <c r="S1848" s="16"/>
      <c r="T1848" s="16"/>
      <c r="U1848" s="16"/>
      <c r="V1848" s="16"/>
      <c r="W1848" s="16"/>
      <c r="X1848" s="16"/>
      <c r="Y1848" s="16"/>
      <c r="Z1848" s="16"/>
      <c r="AA1848" s="16"/>
    </row>
    <row r="1849" spans="1:27" ht="24" customHeight="1">
      <c r="A1849" s="16"/>
      <c r="B1849" s="16"/>
      <c r="C1849" s="16"/>
      <c r="D1849" s="16"/>
      <c r="E1849" s="16"/>
      <c r="F1849" s="16"/>
      <c r="G1849" s="205"/>
      <c r="H1849" s="205"/>
      <c r="I1849" s="16"/>
      <c r="J1849" s="16"/>
      <c r="K1849" s="205"/>
      <c r="L1849" s="16"/>
      <c r="M1849" s="16"/>
      <c r="N1849" s="16"/>
      <c r="O1849" s="16"/>
      <c r="P1849" s="16"/>
      <c r="Q1849" s="16"/>
      <c r="R1849" s="16"/>
      <c r="S1849" s="16"/>
      <c r="T1849" s="16"/>
      <c r="U1849" s="16"/>
      <c r="V1849" s="16"/>
      <c r="W1849" s="16"/>
      <c r="X1849" s="16"/>
      <c r="Y1849" s="16"/>
      <c r="Z1849" s="16"/>
      <c r="AA1849" s="16"/>
    </row>
    <row r="1850" spans="1:27" ht="24" customHeight="1">
      <c r="A1850" s="16"/>
      <c r="B1850" s="16"/>
      <c r="C1850" s="16"/>
      <c r="D1850" s="16"/>
      <c r="E1850" s="16"/>
      <c r="F1850" s="16"/>
      <c r="G1850" s="205"/>
      <c r="H1850" s="205"/>
      <c r="I1850" s="16"/>
      <c r="J1850" s="16"/>
      <c r="K1850" s="205"/>
      <c r="L1850" s="16"/>
      <c r="M1850" s="16"/>
      <c r="N1850" s="16"/>
      <c r="O1850" s="16"/>
      <c r="P1850" s="16"/>
      <c r="Q1850" s="16"/>
      <c r="R1850" s="16"/>
      <c r="S1850" s="16"/>
      <c r="T1850" s="16"/>
      <c r="U1850" s="16"/>
      <c r="V1850" s="16"/>
      <c r="W1850" s="16"/>
      <c r="X1850" s="16"/>
      <c r="Y1850" s="16"/>
      <c r="Z1850" s="16"/>
      <c r="AA1850" s="16"/>
    </row>
    <row r="1851" spans="1:27" ht="24" customHeight="1">
      <c r="A1851" s="16"/>
      <c r="B1851" s="16"/>
      <c r="C1851" s="16"/>
      <c r="D1851" s="16"/>
      <c r="E1851" s="16"/>
      <c r="F1851" s="16"/>
      <c r="G1851" s="205"/>
      <c r="H1851" s="205"/>
      <c r="I1851" s="16"/>
      <c r="J1851" s="16"/>
      <c r="K1851" s="205"/>
      <c r="L1851" s="16"/>
      <c r="M1851" s="16"/>
      <c r="N1851" s="16"/>
      <c r="O1851" s="16"/>
      <c r="P1851" s="16"/>
      <c r="Q1851" s="16"/>
      <c r="R1851" s="16"/>
      <c r="S1851" s="16"/>
      <c r="T1851" s="16"/>
      <c r="U1851" s="16"/>
      <c r="V1851" s="16"/>
      <c r="W1851" s="16"/>
      <c r="X1851" s="16"/>
      <c r="Y1851" s="16"/>
      <c r="Z1851" s="16"/>
      <c r="AA1851" s="16"/>
    </row>
    <row r="1852" spans="1:27" ht="24" customHeight="1">
      <c r="A1852" s="16"/>
      <c r="B1852" s="16"/>
      <c r="C1852" s="16"/>
      <c r="D1852" s="16"/>
      <c r="E1852" s="16"/>
      <c r="F1852" s="16"/>
      <c r="G1852" s="205"/>
      <c r="H1852" s="205"/>
      <c r="I1852" s="16"/>
      <c r="J1852" s="16"/>
      <c r="K1852" s="205"/>
      <c r="L1852" s="16"/>
      <c r="M1852" s="16"/>
      <c r="N1852" s="16"/>
      <c r="O1852" s="16"/>
      <c r="P1852" s="16"/>
      <c r="Q1852" s="16"/>
      <c r="R1852" s="16"/>
      <c r="S1852" s="16"/>
      <c r="T1852" s="16"/>
      <c r="U1852" s="16"/>
      <c r="V1852" s="16"/>
      <c r="W1852" s="16"/>
      <c r="X1852" s="16"/>
      <c r="Y1852" s="16"/>
      <c r="Z1852" s="16"/>
      <c r="AA1852" s="16"/>
    </row>
    <row r="1853" spans="1:27" ht="24" customHeight="1">
      <c r="A1853" s="16"/>
      <c r="B1853" s="16"/>
      <c r="C1853" s="16"/>
      <c r="D1853" s="16"/>
      <c r="E1853" s="16"/>
      <c r="F1853" s="16"/>
      <c r="G1853" s="205"/>
      <c r="H1853" s="205"/>
      <c r="I1853" s="16"/>
      <c r="J1853" s="16"/>
      <c r="K1853" s="205"/>
      <c r="L1853" s="16"/>
      <c r="M1853" s="16"/>
      <c r="N1853" s="16"/>
      <c r="O1853" s="16"/>
      <c r="P1853" s="16"/>
      <c r="Q1853" s="16"/>
      <c r="R1853" s="16"/>
      <c r="S1853" s="16"/>
      <c r="T1853" s="16"/>
      <c r="U1853" s="16"/>
      <c r="V1853" s="16"/>
      <c r="W1853" s="16"/>
      <c r="X1853" s="16"/>
      <c r="Y1853" s="16"/>
      <c r="Z1853" s="16"/>
      <c r="AA1853" s="16"/>
    </row>
    <row r="1854" spans="1:27" ht="24" customHeight="1">
      <c r="A1854" s="16"/>
      <c r="B1854" s="16"/>
      <c r="C1854" s="16"/>
      <c r="D1854" s="16"/>
      <c r="E1854" s="16"/>
      <c r="F1854" s="16"/>
      <c r="G1854" s="205"/>
      <c r="H1854" s="205"/>
      <c r="I1854" s="16"/>
      <c r="J1854" s="16"/>
      <c r="K1854" s="205"/>
      <c r="L1854" s="16"/>
      <c r="M1854" s="16"/>
      <c r="N1854" s="16"/>
      <c r="O1854" s="16"/>
      <c r="P1854" s="16"/>
      <c r="Q1854" s="16"/>
      <c r="R1854" s="16"/>
      <c r="S1854" s="16"/>
      <c r="T1854" s="16"/>
      <c r="U1854" s="16"/>
      <c r="V1854" s="16"/>
      <c r="W1854" s="16"/>
      <c r="X1854" s="16"/>
      <c r="Y1854" s="16"/>
      <c r="Z1854" s="16"/>
      <c r="AA1854" s="16"/>
    </row>
    <row r="1855" spans="1:27" ht="24" customHeight="1">
      <c r="A1855" s="16"/>
      <c r="B1855" s="16"/>
      <c r="C1855" s="16"/>
      <c r="D1855" s="16"/>
      <c r="E1855" s="16"/>
      <c r="F1855" s="16"/>
      <c r="G1855" s="205"/>
      <c r="H1855" s="205"/>
      <c r="I1855" s="16"/>
      <c r="J1855" s="16"/>
      <c r="K1855" s="205"/>
      <c r="L1855" s="16"/>
      <c r="M1855" s="16"/>
      <c r="N1855" s="16"/>
      <c r="O1855" s="16"/>
      <c r="P1855" s="16"/>
      <c r="Q1855" s="16"/>
      <c r="R1855" s="16"/>
      <c r="S1855" s="16"/>
      <c r="T1855" s="16"/>
      <c r="U1855" s="16"/>
      <c r="V1855" s="16"/>
      <c r="W1855" s="16"/>
      <c r="X1855" s="16"/>
      <c r="Y1855" s="16"/>
      <c r="Z1855" s="16"/>
      <c r="AA1855" s="16"/>
    </row>
    <row r="1856" spans="1:27" ht="24" customHeight="1">
      <c r="A1856" s="16"/>
      <c r="B1856" s="16"/>
      <c r="C1856" s="16"/>
      <c r="D1856" s="16"/>
      <c r="E1856" s="16"/>
      <c r="F1856" s="16"/>
      <c r="G1856" s="205"/>
      <c r="H1856" s="205"/>
      <c r="I1856" s="16"/>
      <c r="J1856" s="16"/>
      <c r="K1856" s="205"/>
      <c r="L1856" s="16"/>
      <c r="M1856" s="16"/>
      <c r="N1856" s="16"/>
      <c r="O1856" s="16"/>
      <c r="P1856" s="16"/>
      <c r="Q1856" s="16"/>
      <c r="R1856" s="16"/>
      <c r="S1856" s="16"/>
      <c r="T1856" s="16"/>
      <c r="U1856" s="16"/>
      <c r="V1856" s="16"/>
      <c r="W1856" s="16"/>
      <c r="X1856" s="16"/>
      <c r="Y1856" s="16"/>
      <c r="Z1856" s="16"/>
      <c r="AA1856" s="16"/>
    </row>
    <row r="1857" spans="1:27" ht="24" customHeight="1">
      <c r="A1857" s="16"/>
      <c r="B1857" s="16"/>
      <c r="C1857" s="16"/>
      <c r="D1857" s="16"/>
      <c r="E1857" s="16"/>
      <c r="F1857" s="16"/>
      <c r="G1857" s="205"/>
      <c r="H1857" s="205"/>
      <c r="I1857" s="16"/>
      <c r="J1857" s="16"/>
      <c r="K1857" s="205"/>
      <c r="L1857" s="16"/>
      <c r="M1857" s="16"/>
      <c r="N1857" s="16"/>
      <c r="O1857" s="16"/>
      <c r="P1857" s="16"/>
      <c r="Q1857" s="16"/>
      <c r="R1857" s="16"/>
      <c r="S1857" s="16"/>
      <c r="T1857" s="16"/>
      <c r="U1857" s="16"/>
      <c r="V1857" s="16"/>
      <c r="W1857" s="16"/>
      <c r="X1857" s="16"/>
      <c r="Y1857" s="16"/>
      <c r="Z1857" s="16"/>
      <c r="AA1857" s="16"/>
    </row>
    <row r="1858" spans="1:27" ht="24" customHeight="1">
      <c r="A1858" s="16"/>
      <c r="B1858" s="16"/>
      <c r="C1858" s="16"/>
      <c r="D1858" s="16"/>
      <c r="E1858" s="16"/>
      <c r="F1858" s="16"/>
      <c r="G1858" s="205"/>
      <c r="H1858" s="205"/>
      <c r="I1858" s="16"/>
      <c r="J1858" s="16"/>
      <c r="K1858" s="205"/>
      <c r="L1858" s="16"/>
      <c r="M1858" s="16"/>
      <c r="N1858" s="16"/>
      <c r="O1858" s="16"/>
      <c r="P1858" s="16"/>
      <c r="Q1858" s="16"/>
      <c r="R1858" s="16"/>
      <c r="S1858" s="16"/>
      <c r="T1858" s="16"/>
      <c r="U1858" s="16"/>
      <c r="V1858" s="16"/>
      <c r="W1858" s="16"/>
      <c r="X1858" s="16"/>
      <c r="Y1858" s="16"/>
      <c r="Z1858" s="16"/>
      <c r="AA1858" s="16"/>
    </row>
    <row r="1859" spans="1:27" ht="24" customHeight="1">
      <c r="A1859" s="16"/>
      <c r="B1859" s="16"/>
      <c r="C1859" s="16"/>
      <c r="D1859" s="16"/>
      <c r="E1859" s="16"/>
      <c r="F1859" s="16"/>
      <c r="G1859" s="205"/>
      <c r="H1859" s="205"/>
      <c r="I1859" s="16"/>
      <c r="J1859" s="16"/>
      <c r="K1859" s="205"/>
      <c r="L1859" s="16"/>
      <c r="M1859" s="16"/>
      <c r="N1859" s="16"/>
      <c r="O1859" s="16"/>
      <c r="P1859" s="16"/>
      <c r="Q1859" s="16"/>
      <c r="R1859" s="16"/>
      <c r="S1859" s="16"/>
      <c r="T1859" s="16"/>
      <c r="U1859" s="16"/>
      <c r="V1859" s="16"/>
      <c r="W1859" s="16"/>
      <c r="X1859" s="16"/>
      <c r="Y1859" s="16"/>
      <c r="Z1859" s="16"/>
      <c r="AA1859" s="16"/>
    </row>
    <row r="1860" spans="1:27" ht="24" customHeight="1">
      <c r="A1860" s="16"/>
      <c r="B1860" s="16"/>
      <c r="C1860" s="16"/>
      <c r="D1860" s="16"/>
      <c r="E1860" s="16"/>
      <c r="F1860" s="16"/>
      <c r="G1860" s="205"/>
      <c r="H1860" s="205"/>
      <c r="I1860" s="16"/>
      <c r="J1860" s="16"/>
      <c r="K1860" s="205"/>
      <c r="L1860" s="16"/>
      <c r="M1860" s="16"/>
      <c r="N1860" s="16"/>
      <c r="O1860" s="16"/>
      <c r="P1860" s="16"/>
      <c r="Q1860" s="16"/>
      <c r="R1860" s="16"/>
      <c r="S1860" s="16"/>
      <c r="T1860" s="16"/>
      <c r="U1860" s="16"/>
      <c r="V1860" s="16"/>
      <c r="W1860" s="16"/>
      <c r="X1860" s="16"/>
      <c r="Y1860" s="16"/>
      <c r="Z1860" s="16"/>
      <c r="AA1860" s="16"/>
    </row>
    <row r="1861" spans="1:27" ht="24" customHeight="1">
      <c r="A1861" s="16"/>
      <c r="B1861" s="16"/>
      <c r="C1861" s="16"/>
      <c r="D1861" s="16"/>
      <c r="E1861" s="16"/>
      <c r="F1861" s="16"/>
      <c r="G1861" s="205"/>
      <c r="H1861" s="205"/>
      <c r="I1861" s="16"/>
      <c r="J1861" s="16"/>
      <c r="K1861" s="205"/>
      <c r="L1861" s="16"/>
      <c r="M1861" s="16"/>
      <c r="N1861" s="16"/>
      <c r="O1861" s="16"/>
      <c r="P1861" s="16"/>
      <c r="Q1861" s="16"/>
      <c r="R1861" s="16"/>
      <c r="S1861" s="16"/>
      <c r="T1861" s="16"/>
      <c r="U1861" s="16"/>
      <c r="V1861" s="16"/>
      <c r="W1861" s="16"/>
      <c r="X1861" s="16"/>
      <c r="Y1861" s="16"/>
      <c r="Z1861" s="16"/>
      <c r="AA1861" s="16"/>
    </row>
    <row r="1862" spans="1:27" ht="24" customHeight="1">
      <c r="A1862" s="16"/>
      <c r="B1862" s="16"/>
      <c r="C1862" s="16"/>
      <c r="D1862" s="16"/>
      <c r="E1862" s="16"/>
      <c r="F1862" s="16"/>
      <c r="G1862" s="205"/>
      <c r="H1862" s="205"/>
      <c r="I1862" s="16"/>
      <c r="J1862" s="16"/>
      <c r="K1862" s="205"/>
      <c r="L1862" s="16"/>
      <c r="M1862" s="16"/>
      <c r="N1862" s="16"/>
      <c r="O1862" s="16"/>
      <c r="P1862" s="16"/>
      <c r="Q1862" s="16"/>
      <c r="R1862" s="16"/>
      <c r="S1862" s="16"/>
      <c r="T1862" s="16"/>
      <c r="U1862" s="16"/>
      <c r="V1862" s="16"/>
      <c r="W1862" s="16"/>
      <c r="X1862" s="16"/>
      <c r="Y1862" s="16"/>
      <c r="Z1862" s="16"/>
      <c r="AA1862" s="16"/>
    </row>
    <row r="1863" spans="1:27" ht="24" customHeight="1">
      <c r="A1863" s="16"/>
      <c r="B1863" s="16"/>
      <c r="C1863" s="16"/>
      <c r="D1863" s="16"/>
      <c r="E1863" s="16"/>
      <c r="F1863" s="16"/>
      <c r="G1863" s="205"/>
      <c r="H1863" s="205"/>
      <c r="I1863" s="16"/>
      <c r="J1863" s="16"/>
      <c r="K1863" s="205"/>
      <c r="L1863" s="16"/>
      <c r="M1863" s="16"/>
      <c r="N1863" s="16"/>
      <c r="O1863" s="16"/>
      <c r="P1863" s="16"/>
      <c r="Q1863" s="16"/>
      <c r="R1863" s="16"/>
      <c r="S1863" s="16"/>
      <c r="T1863" s="16"/>
      <c r="U1863" s="16"/>
      <c r="V1863" s="16"/>
      <c r="W1863" s="16"/>
      <c r="X1863" s="16"/>
      <c r="Y1863" s="16"/>
      <c r="Z1863" s="16"/>
      <c r="AA1863" s="16"/>
    </row>
    <row r="1864" spans="1:27" ht="24" customHeight="1">
      <c r="A1864" s="16"/>
      <c r="B1864" s="16"/>
      <c r="C1864" s="16"/>
      <c r="D1864" s="16"/>
      <c r="E1864" s="16"/>
      <c r="F1864" s="16"/>
      <c r="G1864" s="205"/>
      <c r="H1864" s="205"/>
      <c r="I1864" s="16"/>
      <c r="J1864" s="16"/>
      <c r="K1864" s="205"/>
      <c r="L1864" s="16"/>
      <c r="M1864" s="16"/>
      <c r="N1864" s="16"/>
      <c r="O1864" s="16"/>
      <c r="P1864" s="16"/>
      <c r="Q1864" s="16"/>
      <c r="R1864" s="16"/>
      <c r="S1864" s="16"/>
      <c r="T1864" s="16"/>
      <c r="U1864" s="16"/>
      <c r="V1864" s="16"/>
      <c r="W1864" s="16"/>
      <c r="X1864" s="16"/>
      <c r="Y1864" s="16"/>
      <c r="Z1864" s="16"/>
      <c r="AA1864" s="16"/>
    </row>
    <row r="1865" spans="1:27" ht="24" customHeight="1">
      <c r="A1865" s="16"/>
      <c r="B1865" s="16"/>
      <c r="C1865" s="16"/>
      <c r="D1865" s="16"/>
      <c r="E1865" s="16"/>
      <c r="F1865" s="16"/>
      <c r="G1865" s="205"/>
      <c r="H1865" s="205"/>
      <c r="I1865" s="16"/>
      <c r="J1865" s="16"/>
      <c r="K1865" s="205"/>
      <c r="L1865" s="16"/>
      <c r="M1865" s="16"/>
      <c r="N1865" s="16"/>
      <c r="O1865" s="16"/>
      <c r="P1865" s="16"/>
      <c r="Q1865" s="16"/>
      <c r="R1865" s="16"/>
      <c r="S1865" s="16"/>
      <c r="T1865" s="16"/>
      <c r="U1865" s="16"/>
      <c r="V1865" s="16"/>
      <c r="W1865" s="16"/>
      <c r="X1865" s="16"/>
      <c r="Y1865" s="16"/>
      <c r="Z1865" s="16"/>
      <c r="AA1865" s="16"/>
    </row>
    <row r="1866" spans="1:27" ht="24" customHeight="1">
      <c r="A1866" s="16"/>
      <c r="B1866" s="16"/>
      <c r="C1866" s="16"/>
      <c r="D1866" s="16"/>
      <c r="E1866" s="16"/>
      <c r="F1866" s="16"/>
      <c r="G1866" s="205"/>
      <c r="H1866" s="205"/>
      <c r="I1866" s="16"/>
      <c r="J1866" s="16"/>
      <c r="K1866" s="205"/>
      <c r="L1866" s="16"/>
      <c r="M1866" s="16"/>
      <c r="N1866" s="16"/>
      <c r="O1866" s="16"/>
      <c r="P1866" s="16"/>
      <c r="Q1866" s="16"/>
      <c r="R1866" s="16"/>
      <c r="S1866" s="16"/>
      <c r="T1866" s="16"/>
      <c r="U1866" s="16"/>
      <c r="V1866" s="16"/>
      <c r="W1866" s="16"/>
      <c r="X1866" s="16"/>
      <c r="Y1866" s="16"/>
      <c r="Z1866" s="16"/>
      <c r="AA1866" s="16"/>
    </row>
    <row r="1867" spans="1:27" ht="24" customHeight="1">
      <c r="A1867" s="16"/>
      <c r="B1867" s="16"/>
      <c r="C1867" s="16"/>
      <c r="D1867" s="16"/>
      <c r="E1867" s="16"/>
      <c r="F1867" s="16"/>
      <c r="G1867" s="205"/>
      <c r="H1867" s="205"/>
      <c r="I1867" s="16"/>
      <c r="J1867" s="16"/>
      <c r="K1867" s="205"/>
      <c r="L1867" s="16"/>
      <c r="M1867" s="16"/>
      <c r="N1867" s="16"/>
      <c r="O1867" s="16"/>
      <c r="P1867" s="16"/>
      <c r="Q1867" s="16"/>
      <c r="R1867" s="16"/>
      <c r="S1867" s="16"/>
      <c r="T1867" s="16"/>
      <c r="U1867" s="16"/>
      <c r="V1867" s="16"/>
      <c r="W1867" s="16"/>
      <c r="X1867" s="16"/>
      <c r="Y1867" s="16"/>
      <c r="Z1867" s="16"/>
      <c r="AA1867" s="16"/>
    </row>
    <row r="1868" spans="1:27" ht="24" customHeight="1">
      <c r="A1868" s="16"/>
      <c r="B1868" s="16"/>
      <c r="C1868" s="16"/>
      <c r="D1868" s="16"/>
      <c r="E1868" s="16"/>
      <c r="F1868" s="16"/>
      <c r="G1868" s="205"/>
      <c r="H1868" s="205"/>
      <c r="I1868" s="16"/>
      <c r="J1868" s="16"/>
      <c r="K1868" s="205"/>
      <c r="L1868" s="16"/>
      <c r="M1868" s="16"/>
      <c r="N1868" s="16"/>
      <c r="O1868" s="16"/>
      <c r="P1868" s="16"/>
      <c r="Q1868" s="16"/>
      <c r="R1868" s="16"/>
      <c r="S1868" s="16"/>
      <c r="T1868" s="16"/>
      <c r="U1868" s="16"/>
      <c r="V1868" s="16"/>
      <c r="W1868" s="16"/>
      <c r="X1868" s="16"/>
      <c r="Y1868" s="16"/>
      <c r="Z1868" s="16"/>
      <c r="AA1868" s="16"/>
    </row>
    <row r="1869" spans="1:27" ht="24" customHeight="1">
      <c r="A1869" s="16"/>
      <c r="B1869" s="16"/>
      <c r="C1869" s="16"/>
      <c r="D1869" s="16"/>
      <c r="E1869" s="16"/>
      <c r="F1869" s="16"/>
      <c r="G1869" s="205"/>
      <c r="H1869" s="205"/>
      <c r="I1869" s="16"/>
      <c r="J1869" s="16"/>
      <c r="K1869" s="205"/>
      <c r="L1869" s="16"/>
      <c r="M1869" s="16"/>
      <c r="N1869" s="16"/>
      <c r="O1869" s="16"/>
      <c r="P1869" s="16"/>
      <c r="Q1869" s="16"/>
      <c r="R1869" s="16"/>
      <c r="S1869" s="16"/>
      <c r="T1869" s="16"/>
      <c r="U1869" s="16"/>
      <c r="V1869" s="16"/>
      <c r="W1869" s="16"/>
      <c r="X1869" s="16"/>
      <c r="Y1869" s="16"/>
      <c r="Z1869" s="16"/>
      <c r="AA1869" s="16"/>
    </row>
    <row r="1870" spans="1:27" ht="24" customHeight="1">
      <c r="A1870" s="16"/>
      <c r="B1870" s="16"/>
      <c r="C1870" s="16"/>
      <c r="D1870" s="16"/>
      <c r="E1870" s="16"/>
      <c r="F1870" s="16"/>
      <c r="G1870" s="205"/>
      <c r="H1870" s="205"/>
      <c r="I1870" s="16"/>
      <c r="J1870" s="16"/>
      <c r="K1870" s="205"/>
      <c r="L1870" s="16"/>
      <c r="M1870" s="16"/>
      <c r="N1870" s="16"/>
      <c r="O1870" s="16"/>
      <c r="P1870" s="16"/>
      <c r="Q1870" s="16"/>
      <c r="R1870" s="16"/>
      <c r="S1870" s="16"/>
      <c r="T1870" s="16"/>
      <c r="U1870" s="16"/>
      <c r="V1870" s="16"/>
      <c r="W1870" s="16"/>
      <c r="X1870" s="16"/>
      <c r="Y1870" s="16"/>
      <c r="Z1870" s="16"/>
      <c r="AA1870" s="16"/>
    </row>
    <row r="1871" spans="1:27" ht="24" customHeight="1">
      <c r="A1871" s="16"/>
      <c r="B1871" s="16"/>
      <c r="C1871" s="16"/>
      <c r="D1871" s="16"/>
      <c r="E1871" s="16"/>
      <c r="F1871" s="16"/>
      <c r="G1871" s="205"/>
      <c r="H1871" s="205"/>
      <c r="I1871" s="16"/>
      <c r="J1871" s="16"/>
      <c r="K1871" s="205"/>
      <c r="L1871" s="16"/>
      <c r="M1871" s="16"/>
      <c r="N1871" s="16"/>
      <c r="O1871" s="16"/>
      <c r="P1871" s="16"/>
      <c r="Q1871" s="16"/>
      <c r="R1871" s="16"/>
      <c r="S1871" s="16"/>
      <c r="T1871" s="16"/>
      <c r="U1871" s="16"/>
      <c r="V1871" s="16"/>
      <c r="W1871" s="16"/>
      <c r="X1871" s="16"/>
      <c r="Y1871" s="16"/>
      <c r="Z1871" s="16"/>
      <c r="AA1871" s="16"/>
    </row>
    <row r="1872" spans="1:27" ht="24" customHeight="1">
      <c r="A1872" s="16"/>
      <c r="B1872" s="16"/>
      <c r="C1872" s="16"/>
      <c r="D1872" s="16"/>
      <c r="E1872" s="16"/>
      <c r="F1872" s="16"/>
      <c r="G1872" s="205"/>
      <c r="H1872" s="205"/>
      <c r="I1872" s="16"/>
      <c r="J1872" s="16"/>
      <c r="K1872" s="205"/>
      <c r="L1872" s="16"/>
      <c r="M1872" s="16"/>
      <c r="N1872" s="16"/>
      <c r="O1872" s="16"/>
      <c r="P1872" s="16"/>
      <c r="Q1872" s="16"/>
      <c r="R1872" s="16"/>
      <c r="S1872" s="16"/>
      <c r="T1872" s="16"/>
      <c r="U1872" s="16"/>
      <c r="V1872" s="16"/>
      <c r="W1872" s="16"/>
      <c r="X1872" s="16"/>
      <c r="Y1872" s="16"/>
      <c r="Z1872" s="16"/>
      <c r="AA1872" s="16"/>
    </row>
    <row r="1873" spans="1:27" ht="24" customHeight="1">
      <c r="A1873" s="16"/>
      <c r="B1873" s="16"/>
      <c r="C1873" s="16"/>
      <c r="D1873" s="16"/>
      <c r="E1873" s="16"/>
      <c r="F1873" s="16"/>
      <c r="G1873" s="205"/>
      <c r="H1873" s="205"/>
      <c r="I1873" s="16"/>
      <c r="J1873" s="16"/>
      <c r="K1873" s="205"/>
      <c r="L1873" s="16"/>
      <c r="M1873" s="16"/>
      <c r="N1873" s="16"/>
      <c r="O1873" s="16"/>
      <c r="P1873" s="16"/>
      <c r="Q1873" s="16"/>
      <c r="R1873" s="16"/>
      <c r="S1873" s="16"/>
      <c r="T1873" s="16"/>
      <c r="U1873" s="16"/>
      <c r="V1873" s="16"/>
      <c r="W1873" s="16"/>
      <c r="X1873" s="16"/>
      <c r="Y1873" s="16"/>
      <c r="Z1873" s="16"/>
      <c r="AA1873" s="16"/>
    </row>
    <row r="1874" spans="1:27" ht="24" customHeight="1">
      <c r="A1874" s="16"/>
      <c r="B1874" s="16"/>
      <c r="C1874" s="16"/>
      <c r="D1874" s="16"/>
      <c r="E1874" s="16"/>
      <c r="F1874" s="16"/>
      <c r="G1874" s="205"/>
      <c r="H1874" s="205"/>
      <c r="I1874" s="16"/>
      <c r="J1874" s="16"/>
      <c r="K1874" s="205"/>
      <c r="L1874" s="16"/>
      <c r="M1874" s="16"/>
      <c r="N1874" s="16"/>
      <c r="O1874" s="16"/>
      <c r="P1874" s="16"/>
      <c r="Q1874" s="16"/>
      <c r="R1874" s="16"/>
      <c r="S1874" s="16"/>
      <c r="T1874" s="16"/>
      <c r="U1874" s="16"/>
      <c r="V1874" s="16"/>
      <c r="W1874" s="16"/>
      <c r="X1874" s="16"/>
      <c r="Y1874" s="16"/>
      <c r="Z1874" s="16"/>
      <c r="AA1874" s="16"/>
    </row>
    <row r="1875" spans="1:27" ht="24" customHeight="1">
      <c r="A1875" s="16"/>
      <c r="B1875" s="16"/>
      <c r="C1875" s="16"/>
      <c r="D1875" s="16"/>
      <c r="E1875" s="16"/>
      <c r="F1875" s="16"/>
      <c r="G1875" s="205"/>
      <c r="H1875" s="205"/>
      <c r="I1875" s="16"/>
      <c r="J1875" s="16"/>
      <c r="K1875" s="205"/>
      <c r="L1875" s="16"/>
      <c r="M1875" s="16"/>
      <c r="N1875" s="16"/>
      <c r="O1875" s="16"/>
      <c r="P1875" s="16"/>
      <c r="Q1875" s="16"/>
      <c r="R1875" s="16"/>
      <c r="S1875" s="16"/>
      <c r="T1875" s="16"/>
      <c r="U1875" s="16"/>
      <c r="V1875" s="16"/>
      <c r="W1875" s="16"/>
      <c r="X1875" s="16"/>
      <c r="Y1875" s="16"/>
      <c r="Z1875" s="16"/>
      <c r="AA1875" s="16"/>
    </row>
    <row r="1876" spans="1:27" ht="24" customHeight="1">
      <c r="A1876" s="16"/>
      <c r="B1876" s="16"/>
      <c r="C1876" s="16"/>
      <c r="D1876" s="16"/>
      <c r="E1876" s="16"/>
      <c r="F1876" s="16"/>
      <c r="G1876" s="205"/>
      <c r="H1876" s="205"/>
      <c r="I1876" s="16"/>
      <c r="J1876" s="16"/>
      <c r="K1876" s="205"/>
      <c r="L1876" s="16"/>
      <c r="M1876" s="16"/>
      <c r="N1876" s="16"/>
      <c r="O1876" s="16"/>
      <c r="P1876" s="16"/>
      <c r="Q1876" s="16"/>
      <c r="R1876" s="16"/>
      <c r="S1876" s="16"/>
      <c r="T1876" s="16"/>
      <c r="U1876" s="16"/>
      <c r="V1876" s="16"/>
      <c r="W1876" s="16"/>
      <c r="X1876" s="16"/>
      <c r="Y1876" s="16"/>
      <c r="Z1876" s="16"/>
      <c r="AA1876" s="16"/>
    </row>
    <row r="1877" spans="1:27" ht="24" customHeight="1">
      <c r="A1877" s="16"/>
      <c r="B1877" s="16"/>
      <c r="C1877" s="16"/>
      <c r="D1877" s="16"/>
      <c r="E1877" s="16"/>
      <c r="F1877" s="16"/>
      <c r="G1877" s="205"/>
      <c r="H1877" s="205"/>
      <c r="I1877" s="16"/>
      <c r="J1877" s="16"/>
      <c r="K1877" s="205"/>
      <c r="L1877" s="16"/>
      <c r="M1877" s="16"/>
      <c r="N1877" s="16"/>
      <c r="O1877" s="16"/>
      <c r="P1877" s="16"/>
      <c r="Q1877" s="16"/>
      <c r="R1877" s="16"/>
      <c r="S1877" s="16"/>
      <c r="T1877" s="16"/>
      <c r="U1877" s="16"/>
      <c r="V1877" s="16"/>
      <c r="W1877" s="16"/>
      <c r="X1877" s="16"/>
      <c r="Y1877" s="16"/>
      <c r="Z1877" s="16"/>
      <c r="AA1877" s="16"/>
    </row>
    <row r="1878" spans="1:27" ht="24" customHeight="1">
      <c r="A1878" s="16"/>
      <c r="B1878" s="16"/>
      <c r="C1878" s="16"/>
      <c r="D1878" s="16"/>
      <c r="E1878" s="16"/>
      <c r="F1878" s="16"/>
      <c r="G1878" s="205"/>
      <c r="H1878" s="205"/>
      <c r="I1878" s="16"/>
      <c r="J1878" s="16"/>
      <c r="K1878" s="205"/>
      <c r="L1878" s="16"/>
      <c r="M1878" s="16"/>
      <c r="N1878" s="16"/>
      <c r="O1878" s="16"/>
      <c r="P1878" s="16"/>
      <c r="Q1878" s="16"/>
      <c r="R1878" s="16"/>
      <c r="S1878" s="16"/>
      <c r="T1878" s="16"/>
      <c r="U1878" s="16"/>
      <c r="V1878" s="16"/>
      <c r="W1878" s="16"/>
      <c r="X1878" s="16"/>
      <c r="Y1878" s="16"/>
      <c r="Z1878" s="16"/>
      <c r="AA1878" s="16"/>
    </row>
    <row r="1879" spans="1:27" ht="24" customHeight="1">
      <c r="A1879" s="16"/>
      <c r="B1879" s="16"/>
      <c r="C1879" s="16"/>
      <c r="D1879" s="16"/>
      <c r="E1879" s="16"/>
      <c r="F1879" s="16"/>
      <c r="G1879" s="205"/>
      <c r="H1879" s="205"/>
      <c r="I1879" s="16"/>
      <c r="J1879" s="16"/>
      <c r="K1879" s="205"/>
      <c r="L1879" s="16"/>
      <c r="M1879" s="16"/>
      <c r="N1879" s="16"/>
      <c r="O1879" s="16"/>
      <c r="P1879" s="16"/>
      <c r="Q1879" s="16"/>
      <c r="R1879" s="16"/>
      <c r="S1879" s="16"/>
      <c r="T1879" s="16"/>
      <c r="U1879" s="16"/>
      <c r="V1879" s="16"/>
      <c r="W1879" s="16"/>
      <c r="X1879" s="16"/>
      <c r="Y1879" s="16"/>
      <c r="Z1879" s="16"/>
      <c r="AA1879" s="16"/>
    </row>
    <row r="1880" spans="1:27" ht="24" customHeight="1">
      <c r="A1880" s="16"/>
      <c r="B1880" s="16"/>
      <c r="C1880" s="16"/>
      <c r="D1880" s="16"/>
      <c r="E1880" s="16"/>
      <c r="F1880" s="16"/>
      <c r="G1880" s="205"/>
      <c r="H1880" s="205"/>
      <c r="I1880" s="16"/>
      <c r="J1880" s="16"/>
      <c r="K1880" s="205"/>
      <c r="L1880" s="16"/>
      <c r="M1880" s="16"/>
      <c r="N1880" s="16"/>
      <c r="O1880" s="16"/>
      <c r="P1880" s="16"/>
      <c r="Q1880" s="16"/>
      <c r="R1880" s="16"/>
      <c r="S1880" s="16"/>
      <c r="T1880" s="16"/>
      <c r="U1880" s="16"/>
      <c r="V1880" s="16"/>
      <c r="W1880" s="16"/>
      <c r="X1880" s="16"/>
      <c r="Y1880" s="16"/>
      <c r="Z1880" s="16"/>
      <c r="AA1880" s="16"/>
    </row>
    <row r="1881" spans="1:27" ht="24" customHeight="1">
      <c r="A1881" s="16"/>
      <c r="B1881" s="16"/>
      <c r="C1881" s="16"/>
      <c r="D1881" s="16"/>
      <c r="E1881" s="16"/>
      <c r="F1881" s="16"/>
      <c r="G1881" s="205"/>
      <c r="H1881" s="205"/>
      <c r="I1881" s="16"/>
      <c r="J1881" s="16"/>
      <c r="K1881" s="205"/>
      <c r="L1881" s="16"/>
      <c r="M1881" s="16"/>
      <c r="N1881" s="16"/>
      <c r="O1881" s="16"/>
      <c r="P1881" s="16"/>
      <c r="Q1881" s="16"/>
      <c r="R1881" s="16"/>
      <c r="S1881" s="16"/>
      <c r="T1881" s="16"/>
      <c r="U1881" s="16"/>
      <c r="V1881" s="16"/>
      <c r="W1881" s="16"/>
      <c r="X1881" s="16"/>
      <c r="Y1881" s="16"/>
      <c r="Z1881" s="16"/>
      <c r="AA1881" s="16"/>
    </row>
    <row r="1882" spans="1:27" ht="24" customHeight="1">
      <c r="A1882" s="16"/>
      <c r="B1882" s="16"/>
      <c r="C1882" s="16"/>
      <c r="D1882" s="16"/>
      <c r="E1882" s="16"/>
      <c r="F1882" s="16"/>
      <c r="G1882" s="205"/>
      <c r="H1882" s="205"/>
      <c r="I1882" s="16"/>
      <c r="J1882" s="16"/>
      <c r="K1882" s="205"/>
      <c r="L1882" s="16"/>
      <c r="M1882" s="16"/>
      <c r="N1882" s="16"/>
      <c r="O1882" s="16"/>
      <c r="P1882" s="16"/>
      <c r="Q1882" s="16"/>
      <c r="R1882" s="16"/>
      <c r="S1882" s="16"/>
      <c r="T1882" s="16"/>
      <c r="U1882" s="16"/>
      <c r="V1882" s="16"/>
      <c r="W1882" s="16"/>
      <c r="X1882" s="16"/>
      <c r="Y1882" s="16"/>
      <c r="Z1882" s="16"/>
      <c r="AA1882" s="16"/>
    </row>
    <row r="1883" spans="1:27" ht="24" customHeight="1">
      <c r="A1883" s="16"/>
      <c r="B1883" s="16"/>
      <c r="C1883" s="16"/>
      <c r="D1883" s="16"/>
      <c r="E1883" s="16"/>
      <c r="F1883" s="16"/>
      <c r="G1883" s="205"/>
      <c r="H1883" s="205"/>
      <c r="I1883" s="16"/>
      <c r="J1883" s="16"/>
      <c r="K1883" s="205"/>
      <c r="L1883" s="16"/>
      <c r="M1883" s="16"/>
      <c r="N1883" s="16"/>
      <c r="O1883" s="16"/>
      <c r="P1883" s="16"/>
      <c r="Q1883" s="16"/>
      <c r="R1883" s="16"/>
      <c r="S1883" s="16"/>
      <c r="T1883" s="16"/>
      <c r="U1883" s="16"/>
      <c r="V1883" s="16"/>
      <c r="W1883" s="16"/>
      <c r="X1883" s="16"/>
      <c r="Y1883" s="16"/>
      <c r="Z1883" s="16"/>
      <c r="AA1883" s="16"/>
    </row>
    <row r="1884" spans="1:27" ht="24" customHeight="1">
      <c r="A1884" s="16"/>
      <c r="B1884" s="16"/>
      <c r="C1884" s="16"/>
      <c r="D1884" s="16"/>
      <c r="E1884" s="16"/>
      <c r="F1884" s="16"/>
      <c r="G1884" s="205"/>
      <c r="H1884" s="205"/>
      <c r="I1884" s="16"/>
      <c r="J1884" s="16"/>
      <c r="K1884" s="205"/>
      <c r="L1884" s="16"/>
      <c r="M1884" s="16"/>
      <c r="N1884" s="16"/>
      <c r="O1884" s="16"/>
      <c r="P1884" s="16"/>
      <c r="Q1884" s="16"/>
      <c r="R1884" s="16"/>
      <c r="S1884" s="16"/>
      <c r="T1884" s="16"/>
      <c r="U1884" s="16"/>
      <c r="V1884" s="16"/>
      <c r="W1884" s="16"/>
      <c r="X1884" s="16"/>
      <c r="Y1884" s="16"/>
      <c r="Z1884" s="16"/>
      <c r="AA1884" s="16"/>
    </row>
    <row r="1885" spans="1:27" ht="24" customHeight="1">
      <c r="A1885" s="16"/>
      <c r="B1885" s="16"/>
      <c r="C1885" s="16"/>
      <c r="D1885" s="16"/>
      <c r="E1885" s="16"/>
      <c r="F1885" s="16"/>
      <c r="G1885" s="205"/>
      <c r="H1885" s="205"/>
      <c r="I1885" s="16"/>
      <c r="J1885" s="16"/>
      <c r="K1885" s="205"/>
      <c r="L1885" s="16"/>
      <c r="M1885" s="16"/>
      <c r="N1885" s="16"/>
      <c r="O1885" s="16"/>
      <c r="P1885" s="16"/>
      <c r="Q1885" s="16"/>
      <c r="R1885" s="16"/>
      <c r="S1885" s="16"/>
      <c r="T1885" s="16"/>
      <c r="U1885" s="16"/>
      <c r="V1885" s="16"/>
      <c r="W1885" s="16"/>
      <c r="X1885" s="16"/>
      <c r="Y1885" s="16"/>
      <c r="Z1885" s="16"/>
      <c r="AA1885" s="16"/>
    </row>
    <row r="1886" spans="1:27" ht="24" customHeight="1">
      <c r="A1886" s="16"/>
      <c r="B1886" s="16"/>
      <c r="C1886" s="16"/>
      <c r="D1886" s="16"/>
      <c r="E1886" s="16"/>
      <c r="F1886" s="16"/>
      <c r="G1886" s="205"/>
      <c r="H1886" s="205"/>
      <c r="I1886" s="16"/>
      <c r="J1886" s="16"/>
      <c r="K1886" s="205"/>
      <c r="L1886" s="16"/>
      <c r="M1886" s="16"/>
      <c r="N1886" s="16"/>
      <c r="O1886" s="16"/>
      <c r="P1886" s="16"/>
      <c r="Q1886" s="16"/>
      <c r="R1886" s="16"/>
      <c r="S1886" s="16"/>
      <c r="T1886" s="16"/>
      <c r="U1886" s="16"/>
      <c r="V1886" s="16"/>
      <c r="W1886" s="16"/>
      <c r="X1886" s="16"/>
      <c r="Y1886" s="16"/>
      <c r="Z1886" s="16"/>
      <c r="AA1886" s="16"/>
    </row>
    <row r="1887" spans="1:27" ht="24" customHeight="1">
      <c r="A1887" s="16"/>
      <c r="B1887" s="16"/>
      <c r="C1887" s="16"/>
      <c r="D1887" s="16"/>
      <c r="E1887" s="16"/>
      <c r="F1887" s="16"/>
      <c r="G1887" s="205"/>
      <c r="H1887" s="205"/>
      <c r="I1887" s="16"/>
      <c r="J1887" s="16"/>
      <c r="K1887" s="205"/>
      <c r="L1887" s="16"/>
      <c r="M1887" s="16"/>
      <c r="N1887" s="16"/>
      <c r="O1887" s="16"/>
      <c r="P1887" s="16"/>
      <c r="Q1887" s="16"/>
      <c r="R1887" s="16"/>
      <c r="S1887" s="16"/>
      <c r="T1887" s="16"/>
      <c r="U1887" s="16"/>
      <c r="V1887" s="16"/>
      <c r="W1887" s="16"/>
      <c r="X1887" s="16"/>
      <c r="Y1887" s="16"/>
      <c r="Z1887" s="16"/>
      <c r="AA1887" s="16"/>
    </row>
    <row r="1888" spans="1:27" ht="24" customHeight="1">
      <c r="A1888" s="16"/>
      <c r="B1888" s="16"/>
      <c r="C1888" s="16"/>
      <c r="D1888" s="16"/>
      <c r="E1888" s="16"/>
      <c r="F1888" s="16"/>
      <c r="G1888" s="205"/>
      <c r="H1888" s="205"/>
      <c r="I1888" s="16"/>
      <c r="J1888" s="16"/>
      <c r="K1888" s="205"/>
      <c r="L1888" s="16"/>
      <c r="M1888" s="16"/>
      <c r="N1888" s="16"/>
      <c r="O1888" s="16"/>
      <c r="P1888" s="16"/>
      <c r="Q1888" s="16"/>
      <c r="R1888" s="16"/>
      <c r="S1888" s="16"/>
      <c r="T1888" s="16"/>
      <c r="U1888" s="16"/>
      <c r="V1888" s="16"/>
      <c r="W1888" s="16"/>
      <c r="X1888" s="16"/>
      <c r="Y1888" s="16"/>
      <c r="Z1888" s="16"/>
      <c r="AA1888" s="16"/>
    </row>
    <row r="1889" spans="1:27" ht="24" customHeight="1">
      <c r="A1889" s="16"/>
      <c r="B1889" s="16"/>
      <c r="C1889" s="16"/>
      <c r="D1889" s="16"/>
      <c r="E1889" s="16"/>
      <c r="F1889" s="16"/>
      <c r="G1889" s="205"/>
      <c r="H1889" s="205"/>
      <c r="I1889" s="16"/>
      <c r="J1889" s="16"/>
      <c r="K1889" s="205"/>
      <c r="L1889" s="16"/>
      <c r="M1889" s="16"/>
      <c r="N1889" s="16"/>
      <c r="O1889" s="16"/>
      <c r="P1889" s="16"/>
      <c r="Q1889" s="16"/>
      <c r="R1889" s="16"/>
      <c r="S1889" s="16"/>
      <c r="T1889" s="16"/>
      <c r="U1889" s="16"/>
      <c r="V1889" s="16"/>
      <c r="W1889" s="16"/>
      <c r="X1889" s="16"/>
      <c r="Y1889" s="16"/>
      <c r="Z1889" s="16"/>
      <c r="AA1889" s="16"/>
    </row>
    <row r="1890" spans="1:27" ht="24" customHeight="1">
      <c r="A1890" s="16"/>
      <c r="B1890" s="16"/>
      <c r="C1890" s="16"/>
      <c r="D1890" s="16"/>
      <c r="E1890" s="16"/>
      <c r="F1890" s="16"/>
      <c r="G1890" s="205"/>
      <c r="H1890" s="205"/>
      <c r="I1890" s="16"/>
      <c r="J1890" s="16"/>
      <c r="K1890" s="205"/>
      <c r="L1890" s="16"/>
      <c r="M1890" s="16"/>
      <c r="N1890" s="16"/>
      <c r="O1890" s="16"/>
      <c r="P1890" s="16"/>
      <c r="Q1890" s="16"/>
      <c r="R1890" s="16"/>
      <c r="S1890" s="16"/>
      <c r="T1890" s="16"/>
      <c r="U1890" s="16"/>
      <c r="V1890" s="16"/>
      <c r="W1890" s="16"/>
      <c r="X1890" s="16"/>
      <c r="Y1890" s="16"/>
      <c r="Z1890" s="16"/>
      <c r="AA1890" s="16"/>
    </row>
    <row r="1891" spans="1:27" ht="24" customHeight="1">
      <c r="A1891" s="16"/>
      <c r="B1891" s="16"/>
      <c r="C1891" s="16"/>
      <c r="D1891" s="16"/>
      <c r="E1891" s="16"/>
      <c r="F1891" s="16"/>
      <c r="G1891" s="205"/>
      <c r="H1891" s="205"/>
      <c r="I1891" s="16"/>
      <c r="J1891" s="16"/>
      <c r="K1891" s="205"/>
      <c r="L1891" s="16"/>
      <c r="M1891" s="16"/>
      <c r="N1891" s="16"/>
      <c r="O1891" s="16"/>
      <c r="P1891" s="16"/>
      <c r="Q1891" s="16"/>
      <c r="R1891" s="16"/>
      <c r="S1891" s="16"/>
      <c r="T1891" s="16"/>
      <c r="U1891" s="16"/>
      <c r="V1891" s="16"/>
      <c r="W1891" s="16"/>
      <c r="X1891" s="16"/>
      <c r="Y1891" s="16"/>
      <c r="Z1891" s="16"/>
      <c r="AA1891" s="16"/>
    </row>
    <row r="1892" spans="1:27" ht="24" customHeight="1">
      <c r="A1892" s="16"/>
      <c r="B1892" s="16"/>
      <c r="C1892" s="16"/>
      <c r="D1892" s="16"/>
      <c r="E1892" s="16"/>
      <c r="F1892" s="16"/>
      <c r="G1892" s="205"/>
      <c r="H1892" s="205"/>
      <c r="I1892" s="16"/>
      <c r="J1892" s="16"/>
      <c r="K1892" s="205"/>
      <c r="L1892" s="16"/>
      <c r="M1892" s="16"/>
      <c r="N1892" s="16"/>
      <c r="O1892" s="16"/>
      <c r="P1892" s="16"/>
      <c r="Q1892" s="16"/>
      <c r="R1892" s="16"/>
      <c r="S1892" s="16"/>
      <c r="T1892" s="16"/>
      <c r="U1892" s="16"/>
      <c r="V1892" s="16"/>
      <c r="W1892" s="16"/>
      <c r="X1892" s="16"/>
      <c r="Y1892" s="16"/>
      <c r="Z1892" s="16"/>
      <c r="AA1892" s="16"/>
    </row>
    <row r="1893" spans="1:27" ht="24" customHeight="1">
      <c r="A1893" s="16"/>
      <c r="B1893" s="16"/>
      <c r="C1893" s="16"/>
      <c r="D1893" s="16"/>
      <c r="E1893" s="16"/>
      <c r="F1893" s="16"/>
      <c r="G1893" s="205"/>
      <c r="H1893" s="205"/>
      <c r="I1893" s="16"/>
      <c r="J1893" s="16"/>
      <c r="K1893" s="205"/>
      <c r="L1893" s="16"/>
      <c r="M1893" s="16"/>
      <c r="N1893" s="16"/>
      <c r="O1893" s="16"/>
      <c r="P1893" s="16"/>
      <c r="Q1893" s="16"/>
      <c r="R1893" s="16"/>
      <c r="S1893" s="16"/>
      <c r="T1893" s="16"/>
      <c r="U1893" s="16"/>
      <c r="V1893" s="16"/>
      <c r="W1893" s="16"/>
      <c r="X1893" s="16"/>
      <c r="Y1893" s="16"/>
      <c r="Z1893" s="16"/>
      <c r="AA1893" s="16"/>
    </row>
    <row r="1894" spans="1:27" ht="24" customHeight="1">
      <c r="A1894" s="16"/>
      <c r="B1894" s="16"/>
      <c r="C1894" s="16"/>
      <c r="D1894" s="16"/>
      <c r="E1894" s="16"/>
      <c r="F1894" s="16"/>
      <c r="G1894" s="205"/>
      <c r="H1894" s="205"/>
      <c r="I1894" s="16"/>
      <c r="J1894" s="16"/>
      <c r="K1894" s="205"/>
      <c r="L1894" s="16"/>
      <c r="M1894" s="16"/>
      <c r="N1894" s="16"/>
      <c r="O1894" s="16"/>
      <c r="P1894" s="16"/>
      <c r="Q1894" s="16"/>
      <c r="R1894" s="16"/>
      <c r="S1894" s="16"/>
      <c r="T1894" s="16"/>
      <c r="U1894" s="16"/>
      <c r="V1894" s="16"/>
      <c r="W1894" s="16"/>
      <c r="X1894" s="16"/>
      <c r="Y1894" s="16"/>
      <c r="Z1894" s="16"/>
      <c r="AA1894" s="16"/>
    </row>
    <row r="1895" spans="1:27" ht="24" customHeight="1">
      <c r="A1895" s="16"/>
      <c r="B1895" s="16"/>
      <c r="C1895" s="16"/>
      <c r="D1895" s="16"/>
      <c r="E1895" s="16"/>
      <c r="F1895" s="16"/>
      <c r="G1895" s="205"/>
      <c r="H1895" s="205"/>
      <c r="I1895" s="16"/>
      <c r="J1895" s="16"/>
      <c r="K1895" s="205"/>
      <c r="L1895" s="16"/>
      <c r="M1895" s="16"/>
      <c r="N1895" s="16"/>
      <c r="O1895" s="16"/>
      <c r="P1895" s="16"/>
      <c r="Q1895" s="16"/>
      <c r="R1895" s="16"/>
      <c r="S1895" s="16"/>
      <c r="T1895" s="16"/>
      <c r="U1895" s="16"/>
      <c r="V1895" s="16"/>
      <c r="W1895" s="16"/>
      <c r="X1895" s="16"/>
      <c r="Y1895" s="16"/>
      <c r="Z1895" s="16"/>
      <c r="AA1895" s="16"/>
    </row>
    <row r="1896" spans="1:27" ht="24" customHeight="1">
      <c r="A1896" s="16"/>
      <c r="B1896" s="16"/>
      <c r="C1896" s="16"/>
      <c r="D1896" s="16"/>
      <c r="E1896" s="16"/>
      <c r="F1896" s="16"/>
      <c r="G1896" s="205"/>
      <c r="H1896" s="205"/>
      <c r="I1896" s="16"/>
      <c r="J1896" s="16"/>
      <c r="K1896" s="205"/>
      <c r="L1896" s="16"/>
      <c r="M1896" s="16"/>
      <c r="N1896" s="16"/>
      <c r="O1896" s="16"/>
      <c r="P1896" s="16"/>
      <c r="Q1896" s="16"/>
      <c r="R1896" s="16"/>
      <c r="S1896" s="16"/>
      <c r="T1896" s="16"/>
      <c r="U1896" s="16"/>
      <c r="V1896" s="16"/>
      <c r="W1896" s="16"/>
      <c r="X1896" s="16"/>
      <c r="Y1896" s="16"/>
      <c r="Z1896" s="16"/>
      <c r="AA1896" s="16"/>
    </row>
    <row r="1897" spans="1:27" ht="24" customHeight="1">
      <c r="A1897" s="16"/>
      <c r="B1897" s="16"/>
      <c r="C1897" s="16"/>
      <c r="D1897" s="16"/>
      <c r="E1897" s="16"/>
      <c r="F1897" s="16"/>
      <c r="G1897" s="205"/>
      <c r="H1897" s="205"/>
      <c r="I1897" s="16"/>
      <c r="J1897" s="16"/>
      <c r="K1897" s="205"/>
      <c r="L1897" s="16"/>
      <c r="M1897" s="16"/>
      <c r="N1897" s="16"/>
      <c r="O1897" s="16"/>
      <c r="P1897" s="16"/>
      <c r="Q1897" s="16"/>
      <c r="R1897" s="16"/>
      <c r="S1897" s="16"/>
      <c r="T1897" s="16"/>
      <c r="U1897" s="16"/>
      <c r="V1897" s="16"/>
      <c r="W1897" s="16"/>
      <c r="X1897" s="16"/>
      <c r="Y1897" s="16"/>
      <c r="Z1897" s="16"/>
      <c r="AA1897" s="16"/>
    </row>
    <row r="1898" spans="1:27" ht="24" customHeight="1">
      <c r="A1898" s="16"/>
      <c r="B1898" s="16"/>
      <c r="C1898" s="16"/>
      <c r="D1898" s="16"/>
      <c r="E1898" s="16"/>
      <c r="F1898" s="16"/>
      <c r="G1898" s="205"/>
      <c r="H1898" s="205"/>
      <c r="I1898" s="16"/>
      <c r="J1898" s="16"/>
      <c r="K1898" s="205"/>
      <c r="L1898" s="16"/>
      <c r="M1898" s="16"/>
      <c r="N1898" s="16"/>
      <c r="O1898" s="16"/>
      <c r="P1898" s="16"/>
      <c r="Q1898" s="16"/>
      <c r="R1898" s="16"/>
      <c r="S1898" s="16"/>
      <c r="T1898" s="16"/>
      <c r="U1898" s="16"/>
      <c r="V1898" s="16"/>
      <c r="W1898" s="16"/>
      <c r="X1898" s="16"/>
      <c r="Y1898" s="16"/>
      <c r="Z1898" s="16"/>
      <c r="AA1898" s="16"/>
    </row>
    <row r="1899" spans="1:27" ht="24" customHeight="1">
      <c r="A1899" s="16"/>
      <c r="B1899" s="16"/>
      <c r="C1899" s="16"/>
      <c r="D1899" s="16"/>
      <c r="E1899" s="16"/>
      <c r="F1899" s="16"/>
      <c r="G1899" s="205"/>
      <c r="H1899" s="205"/>
      <c r="I1899" s="16"/>
      <c r="J1899" s="16"/>
      <c r="K1899" s="205"/>
      <c r="L1899" s="16"/>
      <c r="M1899" s="16"/>
      <c r="N1899" s="16"/>
      <c r="O1899" s="16"/>
      <c r="P1899" s="16"/>
      <c r="Q1899" s="16"/>
      <c r="R1899" s="16"/>
      <c r="S1899" s="16"/>
      <c r="T1899" s="16"/>
      <c r="U1899" s="16"/>
      <c r="V1899" s="16"/>
      <c r="W1899" s="16"/>
      <c r="X1899" s="16"/>
      <c r="Y1899" s="16"/>
      <c r="Z1899" s="16"/>
      <c r="AA1899" s="16"/>
    </row>
    <row r="1900" spans="1:27" ht="24" customHeight="1">
      <c r="A1900" s="16"/>
      <c r="B1900" s="16"/>
      <c r="C1900" s="16"/>
      <c r="D1900" s="16"/>
      <c r="E1900" s="16"/>
      <c r="F1900" s="16"/>
      <c r="G1900" s="205"/>
      <c r="H1900" s="205"/>
      <c r="I1900" s="16"/>
      <c r="J1900" s="16"/>
      <c r="K1900" s="205"/>
      <c r="L1900" s="16"/>
      <c r="M1900" s="16"/>
      <c r="N1900" s="16"/>
      <c r="O1900" s="16"/>
      <c r="P1900" s="16"/>
      <c r="Q1900" s="16"/>
      <c r="R1900" s="16"/>
      <c r="S1900" s="16"/>
      <c r="T1900" s="16"/>
      <c r="U1900" s="16"/>
      <c r="V1900" s="16"/>
      <c r="W1900" s="16"/>
      <c r="X1900" s="16"/>
      <c r="Y1900" s="16"/>
      <c r="Z1900" s="16"/>
      <c r="AA1900" s="16"/>
    </row>
    <row r="1901" spans="1:27" ht="24" customHeight="1">
      <c r="A1901" s="16"/>
      <c r="B1901" s="16"/>
      <c r="C1901" s="16"/>
      <c r="D1901" s="16"/>
      <c r="E1901" s="16"/>
      <c r="F1901" s="16"/>
      <c r="G1901" s="205"/>
      <c r="H1901" s="205"/>
      <c r="I1901" s="16"/>
      <c r="J1901" s="16"/>
      <c r="K1901" s="205"/>
      <c r="L1901" s="16"/>
      <c r="M1901" s="16"/>
      <c r="N1901" s="16"/>
      <c r="O1901" s="16"/>
      <c r="P1901" s="16"/>
      <c r="Q1901" s="16"/>
      <c r="R1901" s="16"/>
      <c r="S1901" s="16"/>
      <c r="T1901" s="16"/>
      <c r="U1901" s="16"/>
      <c r="V1901" s="16"/>
      <c r="W1901" s="16"/>
      <c r="X1901" s="16"/>
      <c r="Y1901" s="16"/>
      <c r="Z1901" s="16"/>
      <c r="AA1901" s="16"/>
    </row>
    <row r="1902" spans="1:27" ht="24" customHeight="1">
      <c r="A1902" s="16"/>
      <c r="B1902" s="16"/>
      <c r="C1902" s="16"/>
      <c r="D1902" s="16"/>
      <c r="E1902" s="16"/>
      <c r="F1902" s="16"/>
      <c r="G1902" s="205"/>
      <c r="H1902" s="205"/>
      <c r="I1902" s="16"/>
      <c r="J1902" s="16"/>
      <c r="K1902" s="205"/>
      <c r="L1902" s="16"/>
      <c r="M1902" s="16"/>
      <c r="N1902" s="16"/>
      <c r="O1902" s="16"/>
      <c r="P1902" s="16"/>
      <c r="Q1902" s="16"/>
      <c r="R1902" s="16"/>
      <c r="S1902" s="16"/>
      <c r="T1902" s="16"/>
      <c r="U1902" s="16"/>
      <c r="V1902" s="16"/>
      <c r="W1902" s="16"/>
      <c r="X1902" s="16"/>
      <c r="Y1902" s="16"/>
      <c r="Z1902" s="16"/>
      <c r="AA1902" s="16"/>
    </row>
    <row r="1903" spans="1:27" ht="24" customHeight="1">
      <c r="A1903" s="16"/>
      <c r="B1903" s="16"/>
      <c r="C1903" s="16"/>
      <c r="D1903" s="16"/>
      <c r="E1903" s="16"/>
      <c r="F1903" s="16"/>
      <c r="G1903" s="205"/>
      <c r="H1903" s="205"/>
      <c r="I1903" s="16"/>
      <c r="J1903" s="16"/>
      <c r="K1903" s="205"/>
      <c r="L1903" s="16"/>
      <c r="M1903" s="16"/>
      <c r="N1903" s="16"/>
      <c r="O1903" s="16"/>
      <c r="P1903" s="16"/>
      <c r="Q1903" s="16"/>
      <c r="R1903" s="16"/>
      <c r="S1903" s="16"/>
      <c r="T1903" s="16"/>
      <c r="U1903" s="16"/>
      <c r="V1903" s="16"/>
      <c r="W1903" s="16"/>
      <c r="X1903" s="16"/>
      <c r="Y1903" s="16"/>
      <c r="Z1903" s="16"/>
      <c r="AA1903" s="16"/>
    </row>
    <row r="1904" spans="1:27" ht="24" customHeight="1">
      <c r="A1904" s="16"/>
      <c r="B1904" s="16"/>
      <c r="C1904" s="16"/>
      <c r="D1904" s="16"/>
      <c r="E1904" s="16"/>
      <c r="F1904" s="16"/>
      <c r="G1904" s="205"/>
      <c r="H1904" s="205"/>
      <c r="I1904" s="16"/>
      <c r="J1904" s="16"/>
      <c r="K1904" s="205"/>
      <c r="L1904" s="16"/>
      <c r="M1904" s="16"/>
      <c r="N1904" s="16"/>
      <c r="O1904" s="16"/>
      <c r="P1904" s="16"/>
      <c r="Q1904" s="16"/>
      <c r="R1904" s="16"/>
      <c r="S1904" s="16"/>
      <c r="T1904" s="16"/>
      <c r="U1904" s="16"/>
      <c r="V1904" s="16"/>
      <c r="W1904" s="16"/>
      <c r="X1904" s="16"/>
      <c r="Y1904" s="16"/>
      <c r="Z1904" s="16"/>
      <c r="AA1904" s="16"/>
    </row>
    <row r="1905" spans="1:27" ht="24" customHeight="1">
      <c r="A1905" s="16"/>
      <c r="B1905" s="16"/>
      <c r="C1905" s="16"/>
      <c r="D1905" s="16"/>
      <c r="E1905" s="16"/>
      <c r="F1905" s="16"/>
      <c r="G1905" s="205"/>
      <c r="H1905" s="205"/>
      <c r="I1905" s="16"/>
      <c r="J1905" s="16"/>
      <c r="K1905" s="205"/>
      <c r="L1905" s="16"/>
      <c r="M1905" s="16"/>
      <c r="N1905" s="16"/>
      <c r="O1905" s="16"/>
      <c r="P1905" s="16"/>
      <c r="Q1905" s="16"/>
      <c r="R1905" s="16"/>
      <c r="S1905" s="16"/>
      <c r="T1905" s="16"/>
      <c r="U1905" s="16"/>
      <c r="V1905" s="16"/>
      <c r="W1905" s="16"/>
      <c r="X1905" s="16"/>
      <c r="Y1905" s="16"/>
      <c r="Z1905" s="16"/>
      <c r="AA1905" s="16"/>
    </row>
    <row r="1906" spans="1:27" ht="24" customHeight="1">
      <c r="A1906" s="16"/>
      <c r="B1906" s="16"/>
      <c r="C1906" s="16"/>
      <c r="D1906" s="16"/>
      <c r="E1906" s="16"/>
      <c r="F1906" s="16"/>
      <c r="G1906" s="205"/>
      <c r="H1906" s="205"/>
      <c r="I1906" s="16"/>
      <c r="J1906" s="16"/>
      <c r="K1906" s="205"/>
      <c r="L1906" s="16"/>
      <c r="M1906" s="16"/>
      <c r="N1906" s="16"/>
      <c r="O1906" s="16"/>
      <c r="P1906" s="16"/>
      <c r="Q1906" s="16"/>
      <c r="R1906" s="16"/>
      <c r="S1906" s="16"/>
      <c r="T1906" s="16"/>
      <c r="U1906" s="16"/>
      <c r="V1906" s="16"/>
      <c r="W1906" s="16"/>
      <c r="X1906" s="16"/>
      <c r="Y1906" s="16"/>
      <c r="Z1906" s="16"/>
      <c r="AA1906" s="16"/>
    </row>
    <row r="1907" spans="1:27" ht="24" customHeight="1">
      <c r="A1907" s="16"/>
      <c r="B1907" s="16"/>
      <c r="C1907" s="16"/>
      <c r="D1907" s="16"/>
      <c r="E1907" s="16"/>
      <c r="F1907" s="16"/>
      <c r="G1907" s="205"/>
      <c r="H1907" s="205"/>
      <c r="I1907" s="16"/>
      <c r="J1907" s="16"/>
      <c r="K1907" s="205"/>
      <c r="L1907" s="16"/>
      <c r="M1907" s="16"/>
      <c r="N1907" s="16"/>
      <c r="O1907" s="16"/>
      <c r="P1907" s="16"/>
      <c r="Q1907" s="16"/>
      <c r="R1907" s="16"/>
      <c r="S1907" s="16"/>
      <c r="T1907" s="16"/>
      <c r="U1907" s="16"/>
      <c r="V1907" s="16"/>
      <c r="W1907" s="16"/>
      <c r="X1907" s="16"/>
      <c r="Y1907" s="16"/>
      <c r="Z1907" s="16"/>
      <c r="AA1907" s="16"/>
    </row>
    <row r="1908" spans="1:27" ht="24" customHeight="1">
      <c r="A1908" s="16"/>
      <c r="B1908" s="16"/>
      <c r="C1908" s="16"/>
      <c r="D1908" s="16"/>
      <c r="E1908" s="16"/>
      <c r="F1908" s="16"/>
      <c r="G1908" s="205"/>
      <c r="H1908" s="205"/>
      <c r="I1908" s="16"/>
      <c r="J1908" s="16"/>
      <c r="K1908" s="205"/>
      <c r="L1908" s="16"/>
      <c r="M1908" s="16"/>
      <c r="N1908" s="16"/>
      <c r="O1908" s="16"/>
      <c r="P1908" s="16"/>
      <c r="Q1908" s="16"/>
      <c r="R1908" s="16"/>
      <c r="S1908" s="16"/>
      <c r="T1908" s="16"/>
      <c r="U1908" s="16"/>
      <c r="V1908" s="16"/>
      <c r="W1908" s="16"/>
      <c r="X1908" s="16"/>
      <c r="Y1908" s="16"/>
      <c r="Z1908" s="16"/>
      <c r="AA1908" s="16"/>
    </row>
    <row r="1909" spans="1:27" ht="24" customHeight="1">
      <c r="A1909" s="16"/>
      <c r="B1909" s="16"/>
      <c r="C1909" s="16"/>
      <c r="D1909" s="16"/>
      <c r="E1909" s="16"/>
      <c r="F1909" s="16"/>
      <c r="G1909" s="205"/>
      <c r="H1909" s="205"/>
      <c r="I1909" s="16"/>
      <c r="J1909" s="16"/>
      <c r="K1909" s="205"/>
      <c r="L1909" s="16"/>
      <c r="M1909" s="16"/>
      <c r="N1909" s="16"/>
      <c r="O1909" s="16"/>
      <c r="P1909" s="16"/>
      <c r="Q1909" s="16"/>
      <c r="R1909" s="16"/>
      <c r="S1909" s="16"/>
      <c r="T1909" s="16"/>
      <c r="U1909" s="16"/>
      <c r="V1909" s="16"/>
      <c r="W1909" s="16"/>
      <c r="X1909" s="16"/>
      <c r="Y1909" s="16"/>
      <c r="Z1909" s="16"/>
      <c r="AA1909" s="16"/>
    </row>
    <row r="1910" spans="1:27" ht="24" customHeight="1">
      <c r="A1910" s="16"/>
      <c r="B1910" s="16"/>
      <c r="C1910" s="16"/>
      <c r="D1910" s="16"/>
      <c r="E1910" s="16"/>
      <c r="F1910" s="16"/>
      <c r="G1910" s="205"/>
      <c r="H1910" s="205"/>
      <c r="I1910" s="16"/>
      <c r="J1910" s="16"/>
      <c r="K1910" s="205"/>
      <c r="L1910" s="16"/>
      <c r="M1910" s="16"/>
      <c r="N1910" s="16"/>
      <c r="O1910" s="16"/>
      <c r="P1910" s="16"/>
      <c r="Q1910" s="16"/>
      <c r="R1910" s="16"/>
      <c r="S1910" s="16"/>
      <c r="T1910" s="16"/>
      <c r="U1910" s="16"/>
      <c r="V1910" s="16"/>
      <c r="W1910" s="16"/>
      <c r="X1910" s="16"/>
      <c r="Y1910" s="16"/>
      <c r="Z1910" s="16"/>
      <c r="AA1910" s="16"/>
    </row>
    <row r="1911" spans="1:27" ht="24" customHeight="1">
      <c r="A1911" s="16"/>
      <c r="B1911" s="16"/>
      <c r="C1911" s="16"/>
      <c r="D1911" s="16"/>
      <c r="E1911" s="16"/>
      <c r="F1911" s="16"/>
      <c r="G1911" s="205"/>
      <c r="H1911" s="205"/>
      <c r="I1911" s="16"/>
      <c r="J1911" s="16"/>
      <c r="K1911" s="205"/>
      <c r="L1911" s="16"/>
      <c r="M1911" s="16"/>
      <c r="N1911" s="16"/>
      <c r="O1911" s="16"/>
      <c r="P1911" s="16"/>
      <c r="Q1911" s="16"/>
      <c r="R1911" s="16"/>
      <c r="S1911" s="16"/>
      <c r="T1911" s="16"/>
      <c r="U1911" s="16"/>
      <c r="V1911" s="16"/>
      <c r="W1911" s="16"/>
      <c r="X1911" s="16"/>
      <c r="Y1911" s="16"/>
      <c r="Z1911" s="16"/>
      <c r="AA1911" s="16"/>
    </row>
    <row r="1912" spans="1:27" ht="24" customHeight="1">
      <c r="A1912" s="16"/>
      <c r="B1912" s="16"/>
      <c r="C1912" s="16"/>
      <c r="D1912" s="16"/>
      <c r="E1912" s="16"/>
      <c r="F1912" s="16"/>
      <c r="G1912" s="205"/>
      <c r="H1912" s="205"/>
      <c r="I1912" s="16"/>
      <c r="J1912" s="16"/>
      <c r="K1912" s="205"/>
      <c r="L1912" s="16"/>
      <c r="M1912" s="16"/>
      <c r="N1912" s="16"/>
      <c r="O1912" s="16"/>
      <c r="P1912" s="16"/>
      <c r="Q1912" s="16"/>
      <c r="R1912" s="16"/>
      <c r="S1912" s="16"/>
      <c r="T1912" s="16"/>
      <c r="U1912" s="16"/>
      <c r="V1912" s="16"/>
      <c r="W1912" s="16"/>
      <c r="X1912" s="16"/>
      <c r="Y1912" s="16"/>
      <c r="Z1912" s="16"/>
      <c r="AA1912" s="16"/>
    </row>
    <row r="1913" spans="1:27" ht="24" customHeight="1">
      <c r="A1913" s="16"/>
      <c r="B1913" s="16"/>
      <c r="C1913" s="16"/>
      <c r="D1913" s="16"/>
      <c r="E1913" s="16"/>
      <c r="F1913" s="16"/>
      <c r="G1913" s="205"/>
      <c r="H1913" s="205"/>
      <c r="I1913" s="16"/>
      <c r="J1913" s="16"/>
      <c r="K1913" s="205"/>
      <c r="L1913" s="16"/>
      <c r="M1913" s="16"/>
      <c r="N1913" s="16"/>
      <c r="O1913" s="16"/>
      <c r="P1913" s="16"/>
      <c r="Q1913" s="16"/>
      <c r="R1913" s="16"/>
      <c r="S1913" s="16"/>
      <c r="T1913" s="16"/>
      <c r="U1913" s="16"/>
      <c r="V1913" s="16"/>
      <c r="W1913" s="16"/>
      <c r="X1913" s="16"/>
      <c r="Y1913" s="16"/>
      <c r="Z1913" s="16"/>
      <c r="AA1913" s="16"/>
    </row>
    <row r="1914" spans="1:27" ht="24" customHeight="1">
      <c r="A1914" s="16"/>
      <c r="B1914" s="16"/>
      <c r="C1914" s="16"/>
      <c r="D1914" s="16"/>
      <c r="E1914" s="16"/>
      <c r="F1914" s="16"/>
      <c r="G1914" s="205"/>
      <c r="H1914" s="205"/>
      <c r="I1914" s="16"/>
      <c r="J1914" s="16"/>
      <c r="K1914" s="205"/>
      <c r="L1914" s="16"/>
      <c r="M1914" s="16"/>
      <c r="N1914" s="16"/>
      <c r="O1914" s="16"/>
      <c r="P1914" s="16"/>
      <c r="Q1914" s="16"/>
      <c r="R1914" s="16"/>
      <c r="S1914" s="16"/>
      <c r="T1914" s="16"/>
      <c r="U1914" s="16"/>
      <c r="V1914" s="16"/>
      <c r="W1914" s="16"/>
      <c r="X1914" s="16"/>
      <c r="Y1914" s="16"/>
      <c r="Z1914" s="16"/>
      <c r="AA1914" s="16"/>
    </row>
    <row r="1915" spans="1:27" ht="24" customHeight="1">
      <c r="A1915" s="16"/>
      <c r="B1915" s="16"/>
      <c r="C1915" s="16"/>
      <c r="D1915" s="16"/>
      <c r="E1915" s="16"/>
      <c r="F1915" s="16"/>
      <c r="G1915" s="205"/>
      <c r="H1915" s="205"/>
      <c r="I1915" s="16"/>
      <c r="J1915" s="16"/>
      <c r="K1915" s="205"/>
      <c r="L1915" s="16"/>
      <c r="M1915" s="16"/>
      <c r="N1915" s="16"/>
      <c r="O1915" s="16"/>
      <c r="P1915" s="16"/>
      <c r="Q1915" s="16"/>
      <c r="R1915" s="16"/>
      <c r="S1915" s="16"/>
      <c r="T1915" s="16"/>
      <c r="U1915" s="16"/>
      <c r="V1915" s="16"/>
      <c r="W1915" s="16"/>
      <c r="X1915" s="16"/>
      <c r="Y1915" s="16"/>
      <c r="Z1915" s="16"/>
      <c r="AA1915" s="16"/>
    </row>
    <row r="1916" spans="1:27" ht="24" customHeight="1">
      <c r="A1916" s="16"/>
      <c r="B1916" s="16"/>
      <c r="C1916" s="16"/>
      <c r="D1916" s="16"/>
      <c r="E1916" s="16"/>
      <c r="F1916" s="16"/>
      <c r="G1916" s="205"/>
      <c r="H1916" s="205"/>
      <c r="I1916" s="16"/>
      <c r="J1916" s="16"/>
      <c r="K1916" s="205"/>
      <c r="L1916" s="16"/>
      <c r="M1916" s="16"/>
      <c r="N1916" s="16"/>
      <c r="O1916" s="16"/>
      <c r="P1916" s="16"/>
      <c r="Q1916" s="16"/>
      <c r="R1916" s="16"/>
      <c r="S1916" s="16"/>
      <c r="T1916" s="16"/>
      <c r="U1916" s="16"/>
      <c r="V1916" s="16"/>
      <c r="W1916" s="16"/>
      <c r="X1916" s="16"/>
      <c r="Y1916" s="16"/>
      <c r="Z1916" s="16"/>
      <c r="AA1916" s="16"/>
    </row>
    <row r="1917" spans="1:27" ht="24" customHeight="1">
      <c r="A1917" s="16"/>
      <c r="B1917" s="16"/>
      <c r="C1917" s="16"/>
      <c r="D1917" s="16"/>
      <c r="E1917" s="16"/>
      <c r="F1917" s="16"/>
      <c r="G1917" s="205"/>
      <c r="H1917" s="205"/>
      <c r="I1917" s="16"/>
      <c r="J1917" s="16"/>
      <c r="K1917" s="205"/>
      <c r="L1917" s="16"/>
      <c r="M1917" s="16"/>
      <c r="N1917" s="16"/>
      <c r="O1917" s="16"/>
      <c r="P1917" s="16"/>
      <c r="Q1917" s="16"/>
      <c r="R1917" s="16"/>
      <c r="S1917" s="16"/>
      <c r="T1917" s="16"/>
      <c r="U1917" s="16"/>
      <c r="V1917" s="16"/>
      <c r="W1917" s="16"/>
      <c r="X1917" s="16"/>
      <c r="Y1917" s="16"/>
      <c r="Z1917" s="16"/>
      <c r="AA1917" s="16"/>
    </row>
    <row r="1918" spans="1:27" ht="24" customHeight="1">
      <c r="A1918" s="16"/>
      <c r="B1918" s="16"/>
      <c r="C1918" s="16"/>
      <c r="D1918" s="16"/>
      <c r="E1918" s="16"/>
      <c r="F1918" s="16"/>
      <c r="G1918" s="205"/>
      <c r="H1918" s="205"/>
      <c r="I1918" s="16"/>
      <c r="J1918" s="16"/>
      <c r="K1918" s="205"/>
      <c r="L1918" s="16"/>
      <c r="M1918" s="16"/>
      <c r="N1918" s="16"/>
      <c r="O1918" s="16"/>
      <c r="P1918" s="16"/>
      <c r="Q1918" s="16"/>
      <c r="R1918" s="16"/>
      <c r="S1918" s="16"/>
      <c r="T1918" s="16"/>
      <c r="U1918" s="16"/>
      <c r="V1918" s="16"/>
      <c r="W1918" s="16"/>
      <c r="X1918" s="16"/>
      <c r="Y1918" s="16"/>
      <c r="Z1918" s="16"/>
      <c r="AA1918" s="16"/>
    </row>
    <row r="1919" spans="1:27" ht="24" customHeight="1">
      <c r="A1919" s="16"/>
      <c r="B1919" s="16"/>
      <c r="C1919" s="16"/>
      <c r="D1919" s="16"/>
      <c r="E1919" s="16"/>
      <c r="F1919" s="16"/>
      <c r="G1919" s="205"/>
      <c r="H1919" s="205"/>
      <c r="I1919" s="16"/>
      <c r="J1919" s="16"/>
      <c r="K1919" s="205"/>
      <c r="L1919" s="16"/>
      <c r="M1919" s="16"/>
      <c r="N1919" s="16"/>
      <c r="O1919" s="16"/>
      <c r="P1919" s="16"/>
      <c r="Q1919" s="16"/>
      <c r="R1919" s="16"/>
      <c r="S1919" s="16"/>
      <c r="T1919" s="16"/>
      <c r="U1919" s="16"/>
      <c r="V1919" s="16"/>
      <c r="W1919" s="16"/>
      <c r="X1919" s="16"/>
      <c r="Y1919" s="16"/>
      <c r="Z1919" s="16"/>
      <c r="AA1919" s="16"/>
    </row>
    <row r="1920" spans="1:27" ht="24" customHeight="1">
      <c r="A1920" s="16"/>
      <c r="B1920" s="16"/>
      <c r="C1920" s="16"/>
      <c r="D1920" s="16"/>
      <c r="E1920" s="16"/>
      <c r="F1920" s="16"/>
      <c r="G1920" s="205"/>
      <c r="H1920" s="205"/>
      <c r="I1920" s="16"/>
      <c r="J1920" s="16"/>
      <c r="K1920" s="205"/>
      <c r="L1920" s="16"/>
      <c r="M1920" s="16"/>
      <c r="N1920" s="16"/>
      <c r="O1920" s="16"/>
      <c r="P1920" s="16"/>
      <c r="Q1920" s="16"/>
      <c r="R1920" s="16"/>
      <c r="S1920" s="16"/>
      <c r="T1920" s="16"/>
      <c r="U1920" s="16"/>
      <c r="V1920" s="16"/>
      <c r="W1920" s="16"/>
      <c r="X1920" s="16"/>
      <c r="Y1920" s="16"/>
      <c r="Z1920" s="16"/>
      <c r="AA1920" s="16"/>
    </row>
    <row r="1921" spans="1:27" ht="24" customHeight="1">
      <c r="A1921" s="16"/>
      <c r="B1921" s="16"/>
      <c r="C1921" s="16"/>
      <c r="D1921" s="16"/>
      <c r="E1921" s="16"/>
      <c r="F1921" s="16"/>
      <c r="G1921" s="205"/>
      <c r="H1921" s="205"/>
      <c r="I1921" s="16"/>
      <c r="J1921" s="16"/>
      <c r="K1921" s="205"/>
      <c r="L1921" s="16"/>
      <c r="M1921" s="16"/>
      <c r="N1921" s="16"/>
      <c r="O1921" s="16"/>
      <c r="P1921" s="16"/>
      <c r="Q1921" s="16"/>
      <c r="R1921" s="16"/>
      <c r="S1921" s="16"/>
      <c r="T1921" s="16"/>
      <c r="U1921" s="16"/>
      <c r="V1921" s="16"/>
      <c r="W1921" s="16"/>
      <c r="X1921" s="16"/>
      <c r="Y1921" s="16"/>
      <c r="Z1921" s="16"/>
      <c r="AA1921" s="16"/>
    </row>
    <row r="1922" spans="1:27" ht="24" customHeight="1">
      <c r="A1922" s="16"/>
      <c r="B1922" s="16"/>
      <c r="C1922" s="16"/>
      <c r="D1922" s="16"/>
      <c r="E1922" s="16"/>
      <c r="F1922" s="16"/>
      <c r="G1922" s="205"/>
      <c r="H1922" s="205"/>
      <c r="I1922" s="16"/>
      <c r="J1922" s="16"/>
      <c r="K1922" s="205"/>
      <c r="L1922" s="16"/>
      <c r="M1922" s="16"/>
      <c r="N1922" s="16"/>
      <c r="O1922" s="16"/>
      <c r="P1922" s="16"/>
      <c r="Q1922" s="16"/>
      <c r="R1922" s="16"/>
      <c r="S1922" s="16"/>
      <c r="T1922" s="16"/>
      <c r="U1922" s="16"/>
      <c r="V1922" s="16"/>
      <c r="W1922" s="16"/>
      <c r="X1922" s="16"/>
      <c r="Y1922" s="16"/>
      <c r="Z1922" s="16"/>
      <c r="AA1922" s="16"/>
    </row>
    <row r="1923" spans="1:27" ht="24" customHeight="1">
      <c r="A1923" s="16"/>
      <c r="B1923" s="16"/>
      <c r="C1923" s="16"/>
      <c r="D1923" s="16"/>
      <c r="E1923" s="16"/>
      <c r="F1923" s="16"/>
      <c r="G1923" s="205"/>
      <c r="H1923" s="205"/>
      <c r="I1923" s="16"/>
      <c r="J1923" s="16"/>
      <c r="K1923" s="205"/>
      <c r="L1923" s="16"/>
      <c r="M1923" s="16"/>
      <c r="N1923" s="16"/>
      <c r="O1923" s="16"/>
      <c r="P1923" s="16"/>
      <c r="Q1923" s="16"/>
      <c r="R1923" s="16"/>
      <c r="S1923" s="16"/>
      <c r="T1923" s="16"/>
      <c r="U1923" s="16"/>
      <c r="V1923" s="16"/>
      <c r="W1923" s="16"/>
      <c r="X1923" s="16"/>
      <c r="Y1923" s="16"/>
      <c r="Z1923" s="16"/>
      <c r="AA1923" s="16"/>
    </row>
    <row r="1924" spans="1:27" ht="24" customHeight="1">
      <c r="A1924" s="16"/>
      <c r="B1924" s="16"/>
      <c r="C1924" s="16"/>
      <c r="D1924" s="16"/>
      <c r="E1924" s="16"/>
      <c r="F1924" s="16"/>
      <c r="G1924" s="205"/>
      <c r="H1924" s="205"/>
      <c r="I1924" s="16"/>
      <c r="J1924" s="16"/>
      <c r="K1924" s="205"/>
      <c r="L1924" s="16"/>
      <c r="M1924" s="16"/>
      <c r="N1924" s="16"/>
      <c r="O1924" s="16"/>
      <c r="P1924" s="16"/>
      <c r="Q1924" s="16"/>
      <c r="R1924" s="16"/>
      <c r="S1924" s="16"/>
      <c r="T1924" s="16"/>
      <c r="U1924" s="16"/>
      <c r="V1924" s="16"/>
      <c r="W1924" s="16"/>
      <c r="X1924" s="16"/>
      <c r="Y1924" s="16"/>
      <c r="Z1924" s="16"/>
      <c r="AA1924" s="16"/>
    </row>
    <row r="1925" spans="1:27" ht="24" customHeight="1">
      <c r="A1925" s="16"/>
      <c r="B1925" s="16"/>
      <c r="C1925" s="16"/>
      <c r="D1925" s="16"/>
      <c r="E1925" s="16"/>
      <c r="F1925" s="16"/>
      <c r="G1925" s="205"/>
      <c r="H1925" s="205"/>
      <c r="I1925" s="16"/>
      <c r="J1925" s="16"/>
      <c r="K1925" s="205"/>
      <c r="L1925" s="16"/>
      <c r="M1925" s="16"/>
      <c r="N1925" s="16"/>
      <c r="O1925" s="16"/>
      <c r="P1925" s="16"/>
      <c r="Q1925" s="16"/>
      <c r="R1925" s="16"/>
      <c r="S1925" s="16"/>
      <c r="T1925" s="16"/>
      <c r="U1925" s="16"/>
      <c r="V1925" s="16"/>
      <c r="W1925" s="16"/>
      <c r="X1925" s="16"/>
      <c r="Y1925" s="16"/>
      <c r="Z1925" s="16"/>
      <c r="AA1925" s="16"/>
    </row>
    <row r="1926" spans="1:27" ht="24" customHeight="1">
      <c r="A1926" s="16"/>
      <c r="B1926" s="16"/>
      <c r="C1926" s="16"/>
      <c r="D1926" s="16"/>
      <c r="E1926" s="16"/>
      <c r="F1926" s="16"/>
      <c r="G1926" s="205"/>
      <c r="H1926" s="205"/>
      <c r="I1926" s="16"/>
      <c r="J1926" s="16"/>
      <c r="K1926" s="205"/>
      <c r="L1926" s="16"/>
      <c r="M1926" s="16"/>
      <c r="N1926" s="16"/>
      <c r="O1926" s="16"/>
      <c r="P1926" s="16"/>
      <c r="Q1926" s="16"/>
      <c r="R1926" s="16"/>
      <c r="S1926" s="16"/>
      <c r="T1926" s="16"/>
      <c r="U1926" s="16"/>
      <c r="V1926" s="16"/>
      <c r="W1926" s="16"/>
      <c r="X1926" s="16"/>
      <c r="Y1926" s="16"/>
      <c r="Z1926" s="16"/>
      <c r="AA1926" s="16"/>
    </row>
    <row r="1927" spans="1:27" ht="24" customHeight="1">
      <c r="A1927" s="16"/>
      <c r="B1927" s="16"/>
      <c r="C1927" s="16"/>
      <c r="D1927" s="16"/>
      <c r="E1927" s="16"/>
      <c r="F1927" s="16"/>
      <c r="G1927" s="205"/>
      <c r="H1927" s="205"/>
      <c r="I1927" s="16"/>
      <c r="J1927" s="16"/>
      <c r="K1927" s="205"/>
      <c r="L1927" s="16"/>
      <c r="M1927" s="16"/>
      <c r="N1927" s="16"/>
      <c r="O1927" s="16"/>
      <c r="P1927" s="16"/>
      <c r="Q1927" s="16"/>
      <c r="R1927" s="16"/>
      <c r="S1927" s="16"/>
      <c r="T1927" s="16"/>
      <c r="U1927" s="16"/>
      <c r="V1927" s="16"/>
      <c r="W1927" s="16"/>
      <c r="X1927" s="16"/>
      <c r="Y1927" s="16"/>
      <c r="Z1927" s="16"/>
      <c r="AA1927" s="16"/>
    </row>
    <row r="1928" spans="1:27" ht="24" customHeight="1">
      <c r="A1928" s="16"/>
      <c r="B1928" s="16"/>
      <c r="C1928" s="16"/>
      <c r="D1928" s="16"/>
      <c r="E1928" s="16"/>
      <c r="F1928" s="16"/>
      <c r="G1928" s="205"/>
      <c r="H1928" s="205"/>
      <c r="I1928" s="16"/>
      <c r="J1928" s="16"/>
      <c r="K1928" s="205"/>
      <c r="L1928" s="16"/>
      <c r="M1928" s="16"/>
      <c r="N1928" s="16"/>
      <c r="O1928" s="16"/>
      <c r="P1928" s="16"/>
      <c r="Q1928" s="16"/>
      <c r="R1928" s="16"/>
      <c r="S1928" s="16"/>
      <c r="T1928" s="16"/>
      <c r="U1928" s="16"/>
      <c r="V1928" s="16"/>
      <c r="W1928" s="16"/>
      <c r="X1928" s="16"/>
      <c r="Y1928" s="16"/>
      <c r="Z1928" s="16"/>
      <c r="AA1928" s="16"/>
    </row>
    <row r="1929" spans="1:27" ht="24" customHeight="1">
      <c r="A1929" s="16"/>
      <c r="B1929" s="16"/>
      <c r="C1929" s="16"/>
      <c r="D1929" s="16"/>
      <c r="E1929" s="16"/>
      <c r="F1929" s="16"/>
      <c r="G1929" s="205"/>
      <c r="H1929" s="205"/>
      <c r="I1929" s="16"/>
      <c r="J1929" s="16"/>
      <c r="K1929" s="205"/>
      <c r="L1929" s="16"/>
      <c r="M1929" s="16"/>
      <c r="N1929" s="16"/>
      <c r="O1929" s="16"/>
      <c r="P1929" s="16"/>
      <c r="Q1929" s="16"/>
      <c r="R1929" s="16"/>
      <c r="S1929" s="16"/>
      <c r="T1929" s="16"/>
      <c r="U1929" s="16"/>
      <c r="V1929" s="16"/>
      <c r="W1929" s="16"/>
      <c r="X1929" s="16"/>
      <c r="Y1929" s="16"/>
      <c r="Z1929" s="16"/>
      <c r="AA1929" s="16"/>
    </row>
    <row r="1930" spans="1:27" ht="24" customHeight="1">
      <c r="A1930" s="16"/>
      <c r="B1930" s="16"/>
      <c r="C1930" s="16"/>
      <c r="D1930" s="16"/>
      <c r="E1930" s="16"/>
      <c r="F1930" s="16"/>
      <c r="G1930" s="205"/>
      <c r="H1930" s="205"/>
      <c r="I1930" s="16"/>
      <c r="J1930" s="16"/>
      <c r="K1930" s="205"/>
      <c r="L1930" s="16"/>
      <c r="M1930" s="16"/>
      <c r="N1930" s="16"/>
      <c r="O1930" s="16"/>
      <c r="P1930" s="16"/>
      <c r="Q1930" s="16"/>
      <c r="R1930" s="16"/>
      <c r="S1930" s="16"/>
      <c r="T1930" s="16"/>
      <c r="U1930" s="16"/>
      <c r="V1930" s="16"/>
      <c r="W1930" s="16"/>
      <c r="X1930" s="16"/>
      <c r="Y1930" s="16"/>
      <c r="Z1930" s="16"/>
      <c r="AA1930" s="16"/>
    </row>
    <row r="1931" spans="1:27" ht="24" customHeight="1">
      <c r="A1931" s="16"/>
      <c r="B1931" s="16"/>
      <c r="C1931" s="16"/>
      <c r="D1931" s="16"/>
      <c r="E1931" s="16"/>
      <c r="F1931" s="16"/>
      <c r="G1931" s="205"/>
      <c r="H1931" s="205"/>
      <c r="I1931" s="16"/>
      <c r="J1931" s="16"/>
      <c r="K1931" s="205"/>
      <c r="L1931" s="16"/>
      <c r="M1931" s="16"/>
      <c r="N1931" s="16"/>
      <c r="O1931" s="16"/>
      <c r="P1931" s="16"/>
      <c r="Q1931" s="16"/>
      <c r="R1931" s="16"/>
      <c r="S1931" s="16"/>
      <c r="T1931" s="16"/>
      <c r="U1931" s="16"/>
      <c r="V1931" s="16"/>
      <c r="W1931" s="16"/>
      <c r="X1931" s="16"/>
      <c r="Y1931" s="16"/>
      <c r="Z1931" s="16"/>
      <c r="AA1931" s="16"/>
    </row>
    <row r="1932" spans="1:27" ht="24" customHeight="1">
      <c r="A1932" s="16"/>
      <c r="B1932" s="16"/>
      <c r="C1932" s="16"/>
      <c r="D1932" s="16"/>
      <c r="E1932" s="16"/>
      <c r="F1932" s="16"/>
      <c r="G1932" s="205"/>
      <c r="H1932" s="205"/>
      <c r="I1932" s="16"/>
      <c r="J1932" s="16"/>
      <c r="K1932" s="205"/>
      <c r="L1932" s="16"/>
      <c r="M1932" s="16"/>
      <c r="N1932" s="16"/>
      <c r="O1932" s="16"/>
      <c r="P1932" s="16"/>
      <c r="Q1932" s="16"/>
      <c r="R1932" s="16"/>
      <c r="S1932" s="16"/>
      <c r="T1932" s="16"/>
      <c r="U1932" s="16"/>
      <c r="V1932" s="16"/>
      <c r="W1932" s="16"/>
      <c r="X1932" s="16"/>
      <c r="Y1932" s="16"/>
      <c r="Z1932" s="16"/>
      <c r="AA1932" s="16"/>
    </row>
    <row r="1933" spans="1:27" ht="24" customHeight="1">
      <c r="A1933" s="16"/>
      <c r="B1933" s="16"/>
      <c r="C1933" s="16"/>
      <c r="D1933" s="16"/>
      <c r="E1933" s="16"/>
      <c r="F1933" s="16"/>
      <c r="G1933" s="205"/>
      <c r="H1933" s="205"/>
      <c r="I1933" s="16"/>
      <c r="J1933" s="16"/>
      <c r="K1933" s="205"/>
      <c r="L1933" s="16"/>
      <c r="M1933" s="16"/>
      <c r="N1933" s="16"/>
      <c r="O1933" s="16"/>
      <c r="P1933" s="16"/>
      <c r="Q1933" s="16"/>
      <c r="R1933" s="16"/>
      <c r="S1933" s="16"/>
      <c r="T1933" s="16"/>
      <c r="U1933" s="16"/>
      <c r="V1933" s="16"/>
      <c r="W1933" s="16"/>
      <c r="X1933" s="16"/>
      <c r="Y1933" s="16"/>
      <c r="Z1933" s="16"/>
      <c r="AA1933" s="16"/>
    </row>
    <row r="1934" spans="1:27" ht="24" customHeight="1">
      <c r="A1934" s="16"/>
      <c r="B1934" s="16"/>
      <c r="C1934" s="16"/>
      <c r="D1934" s="16"/>
      <c r="E1934" s="16"/>
      <c r="F1934" s="16"/>
      <c r="G1934" s="205"/>
      <c r="H1934" s="205"/>
      <c r="I1934" s="16"/>
      <c r="J1934" s="16"/>
      <c r="K1934" s="205"/>
      <c r="L1934" s="16"/>
      <c r="M1934" s="16"/>
      <c r="N1934" s="16"/>
      <c r="O1934" s="16"/>
      <c r="P1934" s="16"/>
      <c r="Q1934" s="16"/>
      <c r="R1934" s="16"/>
      <c r="S1934" s="16"/>
      <c r="T1934" s="16"/>
      <c r="U1934" s="16"/>
      <c r="V1934" s="16"/>
      <c r="W1934" s="16"/>
      <c r="X1934" s="16"/>
      <c r="Y1934" s="16"/>
      <c r="Z1934" s="16"/>
      <c r="AA1934" s="16"/>
    </row>
    <row r="1935" spans="1:27" ht="24" customHeight="1">
      <c r="A1935" s="16"/>
      <c r="B1935" s="16"/>
      <c r="C1935" s="16"/>
      <c r="D1935" s="16"/>
      <c r="E1935" s="16"/>
      <c r="F1935" s="16"/>
      <c r="G1935" s="205"/>
      <c r="H1935" s="205"/>
      <c r="I1935" s="16"/>
      <c r="J1935" s="16"/>
      <c r="K1935" s="205"/>
      <c r="L1935" s="16"/>
      <c r="M1935" s="16"/>
      <c r="N1935" s="16"/>
      <c r="O1935" s="16"/>
      <c r="P1935" s="16"/>
      <c r="Q1935" s="16"/>
      <c r="R1935" s="16"/>
      <c r="S1935" s="16"/>
      <c r="T1935" s="16"/>
      <c r="U1935" s="16"/>
      <c r="V1935" s="16"/>
      <c r="W1935" s="16"/>
      <c r="X1935" s="16"/>
      <c r="Y1935" s="16"/>
      <c r="Z1935" s="16"/>
      <c r="AA1935" s="16"/>
    </row>
    <row r="1936" spans="1:27" ht="24" customHeight="1">
      <c r="A1936" s="16"/>
      <c r="B1936" s="16"/>
      <c r="C1936" s="16"/>
      <c r="D1936" s="16"/>
      <c r="E1936" s="16"/>
      <c r="F1936" s="16"/>
      <c r="G1936" s="205"/>
      <c r="H1936" s="205"/>
      <c r="I1936" s="16"/>
      <c r="J1936" s="16"/>
      <c r="K1936" s="205"/>
      <c r="L1936" s="16"/>
      <c r="M1936" s="16"/>
      <c r="N1936" s="16"/>
      <c r="O1936" s="16"/>
      <c r="P1936" s="16"/>
      <c r="Q1936" s="16"/>
      <c r="R1936" s="16"/>
      <c r="S1936" s="16"/>
      <c r="T1936" s="16"/>
      <c r="U1936" s="16"/>
      <c r="V1936" s="16"/>
      <c r="W1936" s="16"/>
      <c r="X1936" s="16"/>
      <c r="Y1936" s="16"/>
      <c r="Z1936" s="16"/>
      <c r="AA1936" s="16"/>
    </row>
    <row r="1937" spans="1:27" ht="24" customHeight="1">
      <c r="A1937" s="16"/>
      <c r="B1937" s="16"/>
      <c r="C1937" s="16"/>
      <c r="D1937" s="16"/>
      <c r="E1937" s="16"/>
      <c r="F1937" s="16"/>
      <c r="G1937" s="205"/>
      <c r="H1937" s="205"/>
      <c r="I1937" s="16"/>
      <c r="J1937" s="16"/>
      <c r="K1937" s="205"/>
      <c r="L1937" s="16"/>
      <c r="M1937" s="16"/>
      <c r="N1937" s="16"/>
      <c r="O1937" s="16"/>
      <c r="P1937" s="16"/>
      <c r="Q1937" s="16"/>
      <c r="R1937" s="16"/>
      <c r="S1937" s="16"/>
      <c r="T1937" s="16"/>
      <c r="U1937" s="16"/>
      <c r="V1937" s="16"/>
      <c r="W1937" s="16"/>
      <c r="X1937" s="16"/>
      <c r="Y1937" s="16"/>
      <c r="Z1937" s="16"/>
      <c r="AA1937" s="16"/>
    </row>
    <row r="1938" spans="1:27" ht="24" customHeight="1">
      <c r="A1938" s="16"/>
      <c r="B1938" s="16"/>
      <c r="C1938" s="16"/>
      <c r="D1938" s="16"/>
      <c r="E1938" s="16"/>
      <c r="F1938" s="16"/>
      <c r="G1938" s="205"/>
      <c r="H1938" s="205"/>
      <c r="I1938" s="16"/>
      <c r="J1938" s="16"/>
      <c r="K1938" s="205"/>
      <c r="L1938" s="16"/>
      <c r="M1938" s="16"/>
      <c r="N1938" s="16"/>
      <c r="O1938" s="16"/>
      <c r="P1938" s="16"/>
      <c r="Q1938" s="16"/>
      <c r="R1938" s="16"/>
      <c r="S1938" s="16"/>
      <c r="T1938" s="16"/>
      <c r="U1938" s="16"/>
      <c r="V1938" s="16"/>
      <c r="W1938" s="16"/>
      <c r="X1938" s="16"/>
      <c r="Y1938" s="16"/>
      <c r="Z1938" s="16"/>
      <c r="AA1938" s="16"/>
    </row>
    <row r="1939" spans="1:27" ht="24" customHeight="1">
      <c r="A1939" s="16"/>
      <c r="B1939" s="16"/>
      <c r="C1939" s="16"/>
      <c r="D1939" s="16"/>
      <c r="E1939" s="16"/>
      <c r="F1939" s="16"/>
      <c r="G1939" s="205"/>
      <c r="H1939" s="205"/>
      <c r="I1939" s="16"/>
      <c r="J1939" s="16"/>
      <c r="K1939" s="205"/>
      <c r="L1939" s="16"/>
      <c r="M1939" s="16"/>
      <c r="N1939" s="16"/>
      <c r="O1939" s="16"/>
      <c r="P1939" s="16"/>
      <c r="Q1939" s="16"/>
      <c r="R1939" s="16"/>
      <c r="S1939" s="16"/>
      <c r="T1939" s="16"/>
      <c r="U1939" s="16"/>
      <c r="V1939" s="16"/>
      <c r="W1939" s="16"/>
      <c r="X1939" s="16"/>
      <c r="Y1939" s="16"/>
      <c r="Z1939" s="16"/>
      <c r="AA1939" s="16"/>
    </row>
    <row r="1940" spans="1:27" ht="24" customHeight="1">
      <c r="A1940" s="16"/>
      <c r="B1940" s="16"/>
      <c r="C1940" s="16"/>
      <c r="D1940" s="16"/>
      <c r="E1940" s="16"/>
      <c r="F1940" s="16"/>
      <c r="G1940" s="205"/>
      <c r="H1940" s="205"/>
      <c r="I1940" s="16"/>
      <c r="J1940" s="16"/>
      <c r="K1940" s="205"/>
      <c r="L1940" s="16"/>
      <c r="M1940" s="16"/>
      <c r="N1940" s="16"/>
      <c r="O1940" s="16"/>
      <c r="P1940" s="16"/>
      <c r="Q1940" s="16"/>
      <c r="R1940" s="16"/>
      <c r="S1940" s="16"/>
      <c r="T1940" s="16"/>
      <c r="U1940" s="16"/>
      <c r="V1940" s="16"/>
      <c r="W1940" s="16"/>
      <c r="X1940" s="16"/>
      <c r="Y1940" s="16"/>
      <c r="Z1940" s="16"/>
      <c r="AA1940" s="16"/>
    </row>
    <row r="1941" spans="1:27" ht="24" customHeight="1">
      <c r="A1941" s="16"/>
      <c r="B1941" s="16"/>
      <c r="C1941" s="16"/>
      <c r="D1941" s="16"/>
      <c r="E1941" s="16"/>
      <c r="F1941" s="16"/>
      <c r="G1941" s="205"/>
      <c r="H1941" s="205"/>
      <c r="I1941" s="16"/>
      <c r="J1941" s="16"/>
      <c r="K1941" s="205"/>
      <c r="L1941" s="16"/>
      <c r="M1941" s="16"/>
      <c r="N1941" s="16"/>
      <c r="O1941" s="16"/>
      <c r="P1941" s="16"/>
      <c r="Q1941" s="16"/>
      <c r="R1941" s="16"/>
      <c r="S1941" s="16"/>
      <c r="T1941" s="16"/>
      <c r="U1941" s="16"/>
      <c r="V1941" s="16"/>
      <c r="W1941" s="16"/>
      <c r="X1941" s="16"/>
      <c r="Y1941" s="16"/>
      <c r="Z1941" s="16"/>
      <c r="AA1941" s="16"/>
    </row>
    <row r="1942" spans="1:27" ht="24" customHeight="1">
      <c r="A1942" s="16"/>
      <c r="B1942" s="16"/>
      <c r="C1942" s="16"/>
      <c r="D1942" s="16"/>
      <c r="E1942" s="16"/>
      <c r="F1942" s="16"/>
      <c r="G1942" s="205"/>
      <c r="H1942" s="205"/>
      <c r="I1942" s="16"/>
      <c r="J1942" s="16"/>
      <c r="K1942" s="205"/>
      <c r="L1942" s="16"/>
      <c r="M1942" s="16"/>
      <c r="N1942" s="16"/>
      <c r="O1942" s="16"/>
      <c r="P1942" s="16"/>
      <c r="Q1942" s="16"/>
      <c r="R1942" s="16"/>
      <c r="S1942" s="16"/>
      <c r="T1942" s="16"/>
      <c r="U1942" s="16"/>
      <c r="V1942" s="16"/>
      <c r="W1942" s="16"/>
      <c r="X1942" s="16"/>
      <c r="Y1942" s="16"/>
      <c r="Z1942" s="16"/>
      <c r="AA1942" s="16"/>
    </row>
    <row r="1943" spans="1:27" ht="24" customHeight="1">
      <c r="A1943" s="16"/>
      <c r="B1943" s="16"/>
      <c r="C1943" s="16"/>
      <c r="D1943" s="16"/>
      <c r="E1943" s="16"/>
      <c r="F1943" s="16"/>
      <c r="G1943" s="205"/>
      <c r="H1943" s="205"/>
      <c r="I1943" s="16"/>
      <c r="J1943" s="16"/>
      <c r="K1943" s="205"/>
      <c r="L1943" s="16"/>
      <c r="M1943" s="16"/>
      <c r="N1943" s="16"/>
      <c r="O1943" s="16"/>
      <c r="P1943" s="16"/>
      <c r="Q1943" s="16"/>
      <c r="R1943" s="16"/>
      <c r="S1943" s="16"/>
      <c r="T1943" s="16"/>
      <c r="U1943" s="16"/>
      <c r="V1943" s="16"/>
      <c r="W1943" s="16"/>
      <c r="X1943" s="16"/>
      <c r="Y1943" s="16"/>
      <c r="Z1943" s="16"/>
      <c r="AA1943" s="16"/>
    </row>
    <row r="1944" spans="1:27" ht="24" customHeight="1">
      <c r="A1944" s="16"/>
      <c r="B1944" s="16"/>
      <c r="C1944" s="16"/>
      <c r="D1944" s="16"/>
      <c r="E1944" s="16"/>
      <c r="F1944" s="16"/>
      <c r="G1944" s="205"/>
      <c r="H1944" s="205"/>
      <c r="I1944" s="16"/>
      <c r="J1944" s="16"/>
      <c r="K1944" s="205"/>
      <c r="L1944" s="16"/>
      <c r="M1944" s="16"/>
      <c r="N1944" s="16"/>
      <c r="O1944" s="16"/>
      <c r="P1944" s="16"/>
      <c r="Q1944" s="16"/>
      <c r="R1944" s="16"/>
      <c r="S1944" s="16"/>
      <c r="T1944" s="16"/>
      <c r="U1944" s="16"/>
      <c r="V1944" s="16"/>
      <c r="W1944" s="16"/>
      <c r="X1944" s="16"/>
      <c r="Y1944" s="16"/>
      <c r="Z1944" s="16"/>
      <c r="AA1944" s="16"/>
    </row>
    <row r="1945" spans="1:27" ht="24" customHeight="1">
      <c r="A1945" s="16"/>
      <c r="B1945" s="16"/>
      <c r="C1945" s="16"/>
      <c r="D1945" s="16"/>
      <c r="E1945" s="16"/>
      <c r="F1945" s="16"/>
      <c r="G1945" s="205"/>
      <c r="H1945" s="205"/>
      <c r="I1945" s="16"/>
      <c r="J1945" s="16"/>
      <c r="K1945" s="205"/>
      <c r="L1945" s="16"/>
      <c r="M1945" s="16"/>
      <c r="N1945" s="16"/>
      <c r="O1945" s="16"/>
      <c r="P1945" s="16"/>
      <c r="Q1945" s="16"/>
      <c r="R1945" s="16"/>
      <c r="S1945" s="16"/>
      <c r="T1945" s="16"/>
      <c r="U1945" s="16"/>
      <c r="V1945" s="16"/>
      <c r="W1945" s="16"/>
      <c r="X1945" s="16"/>
      <c r="Y1945" s="16"/>
      <c r="Z1945" s="16"/>
      <c r="AA1945" s="16"/>
    </row>
    <row r="1946" spans="1:27" ht="24" customHeight="1">
      <c r="A1946" s="16"/>
      <c r="B1946" s="16"/>
      <c r="C1946" s="16"/>
      <c r="D1946" s="16"/>
      <c r="E1946" s="16"/>
      <c r="F1946" s="16"/>
      <c r="G1946" s="205"/>
      <c r="H1946" s="205"/>
      <c r="I1946" s="16"/>
      <c r="J1946" s="16"/>
      <c r="K1946" s="205"/>
      <c r="L1946" s="16"/>
      <c r="M1946" s="16"/>
      <c r="N1946" s="16"/>
      <c r="O1946" s="16"/>
      <c r="P1946" s="16"/>
      <c r="Q1946" s="16"/>
      <c r="R1946" s="16"/>
      <c r="S1946" s="16"/>
      <c r="T1946" s="16"/>
      <c r="U1946" s="16"/>
      <c r="V1946" s="16"/>
      <c r="W1946" s="16"/>
      <c r="X1946" s="16"/>
      <c r="Y1946" s="16"/>
      <c r="Z1946" s="16"/>
      <c r="AA1946" s="16"/>
    </row>
    <row r="1947" spans="1:27" ht="24" customHeight="1">
      <c r="A1947" s="16"/>
      <c r="B1947" s="16"/>
      <c r="C1947" s="16"/>
      <c r="D1947" s="16"/>
      <c r="E1947" s="16"/>
      <c r="F1947" s="16"/>
      <c r="G1947" s="205"/>
      <c r="H1947" s="205"/>
      <c r="I1947" s="16"/>
      <c r="J1947" s="16"/>
      <c r="K1947" s="205"/>
      <c r="L1947" s="16"/>
      <c r="M1947" s="16"/>
      <c r="N1947" s="16"/>
      <c r="O1947" s="16"/>
      <c r="P1947" s="16"/>
      <c r="Q1947" s="16"/>
      <c r="R1947" s="16"/>
      <c r="S1947" s="16"/>
      <c r="T1947" s="16"/>
      <c r="U1947" s="16"/>
      <c r="V1947" s="16"/>
      <c r="W1947" s="16"/>
      <c r="X1947" s="16"/>
      <c r="Y1947" s="16"/>
      <c r="Z1947" s="16"/>
      <c r="AA1947" s="16"/>
    </row>
    <row r="1948" spans="1:27" ht="24" customHeight="1">
      <c r="A1948" s="16"/>
      <c r="B1948" s="16"/>
      <c r="C1948" s="16"/>
      <c r="D1948" s="16"/>
      <c r="E1948" s="16"/>
      <c r="F1948" s="16"/>
      <c r="G1948" s="205"/>
      <c r="H1948" s="205"/>
      <c r="I1948" s="16"/>
      <c r="J1948" s="16"/>
      <c r="K1948" s="205"/>
      <c r="L1948" s="16"/>
      <c r="M1948" s="16"/>
      <c r="N1948" s="16"/>
      <c r="O1948" s="16"/>
      <c r="P1948" s="16"/>
      <c r="Q1948" s="16"/>
      <c r="R1948" s="16"/>
      <c r="S1948" s="16"/>
      <c r="T1948" s="16"/>
      <c r="U1948" s="16"/>
      <c r="V1948" s="16"/>
      <c r="W1948" s="16"/>
      <c r="X1948" s="16"/>
      <c r="Y1948" s="16"/>
      <c r="Z1948" s="16"/>
      <c r="AA1948" s="16"/>
    </row>
    <row r="1949" spans="1:27" ht="24" customHeight="1">
      <c r="A1949" s="16"/>
      <c r="B1949" s="16"/>
      <c r="C1949" s="16"/>
      <c r="D1949" s="16"/>
      <c r="E1949" s="16"/>
      <c r="F1949" s="16"/>
      <c r="G1949" s="205"/>
      <c r="H1949" s="205"/>
      <c r="I1949" s="16"/>
      <c r="J1949" s="16"/>
      <c r="K1949" s="205"/>
      <c r="L1949" s="16"/>
      <c r="M1949" s="16"/>
      <c r="N1949" s="16"/>
      <c r="O1949" s="16"/>
      <c r="P1949" s="16"/>
      <c r="Q1949" s="16"/>
      <c r="R1949" s="16"/>
      <c r="S1949" s="16"/>
      <c r="T1949" s="16"/>
      <c r="U1949" s="16"/>
      <c r="V1949" s="16"/>
      <c r="W1949" s="16"/>
      <c r="X1949" s="16"/>
      <c r="Y1949" s="16"/>
      <c r="Z1949" s="16"/>
      <c r="AA1949" s="16"/>
    </row>
    <row r="1950" spans="1:27" ht="24" customHeight="1">
      <c r="A1950" s="16"/>
      <c r="B1950" s="16"/>
      <c r="C1950" s="16"/>
      <c r="D1950" s="16"/>
      <c r="E1950" s="16"/>
      <c r="F1950" s="16"/>
      <c r="G1950" s="205"/>
      <c r="H1950" s="205"/>
      <c r="I1950" s="16"/>
      <c r="J1950" s="16"/>
      <c r="K1950" s="205"/>
      <c r="L1950" s="16"/>
      <c r="M1950" s="16"/>
      <c r="N1950" s="16"/>
      <c r="O1950" s="16"/>
      <c r="P1950" s="16"/>
      <c r="Q1950" s="16"/>
      <c r="R1950" s="16"/>
      <c r="S1950" s="16"/>
      <c r="T1950" s="16"/>
      <c r="U1950" s="16"/>
      <c r="V1950" s="16"/>
      <c r="W1950" s="16"/>
      <c r="X1950" s="16"/>
      <c r="Y1950" s="16"/>
      <c r="Z1950" s="16"/>
      <c r="AA1950" s="16"/>
    </row>
    <row r="1951" spans="1:27" ht="24" customHeight="1">
      <c r="A1951" s="16"/>
      <c r="B1951" s="16"/>
      <c r="C1951" s="16"/>
      <c r="D1951" s="16"/>
      <c r="E1951" s="16"/>
      <c r="F1951" s="16"/>
      <c r="G1951" s="205"/>
      <c r="H1951" s="205"/>
      <c r="I1951" s="16"/>
      <c r="J1951" s="16"/>
      <c r="K1951" s="205"/>
      <c r="L1951" s="16"/>
      <c r="M1951" s="16"/>
      <c r="N1951" s="16"/>
      <c r="O1951" s="16"/>
      <c r="P1951" s="16"/>
      <c r="Q1951" s="16"/>
      <c r="R1951" s="16"/>
      <c r="S1951" s="16"/>
      <c r="T1951" s="16"/>
      <c r="U1951" s="16"/>
      <c r="V1951" s="16"/>
      <c r="W1951" s="16"/>
      <c r="X1951" s="16"/>
      <c r="Y1951" s="16"/>
      <c r="Z1951" s="16"/>
      <c r="AA1951" s="16"/>
    </row>
    <row r="1952" spans="1:27" ht="24" customHeight="1">
      <c r="A1952" s="16"/>
      <c r="B1952" s="16"/>
      <c r="C1952" s="16"/>
      <c r="D1952" s="16"/>
      <c r="E1952" s="16"/>
      <c r="F1952" s="16"/>
      <c r="G1952" s="205"/>
      <c r="H1952" s="205"/>
      <c r="I1952" s="16"/>
      <c r="J1952" s="16"/>
      <c r="K1952" s="205"/>
      <c r="L1952" s="16"/>
      <c r="M1952" s="16"/>
      <c r="N1952" s="16"/>
      <c r="O1952" s="16"/>
      <c r="P1952" s="16"/>
      <c r="Q1952" s="16"/>
      <c r="R1952" s="16"/>
      <c r="S1952" s="16"/>
      <c r="T1952" s="16"/>
      <c r="U1952" s="16"/>
      <c r="V1952" s="16"/>
      <c r="W1952" s="16"/>
      <c r="X1952" s="16"/>
      <c r="Y1952" s="16"/>
      <c r="Z1952" s="16"/>
      <c r="AA1952" s="16"/>
    </row>
    <row r="1953" spans="1:27" ht="24" customHeight="1">
      <c r="A1953" s="16"/>
      <c r="B1953" s="16"/>
      <c r="C1953" s="16"/>
      <c r="D1953" s="16"/>
      <c r="E1953" s="16"/>
      <c r="F1953" s="16"/>
      <c r="G1953" s="205"/>
      <c r="H1953" s="205"/>
      <c r="I1953" s="16"/>
      <c r="J1953" s="16"/>
      <c r="K1953" s="205"/>
      <c r="L1953" s="16"/>
      <c r="M1953" s="16"/>
      <c r="N1953" s="16"/>
      <c r="O1953" s="16"/>
      <c r="P1953" s="16"/>
      <c r="Q1953" s="16"/>
      <c r="R1953" s="16"/>
      <c r="S1953" s="16"/>
      <c r="T1953" s="16"/>
      <c r="U1953" s="16"/>
      <c r="V1953" s="16"/>
      <c r="W1953" s="16"/>
      <c r="X1953" s="16"/>
      <c r="Y1953" s="16"/>
      <c r="Z1953" s="16"/>
      <c r="AA1953" s="16"/>
    </row>
    <row r="1954" spans="1:27" ht="24" customHeight="1">
      <c r="A1954" s="16"/>
      <c r="B1954" s="16"/>
      <c r="C1954" s="16"/>
      <c r="D1954" s="16"/>
      <c r="E1954" s="16"/>
      <c r="F1954" s="16"/>
      <c r="G1954" s="205"/>
      <c r="H1954" s="205"/>
      <c r="I1954" s="16"/>
      <c r="J1954" s="16"/>
      <c r="K1954" s="205"/>
      <c r="L1954" s="16"/>
      <c r="M1954" s="16"/>
      <c r="N1954" s="16"/>
      <c r="O1954" s="16"/>
      <c r="P1954" s="16"/>
      <c r="Q1954" s="16"/>
      <c r="R1954" s="16"/>
      <c r="S1954" s="16"/>
      <c r="T1954" s="16"/>
      <c r="U1954" s="16"/>
      <c r="V1954" s="16"/>
      <c r="W1954" s="16"/>
      <c r="X1954" s="16"/>
      <c r="Y1954" s="16"/>
      <c r="Z1954" s="16"/>
      <c r="AA1954" s="16"/>
    </row>
    <row r="1955" spans="1:27" ht="24" customHeight="1">
      <c r="A1955" s="16"/>
      <c r="B1955" s="16"/>
      <c r="C1955" s="16"/>
      <c r="D1955" s="16"/>
      <c r="E1955" s="16"/>
      <c r="F1955" s="16"/>
      <c r="G1955" s="205"/>
      <c r="H1955" s="205"/>
      <c r="I1955" s="16"/>
      <c r="J1955" s="16"/>
      <c r="K1955" s="205"/>
      <c r="L1955" s="16"/>
      <c r="M1955" s="16"/>
      <c r="N1955" s="16"/>
      <c r="O1955" s="16"/>
      <c r="P1955" s="16"/>
      <c r="Q1955" s="16"/>
      <c r="R1955" s="16"/>
      <c r="S1955" s="16"/>
      <c r="T1955" s="16"/>
      <c r="U1955" s="16"/>
      <c r="V1955" s="16"/>
      <c r="W1955" s="16"/>
      <c r="X1955" s="16"/>
      <c r="Y1955" s="16"/>
      <c r="Z1955" s="16"/>
      <c r="AA1955" s="16"/>
    </row>
    <row r="1956" spans="1:27" ht="24" customHeight="1">
      <c r="A1956" s="16"/>
      <c r="B1956" s="16"/>
      <c r="C1956" s="16"/>
      <c r="D1956" s="16"/>
      <c r="E1956" s="16"/>
      <c r="F1956" s="16"/>
      <c r="G1956" s="205"/>
      <c r="H1956" s="205"/>
      <c r="I1956" s="16"/>
      <c r="J1956" s="16"/>
      <c r="K1956" s="205"/>
      <c r="L1956" s="16"/>
      <c r="M1956" s="16"/>
      <c r="N1956" s="16"/>
      <c r="O1956" s="16"/>
      <c r="P1956" s="16"/>
      <c r="Q1956" s="16"/>
      <c r="R1956" s="16"/>
      <c r="S1956" s="16"/>
      <c r="T1956" s="16"/>
      <c r="U1956" s="16"/>
      <c r="V1956" s="16"/>
      <c r="W1956" s="16"/>
      <c r="X1956" s="16"/>
      <c r="Y1956" s="16"/>
      <c r="Z1956" s="16"/>
      <c r="AA1956" s="16"/>
    </row>
    <row r="1957" spans="1:27" ht="24" customHeight="1">
      <c r="A1957" s="16"/>
      <c r="B1957" s="16"/>
      <c r="C1957" s="16"/>
      <c r="D1957" s="16"/>
      <c r="E1957" s="16"/>
      <c r="F1957" s="16"/>
      <c r="G1957" s="205"/>
      <c r="H1957" s="205"/>
      <c r="I1957" s="16"/>
      <c r="J1957" s="16"/>
      <c r="K1957" s="205"/>
      <c r="L1957" s="16"/>
      <c r="M1957" s="16"/>
      <c r="N1957" s="16"/>
      <c r="O1957" s="16"/>
      <c r="P1957" s="16"/>
      <c r="Q1957" s="16"/>
      <c r="R1957" s="16"/>
      <c r="S1957" s="16"/>
      <c r="T1957" s="16"/>
      <c r="U1957" s="16"/>
      <c r="V1957" s="16"/>
      <c r="W1957" s="16"/>
      <c r="X1957" s="16"/>
      <c r="Y1957" s="16"/>
      <c r="Z1957" s="16"/>
      <c r="AA1957" s="16"/>
    </row>
    <row r="1958" spans="1:27" ht="24" customHeight="1">
      <c r="A1958" s="16"/>
      <c r="B1958" s="16"/>
      <c r="C1958" s="16"/>
      <c r="D1958" s="16"/>
      <c r="E1958" s="16"/>
      <c r="F1958" s="16"/>
      <c r="G1958" s="205"/>
      <c r="H1958" s="205"/>
      <c r="I1958" s="16"/>
      <c r="J1958" s="16"/>
      <c r="K1958" s="205"/>
      <c r="L1958" s="16"/>
      <c r="M1958" s="16"/>
      <c r="N1958" s="16"/>
      <c r="O1958" s="16"/>
      <c r="P1958" s="16"/>
      <c r="Q1958" s="16"/>
      <c r="R1958" s="16"/>
      <c r="S1958" s="16"/>
      <c r="T1958" s="16"/>
      <c r="U1958" s="16"/>
      <c r="V1958" s="16"/>
      <c r="W1958" s="16"/>
      <c r="X1958" s="16"/>
      <c r="Y1958" s="16"/>
      <c r="Z1958" s="16"/>
      <c r="AA1958" s="16"/>
    </row>
    <row r="1959" spans="1:27" ht="24" customHeight="1">
      <c r="A1959" s="16"/>
      <c r="B1959" s="16"/>
      <c r="C1959" s="16"/>
      <c r="D1959" s="16"/>
      <c r="E1959" s="16"/>
      <c r="F1959" s="16"/>
      <c r="G1959" s="205"/>
      <c r="H1959" s="205"/>
      <c r="I1959" s="16"/>
      <c r="J1959" s="16"/>
      <c r="K1959" s="205"/>
      <c r="L1959" s="16"/>
      <c r="M1959" s="16"/>
      <c r="N1959" s="16"/>
      <c r="O1959" s="16"/>
      <c r="P1959" s="16"/>
      <c r="Q1959" s="16"/>
      <c r="R1959" s="16"/>
      <c r="S1959" s="16"/>
      <c r="T1959" s="16"/>
      <c r="U1959" s="16"/>
      <c r="V1959" s="16"/>
      <c r="W1959" s="16"/>
      <c r="X1959" s="16"/>
      <c r="Y1959" s="16"/>
      <c r="Z1959" s="16"/>
      <c r="AA1959" s="16"/>
    </row>
    <row r="1960" spans="1:27" ht="24" customHeight="1">
      <c r="A1960" s="16"/>
      <c r="B1960" s="16"/>
      <c r="C1960" s="16"/>
      <c r="D1960" s="16"/>
      <c r="E1960" s="16"/>
      <c r="F1960" s="16"/>
      <c r="G1960" s="205"/>
      <c r="H1960" s="205"/>
      <c r="I1960" s="16"/>
      <c r="J1960" s="16"/>
      <c r="K1960" s="205"/>
      <c r="L1960" s="16"/>
      <c r="M1960" s="16"/>
      <c r="N1960" s="16"/>
      <c r="O1960" s="16"/>
      <c r="P1960" s="16"/>
      <c r="Q1960" s="16"/>
      <c r="R1960" s="16"/>
      <c r="S1960" s="16"/>
      <c r="T1960" s="16"/>
      <c r="U1960" s="16"/>
      <c r="V1960" s="16"/>
      <c r="W1960" s="16"/>
      <c r="X1960" s="16"/>
      <c r="Y1960" s="16"/>
      <c r="Z1960" s="16"/>
      <c r="AA1960" s="16"/>
    </row>
    <row r="1961" spans="1:27" ht="24" customHeight="1">
      <c r="A1961" s="16"/>
      <c r="B1961" s="16"/>
      <c r="C1961" s="16"/>
      <c r="D1961" s="16"/>
      <c r="E1961" s="16"/>
      <c r="F1961" s="16"/>
      <c r="G1961" s="205"/>
      <c r="H1961" s="205"/>
      <c r="I1961" s="16"/>
      <c r="J1961" s="16"/>
      <c r="K1961" s="205"/>
      <c r="L1961" s="16"/>
      <c r="M1961" s="16"/>
      <c r="N1961" s="16"/>
      <c r="O1961" s="16"/>
      <c r="P1961" s="16"/>
      <c r="Q1961" s="16"/>
      <c r="R1961" s="16"/>
      <c r="S1961" s="16"/>
      <c r="T1961" s="16"/>
      <c r="U1961" s="16"/>
      <c r="V1961" s="16"/>
      <c r="W1961" s="16"/>
      <c r="X1961" s="16"/>
      <c r="Y1961" s="16"/>
      <c r="Z1961" s="16"/>
      <c r="AA1961" s="16"/>
    </row>
    <row r="1962" spans="1:27" ht="24" customHeight="1">
      <c r="A1962" s="16"/>
      <c r="B1962" s="16"/>
      <c r="C1962" s="16"/>
      <c r="D1962" s="16"/>
      <c r="E1962" s="16"/>
      <c r="F1962" s="16"/>
      <c r="G1962" s="205"/>
      <c r="H1962" s="205"/>
      <c r="I1962" s="16"/>
      <c r="J1962" s="16"/>
      <c r="K1962" s="205"/>
      <c r="L1962" s="16"/>
      <c r="M1962" s="16"/>
      <c r="N1962" s="16"/>
      <c r="O1962" s="16"/>
      <c r="P1962" s="16"/>
      <c r="Q1962" s="16"/>
      <c r="R1962" s="16"/>
      <c r="S1962" s="16"/>
      <c r="T1962" s="16"/>
      <c r="U1962" s="16"/>
      <c r="V1962" s="16"/>
      <c r="W1962" s="16"/>
      <c r="X1962" s="16"/>
      <c r="Y1962" s="16"/>
      <c r="Z1962" s="16"/>
      <c r="AA1962" s="16"/>
    </row>
    <row r="1963" spans="1:27" ht="24" customHeight="1">
      <c r="A1963" s="16"/>
      <c r="B1963" s="16"/>
      <c r="C1963" s="16"/>
      <c r="D1963" s="16"/>
      <c r="E1963" s="16"/>
      <c r="F1963" s="16"/>
      <c r="G1963" s="205"/>
      <c r="H1963" s="205"/>
      <c r="I1963" s="16"/>
      <c r="J1963" s="16"/>
      <c r="K1963" s="205"/>
      <c r="L1963" s="16"/>
      <c r="M1963" s="16"/>
      <c r="N1963" s="16"/>
      <c r="O1963" s="16"/>
      <c r="P1963" s="16"/>
      <c r="Q1963" s="16"/>
      <c r="R1963" s="16"/>
      <c r="S1963" s="16"/>
      <c r="T1963" s="16"/>
      <c r="U1963" s="16"/>
      <c r="V1963" s="16"/>
      <c r="W1963" s="16"/>
      <c r="X1963" s="16"/>
      <c r="Y1963" s="16"/>
      <c r="Z1963" s="16"/>
      <c r="AA1963" s="16"/>
    </row>
    <row r="1964" spans="1:27" ht="24" customHeight="1">
      <c r="A1964" s="16"/>
      <c r="B1964" s="16"/>
      <c r="C1964" s="16"/>
      <c r="D1964" s="16"/>
      <c r="E1964" s="16"/>
      <c r="F1964" s="16"/>
      <c r="G1964" s="205"/>
      <c r="H1964" s="205"/>
      <c r="I1964" s="16"/>
      <c r="J1964" s="16"/>
      <c r="K1964" s="205"/>
      <c r="L1964" s="16"/>
      <c r="M1964" s="16"/>
      <c r="N1964" s="16"/>
      <c r="O1964" s="16"/>
      <c r="P1964" s="16"/>
      <c r="Q1964" s="16"/>
      <c r="R1964" s="16"/>
      <c r="S1964" s="16"/>
      <c r="T1964" s="16"/>
      <c r="U1964" s="16"/>
      <c r="V1964" s="16"/>
      <c r="W1964" s="16"/>
      <c r="X1964" s="16"/>
      <c r="Y1964" s="16"/>
      <c r="Z1964" s="16"/>
      <c r="AA1964" s="16"/>
    </row>
    <row r="1965" spans="1:27" ht="24" customHeight="1">
      <c r="A1965" s="16"/>
      <c r="B1965" s="16"/>
      <c r="C1965" s="16"/>
      <c r="D1965" s="16"/>
      <c r="E1965" s="16"/>
      <c r="F1965" s="16"/>
      <c r="G1965" s="205"/>
      <c r="H1965" s="205"/>
      <c r="I1965" s="16"/>
      <c r="J1965" s="16"/>
      <c r="K1965" s="205"/>
      <c r="L1965" s="16"/>
      <c r="M1965" s="16"/>
      <c r="N1965" s="16"/>
      <c r="O1965" s="16"/>
      <c r="P1965" s="16"/>
      <c r="Q1965" s="16"/>
      <c r="R1965" s="16"/>
      <c r="S1965" s="16"/>
      <c r="T1965" s="16"/>
      <c r="U1965" s="16"/>
      <c r="V1965" s="16"/>
      <c r="W1965" s="16"/>
      <c r="X1965" s="16"/>
      <c r="Y1965" s="16"/>
      <c r="Z1965" s="16"/>
      <c r="AA1965" s="16"/>
    </row>
    <row r="1966" spans="1:27" ht="24" customHeight="1">
      <c r="A1966" s="16"/>
      <c r="B1966" s="16"/>
      <c r="C1966" s="16"/>
      <c r="D1966" s="16"/>
      <c r="E1966" s="16"/>
      <c r="F1966" s="16"/>
      <c r="G1966" s="205"/>
      <c r="H1966" s="205"/>
      <c r="I1966" s="16"/>
      <c r="J1966" s="16"/>
      <c r="K1966" s="205"/>
      <c r="L1966" s="16"/>
      <c r="M1966" s="16"/>
      <c r="N1966" s="16"/>
      <c r="O1966" s="16"/>
      <c r="P1966" s="16"/>
      <c r="Q1966" s="16"/>
      <c r="R1966" s="16"/>
      <c r="S1966" s="16"/>
      <c r="T1966" s="16"/>
      <c r="U1966" s="16"/>
      <c r="V1966" s="16"/>
      <c r="W1966" s="16"/>
      <c r="X1966" s="16"/>
      <c r="Y1966" s="16"/>
      <c r="Z1966" s="16"/>
      <c r="AA1966" s="16"/>
    </row>
    <row r="1967" spans="1:27" ht="24" customHeight="1">
      <c r="A1967" s="16"/>
      <c r="B1967" s="16"/>
      <c r="C1967" s="16"/>
      <c r="D1967" s="16"/>
      <c r="E1967" s="16"/>
      <c r="F1967" s="16"/>
      <c r="G1967" s="205"/>
      <c r="H1967" s="205"/>
      <c r="I1967" s="16"/>
      <c r="J1967" s="16"/>
      <c r="K1967" s="205"/>
      <c r="L1967" s="16"/>
      <c r="M1967" s="16"/>
      <c r="N1967" s="16"/>
      <c r="O1967" s="16"/>
      <c r="P1967" s="16"/>
      <c r="Q1967" s="16"/>
      <c r="R1967" s="16"/>
      <c r="S1967" s="16"/>
      <c r="T1967" s="16"/>
      <c r="U1967" s="16"/>
      <c r="V1967" s="16"/>
      <c r="W1967" s="16"/>
      <c r="X1967" s="16"/>
      <c r="Y1967" s="16"/>
      <c r="Z1967" s="16"/>
      <c r="AA1967" s="16"/>
    </row>
    <row r="1968" spans="1:27" ht="24" customHeight="1">
      <c r="A1968" s="16"/>
      <c r="B1968" s="16"/>
      <c r="C1968" s="16"/>
      <c r="D1968" s="16"/>
      <c r="E1968" s="16"/>
      <c r="F1968" s="16"/>
      <c r="G1968" s="205"/>
      <c r="H1968" s="205"/>
      <c r="I1968" s="16"/>
      <c r="J1968" s="16"/>
      <c r="K1968" s="205"/>
      <c r="L1968" s="16"/>
      <c r="M1968" s="16"/>
      <c r="N1968" s="16"/>
      <c r="O1968" s="16"/>
      <c r="P1968" s="16"/>
      <c r="Q1968" s="16"/>
      <c r="R1968" s="16"/>
      <c r="S1968" s="16"/>
      <c r="T1968" s="16"/>
      <c r="U1968" s="16"/>
      <c r="V1968" s="16"/>
      <c r="W1968" s="16"/>
      <c r="X1968" s="16"/>
      <c r="Y1968" s="16"/>
      <c r="Z1968" s="16"/>
      <c r="AA1968" s="16"/>
    </row>
    <row r="1969" spans="1:27" ht="24" customHeight="1">
      <c r="A1969" s="16"/>
      <c r="B1969" s="16"/>
      <c r="C1969" s="16"/>
      <c r="D1969" s="16"/>
      <c r="E1969" s="16"/>
      <c r="F1969" s="16"/>
      <c r="G1969" s="205"/>
      <c r="H1969" s="205"/>
      <c r="I1969" s="16"/>
      <c r="J1969" s="16"/>
      <c r="K1969" s="205"/>
      <c r="L1969" s="16"/>
      <c r="M1969" s="16"/>
      <c r="N1969" s="16"/>
      <c r="O1969" s="16"/>
      <c r="P1969" s="16"/>
      <c r="Q1969" s="16"/>
      <c r="R1969" s="16"/>
      <c r="S1969" s="16"/>
      <c r="T1969" s="16"/>
      <c r="U1969" s="16"/>
      <c r="V1969" s="16"/>
      <c r="W1969" s="16"/>
      <c r="X1969" s="16"/>
      <c r="Y1969" s="16"/>
      <c r="Z1969" s="16"/>
      <c r="AA1969" s="16"/>
    </row>
    <row r="1970" spans="1:27" ht="24" customHeight="1">
      <c r="A1970" s="16"/>
      <c r="B1970" s="16"/>
      <c r="C1970" s="16"/>
      <c r="D1970" s="16"/>
      <c r="E1970" s="16"/>
      <c r="F1970" s="16"/>
      <c r="G1970" s="205"/>
      <c r="H1970" s="205"/>
      <c r="I1970" s="16"/>
      <c r="J1970" s="16"/>
      <c r="K1970" s="205"/>
      <c r="L1970" s="16"/>
      <c r="M1970" s="16"/>
      <c r="N1970" s="16"/>
      <c r="O1970" s="16"/>
      <c r="P1970" s="16"/>
      <c r="Q1970" s="16"/>
      <c r="R1970" s="16"/>
      <c r="S1970" s="16"/>
      <c r="T1970" s="16"/>
      <c r="U1970" s="16"/>
      <c r="V1970" s="16"/>
      <c r="W1970" s="16"/>
      <c r="X1970" s="16"/>
      <c r="Y1970" s="16"/>
      <c r="Z1970" s="16"/>
      <c r="AA1970" s="16"/>
    </row>
    <row r="1971" spans="1:27" ht="24" customHeight="1">
      <c r="A1971" s="16"/>
      <c r="B1971" s="16"/>
      <c r="C1971" s="16"/>
      <c r="D1971" s="16"/>
      <c r="E1971" s="16"/>
      <c r="F1971" s="16"/>
      <c r="G1971" s="205"/>
      <c r="H1971" s="205"/>
      <c r="I1971" s="16"/>
      <c r="J1971" s="16"/>
      <c r="K1971" s="205"/>
      <c r="L1971" s="16"/>
      <c r="M1971" s="16"/>
      <c r="N1971" s="16"/>
      <c r="O1971" s="16"/>
      <c r="P1971" s="16"/>
      <c r="Q1971" s="16"/>
      <c r="R1971" s="16"/>
      <c r="S1971" s="16"/>
      <c r="T1971" s="16"/>
      <c r="U1971" s="16"/>
      <c r="V1971" s="16"/>
      <c r="W1971" s="16"/>
      <c r="X1971" s="16"/>
      <c r="Y1971" s="16"/>
      <c r="Z1971" s="16"/>
      <c r="AA1971" s="16"/>
    </row>
    <row r="1972" spans="1:27" ht="24" customHeight="1">
      <c r="A1972" s="16"/>
      <c r="B1972" s="16"/>
      <c r="C1972" s="16"/>
      <c r="D1972" s="16"/>
      <c r="E1972" s="16"/>
      <c r="F1972" s="16"/>
      <c r="G1972" s="205"/>
      <c r="H1972" s="205"/>
      <c r="I1972" s="16"/>
      <c r="J1972" s="16"/>
      <c r="K1972" s="205"/>
      <c r="L1972" s="16"/>
      <c r="M1972" s="16"/>
      <c r="N1972" s="16"/>
      <c r="O1972" s="16"/>
      <c r="P1972" s="16"/>
      <c r="Q1972" s="16"/>
      <c r="R1972" s="16"/>
      <c r="S1972" s="16"/>
      <c r="T1972" s="16"/>
      <c r="U1972" s="16"/>
      <c r="V1972" s="16"/>
      <c r="W1972" s="16"/>
      <c r="X1972" s="16"/>
      <c r="Y1972" s="16"/>
      <c r="Z1972" s="16"/>
      <c r="AA1972" s="16"/>
    </row>
    <row r="1973" spans="1:27" ht="24" customHeight="1">
      <c r="A1973" s="16"/>
      <c r="B1973" s="16"/>
      <c r="C1973" s="16"/>
      <c r="D1973" s="16"/>
      <c r="E1973" s="16"/>
      <c r="F1973" s="16"/>
      <c r="G1973" s="205"/>
      <c r="H1973" s="205"/>
      <c r="I1973" s="16"/>
      <c r="J1973" s="16"/>
      <c r="K1973" s="205"/>
      <c r="L1973" s="16"/>
      <c r="M1973" s="16"/>
      <c r="N1973" s="16"/>
      <c r="O1973" s="16"/>
      <c r="P1973" s="16"/>
      <c r="Q1973" s="16"/>
      <c r="R1973" s="16"/>
      <c r="S1973" s="16"/>
      <c r="T1973" s="16"/>
      <c r="U1973" s="16"/>
      <c r="V1973" s="16"/>
      <c r="W1973" s="16"/>
      <c r="X1973" s="16"/>
      <c r="Y1973" s="16"/>
      <c r="Z1973" s="16"/>
      <c r="AA1973" s="16"/>
    </row>
    <row r="1974" spans="1:27" ht="24" customHeight="1">
      <c r="A1974" s="16"/>
      <c r="B1974" s="16"/>
      <c r="C1974" s="16"/>
      <c r="D1974" s="16"/>
      <c r="E1974" s="16"/>
      <c r="F1974" s="16"/>
      <c r="G1974" s="205"/>
      <c r="H1974" s="205"/>
      <c r="I1974" s="16"/>
      <c r="J1974" s="16"/>
      <c r="K1974" s="205"/>
      <c r="L1974" s="16"/>
      <c r="M1974" s="16"/>
      <c r="N1974" s="16"/>
      <c r="O1974" s="16"/>
      <c r="P1974" s="16"/>
      <c r="Q1974" s="16"/>
      <c r="R1974" s="16"/>
      <c r="S1974" s="16"/>
      <c r="T1974" s="16"/>
      <c r="U1974" s="16"/>
      <c r="V1974" s="16"/>
      <c r="W1974" s="16"/>
      <c r="X1974" s="16"/>
      <c r="Y1974" s="16"/>
      <c r="Z1974" s="16"/>
      <c r="AA1974" s="16"/>
    </row>
    <row r="1975" spans="1:27" ht="24" customHeight="1">
      <c r="A1975" s="16"/>
      <c r="B1975" s="16"/>
      <c r="C1975" s="16"/>
      <c r="D1975" s="16"/>
      <c r="E1975" s="16"/>
      <c r="F1975" s="16"/>
      <c r="G1975" s="205"/>
      <c r="H1975" s="205"/>
      <c r="I1975" s="16"/>
      <c r="J1975" s="16"/>
      <c r="K1975" s="205"/>
      <c r="L1975" s="16"/>
      <c r="M1975" s="16"/>
      <c r="N1975" s="16"/>
      <c r="O1975" s="16"/>
      <c r="P1975" s="16"/>
      <c r="Q1975" s="16"/>
      <c r="R1975" s="16"/>
      <c r="S1975" s="16"/>
      <c r="T1975" s="16"/>
      <c r="U1975" s="16"/>
      <c r="V1975" s="16"/>
      <c r="W1975" s="16"/>
      <c r="X1975" s="16"/>
      <c r="Y1975" s="16"/>
      <c r="Z1975" s="16"/>
      <c r="AA1975" s="16"/>
    </row>
    <row r="1976" spans="1:27" ht="24" customHeight="1">
      <c r="A1976" s="16"/>
      <c r="B1976" s="16"/>
      <c r="C1976" s="16"/>
      <c r="D1976" s="16"/>
      <c r="E1976" s="16"/>
      <c r="F1976" s="16"/>
      <c r="G1976" s="205"/>
      <c r="H1976" s="205"/>
      <c r="I1976" s="16"/>
      <c r="J1976" s="16"/>
      <c r="K1976" s="205"/>
      <c r="L1976" s="16"/>
      <c r="M1976" s="16"/>
      <c r="N1976" s="16"/>
      <c r="O1976" s="16"/>
      <c r="P1976" s="16"/>
      <c r="Q1976" s="16"/>
      <c r="R1976" s="16"/>
      <c r="S1976" s="16"/>
      <c r="T1976" s="16"/>
      <c r="U1976" s="16"/>
      <c r="V1976" s="16"/>
      <c r="W1976" s="16"/>
      <c r="X1976" s="16"/>
      <c r="Y1976" s="16"/>
      <c r="Z1976" s="16"/>
      <c r="AA1976" s="16"/>
    </row>
    <row r="1977" spans="1:27" ht="24" customHeight="1">
      <c r="A1977" s="16"/>
      <c r="B1977" s="16"/>
      <c r="C1977" s="16"/>
      <c r="D1977" s="16"/>
      <c r="E1977" s="16"/>
      <c r="F1977" s="16"/>
      <c r="G1977" s="205"/>
      <c r="H1977" s="205"/>
      <c r="I1977" s="16"/>
      <c r="J1977" s="16"/>
      <c r="K1977" s="205"/>
      <c r="L1977" s="16"/>
      <c r="M1977" s="16"/>
      <c r="N1977" s="16"/>
      <c r="O1977" s="16"/>
      <c r="P1977" s="16"/>
      <c r="Q1977" s="16"/>
      <c r="R1977" s="16"/>
      <c r="S1977" s="16"/>
      <c r="T1977" s="16"/>
      <c r="U1977" s="16"/>
      <c r="V1977" s="16"/>
      <c r="W1977" s="16"/>
      <c r="X1977" s="16"/>
      <c r="Y1977" s="16"/>
      <c r="Z1977" s="16"/>
      <c r="AA1977" s="16"/>
    </row>
    <row r="1978" spans="1:27" ht="24" customHeight="1">
      <c r="A1978" s="16"/>
      <c r="B1978" s="16"/>
      <c r="C1978" s="16"/>
      <c r="D1978" s="16"/>
      <c r="E1978" s="16"/>
      <c r="F1978" s="16"/>
      <c r="G1978" s="205"/>
      <c r="H1978" s="205"/>
      <c r="I1978" s="16"/>
      <c r="J1978" s="16"/>
      <c r="K1978" s="205"/>
      <c r="L1978" s="16"/>
      <c r="M1978" s="16"/>
      <c r="N1978" s="16"/>
      <c r="O1978" s="16"/>
      <c r="P1978" s="16"/>
      <c r="Q1978" s="16"/>
      <c r="R1978" s="16"/>
      <c r="S1978" s="16"/>
      <c r="T1978" s="16"/>
      <c r="U1978" s="16"/>
      <c r="V1978" s="16"/>
      <c r="W1978" s="16"/>
      <c r="X1978" s="16"/>
      <c r="Y1978" s="16"/>
      <c r="Z1978" s="16"/>
      <c r="AA1978" s="16"/>
    </row>
    <row r="1979" spans="1:27" ht="24" customHeight="1">
      <c r="A1979" s="16"/>
      <c r="B1979" s="16"/>
      <c r="C1979" s="16"/>
      <c r="D1979" s="16"/>
      <c r="E1979" s="16"/>
      <c r="F1979" s="16"/>
      <c r="G1979" s="205"/>
      <c r="H1979" s="205"/>
      <c r="I1979" s="16"/>
      <c r="J1979" s="16"/>
      <c r="K1979" s="205"/>
      <c r="L1979" s="16"/>
      <c r="M1979" s="16"/>
      <c r="N1979" s="16"/>
      <c r="O1979" s="16"/>
      <c r="P1979" s="16"/>
      <c r="Q1979" s="16"/>
      <c r="R1979" s="16"/>
      <c r="S1979" s="16"/>
      <c r="T1979" s="16"/>
      <c r="U1979" s="16"/>
      <c r="V1979" s="16"/>
      <c r="W1979" s="16"/>
      <c r="X1979" s="16"/>
      <c r="Y1979" s="16"/>
      <c r="Z1979" s="16"/>
      <c r="AA1979" s="16"/>
    </row>
    <row r="1980" spans="1:27" ht="24" customHeight="1">
      <c r="A1980" s="16"/>
      <c r="B1980" s="16"/>
      <c r="C1980" s="16"/>
      <c r="D1980" s="16"/>
      <c r="E1980" s="16"/>
      <c r="F1980" s="16"/>
      <c r="G1980" s="205"/>
      <c r="H1980" s="205"/>
      <c r="I1980" s="16"/>
      <c r="J1980" s="16"/>
      <c r="K1980" s="205"/>
      <c r="L1980" s="16"/>
      <c r="M1980" s="16"/>
      <c r="N1980" s="16"/>
      <c r="O1980" s="16"/>
      <c r="P1980" s="16"/>
      <c r="Q1980" s="16"/>
      <c r="R1980" s="16"/>
      <c r="S1980" s="16"/>
      <c r="T1980" s="16"/>
      <c r="U1980" s="16"/>
      <c r="V1980" s="16"/>
      <c r="W1980" s="16"/>
      <c r="X1980" s="16"/>
      <c r="Y1980" s="16"/>
      <c r="Z1980" s="16"/>
      <c r="AA1980" s="16"/>
    </row>
    <row r="1981" spans="1:27" ht="24" customHeight="1">
      <c r="A1981" s="16"/>
      <c r="B1981" s="16"/>
      <c r="C1981" s="16"/>
      <c r="D1981" s="16"/>
      <c r="E1981" s="16"/>
      <c r="F1981" s="16"/>
      <c r="G1981" s="205"/>
      <c r="H1981" s="205"/>
      <c r="I1981" s="16"/>
      <c r="J1981" s="16"/>
      <c r="K1981" s="205"/>
      <c r="L1981" s="16"/>
      <c r="M1981" s="16"/>
      <c r="N1981" s="16"/>
      <c r="O1981" s="16"/>
      <c r="P1981" s="16"/>
      <c r="Q1981" s="16"/>
      <c r="R1981" s="16"/>
      <c r="S1981" s="16"/>
      <c r="T1981" s="16"/>
      <c r="U1981" s="16"/>
      <c r="V1981" s="16"/>
      <c r="W1981" s="16"/>
      <c r="X1981" s="16"/>
      <c r="Y1981" s="16"/>
      <c r="Z1981" s="16"/>
      <c r="AA1981" s="16"/>
    </row>
    <row r="1982" spans="1:27" ht="24" customHeight="1">
      <c r="A1982" s="16"/>
      <c r="B1982" s="16"/>
      <c r="C1982" s="16"/>
      <c r="D1982" s="16"/>
      <c r="E1982" s="16"/>
      <c r="F1982" s="16"/>
      <c r="G1982" s="205"/>
      <c r="H1982" s="205"/>
      <c r="I1982" s="16"/>
      <c r="J1982" s="16"/>
      <c r="K1982" s="205"/>
      <c r="L1982" s="16"/>
      <c r="M1982" s="16"/>
      <c r="N1982" s="16"/>
      <c r="O1982" s="16"/>
      <c r="P1982" s="16"/>
      <c r="Q1982" s="16"/>
      <c r="R1982" s="16"/>
      <c r="S1982" s="16"/>
      <c r="T1982" s="16"/>
      <c r="U1982" s="16"/>
      <c r="V1982" s="16"/>
      <c r="W1982" s="16"/>
      <c r="X1982" s="16"/>
      <c r="Y1982" s="16"/>
      <c r="Z1982" s="16"/>
      <c r="AA1982" s="16"/>
    </row>
    <row r="1983" spans="1:27" ht="24" customHeight="1">
      <c r="A1983" s="16"/>
      <c r="B1983" s="16"/>
      <c r="C1983" s="16"/>
      <c r="D1983" s="16"/>
      <c r="E1983" s="16"/>
      <c r="F1983" s="16"/>
      <c r="G1983" s="205"/>
      <c r="H1983" s="205"/>
      <c r="I1983" s="16"/>
      <c r="J1983" s="16"/>
      <c r="K1983" s="205"/>
      <c r="L1983" s="16"/>
      <c r="M1983" s="16"/>
      <c r="N1983" s="16"/>
      <c r="O1983" s="16"/>
      <c r="P1983" s="16"/>
      <c r="Q1983" s="16"/>
      <c r="R1983" s="16"/>
      <c r="S1983" s="16"/>
      <c r="T1983" s="16"/>
      <c r="U1983" s="16"/>
      <c r="V1983" s="16"/>
      <c r="W1983" s="16"/>
      <c r="X1983" s="16"/>
      <c r="Y1983" s="16"/>
      <c r="Z1983" s="16"/>
      <c r="AA1983" s="16"/>
    </row>
    <row r="1984" spans="1:27" ht="24" customHeight="1">
      <c r="A1984" s="16"/>
      <c r="B1984" s="16"/>
      <c r="C1984" s="16"/>
      <c r="D1984" s="16"/>
      <c r="E1984" s="16"/>
      <c r="F1984" s="16"/>
      <c r="G1984" s="205"/>
      <c r="H1984" s="205"/>
      <c r="I1984" s="16"/>
      <c r="J1984" s="16"/>
      <c r="K1984" s="205"/>
      <c r="L1984" s="16"/>
      <c r="M1984" s="16"/>
      <c r="N1984" s="16"/>
      <c r="O1984" s="16"/>
      <c r="P1984" s="16"/>
      <c r="Q1984" s="16"/>
      <c r="R1984" s="16"/>
      <c r="S1984" s="16"/>
      <c r="T1984" s="16"/>
      <c r="U1984" s="16"/>
      <c r="V1984" s="16"/>
      <c r="W1984" s="16"/>
      <c r="X1984" s="16"/>
      <c r="Y1984" s="16"/>
      <c r="Z1984" s="16"/>
      <c r="AA1984" s="16"/>
    </row>
    <row r="1985" spans="1:27" ht="24" customHeight="1">
      <c r="A1985" s="16"/>
      <c r="B1985" s="16"/>
      <c r="C1985" s="16"/>
      <c r="D1985" s="16"/>
      <c r="E1985" s="16"/>
      <c r="F1985" s="16"/>
      <c r="G1985" s="205"/>
      <c r="H1985" s="205"/>
      <c r="I1985" s="16"/>
      <c r="J1985" s="16"/>
      <c r="K1985" s="205"/>
      <c r="L1985" s="16"/>
      <c r="M1985" s="16"/>
      <c r="N1985" s="16"/>
      <c r="O1985" s="16"/>
      <c r="P1985" s="16"/>
      <c r="Q1985" s="16"/>
      <c r="R1985" s="16"/>
      <c r="S1985" s="16"/>
      <c r="T1985" s="16"/>
      <c r="U1985" s="16"/>
      <c r="V1985" s="16"/>
      <c r="W1985" s="16"/>
      <c r="X1985" s="16"/>
      <c r="Y1985" s="16"/>
      <c r="Z1985" s="16"/>
      <c r="AA1985" s="16"/>
    </row>
    <row r="1986" spans="1:27" ht="24" customHeight="1">
      <c r="A1986" s="16"/>
      <c r="B1986" s="16"/>
      <c r="C1986" s="16"/>
      <c r="D1986" s="16"/>
      <c r="E1986" s="16"/>
      <c r="F1986" s="16"/>
      <c r="G1986" s="205"/>
      <c r="H1986" s="205"/>
      <c r="I1986" s="16"/>
      <c r="J1986" s="16"/>
      <c r="K1986" s="205"/>
      <c r="L1986" s="16"/>
      <c r="M1986" s="16"/>
      <c r="N1986" s="16"/>
      <c r="O1986" s="16"/>
      <c r="P1986" s="16"/>
      <c r="Q1986" s="16"/>
      <c r="R1986" s="16"/>
      <c r="S1986" s="16"/>
      <c r="T1986" s="16"/>
      <c r="U1986" s="16"/>
      <c r="V1986" s="16"/>
      <c r="W1986" s="16"/>
      <c r="X1986" s="16"/>
      <c r="Y1986" s="16"/>
      <c r="Z1986" s="16"/>
      <c r="AA1986" s="16"/>
    </row>
    <row r="1987" spans="1:27" ht="24" customHeight="1">
      <c r="A1987" s="16"/>
      <c r="B1987" s="16"/>
      <c r="C1987" s="16"/>
      <c r="D1987" s="16"/>
      <c r="E1987" s="16"/>
      <c r="F1987" s="16"/>
      <c r="G1987" s="205"/>
      <c r="H1987" s="205"/>
      <c r="I1987" s="16"/>
      <c r="J1987" s="16"/>
      <c r="K1987" s="205"/>
      <c r="L1987" s="16"/>
      <c r="M1987" s="16"/>
      <c r="N1987" s="16"/>
      <c r="O1987" s="16"/>
      <c r="P1987" s="16"/>
      <c r="Q1987" s="16"/>
      <c r="R1987" s="16"/>
      <c r="S1987" s="16"/>
      <c r="T1987" s="16"/>
      <c r="U1987" s="16"/>
      <c r="V1987" s="16"/>
      <c r="W1987" s="16"/>
      <c r="X1987" s="16"/>
      <c r="Y1987" s="16"/>
      <c r="Z1987" s="16"/>
      <c r="AA1987" s="16"/>
    </row>
    <row r="1988" spans="1:27" ht="24" customHeight="1">
      <c r="A1988" s="16"/>
      <c r="B1988" s="16"/>
      <c r="C1988" s="16"/>
      <c r="D1988" s="16"/>
      <c r="E1988" s="16"/>
      <c r="F1988" s="16"/>
      <c r="G1988" s="205"/>
      <c r="H1988" s="205"/>
      <c r="I1988" s="16"/>
      <c r="J1988" s="16"/>
      <c r="K1988" s="205"/>
      <c r="L1988" s="16"/>
      <c r="M1988" s="16"/>
      <c r="N1988" s="16"/>
      <c r="O1988" s="16"/>
      <c r="P1988" s="16"/>
      <c r="Q1988" s="16"/>
      <c r="R1988" s="16"/>
      <c r="S1988" s="16"/>
      <c r="T1988" s="16"/>
      <c r="U1988" s="16"/>
      <c r="V1988" s="16"/>
      <c r="W1988" s="16"/>
      <c r="X1988" s="16"/>
      <c r="Y1988" s="16"/>
      <c r="Z1988" s="16"/>
      <c r="AA1988" s="16"/>
    </row>
    <row r="1989" spans="1:27" ht="24" customHeight="1">
      <c r="A1989" s="16"/>
      <c r="B1989" s="16"/>
      <c r="C1989" s="16"/>
      <c r="D1989" s="16"/>
      <c r="E1989" s="16"/>
      <c r="F1989" s="16"/>
      <c r="G1989" s="205"/>
      <c r="H1989" s="205"/>
      <c r="I1989" s="16"/>
      <c r="J1989" s="16"/>
      <c r="K1989" s="205"/>
      <c r="L1989" s="16"/>
      <c r="M1989" s="16"/>
      <c r="N1989" s="16"/>
      <c r="O1989" s="16"/>
      <c r="P1989" s="16"/>
      <c r="Q1989" s="16"/>
      <c r="R1989" s="16"/>
      <c r="S1989" s="16"/>
      <c r="T1989" s="16"/>
      <c r="U1989" s="16"/>
      <c r="V1989" s="16"/>
      <c r="W1989" s="16"/>
      <c r="X1989" s="16"/>
      <c r="Y1989" s="16"/>
      <c r="Z1989" s="16"/>
      <c r="AA1989" s="16"/>
    </row>
    <row r="1990" spans="1:27" ht="24" customHeight="1">
      <c r="A1990" s="16"/>
      <c r="B1990" s="16"/>
      <c r="C1990" s="16"/>
      <c r="D1990" s="16"/>
      <c r="E1990" s="16"/>
      <c r="F1990" s="16"/>
      <c r="G1990" s="205"/>
      <c r="H1990" s="205"/>
      <c r="I1990" s="16"/>
      <c r="J1990" s="16"/>
      <c r="K1990" s="205"/>
      <c r="L1990" s="16"/>
      <c r="M1990" s="16"/>
      <c r="N1990" s="16"/>
      <c r="O1990" s="16"/>
      <c r="P1990" s="16"/>
      <c r="Q1990" s="16"/>
      <c r="R1990" s="16"/>
      <c r="S1990" s="16"/>
      <c r="T1990" s="16"/>
      <c r="U1990" s="16"/>
      <c r="V1990" s="16"/>
      <c r="W1990" s="16"/>
      <c r="X1990" s="16"/>
      <c r="Y1990" s="16"/>
      <c r="Z1990" s="16"/>
      <c r="AA1990" s="16"/>
    </row>
    <row r="1991" spans="1:27" ht="24" customHeight="1">
      <c r="A1991" s="16"/>
      <c r="B1991" s="16"/>
      <c r="C1991" s="16"/>
      <c r="D1991" s="16"/>
      <c r="E1991" s="16"/>
      <c r="F1991" s="16"/>
      <c r="G1991" s="205"/>
      <c r="H1991" s="205"/>
      <c r="I1991" s="16"/>
      <c r="J1991" s="16"/>
      <c r="K1991" s="205"/>
      <c r="L1991" s="16"/>
      <c r="M1991" s="16"/>
      <c r="N1991" s="16"/>
      <c r="O1991" s="16"/>
      <c r="P1991" s="16"/>
      <c r="Q1991" s="16"/>
      <c r="R1991" s="16"/>
      <c r="S1991" s="16"/>
      <c r="T1991" s="16"/>
      <c r="U1991" s="16"/>
      <c r="V1991" s="16"/>
      <c r="W1991" s="16"/>
      <c r="X1991" s="16"/>
      <c r="Y1991" s="16"/>
      <c r="Z1991" s="16"/>
      <c r="AA1991" s="16"/>
    </row>
    <row r="1992" spans="1:27" ht="24" customHeight="1">
      <c r="A1992" s="16"/>
      <c r="B1992" s="16"/>
      <c r="C1992" s="16"/>
      <c r="D1992" s="16"/>
      <c r="E1992" s="16"/>
      <c r="F1992" s="16"/>
      <c r="G1992" s="205"/>
      <c r="H1992" s="205"/>
      <c r="I1992" s="16"/>
      <c r="J1992" s="16"/>
      <c r="K1992" s="205"/>
      <c r="L1992" s="16"/>
      <c r="M1992" s="16"/>
      <c r="N1992" s="16"/>
      <c r="O1992" s="16"/>
      <c r="P1992" s="16"/>
      <c r="Q1992" s="16"/>
      <c r="R1992" s="16"/>
      <c r="S1992" s="16"/>
      <c r="T1992" s="16"/>
      <c r="U1992" s="16"/>
      <c r="V1992" s="16"/>
      <c r="W1992" s="16"/>
      <c r="X1992" s="16"/>
      <c r="Y1992" s="16"/>
      <c r="Z1992" s="16"/>
      <c r="AA1992" s="16"/>
    </row>
    <row r="1993" spans="1:27" ht="24" customHeight="1">
      <c r="A1993" s="16"/>
      <c r="B1993" s="16"/>
      <c r="C1993" s="16"/>
      <c r="D1993" s="16"/>
      <c r="E1993" s="16"/>
      <c r="F1993" s="16"/>
      <c r="G1993" s="205"/>
      <c r="H1993" s="205"/>
      <c r="I1993" s="16"/>
      <c r="J1993" s="16"/>
      <c r="K1993" s="205"/>
      <c r="L1993" s="16"/>
      <c r="M1993" s="16"/>
      <c r="N1993" s="16"/>
      <c r="O1993" s="16"/>
      <c r="P1993" s="16"/>
      <c r="Q1993" s="16"/>
      <c r="R1993" s="16"/>
      <c r="S1993" s="16"/>
      <c r="T1993" s="16"/>
      <c r="U1993" s="16"/>
      <c r="V1993" s="16"/>
      <c r="W1993" s="16"/>
      <c r="X1993" s="16"/>
      <c r="Y1993" s="16"/>
      <c r="Z1993" s="16"/>
      <c r="AA1993" s="16"/>
    </row>
    <row r="1994" spans="1:27" ht="24" customHeight="1">
      <c r="A1994" s="16"/>
      <c r="B1994" s="16"/>
      <c r="C1994" s="16"/>
      <c r="D1994" s="16"/>
      <c r="E1994" s="16"/>
      <c r="F1994" s="16"/>
      <c r="G1994" s="205"/>
      <c r="H1994" s="205"/>
      <c r="I1994" s="16"/>
      <c r="J1994" s="16"/>
      <c r="K1994" s="205"/>
      <c r="L1994" s="16"/>
      <c r="M1994" s="16"/>
      <c r="N1994" s="16"/>
      <c r="O1994" s="16"/>
      <c r="P1994" s="16"/>
      <c r="Q1994" s="16"/>
      <c r="R1994" s="16"/>
      <c r="S1994" s="16"/>
      <c r="T1994" s="16"/>
      <c r="U1994" s="16"/>
      <c r="V1994" s="16"/>
      <c r="W1994" s="16"/>
      <c r="X1994" s="16"/>
      <c r="Y1994" s="16"/>
      <c r="Z1994" s="16"/>
      <c r="AA1994" s="16"/>
    </row>
    <row r="1995" spans="1:27" ht="24" customHeight="1">
      <c r="A1995" s="16"/>
      <c r="B1995" s="16"/>
      <c r="C1995" s="16"/>
      <c r="D1995" s="16"/>
      <c r="E1995" s="16"/>
      <c r="F1995" s="16"/>
      <c r="G1995" s="205"/>
      <c r="H1995" s="205"/>
      <c r="I1995" s="16"/>
      <c r="J1995" s="16"/>
      <c r="K1995" s="205"/>
      <c r="L1995" s="16"/>
      <c r="M1995" s="16"/>
      <c r="N1995" s="16"/>
      <c r="O1995" s="16"/>
      <c r="P1995" s="16"/>
      <c r="Q1995" s="16"/>
      <c r="R1995" s="16"/>
      <c r="S1995" s="16"/>
      <c r="T1995" s="16"/>
      <c r="U1995" s="16"/>
      <c r="V1995" s="16"/>
      <c r="W1995" s="16"/>
      <c r="X1995" s="16"/>
      <c r="Y1995" s="16"/>
      <c r="Z1995" s="16"/>
      <c r="AA1995" s="16"/>
    </row>
    <row r="1996" spans="1:27" ht="24" customHeight="1">
      <c r="A1996" s="16"/>
      <c r="B1996" s="16"/>
      <c r="C1996" s="16"/>
      <c r="D1996" s="16"/>
      <c r="E1996" s="16"/>
      <c r="F1996" s="16"/>
      <c r="G1996" s="205"/>
      <c r="H1996" s="205"/>
      <c r="I1996" s="16"/>
      <c r="J1996" s="16"/>
      <c r="K1996" s="205"/>
      <c r="L1996" s="16"/>
      <c r="M1996" s="16"/>
      <c r="N1996" s="16"/>
      <c r="O1996" s="16"/>
      <c r="P1996" s="16"/>
      <c r="Q1996" s="16"/>
      <c r="R1996" s="16"/>
      <c r="S1996" s="16"/>
      <c r="T1996" s="16"/>
      <c r="U1996" s="16"/>
      <c r="V1996" s="16"/>
      <c r="W1996" s="16"/>
      <c r="X1996" s="16"/>
      <c r="Y1996" s="16"/>
      <c r="Z1996" s="16"/>
      <c r="AA1996" s="16"/>
    </row>
    <row r="1997" spans="1:27" ht="24" customHeight="1">
      <c r="A1997" s="16"/>
      <c r="B1997" s="16"/>
      <c r="C1997" s="16"/>
      <c r="D1997" s="16"/>
      <c r="E1997" s="16"/>
      <c r="F1997" s="16"/>
      <c r="G1997" s="205"/>
      <c r="H1997" s="205"/>
      <c r="I1997" s="16"/>
      <c r="J1997" s="16"/>
      <c r="K1997" s="205"/>
      <c r="L1997" s="16"/>
      <c r="M1997" s="16"/>
      <c r="N1997" s="16"/>
      <c r="O1997" s="16"/>
      <c r="P1997" s="16"/>
      <c r="Q1997" s="16"/>
      <c r="R1997" s="16"/>
      <c r="S1997" s="16"/>
      <c r="T1997" s="16"/>
      <c r="U1997" s="16"/>
      <c r="V1997" s="16"/>
      <c r="W1997" s="16"/>
      <c r="X1997" s="16"/>
      <c r="Y1997" s="16"/>
      <c r="Z1997" s="16"/>
      <c r="AA1997" s="16"/>
    </row>
    <row r="1998" spans="1:27" ht="24" customHeight="1">
      <c r="A1998" s="16"/>
      <c r="B1998" s="16"/>
      <c r="C1998" s="16"/>
      <c r="D1998" s="16"/>
      <c r="E1998" s="16"/>
      <c r="F1998" s="16"/>
      <c r="G1998" s="205"/>
      <c r="H1998" s="205"/>
      <c r="I1998" s="16"/>
      <c r="J1998" s="16"/>
      <c r="K1998" s="205"/>
      <c r="L1998" s="16"/>
      <c r="M1998" s="16"/>
      <c r="N1998" s="16"/>
      <c r="O1998" s="16"/>
      <c r="P1998" s="16"/>
      <c r="Q1998" s="16"/>
      <c r="R1998" s="16"/>
      <c r="S1998" s="16"/>
      <c r="T1998" s="16"/>
      <c r="U1998" s="16"/>
      <c r="V1998" s="16"/>
      <c r="W1998" s="16"/>
      <c r="X1998" s="16"/>
      <c r="Y1998" s="16"/>
      <c r="Z1998" s="16"/>
      <c r="AA1998" s="16"/>
    </row>
    <row r="1999" spans="1:27" ht="24" customHeight="1">
      <c r="A1999" s="16"/>
      <c r="B1999" s="16"/>
      <c r="C1999" s="16"/>
      <c r="D1999" s="16"/>
      <c r="E1999" s="16"/>
      <c r="F1999" s="16"/>
      <c r="G1999" s="205"/>
      <c r="H1999" s="205"/>
      <c r="I1999" s="16"/>
      <c r="J1999" s="16"/>
      <c r="K1999" s="205"/>
      <c r="L1999" s="16"/>
      <c r="M1999" s="16"/>
      <c r="N1999" s="16"/>
      <c r="O1999" s="16"/>
      <c r="P1999" s="16"/>
      <c r="Q1999" s="16"/>
      <c r="R1999" s="16"/>
      <c r="S1999" s="16"/>
      <c r="T1999" s="16"/>
      <c r="U1999" s="16"/>
      <c r="V1999" s="16"/>
      <c r="W1999" s="16"/>
      <c r="X1999" s="16"/>
      <c r="Y1999" s="16"/>
      <c r="Z1999" s="16"/>
      <c r="AA1999" s="16"/>
    </row>
    <row r="2000" spans="1:27" ht="24" customHeight="1">
      <c r="A2000" s="16"/>
      <c r="B2000" s="16"/>
      <c r="C2000" s="16"/>
      <c r="D2000" s="16"/>
      <c r="E2000" s="16"/>
      <c r="F2000" s="16"/>
      <c r="G2000" s="205"/>
      <c r="H2000" s="205"/>
      <c r="I2000" s="16"/>
      <c r="J2000" s="16"/>
      <c r="K2000" s="205"/>
      <c r="L2000" s="16"/>
      <c r="M2000" s="16"/>
      <c r="N2000" s="16"/>
      <c r="O2000" s="16"/>
      <c r="P2000" s="16"/>
      <c r="Q2000" s="16"/>
      <c r="R2000" s="16"/>
      <c r="S2000" s="16"/>
      <c r="T2000" s="16"/>
      <c r="U2000" s="16"/>
      <c r="V2000" s="16"/>
      <c r="W2000" s="16"/>
      <c r="X2000" s="16"/>
      <c r="Y2000" s="16"/>
      <c r="Z2000" s="16"/>
      <c r="AA2000" s="16"/>
    </row>
    <row r="2001" spans="1:27" ht="24" customHeight="1">
      <c r="A2001" s="16"/>
      <c r="B2001" s="16"/>
      <c r="C2001" s="16"/>
      <c r="D2001" s="16"/>
      <c r="E2001" s="16"/>
      <c r="F2001" s="16"/>
      <c r="G2001" s="205"/>
      <c r="H2001" s="205"/>
      <c r="I2001" s="16"/>
      <c r="J2001" s="16"/>
      <c r="K2001" s="205"/>
      <c r="L2001" s="16"/>
      <c r="M2001" s="16"/>
      <c r="N2001" s="16"/>
      <c r="O2001" s="16"/>
      <c r="P2001" s="16"/>
      <c r="Q2001" s="16"/>
      <c r="R2001" s="16"/>
      <c r="S2001" s="16"/>
      <c r="T2001" s="16"/>
      <c r="U2001" s="16"/>
      <c r="V2001" s="16"/>
      <c r="W2001" s="16"/>
      <c r="X2001" s="16"/>
      <c r="Y2001" s="16"/>
      <c r="Z2001" s="16"/>
      <c r="AA2001" s="16"/>
    </row>
    <row r="2002" spans="1:27" ht="24" customHeight="1">
      <c r="A2002" s="16"/>
      <c r="B2002" s="16"/>
      <c r="C2002" s="16"/>
      <c r="D2002" s="16"/>
      <c r="E2002" s="16"/>
      <c r="F2002" s="16"/>
      <c r="G2002" s="205"/>
      <c r="H2002" s="205"/>
      <c r="I2002" s="16"/>
      <c r="J2002" s="16"/>
      <c r="K2002" s="205"/>
      <c r="L2002" s="16"/>
      <c r="M2002" s="16"/>
      <c r="N2002" s="16"/>
      <c r="O2002" s="16"/>
      <c r="P2002" s="16"/>
      <c r="Q2002" s="16"/>
      <c r="R2002" s="16"/>
      <c r="S2002" s="16"/>
      <c r="T2002" s="16"/>
      <c r="U2002" s="16"/>
      <c r="V2002" s="16"/>
      <c r="W2002" s="16"/>
      <c r="X2002" s="16"/>
      <c r="Y2002" s="16"/>
      <c r="Z2002" s="16"/>
      <c r="AA2002" s="16"/>
    </row>
    <row r="2003" spans="1:27" ht="24" customHeight="1">
      <c r="A2003" s="16"/>
      <c r="B2003" s="16"/>
      <c r="C2003" s="16"/>
      <c r="D2003" s="16"/>
      <c r="E2003" s="16"/>
      <c r="F2003" s="16"/>
      <c r="G2003" s="205"/>
      <c r="H2003" s="205"/>
      <c r="I2003" s="16"/>
      <c r="J2003" s="16"/>
      <c r="K2003" s="205"/>
      <c r="L2003" s="16"/>
      <c r="M2003" s="16"/>
      <c r="N2003" s="16"/>
      <c r="O2003" s="16"/>
      <c r="P2003" s="16"/>
      <c r="Q2003" s="16"/>
      <c r="R2003" s="16"/>
      <c r="S2003" s="16"/>
      <c r="T2003" s="16"/>
      <c r="U2003" s="16"/>
      <c r="V2003" s="16"/>
      <c r="W2003" s="16"/>
      <c r="X2003" s="16"/>
      <c r="Y2003" s="16"/>
      <c r="Z2003" s="16"/>
      <c r="AA2003" s="16"/>
    </row>
    <row r="2004" spans="1:27" ht="24" customHeight="1">
      <c r="A2004" s="16"/>
      <c r="B2004" s="16"/>
      <c r="C2004" s="16"/>
      <c r="D2004" s="16"/>
      <c r="E2004" s="16"/>
      <c r="F2004" s="16"/>
      <c r="G2004" s="205"/>
      <c r="H2004" s="205"/>
      <c r="I2004" s="16"/>
      <c r="J2004" s="16"/>
      <c r="K2004" s="205"/>
      <c r="L2004" s="16"/>
      <c r="M2004" s="16"/>
      <c r="N2004" s="16"/>
      <c r="O2004" s="16"/>
      <c r="P2004" s="16"/>
      <c r="Q2004" s="16"/>
      <c r="R2004" s="16"/>
      <c r="S2004" s="16"/>
      <c r="T2004" s="16"/>
      <c r="U2004" s="16"/>
      <c r="V2004" s="16"/>
      <c r="W2004" s="16"/>
      <c r="X2004" s="16"/>
      <c r="Y2004" s="16"/>
      <c r="Z2004" s="16"/>
      <c r="AA2004" s="16"/>
    </row>
    <row r="2005" spans="1:27" ht="24" customHeight="1">
      <c r="A2005" s="16"/>
      <c r="B2005" s="16"/>
      <c r="C2005" s="16"/>
      <c r="D2005" s="16"/>
      <c r="E2005" s="16"/>
      <c r="F2005" s="16"/>
      <c r="G2005" s="205"/>
      <c r="H2005" s="205"/>
      <c r="I2005" s="16"/>
      <c r="J2005" s="16"/>
      <c r="K2005" s="205"/>
      <c r="L2005" s="16"/>
      <c r="M2005" s="16"/>
      <c r="N2005" s="16"/>
      <c r="O2005" s="16"/>
      <c r="P2005" s="16"/>
      <c r="Q2005" s="16"/>
      <c r="R2005" s="16"/>
      <c r="S2005" s="16"/>
      <c r="T2005" s="16"/>
      <c r="U2005" s="16"/>
      <c r="V2005" s="16"/>
      <c r="W2005" s="16"/>
      <c r="X2005" s="16"/>
      <c r="Y2005" s="16"/>
      <c r="Z2005" s="16"/>
      <c r="AA2005" s="16"/>
    </row>
    <row r="2006" spans="1:27" ht="24" customHeight="1">
      <c r="A2006" s="16"/>
      <c r="B2006" s="16"/>
      <c r="C2006" s="16"/>
      <c r="D2006" s="16"/>
      <c r="E2006" s="16"/>
      <c r="F2006" s="16"/>
      <c r="G2006" s="205"/>
      <c r="H2006" s="205"/>
      <c r="I2006" s="16"/>
      <c r="J2006" s="16"/>
      <c r="K2006" s="205"/>
      <c r="L2006" s="16"/>
      <c r="M2006" s="16"/>
      <c r="N2006" s="16"/>
      <c r="O2006" s="16"/>
      <c r="P2006" s="16"/>
      <c r="Q2006" s="16"/>
      <c r="R2006" s="16"/>
      <c r="S2006" s="16"/>
      <c r="T2006" s="16"/>
      <c r="U2006" s="16"/>
      <c r="V2006" s="16"/>
      <c r="W2006" s="16"/>
      <c r="X2006" s="16"/>
      <c r="Y2006" s="16"/>
      <c r="Z2006" s="16"/>
      <c r="AA2006" s="16"/>
    </row>
    <row r="2007" spans="1:27" ht="24" customHeight="1">
      <c r="A2007" s="16"/>
      <c r="B2007" s="16"/>
      <c r="C2007" s="16"/>
      <c r="D2007" s="16"/>
      <c r="E2007" s="16"/>
      <c r="F2007" s="16"/>
      <c r="G2007" s="205"/>
      <c r="H2007" s="205"/>
      <c r="I2007" s="16"/>
      <c r="J2007" s="16"/>
      <c r="K2007" s="205"/>
      <c r="L2007" s="16"/>
      <c r="M2007" s="16"/>
      <c r="N2007" s="16"/>
      <c r="O2007" s="16"/>
      <c r="P2007" s="16"/>
      <c r="Q2007" s="16"/>
      <c r="R2007" s="16"/>
      <c r="S2007" s="16"/>
      <c r="T2007" s="16"/>
      <c r="U2007" s="16"/>
      <c r="V2007" s="16"/>
      <c r="W2007" s="16"/>
      <c r="X2007" s="16"/>
      <c r="Y2007" s="16"/>
      <c r="Z2007" s="16"/>
      <c r="AA2007" s="16"/>
    </row>
    <row r="2008" spans="1:27" ht="24" customHeight="1">
      <c r="A2008" s="16"/>
      <c r="B2008" s="16"/>
      <c r="C2008" s="16"/>
      <c r="D2008" s="16"/>
      <c r="E2008" s="16"/>
      <c r="F2008" s="16"/>
      <c r="G2008" s="205"/>
      <c r="H2008" s="205"/>
      <c r="I2008" s="16"/>
      <c r="J2008" s="16"/>
      <c r="K2008" s="205"/>
      <c r="L2008" s="16"/>
      <c r="M2008" s="16"/>
      <c r="N2008" s="16"/>
      <c r="O2008" s="16"/>
      <c r="P2008" s="16"/>
      <c r="Q2008" s="16"/>
      <c r="R2008" s="16"/>
      <c r="S2008" s="16"/>
      <c r="T2008" s="16"/>
      <c r="U2008" s="16"/>
      <c r="V2008" s="16"/>
      <c r="W2008" s="16"/>
      <c r="X2008" s="16"/>
      <c r="Y2008" s="16"/>
      <c r="Z2008" s="16"/>
      <c r="AA2008" s="16"/>
    </row>
    <row r="2009" spans="1:27" ht="24" customHeight="1">
      <c r="A2009" s="16"/>
      <c r="B2009" s="16"/>
      <c r="C2009" s="16"/>
      <c r="D2009" s="16"/>
      <c r="E2009" s="16"/>
      <c r="F2009" s="16"/>
      <c r="G2009" s="205"/>
      <c r="H2009" s="205"/>
      <c r="I2009" s="16"/>
      <c r="J2009" s="16"/>
      <c r="K2009" s="205"/>
      <c r="L2009" s="16"/>
      <c r="M2009" s="16"/>
      <c r="N2009" s="16"/>
      <c r="O2009" s="16"/>
      <c r="P2009" s="16"/>
      <c r="Q2009" s="16"/>
      <c r="R2009" s="16"/>
      <c r="S2009" s="16"/>
      <c r="T2009" s="16"/>
      <c r="U2009" s="16"/>
      <c r="V2009" s="16"/>
      <c r="W2009" s="16"/>
      <c r="X2009" s="16"/>
      <c r="Y2009" s="16"/>
      <c r="Z2009" s="16"/>
      <c r="AA2009" s="16"/>
    </row>
    <row r="2010" spans="1:27" ht="24" customHeight="1">
      <c r="A2010" s="16"/>
      <c r="B2010" s="16"/>
      <c r="C2010" s="16"/>
      <c r="D2010" s="16"/>
      <c r="E2010" s="16"/>
      <c r="F2010" s="16"/>
      <c r="G2010" s="205"/>
      <c r="H2010" s="205"/>
      <c r="I2010" s="16"/>
      <c r="J2010" s="16"/>
      <c r="K2010" s="205"/>
      <c r="L2010" s="16"/>
      <c r="M2010" s="16"/>
      <c r="N2010" s="16"/>
      <c r="O2010" s="16"/>
      <c r="P2010" s="16"/>
      <c r="Q2010" s="16"/>
      <c r="R2010" s="16"/>
      <c r="S2010" s="16"/>
      <c r="T2010" s="16"/>
      <c r="U2010" s="16"/>
      <c r="V2010" s="16"/>
      <c r="W2010" s="16"/>
      <c r="X2010" s="16"/>
      <c r="Y2010" s="16"/>
      <c r="Z2010" s="16"/>
      <c r="AA2010" s="16"/>
    </row>
    <row r="2011" spans="1:27" ht="24" customHeight="1">
      <c r="A2011" s="16"/>
      <c r="B2011" s="16"/>
      <c r="C2011" s="16"/>
      <c r="D2011" s="16"/>
      <c r="E2011" s="16"/>
      <c r="F2011" s="16"/>
      <c r="G2011" s="205"/>
      <c r="H2011" s="205"/>
      <c r="I2011" s="16"/>
      <c r="J2011" s="16"/>
      <c r="K2011" s="205"/>
      <c r="L2011" s="16"/>
      <c r="M2011" s="16"/>
      <c r="N2011" s="16"/>
      <c r="O2011" s="16"/>
      <c r="P2011" s="16"/>
      <c r="Q2011" s="16"/>
      <c r="R2011" s="16"/>
      <c r="S2011" s="16"/>
      <c r="T2011" s="16"/>
      <c r="U2011" s="16"/>
      <c r="V2011" s="16"/>
      <c r="W2011" s="16"/>
      <c r="X2011" s="16"/>
      <c r="Y2011" s="16"/>
      <c r="Z2011" s="16"/>
      <c r="AA2011" s="16"/>
    </row>
    <row r="2012" spans="1:27" ht="24" customHeight="1">
      <c r="A2012" s="16"/>
      <c r="B2012" s="16"/>
      <c r="C2012" s="16"/>
      <c r="D2012" s="16"/>
      <c r="E2012" s="16"/>
      <c r="F2012" s="16"/>
      <c r="G2012" s="205"/>
      <c r="H2012" s="205"/>
      <c r="I2012" s="16"/>
      <c r="J2012" s="16"/>
      <c r="K2012" s="205"/>
      <c r="L2012" s="16"/>
      <c r="M2012" s="16"/>
      <c r="N2012" s="16"/>
      <c r="O2012" s="16"/>
      <c r="P2012" s="16"/>
      <c r="Q2012" s="16"/>
      <c r="R2012" s="16"/>
      <c r="S2012" s="16"/>
      <c r="T2012" s="16"/>
      <c r="U2012" s="16"/>
      <c r="V2012" s="16"/>
      <c r="W2012" s="16"/>
      <c r="X2012" s="16"/>
      <c r="Y2012" s="16"/>
      <c r="Z2012" s="16"/>
      <c r="AA2012" s="16"/>
    </row>
  </sheetData>
  <autoFilter ref="J1:J2012" xr:uid="{00000000-0009-0000-0000-000001000000}"/>
  <customSheetViews>
    <customSheetView guid="{11F7257F-E616-48A8-8896-F7A8A286182E}" filter="1" showAutoFilter="1">
      <pageMargins left="0.7" right="0.7" top="0.75" bottom="0.75" header="0.3" footer="0.3"/>
      <autoFilter ref="A1:AA2012" xr:uid="{9571F0BE-7B26-452C-A36F-BA32323BD363}">
        <filterColumn colId="9">
          <filters>
            <filter val="Боднар"/>
            <filter val="Лонжанська (Мазурик)"/>
            <filter val="Максимів"/>
            <filter val="Оджиковська"/>
            <filter val="Озімінська/Лонжанська"/>
            <filter val="юля боднар"/>
          </filters>
        </filterColumn>
      </autoFilter>
    </customSheetView>
    <customSheetView guid="{A4698AFA-486A-415A-8D19-820587C948A9}" filter="1" showAutoFilter="1">
      <pageMargins left="0.7" right="0.7" top="0.75" bottom="0.75" header="0.3" footer="0.3"/>
      <autoFilter ref="D1:D1012" xr:uid="{47171C23-0A95-4CAF-B669-0F926A02FE48}">
        <filterColumn colId="0">
          <filters>
            <filter val="Soft Skills"/>
            <filter val="геймдев"/>
            <filter val="Диз Джун"/>
            <filter val="Дизайн (1 семерстр)"/>
            <filter val="Дизайн (Фігма)"/>
            <filter val="Дизайн Джун"/>
            <filter val="Дизайн джун /Дизайн (в будущем)"/>
            <filter val="Дизайн Джун/ коли підвчить ілюстратор то і звичайний дизайн."/>
            <filter val="Дизайн Моушн"/>
            <filter val="Дизайн, Диз Джун"/>
            <filter val="Дизайн, Диз. джун"/>
            <filter val="Дизайн, Дизайн Джун"/>
            <filter val="Дизайн, Софти"/>
            <filter val="Історія"/>
            <filter val="Майн (+планшет)"/>
            <filter val="Майн (взрослый)"/>
            <filter val="Майн (звичайний і планшет)"/>
            <filter val="Майн, Математика"/>
            <filter val="Майн, Математика 1-9"/>
            <filter val="Майн, Скретч, Математика"/>
            <filter val="Майн, Софт"/>
            <filter val="Майн/ФЕ джун"/>
            <filter val="Малювання"/>
            <filter val="Матем (1-6)"/>
            <filter val="Матем (1-9)"/>
            <filter val="Матем(1-6)"/>
            <filter val="Матем(2-4 клас), Скретч"/>
            <filter val="Математика"/>
            <filter val="Математика (1-6 клас)"/>
            <filter val="Математика (1-6 класи)"/>
            <filter val="Математика (1-6)"/>
            <filter val="Математика (1-9 клас)"/>
            <filter val="Математика (1-9)"/>
            <filter val="Математика (5-6 клас)"/>
            <filter val="Математика (5-6)"/>
            <filter val="Математика (5-6), Софти"/>
            <filter val="Математика (5-6, НМТ)"/>
            <filter val="Математика (5-8)"/>
            <filter val="Математика (5-9 класи)"/>
            <filter val="Математика (7-9 (але якщо дуже треба то може і 5-6)"/>
            <filter val="Математика (7-9 клас)"/>
            <filter val="Математика (7-9)"/>
            <filter val="Математика (НМТ, 5-9 клас)"/>
            <filter val="Математика 1-6"/>
            <filter val="Математика 5-6"/>
            <filter val="математика, скретч"/>
            <filter val="Математика, Скретч і Пайтон"/>
            <filter val="Моушн Дизайн"/>
            <filter val="Прокріейт"/>
            <filter val="Прокріейт і Скетчбук"/>
            <filter val="Роблокс/геймдев"/>
            <filter val="Скетчбук"/>
            <filter val="Скретч, Математика"/>
            <filter val="Скретч, Математика (1-6 клас)"/>
            <filter val="Скретч/Диз. Дж"/>
            <filter val="Скретч/Майн"/>
            <filter val="Скретч/математ"/>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filter val="ФЕ джун"/>
            <filter val="ФЕ Джун (можливо і ФЕ)"/>
            <filter val="ФЕ джун, ФЕ"/>
            <filter val="ФЕ пізніше англ."/>
            <filter val="ФЕ, ФЕ Джун"/>
            <filter val="ФЕ, ФЕ інгліш"/>
            <filter val="Фронт"/>
            <filter val="Фронт Джун"/>
            <filter val="Фронт Джун, Пайтон"/>
            <filter val="Фронт Джун/Фронт"/>
          </filters>
        </filterColumn>
      </autoFilter>
    </customSheetView>
    <customSheetView guid="{CED67368-F6EA-4B53-8D72-0FD29261D932}" filter="1" showAutoFilter="1">
      <pageMargins left="0.7" right="0.7" top="0.75" bottom="0.75" header="0.3" footer="0.3"/>
      <autoFilter ref="J1:J2012" xr:uid="{08F3AB8C-5DD3-4841-90C0-0499819779C5}">
        <filterColumn colId="0">
          <filters>
            <filter val="Боднар"/>
            <filter val="Гриневич"/>
            <filter val="Іванішена"/>
            <filter val="Лонжанська (Мазурик)"/>
            <filter val="Мазурик"/>
            <filter val="Максименко"/>
            <filter val="Максимів"/>
            <filter val="Озімінська"/>
            <filter val="Озімінська/Лонжанська"/>
            <filter val="Сербін"/>
            <filter val="Тарасович"/>
            <filter val="Тарасович/Гриневич"/>
            <filter val="Терентьєва/Максименко"/>
            <filter val="Третьяк/ Лисенко"/>
            <filter val="Третьяк/ Максименко"/>
            <filter val="юля боднар"/>
          </filters>
        </filterColumn>
      </autoFilter>
    </customSheetView>
    <customSheetView guid="{26A9AD63-264B-4D33-B066-DEAB601B0AAC}" filter="1" showAutoFilter="1">
      <pageMargins left="0.7" right="0.7" top="0.75" bottom="0.75" header="0.3" footer="0.3"/>
      <autoFilter ref="A1:AA2012" xr:uid="{1701863A-B5FB-4E13-AACB-2FE6B7DD0F77}">
        <filterColumn colId="3">
          <filters blank="1">
            <filter val="Design"/>
            <filter val="Design Jun"/>
            <filter val="Design Jun, Design"/>
            <filter val="Design Junior"/>
            <filter val="Digital Art"/>
            <filter val="Front End"/>
            <filter val="FrontEnd"/>
            <filter val="FrontEnd, FrontEnd Jun, Scratch"/>
            <filter val="FrontEnd, Minecraft, Scratch,Roblox, Python"/>
            <filter val="FrontEnd/FrontEnd Jun"/>
            <filter val="GameDev"/>
            <filter val="Minecraft"/>
            <filter val="Minecraft, Scratch"/>
            <filter val="Python"/>
            <filter val="Roblox"/>
            <filter val="Roblox, GameDev"/>
            <filter val="Scratch"/>
            <filter val="Soft Skills"/>
            <filter val="геймдев"/>
            <filter val="Дизайн (1 семерстр)"/>
            <filter val="Дизайн (Фігма)"/>
            <filter val="Дизайн джун"/>
            <filter val="Дизайн, Диз джун"/>
            <filter val="Дизайн, Софти"/>
            <filter val="Дизайн/Дизайн Джуніор"/>
            <filter val="Історія"/>
            <filter val="Майн"/>
            <filter val="Майн (+планшет)"/>
            <filter val="Майн (взрослый)"/>
            <filter val="Майн (звичайний і планшет)"/>
            <filter val="Майн, Дизайн Моушен"/>
            <filter val="Майн, Математика"/>
            <filter val="Майн, Математика 1-9"/>
            <filter val="Майн, Скретч, Математика"/>
            <filter val="Майн, Софт"/>
            <filter val="Майн/ФЕ джун"/>
            <filter val="Малювання"/>
            <filter val="Матем (1-6)"/>
            <filter val="Матем (1-9)"/>
            <filter val="Матем(1-6)"/>
            <filter val="Матем(2-4 клас), Скретч"/>
            <filter val="Математика"/>
            <filter val="Математика (1-6 клас)"/>
            <filter val="Математика (1-6 класи)"/>
            <filter val="Математика (1-6)"/>
            <filter val="Математика (1-9 клас)"/>
            <filter val="Математика (1-9)"/>
            <filter val="Математика (5-6 клас)"/>
            <filter val="Математика (5-6)"/>
            <filter val="Математика (5-6), Софти"/>
            <filter val="Математика (5-6, НМТ)"/>
            <filter val="Математика (5-8)"/>
            <filter val="Математика (5-9 класи)"/>
            <filter val="Математика (7-9 (але якщо дуже треба то може і 5-6)"/>
            <filter val="Математика (7-9 клас)"/>
            <filter val="Математика (7-9)"/>
            <filter val="Математика (НМТ, 5-9 клас)"/>
            <filter val="Математика 1-6"/>
            <filter val="Математика 5-6"/>
            <filter val="математика, скретч"/>
            <filter val="Математика, Скретч і Пайтон"/>
            <filter val="Моушн Дизайн"/>
            <filter val="Пайтон"/>
            <filter val="Прокріейт"/>
            <filter val="Прокріейт і Скетчбук"/>
            <filter val="Роблокс"/>
            <filter val="Роблокс/геймдев"/>
            <filter val="Скетчбук"/>
            <filter val="Скретч"/>
            <filter val="Скретч, Математика"/>
            <filter val="Скретч, Математика (1-6 клас)"/>
            <filter val="Скретч/Диз. Дж"/>
            <filter val="Скретч/Майн"/>
            <filter val="Скретч/математ"/>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filter val="ФЕ джун"/>
            <filter val="ФЕ Джун (можливо і ФЕ)"/>
            <filter val="ФЕ джун, ФЕ"/>
            <filter val="ФЕ пізніше англ."/>
            <filter val="ФЕ, ФЕ Джун"/>
            <filter val="ФЕ, ФЕ інгліш"/>
            <filter val="Фронт"/>
            <filter val="Фронт Джун"/>
            <filter val="Фронт Джун, Пайтон"/>
            <filter val="Фронт Джун/Фронт"/>
            <filter val="Фронтенд"/>
            <filter val="Фронтенд джуніор"/>
          </filters>
        </filterColumn>
        <filterColumn colId="9">
          <filters>
            <filter val="Боднар"/>
            <filter val="Лонжанська (Мазурик)"/>
            <filter val="Максимів"/>
            <filter val="Оджиковська"/>
            <filter val="Озімінська/Лонжанська"/>
            <filter val="юля боднар"/>
          </filters>
        </filterColumn>
      </autoFilter>
    </customSheetView>
    <customSheetView guid="{A7AE1271-7D7E-417B-A215-8BA9FC825721}" filter="1" showAutoFilter="1">
      <pageMargins left="0.7" right="0.7" top="0.75" bottom="0.75" header="0.3" footer="0.3"/>
      <autoFilter ref="J1:J2012" xr:uid="{DF92AB40-69DD-4A5C-BA4C-CD828068A501}"/>
    </customSheetView>
    <customSheetView guid="{C5819023-4EBF-45FE-B05B-D48E07E46466}" filter="1" showAutoFilter="1">
      <pageMargins left="0.7" right="0.7" top="0.75" bottom="0.75" header="0.3" footer="0.3"/>
      <autoFilter ref="J1:J2012" xr:uid="{9CF8F247-3EC3-43A1-B843-12C9C5D10CA1}">
        <filterColumn colId="0">
          <filters>
            <filter val="Боднар"/>
            <filter val="Гриневич"/>
            <filter val="Іванішена"/>
            <filter val="Лонжанська (Мазурик)"/>
            <filter val="Мазурик"/>
            <filter val="Максимів"/>
            <filter val="Озімінська"/>
            <filter val="Озімінська/Лонжанська"/>
            <filter val="Тарасович"/>
            <filter val="Тарасович/Гриневич"/>
            <filter val="юля боднар"/>
          </filters>
        </filterColumn>
      </autoFilter>
    </customSheetView>
    <customSheetView guid="{B631FB1C-0AA7-449A-8039-0F1A5F4E475E}" filter="1" showAutoFilter="1">
      <pageMargins left="0.7" right="0.7" top="0.75" bottom="0.75" header="0.3" footer="0.3"/>
      <autoFilter ref="A1:AA2012" xr:uid="{0E6CC645-7489-453B-B925-3F02C7FFB597}">
        <filterColumn colId="9">
          <filters>
            <filter val="Боднар"/>
            <filter val="Лонжанська (Мазурик)"/>
            <filter val="Максимів"/>
            <filter val="Оджиковська"/>
            <filter val="Озімінська"/>
            <filter val="Озімінська/Лонжанська"/>
            <filter val="Тарасович/Гриневич"/>
            <filter val="юля боднар"/>
          </filters>
        </filterColumn>
      </autoFilter>
    </customSheetView>
    <customSheetView guid="{F7316A87-9845-4315-84D5-34152F81560E}" filter="1" showAutoFilter="1">
      <pageMargins left="0.7" right="0.7" top="0.75" bottom="0.75" header="0.3" footer="0.3"/>
      <autoFilter ref="D1:D2012" xr:uid="{16606B22-E3A6-4756-A861-E28144DCA3B9}">
        <filterColumn colId="0">
          <filters>
            <filter val="геймдев"/>
            <filter val="Дизайн (1 семерстр)"/>
            <filter val="Дизайн (Фігма)"/>
            <filter val="Дизайн джун"/>
            <filter val="Дизайн Джун/ коли підвчить ілюстратор то і звичайний дизайн."/>
            <filter val="Дизайн Моушн"/>
            <filter val="Дизайн, Диз джун"/>
            <filter val="Дизайн, Диз. джун"/>
            <filter val="Дизайн, Софти"/>
            <filter val="Історія"/>
            <filter val="Майн (+планшет)"/>
            <filter val="Майн (звичайний і планшет)"/>
            <filter val="Майн, Математика 1-9"/>
            <filter val="Майн, Софт"/>
            <filter val="Малювання"/>
            <filter val="Матем (1-6)"/>
            <filter val="Матем (1-9)"/>
            <filter val="Матем(1-6)"/>
            <filter val="Матем(2-4 клас), Скретч"/>
            <filter val="Математика (5-6), Софти"/>
            <filter val="Математика (5-6, НМТ)"/>
            <filter val="Математика (НМТ, 5-9 клас)"/>
            <filter val="Математика 1-6"/>
            <filter val="Математика 5-6"/>
            <filter val="математика, скретч"/>
            <filter val="Моушн Дизайн"/>
            <filter val="Прокріейт"/>
            <filter val="Прокріейт і Скетчбук"/>
            <filter val="Роблокс/геймдев"/>
            <filter val="Скетчбук"/>
            <filter val="Скретч, математика"/>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джун, ФЕ"/>
            <filter val="ФЕ пізніше англ."/>
            <filter val="ФЕ, ФЕ інгліш"/>
            <filter val="Фронт Джун, Пайтон"/>
          </filters>
        </filterColumn>
      </autoFilter>
    </customSheetView>
    <customSheetView guid="{029C0AF8-D12A-4EF5-921B-4AA58947806F}" filter="1" showAutoFilter="1">
      <pageMargins left="0.7" right="0.7" top="0.75" bottom="0.75" header="0.3" footer="0.3"/>
      <autoFilter ref="D1:D2012" xr:uid="{858DD50D-F830-4892-A9B9-11FDCF7CF856}">
        <filterColumn colId="0">
          <filters>
            <filter val="Soft Skills"/>
            <filter val="геймдев"/>
            <filter val="Дизайн (1 семерстр)"/>
            <filter val="Дизайн (Фігма)"/>
            <filter val="Дизайн джун"/>
            <filter val="Дизайн Джун/ коли підвчить ілюстратор то і звичайний дизайн."/>
            <filter val="Дизайн Моушн"/>
            <filter val="Дизайн, Диз Джун"/>
            <filter val="Дизайн, Диз. джун"/>
            <filter val="Дизайн, Дизайн Джун"/>
            <filter val="Дизайн, Софти"/>
            <filter val="Історія"/>
            <filter val="Майн (+планшет)"/>
            <filter val="Майн (звичайний і планшет)"/>
            <filter val="Майн, Математика"/>
            <filter val="Майн, Математика 1-9"/>
            <filter val="Майн, Скретч, Математика"/>
            <filter val="Майн, Софт"/>
            <filter val="Малювання"/>
            <filter val="Матем (1-6)"/>
            <filter val="Матем (1-9)"/>
            <filter val="Матем(1-6)"/>
            <filter val="Матем(2-4 клас), Скретч"/>
            <filter val="Математика"/>
            <filter val="Математика (1-6 клас)"/>
            <filter val="Математика (1-6 класи)"/>
            <filter val="Математика (1-6)"/>
            <filter val="Математика (1-9 клас)"/>
            <filter val="Математика (1-9)"/>
            <filter val="Математика (5-6 клас)"/>
            <filter val="Математика (5-6)"/>
            <filter val="Математика (5-6), Софти"/>
            <filter val="Математика (5-6, НМТ)"/>
            <filter val="Математика (5-8)"/>
            <filter val="Математика (5-9 класи)"/>
            <filter val="Математика (7-9 (але якщо дуже треба то може і 5-6)"/>
            <filter val="Математика (7-9 клас)"/>
            <filter val="Математика (7-9)"/>
            <filter val="Математика (НМТ, 5-9 клас)"/>
            <filter val="Математика 1-6"/>
            <filter val="Математика 5-6"/>
            <filter val="математика, скретч"/>
            <filter val="Математика, Скретч і Пайтон"/>
            <filter val="Моушн Дизайн"/>
            <filter val="Прокріейт"/>
            <filter val="Прокріейт і Скетчбук"/>
            <filter val="Роблокс/геймдев"/>
            <filter val="Скетчбук"/>
            <filter val="Скретч, Математика"/>
            <filter val="Скретч, Математика (1-6 клас)"/>
            <filter val="Скретч/Диз. Дж"/>
            <filter val="Скретч/математ"/>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filter val="ФЕ джун"/>
            <filter val="ФЕ Джун (можливо і ФЕ)"/>
            <filter val="ФЕ джун, ФЕ"/>
            <filter val="ФЕ пізніше англ."/>
            <filter val="ФЕ, ФЕ Джун"/>
            <filter val="ФЕ, ФЕ інгліш"/>
            <filter val="Фронт"/>
            <filter val="Фронт Джун, Пайтон"/>
          </filters>
        </filterColumn>
      </autoFilter>
    </customSheetView>
    <customSheetView guid="{26473656-66D4-4924-91E4-00B7EA4D4199}" filter="1" showAutoFilter="1">
      <pageMargins left="0.7" right="0.7" top="0.75" bottom="0.75" header="0.3" footer="0.3"/>
      <autoFilter ref="J1:J2012" xr:uid="{F71260A7-D155-4200-AB5A-BE7A5FAE06F6}"/>
    </customSheetView>
    <customSheetView guid="{677160C2-90F5-4ECC-8A25-96BEAF74C17B}" filter="1" showAutoFilter="1">
      <pageMargins left="0.7" right="0.7" top="0.75" bottom="0.75" header="0.3" footer="0.3"/>
      <autoFilter ref="A1:AA2012" xr:uid="{D079FB1C-A3EE-4041-AEB9-09A84EFADEFE}"/>
    </customSheetView>
    <customSheetView guid="{A254516C-072E-4707-965C-D566F6DB9267}" filter="1" showAutoFilter="1">
      <pageMargins left="0.7" right="0.7" top="0.75" bottom="0.75" header="0.3" footer="0.3"/>
      <autoFilter ref="A1:AA2012" xr:uid="{B20085DB-EDB0-4842-8AFF-4D12EBBE1A72}">
        <filterColumn colId="3">
          <filters blank="1">
            <filter val="Front End"/>
            <filter val="FrontEnd"/>
            <filter val="FrontEnd, FrontEnd Jun, Scratch"/>
            <filter val="FrontEnd, Minecraft, Scratch,Roblox, Python"/>
            <filter val="FrontEnd/FrontEnd Jun"/>
            <filter val="GameDev"/>
            <filter val="Minecraft"/>
            <filter val="Minecraft, Scratch"/>
            <filter val="Python"/>
            <filter val="Roblox"/>
            <filter val="Roblox, GameDev"/>
            <filter val="Scratch"/>
            <filter val="Soft Skills"/>
            <filter val="геймдев"/>
            <filter val="Дизайн (1 семерстр)"/>
            <filter val="Дизайн (Фігма)"/>
            <filter val="Дизайн джун"/>
            <filter val="Дизайн Моушн"/>
            <filter val="Дизайн, Диз джун"/>
            <filter val="Дизайн, Софти"/>
            <filter val="Дизайн/Дизайн Джуніор"/>
            <filter val="Історія"/>
            <filter val="Майн"/>
            <filter val="Майн (+планшет)"/>
            <filter val="Майн (взрослый)"/>
            <filter val="Майн (звичайний і планшет)"/>
            <filter val="Майн, Дизайн Моушен"/>
            <filter val="Майн, Математика"/>
            <filter val="Майн, Математика 1-9"/>
            <filter val="Майн, Скретч, Математика"/>
            <filter val="Майн, Софт"/>
            <filter val="Майн/ФЕ джун"/>
            <filter val="Малювання"/>
            <filter val="Матем (1-6)"/>
            <filter val="Матем (1-9)"/>
            <filter val="Матем(1-6)"/>
            <filter val="Матем(2-4 клас), Скретч"/>
            <filter val="Математика"/>
            <filter val="Математика (1-6 клас)"/>
            <filter val="Математика (1-6 класи)"/>
            <filter val="Математика (1-6)"/>
            <filter val="Математика (1-9 клас)"/>
            <filter val="Математика (1-9)"/>
            <filter val="Математика (5-6 клас)"/>
            <filter val="Математика (5-6)"/>
            <filter val="Математика (5-6), Софти"/>
            <filter val="Математика (5-6, НМТ)"/>
            <filter val="Математика (5-8)"/>
            <filter val="Математика (5-9 класи)"/>
            <filter val="Математика (7-9 (але якщо дуже треба то може і 5-6)"/>
            <filter val="Математика (7-9 клас)"/>
            <filter val="Математика (7-9)"/>
            <filter val="Математика (НМТ, 5-9 клас)"/>
            <filter val="Математика 1-6"/>
            <filter val="Математика 5-6"/>
            <filter val="математика, скретч"/>
            <filter val="Математика, Скретч і Пайтон"/>
            <filter val="Моушн Дизайн"/>
            <filter val="Пайтон"/>
            <filter val="Прокріейт"/>
            <filter val="Прокріейт і Скетчбук"/>
            <filter val="Роблокс"/>
            <filter val="Роблокс/геймдев"/>
            <filter val="Скетчбук"/>
            <filter val="Скретч"/>
            <filter val="Скретч, Математика"/>
            <filter val="Скретч, Математика (1-6 клас)"/>
            <filter val="Скретч/Диз. Дж"/>
            <filter val="Скретч/Майн"/>
            <filter val="Скретч/математ"/>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filter val="ФЕ джун"/>
            <filter val="ФЕ Джун (можливо і ФЕ)"/>
            <filter val="ФЕ джун, ФЕ"/>
            <filter val="ФЕ пізніше англ."/>
            <filter val="ФЕ, ФЕ Джун"/>
            <filter val="ФЕ, ФЕ інгліш"/>
            <filter val="Фронт"/>
            <filter val="Фронт Джун"/>
            <filter val="Фронт Джун, Пайтон"/>
            <filter val="Фронт Джун/Фронт"/>
            <filter val="Фронтенд"/>
            <filter val="Фронтенд джуніор"/>
          </filters>
        </filterColumn>
        <filterColumn colId="9">
          <filters>
            <filter val="Анна Оджиковська"/>
            <filter val="Аня Оджикоаська"/>
            <filter val="Боднар"/>
            <filter val="Лонжанська (Мазурик)"/>
            <filter val="Максимів"/>
            <filter val="Оджиковська"/>
            <filter val="Оджиковська, група э"/>
            <filter val="Оджиковська, зустрілась"/>
            <filter val="Оджиковська, написала"/>
            <filter val="Оджиковська, пообщалась"/>
            <filter val="Озімінська"/>
            <filter val="Озімінська/Лонжанська"/>
            <filter val="Тарасович"/>
            <filter val="Тарасович/Гриневич"/>
            <filter val="Тетяна поки Ані нема"/>
            <filter val="юля боднар"/>
          </filters>
        </filterColumn>
      </autoFilter>
    </customSheetView>
    <customSheetView guid="{FF4528F6-57BC-4F46-984C-999787ED252E}" filter="1" showAutoFilter="1">
      <pageMargins left="0.7" right="0.7" top="0.75" bottom="0.75" header="0.3" footer="0.3"/>
      <autoFilter ref="J1:J2012" xr:uid="{B2FB6A01-B821-4216-975D-062B1CD48755}">
        <filterColumn colId="0">
          <filters>
            <filter val="Боднар"/>
            <filter val="Гриневич"/>
            <filter val="Іванішена"/>
            <filter val="Лонжанська (Мазурик)"/>
            <filter val="Мазурик"/>
            <filter val="Максименко"/>
            <filter val="Максимів"/>
            <filter val="Озімінська"/>
            <filter val="Озімінська/Лонжанська"/>
            <filter val="Сербін"/>
            <filter val="Тарасович"/>
            <filter val="Тарасович/Гриневич"/>
            <filter val="Терентьєва/Максименко"/>
            <filter val="Третьяк/ Лисенко"/>
            <filter val="Третьяк/ Максименко"/>
            <filter val="юля боднар"/>
          </filters>
        </filterColumn>
      </autoFilter>
    </customSheetView>
    <customSheetView guid="{6886918C-5892-4B63-B4C0-DB0E62862F84}" filter="1" showAutoFilter="1">
      <pageMargins left="0.7" right="0.7" top="0.75" bottom="0.75" header="0.3" footer="0.3"/>
      <autoFilter ref="J1:J2012" xr:uid="{8B1201DF-5D92-478C-9237-517E663034E1}">
        <filterColumn colId="0">
          <filters>
            <filter val="Боднар"/>
            <filter val="Гриневич"/>
            <filter val="Іванішена"/>
            <filter val="Лонжанська (Мазурик)"/>
            <filter val="Мазурик"/>
            <filter val="Максимів"/>
            <filter val="Озімінська"/>
            <filter val="Озімінська/Лонжанська"/>
            <filter val="Тарасович"/>
            <filter val="Тарасович/Гриневич"/>
            <filter val="юля боднар"/>
          </filters>
        </filterColumn>
      </autoFilter>
    </customSheetView>
    <customSheetView guid="{DEA2911D-5ED3-46C7-A519-C3A4F002EBCA}" filter="1" showAutoFilter="1">
      <pageMargins left="0.7" right="0.7" top="0.75" bottom="0.75" header="0.3" footer="0.3"/>
      <autoFilter ref="A1:AA2012" xr:uid="{DEB6896A-1EB1-4B6D-A986-025CCABD128C}">
        <filterColumn colId="3">
          <filters blank="1">
            <filter val="Design"/>
            <filter val="Design Jun"/>
            <filter val="Design Jun, Design"/>
            <filter val="Design Junior"/>
            <filter val="Digital Art"/>
            <filter val="Front End"/>
            <filter val="FrontEnd"/>
            <filter val="FrontEnd, FrontEnd Jun, Scratch"/>
            <filter val="FrontEnd, Minecraft, Scratch,Roblox, Python"/>
            <filter val="FrontEnd/FrontEnd Jun"/>
            <filter val="GameDev"/>
            <filter val="Minecraft"/>
            <filter val="Minecraft, Scratch"/>
            <filter val="Python"/>
            <filter val="Roblox"/>
            <filter val="Roblox, GameDev"/>
            <filter val="Scratch"/>
            <filter val="Soft Skills"/>
            <filter val="геймдев"/>
            <filter val="Дизайн (1 семерстр)"/>
            <filter val="Дизайн (Фігма)"/>
            <filter val="Дизайн джун"/>
            <filter val="Дизайн, Диз джун"/>
            <filter val="Дизайн, Софти"/>
            <filter val="Дизайн/Дизайн Джуніор"/>
            <filter val="Історія"/>
            <filter val="Майн"/>
            <filter val="Майн (+планшет)"/>
            <filter val="Майн (взрослый)"/>
            <filter val="Майн (звичайний і планшет)"/>
            <filter val="Майн, Дизайн Моушен"/>
            <filter val="Майн, Математика"/>
            <filter val="Майн, Математика 1-9"/>
            <filter val="Майн, Скретч, Математика"/>
            <filter val="Майн, Софт"/>
            <filter val="Майн/ФЕ джун"/>
            <filter val="Малювання"/>
            <filter val="Матем (1-6)"/>
            <filter val="Матем (1-9)"/>
            <filter val="Матем(1-6)"/>
            <filter val="Матем(2-4 клас), Скретч"/>
            <filter val="Математика"/>
            <filter val="Математика (1-6 клас)"/>
            <filter val="Математика (1-6 класи)"/>
            <filter val="Математика (1-6)"/>
            <filter val="Математика (1-9 клас)"/>
            <filter val="Математика (1-9)"/>
            <filter val="Математика (5-6 клас)"/>
            <filter val="Математика (5-6)"/>
            <filter val="Математика (5-6), Софти"/>
            <filter val="Математика (5-6, НМТ)"/>
            <filter val="Математика (5-8)"/>
            <filter val="Математика (5-9 класи)"/>
            <filter val="Математика (7-9 (але якщо дуже треба то може і 5-6)"/>
            <filter val="Математика (7-9 клас)"/>
            <filter val="Математика (7-9)"/>
            <filter val="Математика (НМТ, 5-9 клас)"/>
            <filter val="Математика 1-6"/>
            <filter val="Математика 5-6"/>
            <filter val="математика, скретч"/>
            <filter val="Математика, Скретч і Пайтон"/>
            <filter val="Моушн Дизайн"/>
            <filter val="Пайтон"/>
            <filter val="Прокріейт"/>
            <filter val="Прокріейт і Скетчбук"/>
            <filter val="Роблокс"/>
            <filter val="Роблокс/геймдев"/>
            <filter val="Скетчбук"/>
            <filter val="Скретч"/>
            <filter val="Скретч, Математика"/>
            <filter val="Скретч, Математика (1-6 клас)"/>
            <filter val="Скретч/Диз. Дж"/>
            <filter val="Скретч/Майн"/>
            <filter val="Скретч/математ"/>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filter val="ФЕ джун"/>
            <filter val="ФЕ Джун (можливо і ФЕ)"/>
            <filter val="ФЕ джун, ФЕ"/>
            <filter val="ФЕ пізніше англ."/>
            <filter val="ФЕ, ФЕ Джун"/>
            <filter val="ФЕ, ФЕ інгліш"/>
            <filter val="Фронт"/>
            <filter val="Фронт Джун"/>
            <filter val="Фронт Джун, Пайтон"/>
            <filter val="Фронт Джун/Фронт"/>
            <filter val="Фронтенд"/>
            <filter val="Фронтенд джуніор"/>
          </filters>
        </filterColumn>
        <filterColumn colId="9">
          <filters>
            <filter val="Боднар"/>
            <filter val="Лонжанська (Мазурик)"/>
            <filter val="Максимів"/>
            <filter val="Оджиковська"/>
            <filter val="Озімінська/Лонжанська"/>
            <filter val="юля боднар"/>
          </filters>
        </filterColumn>
      </autoFilter>
    </customSheetView>
    <customSheetView guid="{7CCA4EE4-0743-4C89-8BBB-8DC66C936363}" filter="1" showAutoFilter="1">
      <pageMargins left="0.7" right="0.7" top="0.75" bottom="0.75" header="0.3" footer="0.3"/>
      <autoFilter ref="A1:AA2012" xr:uid="{65E7931D-F763-46A8-B670-E6EB78D7291A}">
        <filterColumn colId="9">
          <filters>
            <filter val="Боднар"/>
            <filter val="Лонжанська (Мазурик)"/>
            <filter val="Максимів"/>
            <filter val="Оджиковська"/>
            <filter val="Озімінська/Лонжанська"/>
            <filter val="юля боднар"/>
          </filters>
        </filterColumn>
      </autoFilter>
    </customSheetView>
    <customSheetView guid="{BC274AAA-7626-418B-8822-BD023C2F94F7}" filter="1" showAutoFilter="1">
      <pageMargins left="0.7" right="0.7" top="0.75" bottom="0.75" header="0.3" footer="0.3"/>
      <autoFilter ref="A1:AA2012" xr:uid="{B859FA58-3087-40FF-9AF0-25D3BF4BF446}">
        <filterColumn colId="9">
          <filters>
            <filter val="Боднар"/>
            <filter val="Лонжанська (Мазурик)"/>
            <filter val="Максимів"/>
            <filter val="Оджиковська"/>
            <filter val="Озімінська/Лонжанська"/>
            <filter val="юля боднар"/>
          </filters>
        </filterColumn>
      </autoFilter>
    </customSheetView>
    <customSheetView guid="{BB623620-9882-47E3-BC1D-B50253DCEB7B}" filter="1" showAutoFilter="1">
      <pageMargins left="0.7" right="0.7" top="0.75" bottom="0.75" header="0.3" footer="0.3"/>
      <autoFilter ref="A1:AA2012" xr:uid="{417F3CA7-9971-4F8A-955D-EB3DBE2809F0}">
        <filterColumn colId="3">
          <filters blank="1">
            <filter val="Design"/>
            <filter val="Design Jun"/>
            <filter val="Design Jun, Design"/>
            <filter val="Design Junior"/>
            <filter val="Design, Design Jun"/>
            <filter val="Digital Art"/>
            <filter val="Front End"/>
            <filter val="FrontEnd"/>
            <filter val="FrontEnd, FrontEnd Jun, Scratch"/>
            <filter val="FrontEnd, Minecraft, Scratch,Roblox, Python"/>
            <filter val="FrontEnd/FrontEnd Jun"/>
            <filter val="GameDev"/>
            <filter val="Minecraft"/>
            <filter val="Minecraft, Scratch"/>
            <filter val="Python"/>
            <filter val="Roblox"/>
            <filter val="Roblox, GameDev"/>
            <filter val="Scratch"/>
            <filter val="Soft Skills"/>
            <filter val="геймдев"/>
            <filter val="Диз Джун"/>
            <filter val="Дизайн (1 семерстр)"/>
            <filter val="Дизайн (Фігма)"/>
            <filter val="Дизайн Джун"/>
            <filter val="Дизайн джун /Дизайн (в будущем)"/>
            <filter val="Дизайн Джун/ коли підвчить ілюстратор то і звичайний дизайн."/>
            <filter val="Дизайн Джуниор"/>
            <filter val="Дизайн Джуніор/Дизайн"/>
            <filter val="Дизайн, Диз Джун"/>
            <filter val="Дизайн, Диз. джун"/>
            <filter val="Дизайн, Дизайн Джун"/>
            <filter val="Дизайн, Софти"/>
            <filter val="Дизайн/Дизайн Джуніор"/>
            <filter val="Історія"/>
            <filter val="Майн"/>
            <filter val="Майн (+планшет)"/>
            <filter val="Майн (взрослый)"/>
            <filter val="Майн (звичайний і планшет)"/>
            <filter val="Майн, Дизайн Моушен"/>
            <filter val="Майн, Математика"/>
            <filter val="Майн, Математика 1-9"/>
            <filter val="Майн, Скретч, Математика"/>
            <filter val="Майн, Софт"/>
            <filter val="Майн/ФЕ джун"/>
            <filter val="Матем (1-6)"/>
            <filter val="Матем (1-9)"/>
            <filter val="Матем(1-6)"/>
            <filter val="Матем(2-4 клас), Скретч"/>
            <filter val="Математика"/>
            <filter val="Математика (1-6 клас)"/>
            <filter val="Математика (1-6 класи)"/>
            <filter val="Математика (1-6)"/>
            <filter val="Математика (1-9 клас)"/>
            <filter val="Математика (1-9)"/>
            <filter val="Математика (5-6 клас)"/>
            <filter val="Математика (5-6)"/>
            <filter val="Математика (5-6), Софти"/>
            <filter val="Математика (5-6, НМТ)"/>
            <filter val="Математика (5-8)"/>
            <filter val="Математика (5-9 класи)"/>
            <filter val="Математика (7-9 (але якщо дуже треба то може і 5-6)"/>
            <filter val="Математика (7-9 клас)"/>
            <filter val="Математика (7-9)"/>
            <filter val="Математика (НМТ, 5-9 клас)"/>
            <filter val="Математика 1-6"/>
            <filter val="Математика 5-6"/>
            <filter val="математика, скретч"/>
            <filter val="Математика, Скретч і Пайтон"/>
            <filter val="Моушн Дизайн"/>
            <filter val="Пайтон"/>
            <filter val="Прокріейт"/>
            <filter val="Прокріейт і Скетчбук"/>
            <filter val="Роблокс"/>
            <filter val="Роблокс/геймдев"/>
            <filter val="Скетчбук"/>
            <filter val="Скретч"/>
            <filter val="Скретч, Математика"/>
            <filter val="Скретч, Математика (1-6 клас)"/>
            <filter val="Скретч/Диз. Дж"/>
            <filter val="Скретч/Майн"/>
            <filter val="Скретч/математ"/>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filter val="ФЕ джун"/>
            <filter val="ФЕ Джун (можливо і ФЕ)"/>
            <filter val="ФЕ джун, ФЕ"/>
            <filter val="ФЕ пізніше англ."/>
            <filter val="ФЕ, ФЕ Джун"/>
            <filter val="ФЕ, ФЕ інгліш"/>
            <filter val="Фронт"/>
            <filter val="Фронт Джун"/>
            <filter val="Фронт Джун, Пайтон"/>
            <filter val="Фронт Джун/Фронт"/>
            <filter val="Фронтенд"/>
            <filter val="Фронтенд джуніор"/>
          </filters>
        </filterColumn>
        <filterColumn colId="9">
          <filters>
            <filter val="Анна Оджиковська"/>
            <filter val="Аня Оджикоаська"/>
            <filter val="Боднар"/>
            <filter val="Лонжанська (Мазурик)"/>
            <filter val="Оджиковська"/>
            <filter val="Оджиковська, група э"/>
            <filter val="Оджиковська, зустрілась"/>
            <filter val="Оджиковська, написала"/>
            <filter val="Оджиковська, пообщалась"/>
            <filter val="Озімінська/Лонжанська"/>
            <filter val="юля боднар"/>
          </filters>
        </filterColumn>
      </autoFilter>
    </customSheetView>
    <customSheetView guid="{E4B6CD70-6F71-4930-8D93-E959514A309A}" filter="1" showAutoFilter="1">
      <pageMargins left="0.7" right="0.7" top="0.75" bottom="0.75" header="0.3" footer="0.3"/>
      <autoFilter ref="D1:D1012" xr:uid="{60837056-D3E2-4757-A652-E908B7B01663}">
        <filterColumn colId="0">
          <filters>
            <filter val="Design, Design Jun"/>
            <filter val="Digital Design"/>
            <filter val="Front End"/>
            <filter val="FrontEnd, Minecraft, Scratch,Roblox, Python"/>
            <filter val="FrontEnd/FrontEnd Jun"/>
            <filter val="Python"/>
            <filter val="геймдев"/>
            <filter val="Диз Джун"/>
            <filter val="Дизайн"/>
            <filter val="Дизайн (1 семерстр)"/>
            <filter val="Дизайн (Фігма)"/>
            <filter val="Дизайн Джун"/>
            <filter val="Дизайн джун /Дизайн (в будущем)"/>
            <filter val="Дизайн Джун/ коли підвчить ілюстратор то і звичайний дизайн."/>
            <filter val="Дизайн Джуниор"/>
            <filter val="Дизайн Джуніор/Дизайн"/>
            <filter val="Дизайн Моушн"/>
            <filter val="Дизайн, Диз Джун"/>
            <filter val="Дизайн, Диз. джун"/>
            <filter val="Дизайн, Дизайн Джун"/>
            <filter val="Дизайн, Софти"/>
            <filter val="Дизайн/Дизайн Джуніор"/>
            <filter val="Історія"/>
            <filter val="Майн"/>
            <filter val="Майн (+планшет)"/>
            <filter val="Майн (взрослый)"/>
            <filter val="Майн (звичайний і планшет)"/>
            <filter val="Майн, Дизайн Моушен"/>
            <filter val="Майн, Математика"/>
            <filter val="Майн, Математика 1-9"/>
            <filter val="Майн, Скретч, Математика"/>
            <filter val="Майн, Софт"/>
            <filter val="Майн/ФЕ джун"/>
            <filter val="Малювання"/>
            <filter val="Матем (1-6)"/>
            <filter val="Матем (1-9)"/>
            <filter val="Матем(1-6)"/>
            <filter val="Матем(2-4 клас), Скретч"/>
            <filter val="Математика"/>
            <filter val="Математика (1-6 клас)"/>
            <filter val="Математика (1-6 класи)"/>
            <filter val="Математика (1-6)"/>
            <filter val="Математика (1-9 клас)"/>
            <filter val="Математика (1-9)"/>
            <filter val="Математика (5-6 клас)"/>
            <filter val="Математика (5-6)"/>
            <filter val="Математика (5-6), Софти"/>
            <filter val="Математика (5-6, НМТ)"/>
            <filter val="Математика (5-8)"/>
            <filter val="Математика (5-9 класи)"/>
            <filter val="Математика (7-9 (але якщо дуже треба то може і 5-6)"/>
            <filter val="Математика (7-9 клас)"/>
            <filter val="Математика (7-9)"/>
            <filter val="Математика (НМТ, 5-9 клас)"/>
            <filter val="Математика 1-6"/>
            <filter val="Математика 5-6"/>
            <filter val="математика, скретч"/>
            <filter val="Математика, Скретч і Пайтон"/>
            <filter val="Моушн Дизайн"/>
            <filter val="Пайтон"/>
            <filter val="Прокріейт"/>
            <filter val="Прокріейт і Скетчбук"/>
            <filter val="Роблокс"/>
            <filter val="Роблокс/геймдев"/>
            <filter val="Скетчбук"/>
            <filter val="Скретч"/>
            <filter val="Скретч, Математика"/>
            <filter val="Скретч, Математика (1-6 клас)"/>
            <filter val="Скретч/Диз. Дж"/>
            <filter val="Скретч/Майн"/>
            <filter val="Скретч/математ"/>
            <filter val="Софт"/>
            <filter val="Софт (меньші)"/>
            <filter val="Софт (старші)"/>
            <filter val="Софт(підлітки)"/>
            <filter val="Софт, Скретч, Математика"/>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filter val="ФЕ джун"/>
            <filter val="ФЕ Джун (можливо і ФЕ)"/>
            <filter val="ФЕ джун, ФЕ"/>
            <filter val="ФЕ пізніше англ."/>
            <filter val="ФЕ, ФЕ Джун"/>
            <filter val="ФЕ, ФЕ інгліш"/>
            <filter val="Фронт"/>
            <filter val="Фронт Джун"/>
            <filter val="Фронт Джун, Пайтон"/>
            <filter val="Фронт Джун/Фронт"/>
            <filter val="Фронтенд"/>
            <filter val="Фронтенд джуніор"/>
          </filters>
        </filterColumn>
      </autoFilter>
    </customSheetView>
    <customSheetView guid="{D6D31CF3-0341-43BC-A303-9DD4BF170521}" filter="1" showAutoFilter="1">
      <pageMargins left="0.7" right="0.7" top="0.75" bottom="0.75" header="0.3" footer="0.3"/>
      <autoFilter ref="A1:AA2012" xr:uid="{F1FFA421-C38C-4EB0-B20D-965CAAECECA8}">
        <filterColumn colId="3">
          <filters>
            <filter val="геймдев"/>
            <filter val="Дизайн (1 семерстр)"/>
            <filter val="Дизайн (Фігма)"/>
            <filter val="Дизайн джун"/>
            <filter val="Дизайн Моушн"/>
            <filter val="Дизайн, Диз джун"/>
            <filter val="Дизайн, Софти"/>
            <filter val="Історія"/>
            <filter val="Майн (+планшет)"/>
            <filter val="Майн (звичайний і планшет)"/>
            <filter val="Майн, Математика 1-9"/>
            <filter val="Майн, Софт"/>
            <filter val="Малювання"/>
            <filter val="Матем (1-6)"/>
            <filter val="Матем (1-9)"/>
            <filter val="Матем(1-6)"/>
            <filter val="Матем(2-4 клас), Скретч"/>
            <filter val="Математика (5-6), Софти"/>
            <filter val="Математика (5-6, НМТ)"/>
            <filter val="Математика (НМТ, 5-9 клас)"/>
            <filter val="Математика 1-6"/>
            <filter val="Математика 5-6"/>
            <filter val="математика, скретч"/>
            <filter val="Моушн Дизайн"/>
            <filter val="Прокріейт"/>
            <filter val="Прокріейт і Скетчбук"/>
            <filter val="Роблокс/геймдев"/>
            <filter val="Скетчбук"/>
            <filter val="Скретч, математика"/>
            <filter val="софт"/>
            <filter val="Софт (меньші)"/>
            <filter val="Софт (старші)"/>
            <filter val="Софти (англ і укр)"/>
            <filter val="Софти (меньші)"/>
            <filter val="Софти( англ і укр)"/>
            <filter val="Софти, Укр мова НТМ (ще не пройшла тест)"/>
            <filter val="Укр мова НМТ, Софти"/>
            <filter val="ФЕ джун, ФЕ"/>
          </filters>
        </filterColumn>
      </autoFilter>
    </customSheetView>
    <customSheetView guid="{3469561A-E9A0-44F1-AF43-3AA050D3712C}" filter="1" showAutoFilter="1">
      <pageMargins left="0.7" right="0.7" top="0.75" bottom="0.75" header="0.3" footer="0.3"/>
      <autoFilter ref="A1:AA2012" xr:uid="{682A9EAA-EE48-48F3-AF12-4C1A659B7426}">
        <filterColumn colId="3">
          <filters blank="1">
            <filter val="геймдев"/>
            <filter val="Дизайн (1 семерстр)"/>
            <filter val="Дизайн джун"/>
            <filter val="Дизайн Моушн"/>
            <filter val="Дизайн, Диз джун"/>
            <filter val="Дизайн, Софти"/>
            <filter val="Майн (+планшет)"/>
            <filter val="Майн, Математика 1-9"/>
            <filter val="Малювання"/>
            <filter val="Матем (1-6)"/>
            <filter val="Матем (1-9)"/>
            <filter val="Матем(1-6)"/>
            <filter val="Матем(2-4 клас), Скретч"/>
            <filter val="Математика (5-6), Софти"/>
            <filter val="Математика (5-6, НМТ)"/>
            <filter val="Математика (НМТ, 5-9 клас)"/>
            <filter val="Математика 1-6"/>
            <filter val="Математика 5-6"/>
            <filter val="математика, скретч"/>
            <filter val="Моушн Дизайн"/>
            <filter val="Прокріейт"/>
            <filter val="Прокріейт і Скетчбук"/>
            <filter val="Скетчбук"/>
            <filter val="Скретч, математика"/>
            <filter val="софт"/>
            <filter val="Софт (меньші)"/>
            <filter val="Софт (старші)"/>
            <filter val="Софти (меньші)"/>
            <filter val="Софти, Укр мова НТМ (ще не пройшла тест)"/>
            <filter val="Укр мова НМТ, Софти"/>
            <filter val="ФЕ джун, ФЕ"/>
          </filters>
        </filterColumn>
      </autoFilter>
    </customSheetView>
    <customSheetView guid="{4D58A306-8720-4C54-AB28-CCE2E9A9B452}" filter="1" showAutoFilter="1">
      <pageMargins left="0.7" right="0.7" top="0.75" bottom="0.75" header="0.3" footer="0.3"/>
      <autoFilter ref="A1:AA2012" xr:uid="{63755778-EF03-4934-AAEE-D919D96843B9}">
        <filterColumn colId="9">
          <filters>
            <filter val="Боднар"/>
            <filter val="Лонжанська (Мазурик)"/>
            <filter val="Максимів"/>
            <filter val="Оджиковська"/>
            <filter val="Озімінська/Лонжанська"/>
            <filter val="юля боднар"/>
          </filters>
        </filterColumn>
      </autoFilter>
    </customSheetView>
    <customSheetView guid="{A49D67D9-E56A-412E-9BEF-93436261A100}" filter="1" showAutoFilter="1">
      <pageMargins left="0.7" right="0.7" top="0.75" bottom="0.75" header="0.3" footer="0.3"/>
      <autoFilter ref="J1:J2012" xr:uid="{CF1AC382-BDAD-4957-AEEF-7D77209915A1}">
        <filterColumn colId="0">
          <filters>
            <filter val="Боднар"/>
            <filter val="Гриневич"/>
            <filter val="Іванішена"/>
            <filter val="Лонжанська (Мазурик)"/>
            <filter val="Мазурик"/>
            <filter val="Максименко"/>
            <filter val="Максимів"/>
            <filter val="Озімінська"/>
            <filter val="Озімінська/Лонжанська"/>
            <filter val="Сербін"/>
            <filter val="Тарасович"/>
            <filter val="Тарасович/Гриневич"/>
            <filter val="Терентьєва/Максименко"/>
            <filter val="Третьяк/ Лисенко"/>
            <filter val="Третьяк/ Максименко"/>
            <filter val="юля боднар"/>
          </filters>
        </filterColumn>
      </autoFilter>
    </customSheetView>
    <customSheetView guid="{CE41F793-179E-4E95-8743-4F50F86F0095}" filter="1" showAutoFilter="1">
      <pageMargins left="0.7" right="0.7" top="0.75" bottom="0.75" header="0.3" footer="0.3"/>
      <autoFilter ref="J1:J2012" xr:uid="{841E705F-B941-48CE-B2C4-25F5417D0209}">
        <filterColumn colId="0">
          <filters>
            <filter val="Боднар"/>
            <filter val="Гриневич"/>
            <filter val="Іванішена"/>
            <filter val="Лонжанська (Мазурик)"/>
            <filter val="Мазурик"/>
            <filter val="Максименко"/>
            <filter val="Максимів"/>
            <filter val="Озімінська"/>
            <filter val="Озімінська/Лонжанська"/>
            <filter val="Сербін"/>
            <filter val="Тарасович"/>
            <filter val="Тарасович/Гриневич"/>
            <filter val="Терентьєва"/>
            <filter val="Терентьєва/Максименко"/>
            <filter val="Терентьєва/Мих"/>
            <filter val="Терентьєва/Пустова"/>
            <filter val="Третьяк"/>
            <filter val="Третьяк/ Лисенко"/>
            <filter val="Третьяк/ Максименко"/>
            <filter val="юля боднар"/>
          </filters>
        </filterColumn>
      </autoFilter>
    </customSheetView>
    <customSheetView guid="{A6989CBB-60EC-4E5A-A6E1-380EDEF0A93A}" filter="1" showAutoFilter="1">
      <pageMargins left="0.7" right="0.7" top="0.75" bottom="0.75" header="0.3" footer="0.3"/>
      <autoFilter ref="A1:AA2012" xr:uid="{F95E7AB8-3EBD-41D5-8FD1-4728E6C4F8F2}">
        <filterColumn colId="9">
          <filters>
            <filter val="Боднар"/>
            <filter val="Лонжанська (Мазурик)"/>
            <filter val="Максимів"/>
            <filter val="Оджиковська"/>
            <filter val="Озімінська/Лонжанська"/>
            <filter val="юля боднар"/>
          </filters>
        </filterColumn>
      </autoFilter>
    </customSheetView>
    <customSheetView guid="{5DAD8BB2-41A5-42B0-9C69-D6AEEB703812}" filter="1" showAutoFilter="1">
      <pageMargins left="0.7" right="0.7" top="0.75" bottom="0.75" header="0.3" footer="0.3"/>
      <autoFilter ref="A1:AA2012" xr:uid="{34CBC336-5E54-45F2-8629-045CBCE3989A}"/>
    </customSheetView>
    <customSheetView guid="{DB5CAF45-066D-42CD-9985-873B987CC6A4}" filter="1" showAutoFilter="1">
      <pageMargins left="0.7" right="0.7" top="0.75" bottom="0.75" header="0.3" footer="0.3"/>
      <autoFilter ref="D1:D2012" xr:uid="{6C0E02F8-BA8D-4DAC-B879-5925BE21BBCC}"/>
    </customSheetView>
    <customSheetView guid="{F8593FFE-DE99-4BF2-B36F-29A16EFFE534}" filter="1" showAutoFilter="1">
      <pageMargins left="0.7" right="0.7" top="0.75" bottom="0.75" header="0.3" footer="0.3"/>
      <autoFilter ref="J1:J2012" xr:uid="{BDE38590-FB1B-48C6-9A48-7D13731EB5FC}">
        <filterColumn colId="0">
          <filters>
            <filter val="Боднар"/>
            <filter val="Гриневич"/>
            <filter val="Іванішена"/>
            <filter val="Лонжанська (Мазурик)"/>
            <filter val="Мазурик"/>
            <filter val="Максименко"/>
            <filter val="Максимів"/>
            <filter val="Озімінська"/>
            <filter val="Озімінська/Лонжанська"/>
            <filter val="Сербін"/>
            <filter val="Тарасович"/>
            <filter val="Тарасович/Гриневич"/>
            <filter val="Терентьєва"/>
            <filter val="Терентьєва/Максименко"/>
            <filter val="Терентьєва/Мих"/>
            <filter val="Терентьєва/Пустова"/>
            <filter val="Третьяк"/>
            <filter val="Третьяк/ Лисенко"/>
            <filter val="Третьяк/ Максименко"/>
            <filter val="юля боднар"/>
          </filters>
        </filterColumn>
      </autoFilter>
    </customSheetView>
    <customSheetView guid="{65466170-B2B1-4ED5-9CF9-C25ACDF28BB5}" filter="1" showAutoFilter="1">
      <pageMargins left="0.7" right="0.7" top="0.75" bottom="0.75" header="0.3" footer="0.3"/>
      <autoFilter ref="D1:D2012" xr:uid="{C2E27BF3-B659-491A-9118-82A39AAB75A1}">
        <filterColumn colId="0">
          <filters>
            <filter val="геймдев"/>
            <filter val="Дизайн (1 семерстр)"/>
            <filter val="Дизайн (Фігма)"/>
            <filter val="Дизайн джун"/>
            <filter val="Дизайн Моушн"/>
            <filter val="Дизайн, Диз джун"/>
            <filter val="Дизайн, Диз. джун"/>
            <filter val="Дизайн, Софти"/>
            <filter val="Історія"/>
            <filter val="Майн (+планшет)"/>
            <filter val="Майн (звичайний і планшет)"/>
            <filter val="Майн, Математика 1-9"/>
            <filter val="Майн, Софт"/>
            <filter val="Малювання"/>
            <filter val="Матем (1-6)"/>
            <filter val="Матем (1-9)"/>
            <filter val="Матем(1-6)"/>
            <filter val="Матем(2-4 клас), Скретч"/>
            <filter val="Математика (5-6), Софти"/>
            <filter val="Математика (5-6, НМТ)"/>
            <filter val="Математика (НМТ, 5-9 клас)"/>
            <filter val="Математика 1-6"/>
            <filter val="Математика 5-6"/>
            <filter val="математика, скретч"/>
            <filter val="Моушн Дизайн"/>
            <filter val="Прокріейт"/>
            <filter val="Прокріейт і Скетчбук"/>
            <filter val="Роблокс/геймдев"/>
            <filter val="Скетчбук"/>
            <filter val="Скретч, математика"/>
            <filter val="Софт"/>
            <filter val="Софт (меньші)"/>
            <filter val="Софт (старші)"/>
            <filter val="Софт(підлітки)"/>
            <filter val="Софти"/>
            <filter val="Софти (англ і укр)"/>
            <filter val="Софти (меньші і середні)"/>
            <filter val="Софти (меньші)"/>
            <filter val="Софти (середні і старші)"/>
            <filter val="Софти( англ і укр)"/>
            <filter val="Софти, Укр мова НТМ (ще не пройшла тест)"/>
            <filter val="Укр мова НМТ, Софти"/>
            <filter val="ФЕ джун, ФЕ"/>
            <filter val="Фронт Джун, Пайтон"/>
          </filters>
        </filterColumn>
      </autoFilter>
    </customSheetView>
    <customSheetView guid="{E111926B-F6F2-4F37-858B-7FDE682576C0}" filter="1" showAutoFilter="1">
      <pageMargins left="0.7" right="0.7" top="0.75" bottom="0.75" header="0.3" footer="0.3"/>
      <autoFilter ref="J1:J2012" xr:uid="{45E5D8FE-EAEB-48C1-8770-6049A938E18E}">
        <filterColumn colId="0">
          <filters>
            <filter val="Боднар"/>
            <filter val="Гриневич"/>
            <filter val="Іванішена"/>
            <filter val="Лонжанська (Мазурик)"/>
            <filter val="Мазурик"/>
            <filter val="Максименко"/>
            <filter val="Максимів"/>
            <filter val="Озімінська"/>
            <filter val="Озімінська/Лонжанська"/>
            <filter val="Сербін"/>
            <filter val="Тарасович"/>
            <filter val="Тарасович/Гриневич"/>
            <filter val="Терентьєва"/>
            <filter val="Терентьєва/Максименко"/>
            <filter val="Терентьєва/Мих"/>
            <filter val="Терентьєва/Пустова"/>
            <filter val="Третьяк"/>
            <filter val="Третьяк/ Лисенко"/>
            <filter val="Третьяк/ Максименко"/>
            <filter val="юля боднар"/>
          </filters>
        </filterColumn>
      </autoFilter>
    </customSheetView>
  </customSheetViews>
  <conditionalFormatting sqref="B18:C18 B123:C123 B198:C198">
    <cfRule type="cellIs" dxfId="18" priority="1" operator="equal">
      <formula>"Працює"</formula>
    </cfRule>
    <cfRule type="cellIs" dxfId="17" priority="2" operator="equal">
      <formula>"Навчання"</formula>
    </cfRule>
    <cfRule type="cellIs" dxfId="16" priority="3" operator="equal">
      <formula>"Резерв"</formula>
    </cfRule>
  </conditionalFormatting>
  <dataValidations count="1">
    <dataValidation type="list" allowBlank="1" sqref="A951" xr:uid="{00000000-0002-0000-0100-000000000000}">
      <formula1>#REF!</formula1>
    </dataValidation>
  </dataValidations>
  <hyperlinks>
    <hyperlink ref="N1" r:id="rId1" location="gid=1338442102" xr:uid="{00000000-0004-0000-0100-000000000000}"/>
    <hyperlink ref="C65" r:id="rId2" xr:uid="{00000000-0004-0000-0100-000001000000}"/>
    <hyperlink ref="C67" r:id="rId3" xr:uid="{00000000-0004-0000-0100-000002000000}"/>
    <hyperlink ref="M117" r:id="rId4" xr:uid="{00000000-0004-0000-0100-000003000000}"/>
    <hyperlink ref="M119" r:id="rId5" xr:uid="{00000000-0004-0000-0100-000004000000}"/>
    <hyperlink ref="M120" r:id="rId6" xr:uid="{00000000-0004-0000-0100-000005000000}"/>
    <hyperlink ref="M121" r:id="rId7" xr:uid="{00000000-0004-0000-0100-000006000000}"/>
    <hyperlink ref="M122" r:id="rId8" xr:uid="{00000000-0004-0000-0100-000007000000}"/>
    <hyperlink ref="M126" r:id="rId9" xr:uid="{00000000-0004-0000-0100-000008000000}"/>
    <hyperlink ref="M127" r:id="rId10" xr:uid="{00000000-0004-0000-0100-000009000000}"/>
    <hyperlink ref="M129" r:id="rId11" xr:uid="{00000000-0004-0000-0100-00000A000000}"/>
    <hyperlink ref="C175" r:id="rId12" xr:uid="{00000000-0004-0000-0100-00000B000000}"/>
    <hyperlink ref="K177" r:id="rId13" xr:uid="{00000000-0004-0000-0100-00000C000000}"/>
    <hyperlink ref="B178" r:id="rId14" xr:uid="{00000000-0004-0000-0100-00000D000000}"/>
    <hyperlink ref="K178" r:id="rId15" xr:uid="{00000000-0004-0000-0100-00000E000000}"/>
    <hyperlink ref="B183" r:id="rId16" xr:uid="{00000000-0004-0000-0100-00000F000000}"/>
    <hyperlink ref="B185" r:id="rId17" xr:uid="{00000000-0004-0000-0100-000010000000}"/>
    <hyperlink ref="B186" r:id="rId18" xr:uid="{00000000-0004-0000-0100-000011000000}"/>
    <hyperlink ref="B190" r:id="rId19" xr:uid="{00000000-0004-0000-0100-000012000000}"/>
    <hyperlink ref="B195" r:id="rId20" xr:uid="{00000000-0004-0000-0100-000013000000}"/>
    <hyperlink ref="B196" r:id="rId21" xr:uid="{00000000-0004-0000-0100-000014000000}"/>
    <hyperlink ref="B197" r:id="rId22" xr:uid="{00000000-0004-0000-0100-000015000000}"/>
    <hyperlink ref="B205" r:id="rId23" xr:uid="{00000000-0004-0000-0100-000016000000}"/>
    <hyperlink ref="B218" r:id="rId24" xr:uid="{00000000-0004-0000-0100-000017000000}"/>
    <hyperlink ref="B221" r:id="rId25" xr:uid="{00000000-0004-0000-0100-000018000000}"/>
    <hyperlink ref="C222" r:id="rId26" xr:uid="{00000000-0004-0000-0100-000019000000}"/>
    <hyperlink ref="M235" r:id="rId27" xr:uid="{00000000-0004-0000-0100-00001A000000}"/>
    <hyperlink ref="M237" r:id="rId28" xr:uid="{00000000-0004-0000-0100-00001B000000}"/>
    <hyperlink ref="M239" r:id="rId29" xr:uid="{00000000-0004-0000-0100-00001C000000}"/>
    <hyperlink ref="M240" r:id="rId30" xr:uid="{00000000-0004-0000-0100-00001D000000}"/>
    <hyperlink ref="M241" r:id="rId31" xr:uid="{00000000-0004-0000-0100-00001E000000}"/>
    <hyperlink ref="M243" r:id="rId32" xr:uid="{00000000-0004-0000-0100-00001F000000}"/>
    <hyperlink ref="M245" r:id="rId33" xr:uid="{00000000-0004-0000-0100-000020000000}"/>
    <hyperlink ref="M248" r:id="rId34" xr:uid="{00000000-0004-0000-0100-000021000000}"/>
    <hyperlink ref="M262" r:id="rId35" xr:uid="{00000000-0004-0000-0100-000022000000}"/>
    <hyperlink ref="B263" r:id="rId36" xr:uid="{00000000-0004-0000-0100-000023000000}"/>
    <hyperlink ref="M266" r:id="rId37" xr:uid="{00000000-0004-0000-0100-000024000000}"/>
    <hyperlink ref="B275" r:id="rId38" xr:uid="{00000000-0004-0000-0100-000025000000}"/>
    <hyperlink ref="M278" r:id="rId39" xr:uid="{00000000-0004-0000-0100-000026000000}"/>
    <hyperlink ref="B288" r:id="rId40" xr:uid="{00000000-0004-0000-0100-000027000000}"/>
    <hyperlink ref="B289" r:id="rId41" xr:uid="{00000000-0004-0000-0100-000028000000}"/>
    <hyperlink ref="B299" r:id="rId42" xr:uid="{00000000-0004-0000-0100-000029000000}"/>
    <hyperlink ref="B413" r:id="rId43" xr:uid="{00000000-0004-0000-0100-00002A000000}"/>
    <hyperlink ref="K609" r:id="rId44" xr:uid="{00000000-0004-0000-0100-00002B000000}"/>
    <hyperlink ref="K613" r:id="rId45" xr:uid="{00000000-0004-0000-0100-00002C000000}"/>
    <hyperlink ref="H614" r:id="rId46" xr:uid="{00000000-0004-0000-0100-00002D000000}"/>
    <hyperlink ref="H615" r:id="rId47" xr:uid="{00000000-0004-0000-0100-00002E000000}"/>
    <hyperlink ref="H616" r:id="rId48" xr:uid="{00000000-0004-0000-0100-00002F000000}"/>
    <hyperlink ref="H617" r:id="rId49" xr:uid="{00000000-0004-0000-0100-000030000000}"/>
    <hyperlink ref="H618" r:id="rId50" xr:uid="{00000000-0004-0000-0100-000031000000}"/>
    <hyperlink ref="H620" r:id="rId51" xr:uid="{00000000-0004-0000-0100-000032000000}"/>
    <hyperlink ref="H621" r:id="rId52" xr:uid="{00000000-0004-0000-0100-000033000000}"/>
    <hyperlink ref="H622" r:id="rId53" xr:uid="{00000000-0004-0000-0100-000034000000}"/>
    <hyperlink ref="H623" r:id="rId54" xr:uid="{00000000-0004-0000-0100-000035000000}"/>
    <hyperlink ref="H624" r:id="rId55" xr:uid="{00000000-0004-0000-0100-000036000000}"/>
    <hyperlink ref="H625" r:id="rId56" xr:uid="{00000000-0004-0000-0100-000037000000}"/>
    <hyperlink ref="H626" r:id="rId57" xr:uid="{00000000-0004-0000-0100-000038000000}"/>
    <hyperlink ref="H627" r:id="rId58" xr:uid="{00000000-0004-0000-0100-000039000000}"/>
    <hyperlink ref="H628" r:id="rId59" xr:uid="{00000000-0004-0000-0100-00003A000000}"/>
    <hyperlink ref="H629" r:id="rId60" xr:uid="{00000000-0004-0000-0100-00003B000000}"/>
    <hyperlink ref="H630" r:id="rId61" xr:uid="{00000000-0004-0000-0100-00003C000000}"/>
    <hyperlink ref="H631" r:id="rId62" xr:uid="{00000000-0004-0000-0100-00003D000000}"/>
    <hyperlink ref="H632" r:id="rId63" xr:uid="{00000000-0004-0000-0100-00003E000000}"/>
    <hyperlink ref="H633" r:id="rId64" xr:uid="{00000000-0004-0000-0100-00003F000000}"/>
    <hyperlink ref="H634" r:id="rId65" xr:uid="{00000000-0004-0000-0100-000040000000}"/>
    <hyperlink ref="H635" r:id="rId66" xr:uid="{00000000-0004-0000-0100-000041000000}"/>
    <hyperlink ref="H636" r:id="rId67" xr:uid="{00000000-0004-0000-0100-000042000000}"/>
    <hyperlink ref="H637" r:id="rId68" xr:uid="{00000000-0004-0000-0100-000043000000}"/>
    <hyperlink ref="H638" r:id="rId69" xr:uid="{00000000-0004-0000-0100-000044000000}"/>
    <hyperlink ref="H640" r:id="rId70" xr:uid="{00000000-0004-0000-0100-000045000000}"/>
    <hyperlink ref="H642" r:id="rId71" xr:uid="{00000000-0004-0000-0100-000046000000}"/>
    <hyperlink ref="H643" r:id="rId72" xr:uid="{00000000-0004-0000-0100-000047000000}"/>
    <hyperlink ref="H644" r:id="rId73" xr:uid="{00000000-0004-0000-0100-000048000000}"/>
    <hyperlink ref="H645" r:id="rId74" xr:uid="{00000000-0004-0000-0100-000049000000}"/>
    <hyperlink ref="H646" r:id="rId75" xr:uid="{00000000-0004-0000-0100-00004A000000}"/>
    <hyperlink ref="H647" r:id="rId76" xr:uid="{00000000-0004-0000-0100-00004B000000}"/>
    <hyperlink ref="H648" r:id="rId77" xr:uid="{00000000-0004-0000-0100-00004C000000}"/>
    <hyperlink ref="H649" r:id="rId78" xr:uid="{00000000-0004-0000-0100-00004D000000}"/>
    <hyperlink ref="H650" r:id="rId79" xr:uid="{00000000-0004-0000-0100-00004E000000}"/>
    <hyperlink ref="H651" r:id="rId80" xr:uid="{00000000-0004-0000-0100-00004F000000}"/>
    <hyperlink ref="H652" r:id="rId81" xr:uid="{00000000-0004-0000-0100-000050000000}"/>
    <hyperlink ref="H653" r:id="rId82" xr:uid="{00000000-0004-0000-0100-000051000000}"/>
    <hyperlink ref="H654" r:id="rId83" xr:uid="{00000000-0004-0000-0100-000052000000}"/>
    <hyperlink ref="H655" r:id="rId84" xr:uid="{00000000-0004-0000-0100-000053000000}"/>
    <hyperlink ref="H656" r:id="rId85" xr:uid="{00000000-0004-0000-0100-000054000000}"/>
    <hyperlink ref="H657" r:id="rId86" xr:uid="{00000000-0004-0000-0100-000055000000}"/>
    <hyperlink ref="H658" r:id="rId87" xr:uid="{00000000-0004-0000-0100-000056000000}"/>
    <hyperlink ref="H659" r:id="rId88" xr:uid="{00000000-0004-0000-0100-000057000000}"/>
    <hyperlink ref="H660" r:id="rId89" xr:uid="{00000000-0004-0000-0100-000058000000}"/>
    <hyperlink ref="H661" r:id="rId90" xr:uid="{00000000-0004-0000-0100-000059000000}"/>
    <hyperlink ref="H662" r:id="rId91" xr:uid="{00000000-0004-0000-0100-00005A000000}"/>
    <hyperlink ref="H663" r:id="rId92" xr:uid="{00000000-0004-0000-0100-00005B000000}"/>
    <hyperlink ref="H664" r:id="rId93" xr:uid="{00000000-0004-0000-0100-00005C000000}"/>
    <hyperlink ref="H665" r:id="rId94" xr:uid="{00000000-0004-0000-0100-00005D000000}"/>
    <hyperlink ref="H666" r:id="rId95" xr:uid="{00000000-0004-0000-0100-00005E000000}"/>
    <hyperlink ref="H667" r:id="rId96" xr:uid="{00000000-0004-0000-0100-00005F000000}"/>
    <hyperlink ref="H668" r:id="rId97" xr:uid="{00000000-0004-0000-0100-000060000000}"/>
    <hyperlink ref="H669" r:id="rId98" xr:uid="{00000000-0004-0000-0100-000061000000}"/>
    <hyperlink ref="H670" r:id="rId99" xr:uid="{00000000-0004-0000-0100-000062000000}"/>
    <hyperlink ref="H671" r:id="rId100" xr:uid="{00000000-0004-0000-0100-000063000000}"/>
    <hyperlink ref="H672" r:id="rId101" xr:uid="{00000000-0004-0000-0100-000064000000}"/>
    <hyperlink ref="H673" r:id="rId102" xr:uid="{00000000-0004-0000-0100-000065000000}"/>
    <hyperlink ref="H674" r:id="rId103" xr:uid="{00000000-0004-0000-0100-000066000000}"/>
    <hyperlink ref="H675" r:id="rId104" xr:uid="{00000000-0004-0000-0100-000067000000}"/>
    <hyperlink ref="H676" r:id="rId105" xr:uid="{00000000-0004-0000-0100-000068000000}"/>
    <hyperlink ref="H677" r:id="rId106" xr:uid="{00000000-0004-0000-0100-000069000000}"/>
    <hyperlink ref="H678" r:id="rId107" xr:uid="{00000000-0004-0000-0100-00006A000000}"/>
    <hyperlink ref="H679" r:id="rId108" xr:uid="{00000000-0004-0000-0100-00006B000000}"/>
    <hyperlink ref="H680" r:id="rId109" xr:uid="{00000000-0004-0000-0100-00006C000000}"/>
    <hyperlink ref="H682" r:id="rId110" xr:uid="{00000000-0004-0000-0100-00006D000000}"/>
    <hyperlink ref="H683" r:id="rId111" xr:uid="{00000000-0004-0000-0100-00006E000000}"/>
    <hyperlink ref="H684" r:id="rId112" xr:uid="{00000000-0004-0000-0100-00006F000000}"/>
    <hyperlink ref="H685" r:id="rId113" xr:uid="{00000000-0004-0000-0100-000070000000}"/>
    <hyperlink ref="H686" r:id="rId114" xr:uid="{00000000-0004-0000-0100-000071000000}"/>
    <hyperlink ref="H687" r:id="rId115" xr:uid="{00000000-0004-0000-0100-000072000000}"/>
    <hyperlink ref="H688" r:id="rId116" xr:uid="{00000000-0004-0000-0100-000073000000}"/>
    <hyperlink ref="H689" r:id="rId117" xr:uid="{00000000-0004-0000-0100-000074000000}"/>
    <hyperlink ref="H690" r:id="rId118" xr:uid="{00000000-0004-0000-0100-000075000000}"/>
    <hyperlink ref="H691" r:id="rId119" xr:uid="{00000000-0004-0000-0100-000076000000}"/>
    <hyperlink ref="H692" r:id="rId120" xr:uid="{00000000-0004-0000-0100-000077000000}"/>
    <hyperlink ref="H693" r:id="rId121" xr:uid="{00000000-0004-0000-0100-000078000000}"/>
    <hyperlink ref="H694" r:id="rId122" xr:uid="{00000000-0004-0000-0100-000079000000}"/>
    <hyperlink ref="H695" r:id="rId123" xr:uid="{00000000-0004-0000-0100-00007A000000}"/>
    <hyperlink ref="H697" r:id="rId124" xr:uid="{00000000-0004-0000-0100-00007B000000}"/>
    <hyperlink ref="H698" r:id="rId125" xr:uid="{00000000-0004-0000-0100-00007C000000}"/>
    <hyperlink ref="H699" r:id="rId126" xr:uid="{00000000-0004-0000-0100-00007D000000}"/>
    <hyperlink ref="H700" r:id="rId127" xr:uid="{00000000-0004-0000-0100-00007E000000}"/>
    <hyperlink ref="H701" r:id="rId128" xr:uid="{00000000-0004-0000-0100-00007F000000}"/>
    <hyperlink ref="H702" r:id="rId129" xr:uid="{00000000-0004-0000-0100-000080000000}"/>
    <hyperlink ref="H703" r:id="rId130" xr:uid="{00000000-0004-0000-0100-000081000000}"/>
    <hyperlink ref="H704" r:id="rId131" xr:uid="{00000000-0004-0000-0100-000082000000}"/>
    <hyperlink ref="H705" r:id="rId132" xr:uid="{00000000-0004-0000-0100-000083000000}"/>
    <hyperlink ref="H706" r:id="rId133" xr:uid="{00000000-0004-0000-0100-000084000000}"/>
    <hyperlink ref="H707" r:id="rId134" xr:uid="{00000000-0004-0000-0100-000085000000}"/>
    <hyperlink ref="H708" r:id="rId135" xr:uid="{00000000-0004-0000-0100-000086000000}"/>
    <hyperlink ref="H709" r:id="rId136" xr:uid="{00000000-0004-0000-0100-000087000000}"/>
    <hyperlink ref="H711" r:id="rId137" xr:uid="{00000000-0004-0000-0100-000088000000}"/>
    <hyperlink ref="H712" r:id="rId138" xr:uid="{00000000-0004-0000-0100-000089000000}"/>
    <hyperlink ref="H713" r:id="rId139" xr:uid="{00000000-0004-0000-0100-00008A000000}"/>
    <hyperlink ref="H714" r:id="rId140" xr:uid="{00000000-0004-0000-0100-00008B000000}"/>
    <hyperlink ref="H715" r:id="rId141" xr:uid="{00000000-0004-0000-0100-00008C000000}"/>
    <hyperlink ref="H716" r:id="rId142" xr:uid="{00000000-0004-0000-0100-00008D000000}"/>
    <hyperlink ref="H717" r:id="rId143" xr:uid="{00000000-0004-0000-0100-00008E000000}"/>
    <hyperlink ref="H718" r:id="rId144" xr:uid="{00000000-0004-0000-0100-00008F000000}"/>
    <hyperlink ref="H719" r:id="rId145" xr:uid="{00000000-0004-0000-0100-000090000000}"/>
    <hyperlink ref="H720" r:id="rId146" xr:uid="{00000000-0004-0000-0100-000091000000}"/>
    <hyperlink ref="H722" r:id="rId147" xr:uid="{00000000-0004-0000-0100-000092000000}"/>
    <hyperlink ref="H723" r:id="rId148" xr:uid="{00000000-0004-0000-0100-000093000000}"/>
    <hyperlink ref="H724" r:id="rId149" xr:uid="{00000000-0004-0000-0100-000094000000}"/>
    <hyperlink ref="H725" r:id="rId150" xr:uid="{00000000-0004-0000-0100-000095000000}"/>
    <hyperlink ref="H726" r:id="rId151" xr:uid="{00000000-0004-0000-0100-000096000000}"/>
    <hyperlink ref="H727" r:id="rId152" xr:uid="{00000000-0004-0000-0100-000097000000}"/>
    <hyperlink ref="H728" r:id="rId153" xr:uid="{00000000-0004-0000-0100-000098000000}"/>
    <hyperlink ref="H729" r:id="rId154" xr:uid="{00000000-0004-0000-0100-000099000000}"/>
    <hyperlink ref="H730" r:id="rId155" xr:uid="{00000000-0004-0000-0100-00009A000000}"/>
    <hyperlink ref="H731" r:id="rId156" xr:uid="{00000000-0004-0000-0100-00009B000000}"/>
    <hyperlink ref="H732" r:id="rId157" xr:uid="{00000000-0004-0000-0100-00009C000000}"/>
    <hyperlink ref="H733" r:id="rId158" xr:uid="{00000000-0004-0000-0100-00009D000000}"/>
    <hyperlink ref="H734" r:id="rId159" xr:uid="{00000000-0004-0000-0100-00009E000000}"/>
    <hyperlink ref="H735" r:id="rId160" xr:uid="{00000000-0004-0000-0100-00009F000000}"/>
    <hyperlink ref="H736" r:id="rId161" xr:uid="{00000000-0004-0000-0100-0000A0000000}"/>
    <hyperlink ref="H737" r:id="rId162" xr:uid="{00000000-0004-0000-0100-0000A1000000}"/>
    <hyperlink ref="H738" r:id="rId163" xr:uid="{00000000-0004-0000-0100-0000A2000000}"/>
    <hyperlink ref="H739" r:id="rId164" xr:uid="{00000000-0004-0000-0100-0000A3000000}"/>
    <hyperlink ref="H740" r:id="rId165" xr:uid="{00000000-0004-0000-0100-0000A4000000}"/>
    <hyperlink ref="H741" r:id="rId166" xr:uid="{00000000-0004-0000-0100-0000A5000000}"/>
    <hyperlink ref="H742" r:id="rId167" xr:uid="{00000000-0004-0000-0100-0000A6000000}"/>
    <hyperlink ref="H743" r:id="rId168" xr:uid="{00000000-0004-0000-0100-0000A7000000}"/>
    <hyperlink ref="H744" r:id="rId169" xr:uid="{00000000-0004-0000-0100-0000A8000000}"/>
    <hyperlink ref="H745" r:id="rId170" xr:uid="{00000000-0004-0000-0100-0000A9000000}"/>
    <hyperlink ref="H746" r:id="rId171" xr:uid="{00000000-0004-0000-0100-0000AA000000}"/>
    <hyperlink ref="H747" r:id="rId172" xr:uid="{00000000-0004-0000-0100-0000AB000000}"/>
    <hyperlink ref="H748" r:id="rId173" xr:uid="{00000000-0004-0000-0100-0000AC000000}"/>
    <hyperlink ref="H749" r:id="rId174" xr:uid="{00000000-0004-0000-0100-0000AD000000}"/>
    <hyperlink ref="H750" r:id="rId175" xr:uid="{00000000-0004-0000-0100-0000AE000000}"/>
    <hyperlink ref="H751" r:id="rId176" xr:uid="{00000000-0004-0000-0100-0000AF000000}"/>
    <hyperlink ref="H752" r:id="rId177" xr:uid="{00000000-0004-0000-0100-0000B0000000}"/>
    <hyperlink ref="H753" r:id="rId178" xr:uid="{00000000-0004-0000-0100-0000B1000000}"/>
    <hyperlink ref="H754" r:id="rId179" xr:uid="{00000000-0004-0000-0100-0000B2000000}"/>
    <hyperlink ref="H755" r:id="rId180" xr:uid="{00000000-0004-0000-0100-0000B3000000}"/>
    <hyperlink ref="H756" r:id="rId181" xr:uid="{00000000-0004-0000-0100-0000B4000000}"/>
    <hyperlink ref="H758" r:id="rId182" xr:uid="{00000000-0004-0000-0100-0000B5000000}"/>
    <hyperlink ref="H759" r:id="rId183" xr:uid="{00000000-0004-0000-0100-0000B6000000}"/>
    <hyperlink ref="H760" r:id="rId184" xr:uid="{00000000-0004-0000-0100-0000B7000000}"/>
    <hyperlink ref="H761" r:id="rId185" xr:uid="{00000000-0004-0000-0100-0000B8000000}"/>
    <hyperlink ref="H762" r:id="rId186" xr:uid="{00000000-0004-0000-0100-0000B9000000}"/>
    <hyperlink ref="H763" r:id="rId187" xr:uid="{00000000-0004-0000-0100-0000BA000000}"/>
    <hyperlink ref="H764" r:id="rId188" xr:uid="{00000000-0004-0000-0100-0000BB000000}"/>
    <hyperlink ref="H765" r:id="rId189" xr:uid="{00000000-0004-0000-0100-0000BC000000}"/>
    <hyperlink ref="H766" r:id="rId190" xr:uid="{00000000-0004-0000-0100-0000BD000000}"/>
    <hyperlink ref="H767" r:id="rId191" xr:uid="{00000000-0004-0000-0100-0000BE000000}"/>
    <hyperlink ref="H768" r:id="rId192" xr:uid="{00000000-0004-0000-0100-0000BF000000}"/>
    <hyperlink ref="H769" r:id="rId193" xr:uid="{00000000-0004-0000-0100-0000C0000000}"/>
    <hyperlink ref="H770" r:id="rId194" xr:uid="{00000000-0004-0000-0100-0000C1000000}"/>
    <hyperlink ref="H772" r:id="rId195" xr:uid="{00000000-0004-0000-0100-0000C2000000}"/>
    <hyperlink ref="H773" r:id="rId196" xr:uid="{00000000-0004-0000-0100-0000C3000000}"/>
    <hyperlink ref="H774" r:id="rId197" xr:uid="{00000000-0004-0000-0100-0000C4000000}"/>
    <hyperlink ref="H775" r:id="rId198" xr:uid="{00000000-0004-0000-0100-0000C5000000}"/>
    <hyperlink ref="H776" r:id="rId199" xr:uid="{00000000-0004-0000-0100-0000C6000000}"/>
    <hyperlink ref="H777" r:id="rId200" xr:uid="{00000000-0004-0000-0100-0000C7000000}"/>
    <hyperlink ref="H778" r:id="rId201" xr:uid="{00000000-0004-0000-0100-0000C8000000}"/>
    <hyperlink ref="H779" r:id="rId202" xr:uid="{00000000-0004-0000-0100-0000C9000000}"/>
    <hyperlink ref="H780" r:id="rId203" xr:uid="{00000000-0004-0000-0100-0000CA000000}"/>
    <hyperlink ref="H781" r:id="rId204" xr:uid="{00000000-0004-0000-0100-0000CB000000}"/>
    <hyperlink ref="H782" r:id="rId205" xr:uid="{00000000-0004-0000-0100-0000CC000000}"/>
    <hyperlink ref="H783" r:id="rId206" xr:uid="{00000000-0004-0000-0100-0000CD000000}"/>
    <hyperlink ref="H784" r:id="rId207" xr:uid="{00000000-0004-0000-0100-0000CE000000}"/>
    <hyperlink ref="H785" r:id="rId208" xr:uid="{00000000-0004-0000-0100-0000CF000000}"/>
    <hyperlink ref="H786" r:id="rId209" xr:uid="{00000000-0004-0000-0100-0000D0000000}"/>
    <hyperlink ref="H787" r:id="rId210" xr:uid="{00000000-0004-0000-0100-0000D1000000}"/>
    <hyperlink ref="H788" r:id="rId211" xr:uid="{00000000-0004-0000-0100-0000D2000000}"/>
    <hyperlink ref="H789" r:id="rId212" xr:uid="{00000000-0004-0000-0100-0000D3000000}"/>
    <hyperlink ref="H790" r:id="rId213" xr:uid="{00000000-0004-0000-0100-0000D4000000}"/>
    <hyperlink ref="H791" r:id="rId214" xr:uid="{00000000-0004-0000-0100-0000D5000000}"/>
    <hyperlink ref="H792" r:id="rId215" xr:uid="{00000000-0004-0000-0100-0000D6000000}"/>
    <hyperlink ref="H793" r:id="rId216" xr:uid="{00000000-0004-0000-0100-0000D7000000}"/>
    <hyperlink ref="H794" r:id="rId217" xr:uid="{00000000-0004-0000-0100-0000D8000000}"/>
    <hyperlink ref="H795" r:id="rId218" xr:uid="{00000000-0004-0000-0100-0000D9000000}"/>
    <hyperlink ref="H796" r:id="rId219" xr:uid="{00000000-0004-0000-0100-0000DA000000}"/>
    <hyperlink ref="H797" r:id="rId220" xr:uid="{00000000-0004-0000-0100-0000DB000000}"/>
    <hyperlink ref="H798" r:id="rId221" xr:uid="{00000000-0004-0000-0100-0000DC000000}"/>
    <hyperlink ref="H799" r:id="rId222" xr:uid="{00000000-0004-0000-0100-0000DD000000}"/>
    <hyperlink ref="H800" r:id="rId223" xr:uid="{00000000-0004-0000-0100-0000DE000000}"/>
    <hyperlink ref="H801" r:id="rId224" xr:uid="{00000000-0004-0000-0100-0000DF000000}"/>
    <hyperlink ref="H802" r:id="rId225" xr:uid="{00000000-0004-0000-0100-0000E0000000}"/>
    <hyperlink ref="H803" r:id="rId226" xr:uid="{00000000-0004-0000-0100-0000E1000000}"/>
    <hyperlink ref="H804" r:id="rId227" xr:uid="{00000000-0004-0000-0100-0000E2000000}"/>
    <hyperlink ref="H805" r:id="rId228" xr:uid="{00000000-0004-0000-0100-0000E3000000}"/>
    <hyperlink ref="H806" r:id="rId229" xr:uid="{00000000-0004-0000-0100-0000E4000000}"/>
    <hyperlink ref="H807" r:id="rId230" xr:uid="{00000000-0004-0000-0100-0000E5000000}"/>
    <hyperlink ref="H808" r:id="rId231" xr:uid="{00000000-0004-0000-0100-0000E6000000}"/>
    <hyperlink ref="H809" r:id="rId232" xr:uid="{00000000-0004-0000-0100-0000E7000000}"/>
    <hyperlink ref="H810" r:id="rId233" xr:uid="{00000000-0004-0000-0100-0000E8000000}"/>
    <hyperlink ref="H811" r:id="rId234" xr:uid="{00000000-0004-0000-0100-0000E9000000}"/>
    <hyperlink ref="H812" r:id="rId235" xr:uid="{00000000-0004-0000-0100-0000EA000000}"/>
    <hyperlink ref="H813" r:id="rId236" xr:uid="{00000000-0004-0000-0100-0000EB000000}"/>
    <hyperlink ref="H814" r:id="rId237" xr:uid="{00000000-0004-0000-0100-0000EC000000}"/>
    <hyperlink ref="H815" r:id="rId238" xr:uid="{00000000-0004-0000-0100-0000ED000000}"/>
    <hyperlink ref="H816" r:id="rId239" xr:uid="{00000000-0004-0000-0100-0000EE000000}"/>
    <hyperlink ref="H817" r:id="rId240" xr:uid="{00000000-0004-0000-0100-0000EF000000}"/>
    <hyperlink ref="H818" r:id="rId241" xr:uid="{00000000-0004-0000-0100-0000F0000000}"/>
    <hyperlink ref="H821" r:id="rId242" xr:uid="{00000000-0004-0000-0100-0000F1000000}"/>
    <hyperlink ref="H822" r:id="rId243" xr:uid="{00000000-0004-0000-0100-0000F2000000}"/>
    <hyperlink ref="H823" r:id="rId244" xr:uid="{00000000-0004-0000-0100-0000F3000000}"/>
    <hyperlink ref="H824" r:id="rId245" xr:uid="{00000000-0004-0000-0100-0000F4000000}"/>
    <hyperlink ref="H826" r:id="rId246" xr:uid="{00000000-0004-0000-0100-0000F5000000}"/>
    <hyperlink ref="H827" r:id="rId247" xr:uid="{00000000-0004-0000-0100-0000F6000000}"/>
    <hyperlink ref="H828" r:id="rId248" xr:uid="{00000000-0004-0000-0100-0000F7000000}"/>
    <hyperlink ref="H829" r:id="rId249" xr:uid="{00000000-0004-0000-0100-0000F8000000}"/>
    <hyperlink ref="H830" r:id="rId250" xr:uid="{00000000-0004-0000-0100-0000F9000000}"/>
    <hyperlink ref="H831" r:id="rId251" xr:uid="{00000000-0004-0000-0100-0000FA000000}"/>
    <hyperlink ref="H832" r:id="rId252" xr:uid="{00000000-0004-0000-0100-0000FB000000}"/>
    <hyperlink ref="H833" r:id="rId253" xr:uid="{00000000-0004-0000-0100-0000FC000000}"/>
    <hyperlink ref="H834" r:id="rId254" xr:uid="{00000000-0004-0000-0100-0000FD000000}"/>
    <hyperlink ref="H835" r:id="rId255" xr:uid="{00000000-0004-0000-0100-0000FE000000}"/>
    <hyperlink ref="H836" r:id="rId256" xr:uid="{00000000-0004-0000-0100-0000FF000000}"/>
    <hyperlink ref="H837" r:id="rId257" xr:uid="{00000000-0004-0000-0100-000000010000}"/>
    <hyperlink ref="H838" r:id="rId258" xr:uid="{00000000-0004-0000-0100-000001010000}"/>
    <hyperlink ref="H839" r:id="rId259" xr:uid="{00000000-0004-0000-0100-000002010000}"/>
    <hyperlink ref="H840" r:id="rId260" xr:uid="{00000000-0004-0000-0100-000003010000}"/>
    <hyperlink ref="H841" r:id="rId261" xr:uid="{00000000-0004-0000-0100-000004010000}"/>
    <hyperlink ref="H842" r:id="rId262" xr:uid="{00000000-0004-0000-0100-000005010000}"/>
    <hyperlink ref="H844" r:id="rId263" xr:uid="{00000000-0004-0000-0100-000006010000}"/>
    <hyperlink ref="H845" r:id="rId264" xr:uid="{00000000-0004-0000-0100-000007010000}"/>
    <hyperlink ref="H846" r:id="rId265" xr:uid="{00000000-0004-0000-0100-000008010000}"/>
    <hyperlink ref="H847" r:id="rId266" xr:uid="{00000000-0004-0000-0100-000009010000}"/>
    <hyperlink ref="H848" r:id="rId267" xr:uid="{00000000-0004-0000-0100-00000A010000}"/>
    <hyperlink ref="H849" r:id="rId268" xr:uid="{00000000-0004-0000-0100-00000B010000}"/>
    <hyperlink ref="H850" r:id="rId269" xr:uid="{00000000-0004-0000-0100-00000C010000}"/>
    <hyperlink ref="H851" r:id="rId270" xr:uid="{00000000-0004-0000-0100-00000D010000}"/>
    <hyperlink ref="H852" r:id="rId271" xr:uid="{00000000-0004-0000-0100-00000E010000}"/>
    <hyperlink ref="H853" r:id="rId272" xr:uid="{00000000-0004-0000-0100-00000F010000}"/>
    <hyperlink ref="H854" r:id="rId273" xr:uid="{00000000-0004-0000-0100-000010010000}"/>
    <hyperlink ref="H855" r:id="rId274" xr:uid="{00000000-0004-0000-0100-000011010000}"/>
    <hyperlink ref="H856" r:id="rId275" xr:uid="{00000000-0004-0000-0100-000012010000}"/>
    <hyperlink ref="H857" r:id="rId276" xr:uid="{00000000-0004-0000-0100-000013010000}"/>
    <hyperlink ref="H858" r:id="rId277" xr:uid="{00000000-0004-0000-0100-000014010000}"/>
    <hyperlink ref="H859" r:id="rId278" xr:uid="{00000000-0004-0000-0100-000015010000}"/>
    <hyperlink ref="H860" r:id="rId279" xr:uid="{00000000-0004-0000-0100-000016010000}"/>
    <hyperlink ref="H862" r:id="rId280" xr:uid="{00000000-0004-0000-0100-000017010000}"/>
    <hyperlink ref="H863" r:id="rId281" xr:uid="{00000000-0004-0000-0100-000018010000}"/>
    <hyperlink ref="H864" r:id="rId282" xr:uid="{00000000-0004-0000-0100-000019010000}"/>
    <hyperlink ref="H865" r:id="rId283" xr:uid="{00000000-0004-0000-0100-00001A010000}"/>
    <hyperlink ref="H866" r:id="rId284" xr:uid="{00000000-0004-0000-0100-00001B010000}"/>
    <hyperlink ref="H867" r:id="rId285" xr:uid="{00000000-0004-0000-0100-00001C010000}"/>
    <hyperlink ref="H868" r:id="rId286" xr:uid="{00000000-0004-0000-0100-00001D010000}"/>
    <hyperlink ref="H869" r:id="rId287" xr:uid="{00000000-0004-0000-0100-00001E010000}"/>
    <hyperlink ref="H870" r:id="rId288" xr:uid="{00000000-0004-0000-0100-00001F010000}"/>
    <hyperlink ref="H871" r:id="rId289" xr:uid="{00000000-0004-0000-0100-000020010000}"/>
    <hyperlink ref="H872" r:id="rId290" xr:uid="{00000000-0004-0000-0100-000021010000}"/>
    <hyperlink ref="H873" r:id="rId291" xr:uid="{00000000-0004-0000-0100-000022010000}"/>
    <hyperlink ref="H874" r:id="rId292" xr:uid="{00000000-0004-0000-0100-000023010000}"/>
    <hyperlink ref="H875" r:id="rId293" xr:uid="{00000000-0004-0000-0100-000024010000}"/>
    <hyperlink ref="H876" r:id="rId294" xr:uid="{00000000-0004-0000-0100-000025010000}"/>
    <hyperlink ref="H877" r:id="rId295" xr:uid="{00000000-0004-0000-0100-000026010000}"/>
    <hyperlink ref="H878" r:id="rId296" xr:uid="{00000000-0004-0000-0100-000027010000}"/>
    <hyperlink ref="H879" r:id="rId297" xr:uid="{00000000-0004-0000-0100-000028010000}"/>
    <hyperlink ref="H880" r:id="rId298" xr:uid="{00000000-0004-0000-0100-000029010000}"/>
    <hyperlink ref="H881" r:id="rId299" xr:uid="{00000000-0004-0000-0100-00002A010000}"/>
    <hyperlink ref="H882" r:id="rId300" xr:uid="{00000000-0004-0000-0100-00002B010000}"/>
    <hyperlink ref="H883" r:id="rId301" xr:uid="{00000000-0004-0000-0100-00002C010000}"/>
    <hyperlink ref="H884" r:id="rId302" xr:uid="{00000000-0004-0000-0100-00002D010000}"/>
    <hyperlink ref="H886" r:id="rId303" xr:uid="{00000000-0004-0000-0100-00002E010000}"/>
    <hyperlink ref="H887" r:id="rId304" xr:uid="{00000000-0004-0000-0100-00002F010000}"/>
    <hyperlink ref="H888" r:id="rId305" xr:uid="{00000000-0004-0000-0100-000030010000}"/>
    <hyperlink ref="H889" r:id="rId306" xr:uid="{00000000-0004-0000-0100-000031010000}"/>
    <hyperlink ref="H890" r:id="rId307" xr:uid="{00000000-0004-0000-0100-000032010000}"/>
    <hyperlink ref="H891" r:id="rId308" xr:uid="{00000000-0004-0000-0100-000033010000}"/>
    <hyperlink ref="H892" r:id="rId309" xr:uid="{00000000-0004-0000-0100-000034010000}"/>
    <hyperlink ref="H893" r:id="rId310" xr:uid="{00000000-0004-0000-0100-000035010000}"/>
    <hyperlink ref="H894" r:id="rId311" xr:uid="{00000000-0004-0000-0100-000036010000}"/>
    <hyperlink ref="H895" r:id="rId312" xr:uid="{00000000-0004-0000-0100-000037010000}"/>
    <hyperlink ref="H896" r:id="rId313" xr:uid="{00000000-0004-0000-0100-000038010000}"/>
    <hyperlink ref="H897" r:id="rId314" xr:uid="{00000000-0004-0000-0100-000039010000}"/>
    <hyperlink ref="H898" r:id="rId315" xr:uid="{00000000-0004-0000-0100-00003A010000}"/>
    <hyperlink ref="H899" r:id="rId316" xr:uid="{00000000-0004-0000-0100-00003B010000}"/>
    <hyperlink ref="H900" r:id="rId317" xr:uid="{00000000-0004-0000-0100-00003C010000}"/>
    <hyperlink ref="H901" r:id="rId318" xr:uid="{00000000-0004-0000-0100-00003D010000}"/>
    <hyperlink ref="H902" r:id="rId319" xr:uid="{00000000-0004-0000-0100-00003E010000}"/>
    <hyperlink ref="H903" r:id="rId320" xr:uid="{00000000-0004-0000-0100-00003F010000}"/>
    <hyperlink ref="H904" r:id="rId321" xr:uid="{00000000-0004-0000-0100-000040010000}"/>
    <hyperlink ref="H905" r:id="rId322" xr:uid="{00000000-0004-0000-0100-000041010000}"/>
    <hyperlink ref="H906" r:id="rId323" xr:uid="{00000000-0004-0000-0100-000042010000}"/>
    <hyperlink ref="H907" r:id="rId324" xr:uid="{00000000-0004-0000-0100-000043010000}"/>
    <hyperlink ref="H908" r:id="rId325" xr:uid="{00000000-0004-0000-0100-000044010000}"/>
    <hyperlink ref="H909" r:id="rId326" xr:uid="{00000000-0004-0000-0100-000045010000}"/>
    <hyperlink ref="H910" r:id="rId327" xr:uid="{00000000-0004-0000-0100-000046010000}"/>
    <hyperlink ref="H911" r:id="rId328" xr:uid="{00000000-0004-0000-0100-000047010000}"/>
    <hyperlink ref="H912" r:id="rId329" xr:uid="{00000000-0004-0000-0100-000048010000}"/>
    <hyperlink ref="H913" r:id="rId330" xr:uid="{00000000-0004-0000-0100-000049010000}"/>
    <hyperlink ref="H914" r:id="rId331" xr:uid="{00000000-0004-0000-0100-00004A010000}"/>
    <hyperlink ref="H915" r:id="rId332" xr:uid="{00000000-0004-0000-0100-00004B010000}"/>
    <hyperlink ref="H916" r:id="rId333" xr:uid="{00000000-0004-0000-0100-00004C010000}"/>
    <hyperlink ref="H917" r:id="rId334" xr:uid="{00000000-0004-0000-0100-00004D010000}"/>
    <hyperlink ref="H918" r:id="rId335" xr:uid="{00000000-0004-0000-0100-00004E010000}"/>
    <hyperlink ref="H919" r:id="rId336" xr:uid="{00000000-0004-0000-0100-00004F010000}"/>
    <hyperlink ref="H921" r:id="rId337" xr:uid="{00000000-0004-0000-0100-000050010000}"/>
    <hyperlink ref="H922" r:id="rId338" xr:uid="{00000000-0004-0000-0100-000051010000}"/>
    <hyperlink ref="H923" r:id="rId339" xr:uid="{00000000-0004-0000-0100-000052010000}"/>
    <hyperlink ref="H924" r:id="rId340" xr:uid="{00000000-0004-0000-0100-000053010000}"/>
    <hyperlink ref="H925" r:id="rId341" xr:uid="{00000000-0004-0000-0100-000054010000}"/>
    <hyperlink ref="H926" r:id="rId342" xr:uid="{00000000-0004-0000-0100-000055010000}"/>
    <hyperlink ref="H927" r:id="rId343" xr:uid="{00000000-0004-0000-0100-000056010000}"/>
    <hyperlink ref="H929" r:id="rId344" xr:uid="{00000000-0004-0000-0100-000057010000}"/>
    <hyperlink ref="H930" r:id="rId345" xr:uid="{00000000-0004-0000-0100-000058010000}"/>
    <hyperlink ref="H931" r:id="rId346" xr:uid="{00000000-0004-0000-0100-000059010000}"/>
    <hyperlink ref="H932" r:id="rId347" xr:uid="{00000000-0004-0000-0100-00005A010000}"/>
    <hyperlink ref="H933" r:id="rId348" xr:uid="{00000000-0004-0000-0100-00005B010000}"/>
    <hyperlink ref="H934" r:id="rId349" xr:uid="{00000000-0004-0000-0100-00005C010000}"/>
    <hyperlink ref="H935" r:id="rId350" xr:uid="{00000000-0004-0000-0100-00005D010000}"/>
    <hyperlink ref="H936" r:id="rId351" xr:uid="{00000000-0004-0000-0100-00005E010000}"/>
    <hyperlink ref="H937" r:id="rId352" xr:uid="{00000000-0004-0000-0100-00005F010000}"/>
    <hyperlink ref="H938" r:id="rId353" xr:uid="{00000000-0004-0000-0100-000060010000}"/>
    <hyperlink ref="H939" r:id="rId354" xr:uid="{00000000-0004-0000-0100-000061010000}"/>
    <hyperlink ref="H940" r:id="rId355" xr:uid="{00000000-0004-0000-0100-000062010000}"/>
    <hyperlink ref="H941" r:id="rId356" xr:uid="{00000000-0004-0000-0100-000063010000}"/>
    <hyperlink ref="H942" r:id="rId357" xr:uid="{00000000-0004-0000-0100-000064010000}"/>
    <hyperlink ref="H943" r:id="rId358" xr:uid="{00000000-0004-0000-0100-000065010000}"/>
    <hyperlink ref="H944" r:id="rId359" xr:uid="{00000000-0004-0000-0100-000066010000}"/>
    <hyperlink ref="H945" r:id="rId360" xr:uid="{00000000-0004-0000-0100-000067010000}"/>
    <hyperlink ref="H946" r:id="rId361" xr:uid="{00000000-0004-0000-0100-000068010000}"/>
    <hyperlink ref="H947" r:id="rId362" xr:uid="{00000000-0004-0000-0100-000069010000}"/>
    <hyperlink ref="H948" r:id="rId363" xr:uid="{00000000-0004-0000-0100-00006A010000}"/>
    <hyperlink ref="H949" r:id="rId364" xr:uid="{00000000-0004-0000-0100-00006B010000}"/>
    <hyperlink ref="H951" r:id="rId365" xr:uid="{00000000-0004-0000-0100-00006C010000}"/>
    <hyperlink ref="H952" r:id="rId366" xr:uid="{00000000-0004-0000-0100-00006D010000}"/>
    <hyperlink ref="H956" r:id="rId367" xr:uid="{00000000-0004-0000-0100-00006E010000}"/>
    <hyperlink ref="H957" r:id="rId368" xr:uid="{00000000-0004-0000-0100-00006F010000}"/>
    <hyperlink ref="H958" r:id="rId369" xr:uid="{00000000-0004-0000-0100-000070010000}"/>
    <hyperlink ref="H959" r:id="rId370" xr:uid="{00000000-0004-0000-0100-000071010000}"/>
    <hyperlink ref="H960" r:id="rId371" xr:uid="{00000000-0004-0000-0100-000072010000}"/>
    <hyperlink ref="H961" r:id="rId372" xr:uid="{00000000-0004-0000-0100-000073010000}"/>
    <hyperlink ref="B962" r:id="rId373" xr:uid="{00000000-0004-0000-0100-000074010000}"/>
    <hyperlink ref="H962" r:id="rId374" xr:uid="{00000000-0004-0000-0100-000075010000}"/>
    <hyperlink ref="H963" r:id="rId375" xr:uid="{00000000-0004-0000-0100-000076010000}"/>
    <hyperlink ref="H964" r:id="rId376" xr:uid="{00000000-0004-0000-0100-000077010000}"/>
    <hyperlink ref="H965" r:id="rId377" xr:uid="{00000000-0004-0000-0100-000078010000}"/>
    <hyperlink ref="H966" r:id="rId378" xr:uid="{00000000-0004-0000-0100-000079010000}"/>
    <hyperlink ref="H967" r:id="rId379" xr:uid="{00000000-0004-0000-0100-00007A010000}"/>
    <hyperlink ref="H968" r:id="rId380" xr:uid="{00000000-0004-0000-0100-00007B010000}"/>
    <hyperlink ref="H969" r:id="rId381" xr:uid="{00000000-0004-0000-0100-00007C010000}"/>
    <hyperlink ref="H970" r:id="rId382" xr:uid="{00000000-0004-0000-0100-00007D010000}"/>
    <hyperlink ref="H971" r:id="rId383" xr:uid="{00000000-0004-0000-0100-00007E010000}"/>
    <hyperlink ref="H972" r:id="rId384" xr:uid="{00000000-0004-0000-0100-00007F010000}"/>
    <hyperlink ref="H973" r:id="rId385" xr:uid="{00000000-0004-0000-0100-000080010000}"/>
    <hyperlink ref="H975" r:id="rId386" xr:uid="{00000000-0004-0000-0100-000081010000}"/>
    <hyperlink ref="H976" r:id="rId387" xr:uid="{00000000-0004-0000-0100-000082010000}"/>
    <hyperlink ref="H977" r:id="rId388" xr:uid="{00000000-0004-0000-0100-000083010000}"/>
    <hyperlink ref="C978" r:id="rId389" xr:uid="{00000000-0004-0000-0100-000084010000}"/>
    <hyperlink ref="H978" r:id="rId390" xr:uid="{00000000-0004-0000-0100-000085010000}"/>
    <hyperlink ref="H979" r:id="rId391" xr:uid="{00000000-0004-0000-0100-000086010000}"/>
    <hyperlink ref="H980" r:id="rId392" xr:uid="{00000000-0004-0000-0100-000087010000}"/>
    <hyperlink ref="H981" r:id="rId393" xr:uid="{00000000-0004-0000-0100-000088010000}"/>
    <hyperlink ref="H982" r:id="rId394" xr:uid="{00000000-0004-0000-0100-000089010000}"/>
    <hyperlink ref="H983" r:id="rId395" xr:uid="{00000000-0004-0000-0100-00008A010000}"/>
    <hyperlink ref="H984" r:id="rId396" xr:uid="{00000000-0004-0000-0100-00008B010000}"/>
    <hyperlink ref="H985" r:id="rId397" xr:uid="{00000000-0004-0000-0100-00008C010000}"/>
    <hyperlink ref="H986" r:id="rId398" xr:uid="{00000000-0004-0000-0100-00008D010000}"/>
    <hyperlink ref="H987" r:id="rId399" xr:uid="{00000000-0004-0000-0100-00008E010000}"/>
    <hyperlink ref="H988" r:id="rId400" xr:uid="{00000000-0004-0000-0100-00008F010000}"/>
    <hyperlink ref="H989" r:id="rId401" xr:uid="{00000000-0004-0000-0100-000090010000}"/>
    <hyperlink ref="H990" r:id="rId402" xr:uid="{00000000-0004-0000-0100-000091010000}"/>
    <hyperlink ref="H991" r:id="rId403" xr:uid="{00000000-0004-0000-0100-000092010000}"/>
    <hyperlink ref="H992" r:id="rId404" xr:uid="{00000000-0004-0000-0100-000093010000}"/>
  </hyperlinks>
  <pageMargins left="0.7" right="0.7" top="0.75" bottom="0.75" header="0.3" footer="0.3"/>
  <legacyDrawing r:id="rId4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E7CC3"/>
    <outlinePr summaryBelow="0" summaryRight="0"/>
  </sheetPr>
  <dimension ref="A1:W1005"/>
  <sheetViews>
    <sheetView workbookViewId="0"/>
  </sheetViews>
  <sheetFormatPr defaultColWidth="12.5703125" defaultRowHeight="15.75" customHeight="1"/>
  <cols>
    <col min="1" max="1" width="23.140625" customWidth="1"/>
    <col min="2" max="2" width="33.5703125" customWidth="1"/>
    <col min="3" max="3" width="38.140625" customWidth="1"/>
    <col min="4" max="4" width="20.28515625" customWidth="1"/>
    <col min="5" max="5" width="14.42578125" customWidth="1"/>
    <col min="6" max="6" width="19.42578125" customWidth="1"/>
    <col min="9" max="14" width="14.5703125" customWidth="1"/>
  </cols>
  <sheetData>
    <row r="1" spans="1:23" ht="18">
      <c r="A1" s="674"/>
      <c r="B1" s="670"/>
      <c r="C1" s="670"/>
      <c r="D1" s="670"/>
      <c r="E1" s="670"/>
      <c r="F1" s="670"/>
      <c r="I1" s="675"/>
      <c r="J1" s="670"/>
      <c r="K1" s="670"/>
      <c r="L1" s="670"/>
      <c r="M1" s="670"/>
      <c r="N1" s="670"/>
    </row>
    <row r="2" spans="1:23" ht="18">
      <c r="A2" s="334" t="s">
        <v>5409</v>
      </c>
      <c r="B2" s="334" t="s">
        <v>5410</v>
      </c>
      <c r="C2" s="334" t="s">
        <v>3370</v>
      </c>
      <c r="D2" s="334" t="s">
        <v>5411</v>
      </c>
      <c r="E2" s="334" t="s">
        <v>9</v>
      </c>
      <c r="F2" s="335" t="s">
        <v>5412</v>
      </c>
      <c r="I2" s="333"/>
      <c r="J2" s="333"/>
      <c r="K2" s="333"/>
      <c r="L2" s="333"/>
      <c r="M2" s="333"/>
      <c r="N2" s="336"/>
    </row>
    <row r="3" spans="1:23" ht="15">
      <c r="A3" s="337" t="s">
        <v>5413</v>
      </c>
      <c r="B3" s="338" t="s">
        <v>5414</v>
      </c>
      <c r="C3" s="338" t="s">
        <v>5415</v>
      </c>
      <c r="D3" s="339" t="s">
        <v>5416</v>
      </c>
      <c r="E3" s="340" t="s">
        <v>27</v>
      </c>
      <c r="F3" s="341" t="s">
        <v>5417</v>
      </c>
      <c r="G3" s="342"/>
      <c r="H3" s="343"/>
      <c r="I3" s="342"/>
      <c r="J3" s="342"/>
      <c r="K3" s="342"/>
      <c r="L3" s="342"/>
      <c r="M3" s="342"/>
      <c r="N3" s="342"/>
      <c r="O3" s="342"/>
      <c r="P3" s="342"/>
      <c r="Q3" s="342"/>
      <c r="R3" s="342"/>
      <c r="S3" s="342"/>
      <c r="T3" s="342"/>
      <c r="U3" s="342"/>
      <c r="V3" s="342"/>
      <c r="W3" s="342"/>
    </row>
    <row r="4" spans="1:23" ht="15">
      <c r="A4" s="344" t="s">
        <v>5418</v>
      </c>
      <c r="B4" s="345" t="s">
        <v>5419</v>
      </c>
      <c r="C4" s="345" t="s">
        <v>5420</v>
      </c>
      <c r="D4" s="346" t="s">
        <v>5421</v>
      </c>
      <c r="E4" s="23" t="s">
        <v>27</v>
      </c>
      <c r="F4" s="66" t="s">
        <v>5422</v>
      </c>
    </row>
    <row r="5" spans="1:23" ht="15">
      <c r="A5" s="347" t="s">
        <v>5423</v>
      </c>
      <c r="B5" s="348" t="s">
        <v>5424</v>
      </c>
      <c r="C5" s="349" t="s">
        <v>5425</v>
      </c>
      <c r="D5" s="346" t="s">
        <v>5421</v>
      </c>
      <c r="E5" s="347" t="s">
        <v>27</v>
      </c>
      <c r="F5" s="66" t="s">
        <v>5422</v>
      </c>
    </row>
    <row r="6" spans="1:23" ht="15">
      <c r="A6" s="350" t="s">
        <v>5426</v>
      </c>
      <c r="B6" s="351" t="s">
        <v>5427</v>
      </c>
      <c r="C6" s="351" t="s">
        <v>5428</v>
      </c>
      <c r="D6" s="346" t="s">
        <v>5421</v>
      </c>
      <c r="E6" s="347" t="s">
        <v>27</v>
      </c>
      <c r="F6" s="66" t="s">
        <v>5422</v>
      </c>
    </row>
    <row r="7" spans="1:23" ht="15">
      <c r="A7" s="352" t="s">
        <v>5429</v>
      </c>
      <c r="B7" s="349" t="s">
        <v>5430</v>
      </c>
      <c r="C7" s="349" t="s">
        <v>5431</v>
      </c>
      <c r="D7" s="346" t="s">
        <v>5421</v>
      </c>
      <c r="E7" s="347" t="s">
        <v>27</v>
      </c>
      <c r="F7" s="66" t="s">
        <v>5422</v>
      </c>
    </row>
    <row r="8" spans="1:23" ht="15">
      <c r="A8" s="353" t="s">
        <v>5432</v>
      </c>
      <c r="B8" s="354" t="s">
        <v>5433</v>
      </c>
      <c r="C8" s="354" t="s">
        <v>5434</v>
      </c>
      <c r="D8" s="346" t="s">
        <v>5421</v>
      </c>
      <c r="E8" s="355" t="s">
        <v>27</v>
      </c>
      <c r="F8" s="66" t="s">
        <v>5422</v>
      </c>
    </row>
    <row r="9" spans="1:23" ht="15">
      <c r="A9" s="356" t="s">
        <v>5435</v>
      </c>
      <c r="B9" s="349" t="s">
        <v>5436</v>
      </c>
      <c r="C9" s="349" t="s">
        <v>5437</v>
      </c>
      <c r="D9" s="357" t="s">
        <v>5438</v>
      </c>
      <c r="E9" s="347" t="s">
        <v>27</v>
      </c>
      <c r="F9" s="66" t="s">
        <v>5422</v>
      </c>
      <c r="H9" s="358"/>
    </row>
    <row r="10" spans="1:23" ht="15">
      <c r="A10" s="356" t="s">
        <v>5439</v>
      </c>
      <c r="B10" s="349" t="s">
        <v>5440</v>
      </c>
      <c r="C10" s="349" t="s">
        <v>5441</v>
      </c>
      <c r="D10" s="357" t="s">
        <v>5438</v>
      </c>
      <c r="E10" s="347" t="s">
        <v>27</v>
      </c>
      <c r="F10" s="66" t="s">
        <v>5422</v>
      </c>
      <c r="H10" s="358"/>
    </row>
    <row r="11" spans="1:23" ht="15">
      <c r="A11" s="347" t="s">
        <v>5442</v>
      </c>
      <c r="B11" s="349" t="s">
        <v>5443</v>
      </c>
      <c r="C11" s="348" t="s">
        <v>2701</v>
      </c>
      <c r="D11" s="357" t="s">
        <v>5438</v>
      </c>
      <c r="E11" s="347" t="s">
        <v>27</v>
      </c>
      <c r="F11" s="66" t="s">
        <v>5422</v>
      </c>
      <c r="H11" s="358"/>
    </row>
    <row r="12" spans="1:23" ht="15">
      <c r="A12" s="347" t="s">
        <v>5444</v>
      </c>
      <c r="B12" s="349" t="s">
        <v>5445</v>
      </c>
      <c r="C12" s="348" t="s">
        <v>3266</v>
      </c>
      <c r="D12" s="357" t="s">
        <v>5438</v>
      </c>
      <c r="E12" s="347" t="s">
        <v>27</v>
      </c>
      <c r="F12" s="66" t="s">
        <v>5422</v>
      </c>
      <c r="H12" s="358"/>
    </row>
    <row r="13" spans="1:23" ht="15">
      <c r="A13" s="350" t="s">
        <v>5446</v>
      </c>
      <c r="B13" s="351" t="s">
        <v>5447</v>
      </c>
      <c r="C13" s="351" t="s">
        <v>5448</v>
      </c>
      <c r="D13" s="357" t="s">
        <v>5438</v>
      </c>
      <c r="E13" s="347" t="s">
        <v>27</v>
      </c>
      <c r="F13" s="66" t="s">
        <v>5422</v>
      </c>
      <c r="H13" s="359"/>
    </row>
    <row r="14" spans="1:23" ht="15">
      <c r="A14" s="350" t="s">
        <v>5449</v>
      </c>
      <c r="B14" s="351" t="s">
        <v>5450</v>
      </c>
      <c r="C14" s="351" t="s">
        <v>5451</v>
      </c>
      <c r="D14" s="357" t="s">
        <v>5438</v>
      </c>
      <c r="E14" s="347" t="s">
        <v>27</v>
      </c>
      <c r="F14" s="66" t="s">
        <v>5422</v>
      </c>
      <c r="H14" s="359"/>
    </row>
    <row r="15" spans="1:23" ht="15">
      <c r="A15" s="350" t="s">
        <v>5452</v>
      </c>
      <c r="B15" s="351" t="s">
        <v>5453</v>
      </c>
      <c r="C15" s="351" t="s">
        <v>5454</v>
      </c>
      <c r="D15" s="357" t="s">
        <v>5438</v>
      </c>
      <c r="E15" s="347" t="s">
        <v>27</v>
      </c>
      <c r="F15" s="66" t="s">
        <v>5422</v>
      </c>
      <c r="H15" s="359"/>
    </row>
    <row r="16" spans="1:23" ht="15">
      <c r="A16" s="355" t="s">
        <v>5455</v>
      </c>
      <c r="B16" s="360" t="s">
        <v>5456</v>
      </c>
      <c r="C16" s="361" t="s">
        <v>5457</v>
      </c>
      <c r="D16" s="357" t="s">
        <v>5438</v>
      </c>
      <c r="E16" s="355" t="s">
        <v>27</v>
      </c>
      <c r="F16" s="66" t="s">
        <v>5422</v>
      </c>
      <c r="H16" s="358"/>
    </row>
    <row r="17" spans="1:23" ht="15">
      <c r="A17" s="350" t="s">
        <v>5458</v>
      </c>
      <c r="B17" s="351" t="s">
        <v>5459</v>
      </c>
      <c r="C17" s="351" t="s">
        <v>5460</v>
      </c>
      <c r="D17" s="357" t="s">
        <v>5438</v>
      </c>
      <c r="E17" s="347" t="s">
        <v>38</v>
      </c>
      <c r="F17" s="66" t="s">
        <v>5422</v>
      </c>
      <c r="G17" s="36" t="s">
        <v>5461</v>
      </c>
      <c r="H17" s="359"/>
    </row>
    <row r="18" spans="1:23" ht="15">
      <c r="A18" s="347" t="s">
        <v>5462</v>
      </c>
      <c r="B18" s="348" t="s">
        <v>5463</v>
      </c>
      <c r="C18" s="349" t="s">
        <v>315</v>
      </c>
      <c r="D18" s="346" t="s">
        <v>5421</v>
      </c>
      <c r="E18" s="347" t="s">
        <v>38</v>
      </c>
      <c r="F18" s="66" t="s">
        <v>5464</v>
      </c>
      <c r="G18" s="36" t="s">
        <v>5465</v>
      </c>
    </row>
    <row r="19" spans="1:23" ht="15">
      <c r="A19" s="350" t="s">
        <v>5466</v>
      </c>
      <c r="B19" s="351" t="s">
        <v>5467</v>
      </c>
      <c r="C19" s="351" t="s">
        <v>5468</v>
      </c>
      <c r="D19" s="346" t="s">
        <v>5421</v>
      </c>
      <c r="E19" s="347" t="s">
        <v>38</v>
      </c>
      <c r="F19" s="66" t="s">
        <v>5464</v>
      </c>
      <c r="G19" s="36" t="s">
        <v>5469</v>
      </c>
    </row>
    <row r="20" spans="1:23" ht="15">
      <c r="A20" s="337" t="s">
        <v>5470</v>
      </c>
      <c r="B20" s="362" t="s">
        <v>5471</v>
      </c>
      <c r="C20" s="362" t="s">
        <v>5472</v>
      </c>
      <c r="D20" s="339" t="s">
        <v>5416</v>
      </c>
      <c r="E20" s="340" t="s">
        <v>27</v>
      </c>
      <c r="F20" s="341" t="s">
        <v>5417</v>
      </c>
      <c r="G20" s="342"/>
      <c r="H20" s="342"/>
      <c r="I20" s="342"/>
      <c r="J20" s="342"/>
      <c r="K20" s="342"/>
      <c r="L20" s="342"/>
      <c r="M20" s="342"/>
      <c r="N20" s="342"/>
      <c r="O20" s="342"/>
      <c r="P20" s="342"/>
      <c r="Q20" s="342"/>
      <c r="R20" s="342"/>
      <c r="S20" s="342"/>
      <c r="T20" s="342"/>
      <c r="U20" s="342"/>
      <c r="V20" s="342"/>
      <c r="W20" s="342"/>
    </row>
    <row r="21" spans="1:23" ht="17.25" customHeight="1">
      <c r="A21" s="347" t="s">
        <v>5473</v>
      </c>
      <c r="B21" s="349" t="s">
        <v>5474</v>
      </c>
      <c r="C21" s="351" t="s">
        <v>5475</v>
      </c>
      <c r="D21" s="357" t="s">
        <v>5438</v>
      </c>
      <c r="E21" s="347" t="s">
        <v>27</v>
      </c>
      <c r="F21" s="66" t="s">
        <v>5476</v>
      </c>
    </row>
    <row r="22" spans="1:23" ht="15">
      <c r="A22" s="347" t="s">
        <v>5477</v>
      </c>
      <c r="B22" s="349" t="s">
        <v>5478</v>
      </c>
      <c r="C22" s="351" t="s">
        <v>580</v>
      </c>
      <c r="D22" s="357" t="s">
        <v>5438</v>
      </c>
      <c r="E22" s="347" t="s">
        <v>27</v>
      </c>
      <c r="F22" s="66" t="s">
        <v>5476</v>
      </c>
    </row>
    <row r="23" spans="1:23" ht="15">
      <c r="A23" s="347" t="s">
        <v>5479</v>
      </c>
      <c r="B23" s="349" t="s">
        <v>5480</v>
      </c>
      <c r="C23" s="351" t="s">
        <v>5481</v>
      </c>
      <c r="D23" s="357" t="s">
        <v>5438</v>
      </c>
      <c r="E23" s="347" t="s">
        <v>27</v>
      </c>
      <c r="F23" s="66" t="s">
        <v>5476</v>
      </c>
    </row>
    <row r="24" spans="1:23" ht="15">
      <c r="A24" s="347" t="s">
        <v>5482</v>
      </c>
      <c r="B24" s="349" t="s">
        <v>5483</v>
      </c>
      <c r="C24" s="351" t="s">
        <v>5484</v>
      </c>
      <c r="D24" s="357" t="s">
        <v>5438</v>
      </c>
      <c r="E24" s="347" t="s">
        <v>27</v>
      </c>
      <c r="F24" s="66" t="s">
        <v>5476</v>
      </c>
    </row>
    <row r="25" spans="1:23" ht="15">
      <c r="A25" s="347" t="s">
        <v>5485</v>
      </c>
      <c r="B25" s="349" t="s">
        <v>5486</v>
      </c>
      <c r="C25" s="351" t="s">
        <v>5487</v>
      </c>
      <c r="D25" s="357" t="s">
        <v>5438</v>
      </c>
      <c r="E25" s="347" t="s">
        <v>27</v>
      </c>
      <c r="F25" s="66" t="s">
        <v>5476</v>
      </c>
    </row>
    <row r="26" spans="1:23" ht="15">
      <c r="A26" s="347" t="s">
        <v>5488</v>
      </c>
      <c r="B26" s="349" t="s">
        <v>5489</v>
      </c>
      <c r="C26" s="351" t="s">
        <v>5490</v>
      </c>
      <c r="D26" s="357" t="s">
        <v>5438</v>
      </c>
      <c r="E26" s="347" t="s">
        <v>27</v>
      </c>
      <c r="F26" s="66" t="s">
        <v>5476</v>
      </c>
    </row>
    <row r="27" spans="1:23" ht="15">
      <c r="A27" s="347" t="s">
        <v>5491</v>
      </c>
      <c r="B27" s="349" t="s">
        <v>5492</v>
      </c>
      <c r="C27" s="351" t="s">
        <v>5493</v>
      </c>
      <c r="D27" s="357" t="s">
        <v>5438</v>
      </c>
      <c r="E27" s="347" t="s">
        <v>27</v>
      </c>
      <c r="F27" s="66" t="s">
        <v>5476</v>
      </c>
    </row>
    <row r="28" spans="1:23" ht="15">
      <c r="A28" s="347" t="s">
        <v>5494</v>
      </c>
      <c r="B28" s="349" t="s">
        <v>5495</v>
      </c>
      <c r="C28" s="351" t="s">
        <v>5496</v>
      </c>
      <c r="D28" s="357" t="s">
        <v>5438</v>
      </c>
      <c r="E28" s="347" t="s">
        <v>27</v>
      </c>
      <c r="F28" s="66" t="s">
        <v>5476</v>
      </c>
    </row>
    <row r="29" spans="1:23" ht="16.5" customHeight="1">
      <c r="A29" s="347" t="s">
        <v>5497</v>
      </c>
      <c r="B29" s="349" t="s">
        <v>5498</v>
      </c>
      <c r="C29" s="351" t="s">
        <v>5499</v>
      </c>
      <c r="D29" s="357" t="s">
        <v>5500</v>
      </c>
      <c r="E29" s="347" t="s">
        <v>27</v>
      </c>
      <c r="F29" s="66" t="s">
        <v>5476</v>
      </c>
    </row>
    <row r="30" spans="1:23" ht="16.5" customHeight="1">
      <c r="A30" s="355" t="s">
        <v>5501</v>
      </c>
      <c r="B30" s="360" t="s">
        <v>5502</v>
      </c>
      <c r="C30" s="354" t="s">
        <v>5503</v>
      </c>
      <c r="D30" s="357" t="s">
        <v>5500</v>
      </c>
      <c r="E30" s="355" t="s">
        <v>27</v>
      </c>
      <c r="F30" s="66" t="s">
        <v>5476</v>
      </c>
    </row>
    <row r="31" spans="1:23" ht="15">
      <c r="A31" s="347" t="s">
        <v>5504</v>
      </c>
      <c r="B31" s="351" t="s">
        <v>5505</v>
      </c>
      <c r="C31" s="349" t="s">
        <v>5506</v>
      </c>
      <c r="D31" s="346" t="s">
        <v>5421</v>
      </c>
      <c r="E31" s="347" t="s">
        <v>27</v>
      </c>
      <c r="F31" s="66" t="s">
        <v>5476</v>
      </c>
    </row>
    <row r="32" spans="1:23" ht="15">
      <c r="A32" s="356" t="s">
        <v>5507</v>
      </c>
      <c r="B32" s="349" t="s">
        <v>5508</v>
      </c>
      <c r="C32" s="349" t="s">
        <v>5509</v>
      </c>
      <c r="D32" s="346" t="s">
        <v>5421</v>
      </c>
      <c r="E32" s="347" t="s">
        <v>27</v>
      </c>
      <c r="F32" s="66" t="s">
        <v>5476</v>
      </c>
    </row>
    <row r="33" spans="1:23" ht="15">
      <c r="A33" s="350" t="s">
        <v>5510</v>
      </c>
      <c r="B33" s="351" t="s">
        <v>5511</v>
      </c>
      <c r="C33" s="351" t="s">
        <v>5512</v>
      </c>
      <c r="D33" s="346" t="s">
        <v>5421</v>
      </c>
      <c r="E33" s="347" t="s">
        <v>27</v>
      </c>
      <c r="F33" s="66" t="s">
        <v>5476</v>
      </c>
    </row>
    <row r="34" spans="1:23" ht="15">
      <c r="A34" s="347" t="s">
        <v>5513</v>
      </c>
      <c r="B34" s="363" t="s">
        <v>5514</v>
      </c>
      <c r="C34" s="349" t="s">
        <v>5515</v>
      </c>
      <c r="D34" s="346" t="s">
        <v>5421</v>
      </c>
      <c r="E34" s="347" t="s">
        <v>27</v>
      </c>
      <c r="F34" s="66" t="s">
        <v>5476</v>
      </c>
    </row>
    <row r="35" spans="1:23" ht="15">
      <c r="A35" s="356" t="s">
        <v>5516</v>
      </c>
      <c r="B35" s="364" t="s">
        <v>5517</v>
      </c>
      <c r="C35" s="364" t="s">
        <v>5518</v>
      </c>
      <c r="D35" s="346" t="s">
        <v>5421</v>
      </c>
      <c r="E35" s="346" t="s">
        <v>38</v>
      </c>
      <c r="F35" s="66" t="s">
        <v>5464</v>
      </c>
      <c r="G35" s="36" t="s">
        <v>5469</v>
      </c>
    </row>
    <row r="36" spans="1:23" ht="16.5" customHeight="1">
      <c r="A36" s="340" t="s">
        <v>5519</v>
      </c>
      <c r="B36" s="365" t="s">
        <v>5520</v>
      </c>
      <c r="C36" s="338" t="s">
        <v>5521</v>
      </c>
      <c r="D36" s="366" t="s">
        <v>5522</v>
      </c>
      <c r="E36" s="340" t="s">
        <v>27</v>
      </c>
      <c r="F36" s="367" t="s">
        <v>5417</v>
      </c>
      <c r="G36" s="342"/>
      <c r="H36" s="342"/>
      <c r="I36" s="342"/>
      <c r="J36" s="342"/>
      <c r="K36" s="342"/>
      <c r="L36" s="342"/>
      <c r="M36" s="342"/>
      <c r="N36" s="342"/>
      <c r="O36" s="342"/>
      <c r="P36" s="342"/>
      <c r="Q36" s="342"/>
      <c r="R36" s="342"/>
      <c r="S36" s="342"/>
      <c r="T36" s="342"/>
      <c r="U36" s="342"/>
      <c r="V36" s="342"/>
      <c r="W36" s="342"/>
    </row>
    <row r="37" spans="1:23" ht="16.5" customHeight="1">
      <c r="A37" s="347" t="s">
        <v>5523</v>
      </c>
      <c r="B37" s="349" t="s">
        <v>5524</v>
      </c>
      <c r="C37" s="351" t="s">
        <v>5525</v>
      </c>
      <c r="D37" s="357" t="s">
        <v>5526</v>
      </c>
      <c r="E37" s="347" t="s">
        <v>27</v>
      </c>
      <c r="F37" s="66" t="s">
        <v>5527</v>
      </c>
    </row>
    <row r="38" spans="1:23" ht="16.5" customHeight="1">
      <c r="A38" s="347" t="s">
        <v>5528</v>
      </c>
      <c r="B38" s="349" t="s">
        <v>5529</v>
      </c>
      <c r="C38" s="351" t="s">
        <v>5530</v>
      </c>
      <c r="D38" s="357" t="s">
        <v>5526</v>
      </c>
      <c r="E38" s="347" t="s">
        <v>27</v>
      </c>
      <c r="F38" s="66" t="s">
        <v>5527</v>
      </c>
    </row>
    <row r="39" spans="1:23" ht="17.25" customHeight="1">
      <c r="A39" s="347" t="s">
        <v>5531</v>
      </c>
      <c r="B39" s="349" t="s">
        <v>5532</v>
      </c>
      <c r="C39" s="351" t="s">
        <v>5533</v>
      </c>
      <c r="D39" s="357" t="s">
        <v>5526</v>
      </c>
      <c r="E39" s="347" t="s">
        <v>27</v>
      </c>
      <c r="F39" s="66" t="s">
        <v>5527</v>
      </c>
    </row>
    <row r="40" spans="1:23" ht="15">
      <c r="A40" s="368" t="s">
        <v>5534</v>
      </c>
      <c r="B40" s="360" t="s">
        <v>5535</v>
      </c>
      <c r="C40" s="354" t="s">
        <v>5536</v>
      </c>
      <c r="D40" s="369" t="s">
        <v>5526</v>
      </c>
      <c r="E40" s="355" t="s">
        <v>38</v>
      </c>
      <c r="F40" s="66" t="s">
        <v>5527</v>
      </c>
      <c r="G40" s="36" t="s">
        <v>5537</v>
      </c>
    </row>
    <row r="41" spans="1:23" ht="15">
      <c r="A41" s="339" t="s">
        <v>5538</v>
      </c>
      <c r="B41" s="362" t="s">
        <v>5539</v>
      </c>
      <c r="C41" s="338" t="s">
        <v>5540</v>
      </c>
      <c r="D41" s="339" t="s">
        <v>5541</v>
      </c>
      <c r="E41" s="340" t="s">
        <v>27</v>
      </c>
      <c r="F41" s="370" t="s">
        <v>5417</v>
      </c>
      <c r="G41" s="342"/>
      <c r="H41" s="342"/>
      <c r="I41" s="342"/>
      <c r="J41" s="342"/>
      <c r="K41" s="342"/>
      <c r="L41" s="342"/>
      <c r="M41" s="342"/>
      <c r="N41" s="342"/>
      <c r="O41" s="342"/>
      <c r="P41" s="342"/>
      <c r="Q41" s="342"/>
      <c r="R41" s="342"/>
      <c r="S41" s="342"/>
      <c r="T41" s="342"/>
      <c r="U41" s="342"/>
      <c r="V41" s="342"/>
      <c r="W41" s="342"/>
    </row>
    <row r="42" spans="1:23" ht="15">
      <c r="A42" s="371" t="s">
        <v>5542</v>
      </c>
      <c r="B42" s="372" t="s">
        <v>5543</v>
      </c>
      <c r="C42" s="349" t="s">
        <v>5544</v>
      </c>
      <c r="D42" s="373" t="s">
        <v>5545</v>
      </c>
      <c r="E42" s="374" t="s">
        <v>27</v>
      </c>
      <c r="F42" s="375" t="s">
        <v>5546</v>
      </c>
    </row>
    <row r="43" spans="1:23" ht="15">
      <c r="A43" s="371" t="s">
        <v>5547</v>
      </c>
      <c r="B43" s="372" t="s">
        <v>5548</v>
      </c>
      <c r="C43" s="372" t="s">
        <v>5549</v>
      </c>
      <c r="D43" s="373" t="s">
        <v>5545</v>
      </c>
      <c r="E43" s="374" t="s">
        <v>27</v>
      </c>
      <c r="F43" s="375" t="s">
        <v>5546</v>
      </c>
    </row>
    <row r="44" spans="1:23" ht="15">
      <c r="A44" s="371" t="s">
        <v>5550</v>
      </c>
      <c r="B44" s="372" t="s">
        <v>5551</v>
      </c>
      <c r="C44" s="372" t="s">
        <v>5552</v>
      </c>
      <c r="D44" s="373" t="s">
        <v>5545</v>
      </c>
      <c r="E44" s="374" t="s">
        <v>27</v>
      </c>
      <c r="F44" s="375" t="s">
        <v>5546</v>
      </c>
    </row>
    <row r="45" spans="1:23" ht="15">
      <c r="A45" s="371" t="s">
        <v>5553</v>
      </c>
      <c r="B45" s="376" t="s">
        <v>5554</v>
      </c>
      <c r="C45" s="372" t="s">
        <v>5555</v>
      </c>
      <c r="D45" s="373" t="s">
        <v>5545</v>
      </c>
      <c r="E45" s="374" t="s">
        <v>27</v>
      </c>
      <c r="F45" s="375" t="s">
        <v>5546</v>
      </c>
    </row>
    <row r="46" spans="1:23" ht="15">
      <c r="A46" s="371" t="s">
        <v>5556</v>
      </c>
      <c r="B46" s="372" t="s">
        <v>5557</v>
      </c>
      <c r="C46" s="372" t="s">
        <v>5558</v>
      </c>
      <c r="D46" s="373" t="s">
        <v>5545</v>
      </c>
      <c r="E46" s="374" t="s">
        <v>27</v>
      </c>
      <c r="F46" s="375" t="s">
        <v>5546</v>
      </c>
    </row>
    <row r="47" spans="1:23" ht="15">
      <c r="A47" s="371" t="s">
        <v>5559</v>
      </c>
      <c r="B47" s="372" t="s">
        <v>5560</v>
      </c>
      <c r="C47" s="372" t="s">
        <v>5561</v>
      </c>
      <c r="D47" s="373" t="s">
        <v>5545</v>
      </c>
      <c r="E47" s="374" t="s">
        <v>27</v>
      </c>
      <c r="F47" s="375" t="s">
        <v>5546</v>
      </c>
    </row>
    <row r="48" spans="1:23" ht="15">
      <c r="A48" s="371" t="s">
        <v>5562</v>
      </c>
      <c r="B48" s="372" t="s">
        <v>5563</v>
      </c>
      <c r="C48" s="372" t="s">
        <v>5564</v>
      </c>
      <c r="D48" s="373" t="s">
        <v>5545</v>
      </c>
      <c r="E48" s="374" t="s">
        <v>27</v>
      </c>
      <c r="F48" s="375" t="s">
        <v>5546</v>
      </c>
    </row>
    <row r="49" spans="1:6" ht="15">
      <c r="A49" s="371" t="s">
        <v>5565</v>
      </c>
      <c r="B49" s="372" t="s">
        <v>5566</v>
      </c>
      <c r="C49" s="372" t="s">
        <v>5567</v>
      </c>
      <c r="D49" s="373" t="s">
        <v>5545</v>
      </c>
      <c r="E49" s="374" t="s">
        <v>27</v>
      </c>
      <c r="F49" s="375" t="s">
        <v>5546</v>
      </c>
    </row>
    <row r="50" spans="1:6" ht="15">
      <c r="A50" s="371" t="s">
        <v>5568</v>
      </c>
      <c r="B50" s="372" t="s">
        <v>5569</v>
      </c>
      <c r="C50" s="372" t="s">
        <v>5570</v>
      </c>
      <c r="D50" s="373" t="s">
        <v>5545</v>
      </c>
      <c r="E50" s="374" t="s">
        <v>27</v>
      </c>
      <c r="F50" s="375" t="s">
        <v>5546</v>
      </c>
    </row>
    <row r="51" spans="1:6" ht="15">
      <c r="A51" s="371" t="s">
        <v>3619</v>
      </c>
      <c r="B51" s="372" t="s">
        <v>5571</v>
      </c>
      <c r="C51" s="372" t="s">
        <v>5572</v>
      </c>
      <c r="D51" s="373" t="s">
        <v>5545</v>
      </c>
      <c r="E51" s="374" t="s">
        <v>27</v>
      </c>
      <c r="F51" s="375" t="s">
        <v>5546</v>
      </c>
    </row>
    <row r="52" spans="1:6" ht="15">
      <c r="A52" s="371" t="s">
        <v>5573</v>
      </c>
      <c r="B52" s="377" t="s">
        <v>5574</v>
      </c>
      <c r="C52" s="372" t="s">
        <v>5575</v>
      </c>
      <c r="D52" s="373" t="s">
        <v>5545</v>
      </c>
      <c r="E52" s="374" t="s">
        <v>27</v>
      </c>
      <c r="F52" s="375" t="s">
        <v>5546</v>
      </c>
    </row>
    <row r="53" spans="1:6" ht="15">
      <c r="A53" s="371" t="s">
        <v>5576</v>
      </c>
      <c r="B53" s="372" t="s">
        <v>5577</v>
      </c>
      <c r="C53" s="372" t="s">
        <v>5578</v>
      </c>
      <c r="D53" s="373" t="s">
        <v>5545</v>
      </c>
      <c r="E53" s="374" t="s">
        <v>27</v>
      </c>
      <c r="F53" s="375" t="s">
        <v>5546</v>
      </c>
    </row>
    <row r="54" spans="1:6" ht="15">
      <c r="A54" s="371" t="s">
        <v>5579</v>
      </c>
      <c r="B54" s="376" t="s">
        <v>5580</v>
      </c>
      <c r="C54" s="372" t="s">
        <v>5581</v>
      </c>
      <c r="D54" s="373" t="s">
        <v>5545</v>
      </c>
      <c r="E54" s="374" t="s">
        <v>27</v>
      </c>
      <c r="F54" s="375" t="s">
        <v>5546</v>
      </c>
    </row>
    <row r="55" spans="1:6" ht="15">
      <c r="A55" s="371" t="s">
        <v>5582</v>
      </c>
      <c r="B55" s="372" t="s">
        <v>5583</v>
      </c>
      <c r="C55" s="372" t="s">
        <v>5584</v>
      </c>
      <c r="D55" s="373" t="s">
        <v>5545</v>
      </c>
      <c r="E55" s="374" t="s">
        <v>27</v>
      </c>
      <c r="F55" s="375" t="s">
        <v>5546</v>
      </c>
    </row>
    <row r="56" spans="1:6" ht="15">
      <c r="A56" s="352" t="s">
        <v>5585</v>
      </c>
      <c r="B56" s="372" t="s">
        <v>5586</v>
      </c>
      <c r="C56" s="372" t="s">
        <v>5587</v>
      </c>
      <c r="D56" s="373" t="s">
        <v>5545</v>
      </c>
      <c r="E56" s="374" t="s">
        <v>27</v>
      </c>
      <c r="F56" s="375" t="s">
        <v>5546</v>
      </c>
    </row>
    <row r="57" spans="1:6" ht="15">
      <c r="A57" s="373" t="s">
        <v>5588</v>
      </c>
      <c r="B57" s="372" t="s">
        <v>5589</v>
      </c>
      <c r="C57" s="372" t="s">
        <v>5590</v>
      </c>
      <c r="D57" s="373" t="s">
        <v>5545</v>
      </c>
      <c r="E57" s="374" t="s">
        <v>27</v>
      </c>
      <c r="F57" s="375" t="s">
        <v>5546</v>
      </c>
    </row>
    <row r="58" spans="1:6" ht="15">
      <c r="A58" s="373" t="s">
        <v>5591</v>
      </c>
      <c r="B58" s="372" t="s">
        <v>5592</v>
      </c>
      <c r="C58" s="372" t="s">
        <v>5593</v>
      </c>
      <c r="D58" s="373" t="s">
        <v>5545</v>
      </c>
      <c r="E58" s="374" t="s">
        <v>27</v>
      </c>
      <c r="F58" s="375" t="s">
        <v>5546</v>
      </c>
    </row>
    <row r="59" spans="1:6" ht="18">
      <c r="A59" s="674" t="s">
        <v>5594</v>
      </c>
      <c r="B59" s="670"/>
      <c r="C59" s="670"/>
      <c r="D59" s="670"/>
      <c r="E59" s="670"/>
      <c r="F59" s="670"/>
    </row>
    <row r="60" spans="1:6" ht="18">
      <c r="A60" s="334" t="s">
        <v>5409</v>
      </c>
      <c r="B60" s="334" t="s">
        <v>5410</v>
      </c>
      <c r="C60" s="334" t="s">
        <v>3370</v>
      </c>
      <c r="D60" s="334" t="s">
        <v>5411</v>
      </c>
      <c r="E60" s="334" t="s">
        <v>9</v>
      </c>
      <c r="F60" s="335" t="s">
        <v>5412</v>
      </c>
    </row>
    <row r="61" spans="1:6" ht="15">
      <c r="A61" s="373" t="s">
        <v>5595</v>
      </c>
      <c r="B61" s="372" t="s">
        <v>5596</v>
      </c>
      <c r="C61" s="373"/>
      <c r="D61" s="373" t="s">
        <v>5597</v>
      </c>
      <c r="E61" s="374" t="s">
        <v>27</v>
      </c>
      <c r="F61" s="367" t="s">
        <v>5417</v>
      </c>
    </row>
    <row r="62" spans="1:6" ht="15">
      <c r="A62" s="373" t="s">
        <v>5598</v>
      </c>
      <c r="B62" s="372" t="s">
        <v>5599</v>
      </c>
      <c r="C62" s="373"/>
      <c r="D62" s="373" t="s">
        <v>5600</v>
      </c>
      <c r="E62" s="374" t="s">
        <v>27</v>
      </c>
      <c r="F62" s="367" t="s">
        <v>5417</v>
      </c>
    </row>
    <row r="63" spans="1:6" ht="15">
      <c r="A63" s="373" t="s">
        <v>5601</v>
      </c>
      <c r="B63" s="372" t="s">
        <v>5602</v>
      </c>
      <c r="C63" s="372" t="s">
        <v>5603</v>
      </c>
      <c r="D63" s="373" t="s">
        <v>5604</v>
      </c>
      <c r="E63" s="374" t="s">
        <v>27</v>
      </c>
      <c r="F63" s="367" t="s">
        <v>5417</v>
      </c>
    </row>
    <row r="64" spans="1:6" ht="15">
      <c r="A64" s="373" t="s">
        <v>5605</v>
      </c>
      <c r="B64" s="372" t="s">
        <v>5606</v>
      </c>
      <c r="C64" s="349" t="s">
        <v>5607</v>
      </c>
      <c r="D64" s="373" t="s">
        <v>5608</v>
      </c>
      <c r="E64" s="374" t="s">
        <v>27</v>
      </c>
      <c r="F64" s="367" t="s">
        <v>5417</v>
      </c>
    </row>
    <row r="66" spans="6:7" ht="12.75">
      <c r="F66" s="66"/>
      <c r="G66" s="66"/>
    </row>
    <row r="67" spans="6:7" ht="12.75">
      <c r="F67" s="66"/>
    </row>
    <row r="68" spans="6:7" ht="12.75">
      <c r="F68" s="66"/>
    </row>
    <row r="69" spans="6:7" ht="12.75">
      <c r="F69" s="66"/>
    </row>
    <row r="70" spans="6:7" ht="12.75">
      <c r="F70" s="66"/>
    </row>
    <row r="71" spans="6:7" ht="12.75">
      <c r="F71" s="66"/>
    </row>
    <row r="72" spans="6:7" ht="12.75">
      <c r="F72" s="66"/>
    </row>
    <row r="73" spans="6:7" ht="12.75">
      <c r="F73" s="66"/>
    </row>
    <row r="74" spans="6:7" ht="12.75">
      <c r="F74" s="66"/>
    </row>
    <row r="75" spans="6:7" ht="12.75">
      <c r="F75" s="66"/>
    </row>
    <row r="76" spans="6:7" ht="12.75">
      <c r="F76" s="66"/>
    </row>
    <row r="77" spans="6:7" ht="12.75">
      <c r="F77" s="66"/>
    </row>
    <row r="78" spans="6:7" ht="12.75">
      <c r="F78" s="66"/>
    </row>
    <row r="79" spans="6:7" ht="12.75">
      <c r="F79" s="66"/>
    </row>
    <row r="80" spans="6:7" ht="12.75">
      <c r="F80" s="66"/>
    </row>
    <row r="81" spans="6:6" ht="12.75">
      <c r="F81" s="66"/>
    </row>
    <row r="82" spans="6:6" ht="12.75">
      <c r="F82" s="66"/>
    </row>
    <row r="83" spans="6:6" ht="12.75">
      <c r="F83" s="66"/>
    </row>
    <row r="84" spans="6:6" ht="12.75">
      <c r="F84" s="66"/>
    </row>
    <row r="85" spans="6:6" ht="12.75">
      <c r="F85" s="66"/>
    </row>
    <row r="86" spans="6:6" ht="12.75">
      <c r="F86" s="66"/>
    </row>
    <row r="87" spans="6:6" ht="12.75">
      <c r="F87" s="66"/>
    </row>
    <row r="88" spans="6:6" ht="12.75">
      <c r="F88" s="66"/>
    </row>
    <row r="89" spans="6:6" ht="12.75">
      <c r="F89" s="66"/>
    </row>
    <row r="90" spans="6:6" ht="12.75">
      <c r="F90" s="66"/>
    </row>
    <row r="91" spans="6:6" ht="12.75">
      <c r="F91" s="66"/>
    </row>
    <row r="92" spans="6:6" ht="12.75">
      <c r="F92" s="66"/>
    </row>
    <row r="93" spans="6:6" ht="12.75">
      <c r="F93" s="66"/>
    </row>
    <row r="94" spans="6:6" ht="12.75">
      <c r="F94" s="66"/>
    </row>
    <row r="95" spans="6:6" ht="12.75">
      <c r="F95" s="66"/>
    </row>
    <row r="96" spans="6:6" ht="12.75">
      <c r="F96" s="66"/>
    </row>
    <row r="97" spans="6:6" ht="12.75">
      <c r="F97" s="66"/>
    </row>
    <row r="98" spans="6:6" ht="12.75">
      <c r="F98" s="66"/>
    </row>
    <row r="99" spans="6:6" ht="12.75">
      <c r="F99" s="66"/>
    </row>
    <row r="100" spans="6:6" ht="12.75">
      <c r="F100" s="66"/>
    </row>
    <row r="101" spans="6:6" ht="12.75">
      <c r="F101" s="66"/>
    </row>
    <row r="102" spans="6:6" ht="12.75">
      <c r="F102" s="66"/>
    </row>
    <row r="103" spans="6:6" ht="12.75">
      <c r="F103" s="66"/>
    </row>
    <row r="104" spans="6:6" ht="12.75">
      <c r="F104" s="66"/>
    </row>
    <row r="105" spans="6:6" ht="12.75">
      <c r="F105" s="66"/>
    </row>
    <row r="106" spans="6:6" ht="12.75">
      <c r="F106" s="66"/>
    </row>
    <row r="107" spans="6:6" ht="12.75">
      <c r="F107" s="66"/>
    </row>
    <row r="108" spans="6:6" ht="12.75">
      <c r="F108" s="66"/>
    </row>
    <row r="109" spans="6:6" ht="12.75">
      <c r="F109" s="66"/>
    </row>
    <row r="110" spans="6:6" ht="12.75">
      <c r="F110" s="66"/>
    </row>
    <row r="111" spans="6:6" ht="12.75">
      <c r="F111" s="66"/>
    </row>
    <row r="112" spans="6:6" ht="12.75">
      <c r="F112" s="66"/>
    </row>
    <row r="113" spans="6:6" ht="12.75">
      <c r="F113" s="66"/>
    </row>
    <row r="114" spans="6:6" ht="12.75">
      <c r="F114" s="66"/>
    </row>
    <row r="115" spans="6:6" ht="12.75">
      <c r="F115" s="66"/>
    </row>
    <row r="116" spans="6:6" ht="12.75">
      <c r="F116" s="66"/>
    </row>
    <row r="117" spans="6:6" ht="12.75">
      <c r="F117" s="66"/>
    </row>
    <row r="118" spans="6:6" ht="12.75">
      <c r="F118" s="66"/>
    </row>
    <row r="119" spans="6:6" ht="12.75">
      <c r="F119" s="66"/>
    </row>
    <row r="120" spans="6:6" ht="12.75">
      <c r="F120" s="66"/>
    </row>
    <row r="121" spans="6:6" ht="12.75">
      <c r="F121" s="66"/>
    </row>
    <row r="122" spans="6:6" ht="12.75">
      <c r="F122" s="66"/>
    </row>
    <row r="123" spans="6:6" ht="12.75">
      <c r="F123" s="66"/>
    </row>
    <row r="124" spans="6:6" ht="12.75">
      <c r="F124" s="66"/>
    </row>
    <row r="125" spans="6:6" ht="12.75">
      <c r="F125" s="66"/>
    </row>
    <row r="126" spans="6:6" ht="12.75">
      <c r="F126" s="66"/>
    </row>
    <row r="127" spans="6:6" ht="12.75">
      <c r="F127" s="66"/>
    </row>
    <row r="128" spans="6:6" ht="12.75">
      <c r="F128" s="66"/>
    </row>
    <row r="129" spans="6:6" ht="12.75">
      <c r="F129" s="66"/>
    </row>
    <row r="130" spans="6:6" ht="12.75">
      <c r="F130" s="66"/>
    </row>
    <row r="131" spans="6:6" ht="12.75">
      <c r="F131" s="66"/>
    </row>
    <row r="132" spans="6:6" ht="12.75">
      <c r="F132" s="66"/>
    </row>
    <row r="133" spans="6:6" ht="12.75">
      <c r="F133" s="66"/>
    </row>
    <row r="134" spans="6:6" ht="12.75">
      <c r="F134" s="66"/>
    </row>
    <row r="135" spans="6:6" ht="12.75">
      <c r="F135" s="66"/>
    </row>
    <row r="136" spans="6:6" ht="12.75">
      <c r="F136" s="66"/>
    </row>
    <row r="137" spans="6:6" ht="12.75">
      <c r="F137" s="66"/>
    </row>
    <row r="138" spans="6:6" ht="12.75">
      <c r="F138" s="66"/>
    </row>
    <row r="139" spans="6:6" ht="12.75">
      <c r="F139" s="66"/>
    </row>
    <row r="140" spans="6:6" ht="12.75">
      <c r="F140" s="66"/>
    </row>
    <row r="141" spans="6:6" ht="12.75">
      <c r="F141" s="66"/>
    </row>
    <row r="142" spans="6:6" ht="12.75">
      <c r="F142" s="66"/>
    </row>
    <row r="143" spans="6:6" ht="12.75">
      <c r="F143" s="66"/>
    </row>
    <row r="144" spans="6:6" ht="12.75">
      <c r="F144" s="66"/>
    </row>
    <row r="145" spans="6:6" ht="12.75">
      <c r="F145" s="66"/>
    </row>
    <row r="146" spans="6:6" ht="12.75">
      <c r="F146" s="66"/>
    </row>
    <row r="147" spans="6:6" ht="12.75">
      <c r="F147" s="66"/>
    </row>
    <row r="148" spans="6:6" ht="12.75">
      <c r="F148" s="66"/>
    </row>
    <row r="149" spans="6:6" ht="12.75">
      <c r="F149" s="66"/>
    </row>
    <row r="150" spans="6:6" ht="12.75">
      <c r="F150" s="66"/>
    </row>
    <row r="151" spans="6:6" ht="12.75">
      <c r="F151" s="66"/>
    </row>
    <row r="152" spans="6:6" ht="12.75">
      <c r="F152" s="66"/>
    </row>
    <row r="153" spans="6:6" ht="12.75">
      <c r="F153" s="66"/>
    </row>
    <row r="154" spans="6:6" ht="12.75">
      <c r="F154" s="66"/>
    </row>
    <row r="155" spans="6:6" ht="12.75">
      <c r="F155" s="66"/>
    </row>
    <row r="156" spans="6:6" ht="12.75">
      <c r="F156" s="66"/>
    </row>
    <row r="157" spans="6:6" ht="12.75">
      <c r="F157" s="66"/>
    </row>
    <row r="158" spans="6:6" ht="12.75">
      <c r="F158" s="66"/>
    </row>
    <row r="159" spans="6:6" ht="12.75">
      <c r="F159" s="66"/>
    </row>
    <row r="160" spans="6:6" ht="12.75">
      <c r="F160" s="66"/>
    </row>
    <row r="161" spans="6:6" ht="12.75">
      <c r="F161" s="66"/>
    </row>
    <row r="162" spans="6:6" ht="12.75">
      <c r="F162" s="66"/>
    </row>
    <row r="163" spans="6:6" ht="12.75">
      <c r="F163" s="66"/>
    </row>
    <row r="164" spans="6:6" ht="12.75">
      <c r="F164" s="66"/>
    </row>
    <row r="165" spans="6:6" ht="12.75">
      <c r="F165" s="66"/>
    </row>
    <row r="166" spans="6:6" ht="12.75">
      <c r="F166" s="66"/>
    </row>
    <row r="167" spans="6:6" ht="12.75">
      <c r="F167" s="66"/>
    </row>
    <row r="168" spans="6:6" ht="12.75">
      <c r="F168" s="66"/>
    </row>
    <row r="169" spans="6:6" ht="12.75">
      <c r="F169" s="66"/>
    </row>
    <row r="170" spans="6:6" ht="12.75">
      <c r="F170" s="66"/>
    </row>
    <row r="171" spans="6:6" ht="12.75">
      <c r="F171" s="66"/>
    </row>
    <row r="172" spans="6:6" ht="12.75">
      <c r="F172" s="66"/>
    </row>
    <row r="173" spans="6:6" ht="12.75">
      <c r="F173" s="66"/>
    </row>
    <row r="174" spans="6:6" ht="12.75">
      <c r="F174" s="66"/>
    </row>
    <row r="175" spans="6:6" ht="12.75">
      <c r="F175" s="66"/>
    </row>
    <row r="176" spans="6:6" ht="12.75">
      <c r="F176" s="66"/>
    </row>
    <row r="177" spans="6:6" ht="12.75">
      <c r="F177" s="66"/>
    </row>
    <row r="178" spans="6:6" ht="12.75">
      <c r="F178" s="66"/>
    </row>
    <row r="179" spans="6:6" ht="12.75">
      <c r="F179" s="66"/>
    </row>
    <row r="180" spans="6:6" ht="12.75">
      <c r="F180" s="66"/>
    </row>
    <row r="181" spans="6:6" ht="12.75">
      <c r="F181" s="66"/>
    </row>
    <row r="182" spans="6:6" ht="12.75">
      <c r="F182" s="66"/>
    </row>
    <row r="183" spans="6:6" ht="12.75">
      <c r="F183" s="66"/>
    </row>
    <row r="184" spans="6:6" ht="12.75">
      <c r="F184" s="66"/>
    </row>
    <row r="185" spans="6:6" ht="12.75">
      <c r="F185" s="66"/>
    </row>
    <row r="186" spans="6:6" ht="12.75">
      <c r="F186" s="66"/>
    </row>
    <row r="187" spans="6:6" ht="12.75">
      <c r="F187" s="66"/>
    </row>
    <row r="188" spans="6:6" ht="12.75">
      <c r="F188" s="66"/>
    </row>
    <row r="189" spans="6:6" ht="12.75">
      <c r="F189" s="66"/>
    </row>
    <row r="190" spans="6:6" ht="12.75">
      <c r="F190" s="66"/>
    </row>
    <row r="191" spans="6:6" ht="12.75">
      <c r="F191" s="66"/>
    </row>
    <row r="192" spans="6:6" ht="12.75">
      <c r="F192" s="66"/>
    </row>
    <row r="193" spans="6:6" ht="12.75">
      <c r="F193" s="66"/>
    </row>
    <row r="194" spans="6:6" ht="12.75">
      <c r="F194" s="66"/>
    </row>
    <row r="195" spans="6:6" ht="12.75">
      <c r="F195" s="66"/>
    </row>
    <row r="196" spans="6:6" ht="12.75">
      <c r="F196" s="66"/>
    </row>
    <row r="197" spans="6:6" ht="12.75">
      <c r="F197" s="66"/>
    </row>
    <row r="198" spans="6:6" ht="12.75">
      <c r="F198" s="66"/>
    </row>
    <row r="199" spans="6:6" ht="12.75">
      <c r="F199" s="66"/>
    </row>
    <row r="200" spans="6:6" ht="12.75">
      <c r="F200" s="66"/>
    </row>
    <row r="201" spans="6:6" ht="12.75">
      <c r="F201" s="66"/>
    </row>
    <row r="202" spans="6:6" ht="12.75">
      <c r="F202" s="66"/>
    </row>
    <row r="203" spans="6:6" ht="12.75">
      <c r="F203" s="66"/>
    </row>
    <row r="204" spans="6:6" ht="12.75">
      <c r="F204" s="66"/>
    </row>
    <row r="205" spans="6:6" ht="12.75">
      <c r="F205" s="66"/>
    </row>
    <row r="206" spans="6:6" ht="12.75">
      <c r="F206" s="66"/>
    </row>
    <row r="207" spans="6:6" ht="12.75">
      <c r="F207" s="66"/>
    </row>
    <row r="208" spans="6:6" ht="12.75">
      <c r="F208" s="66"/>
    </row>
    <row r="209" spans="6:6" ht="12.75">
      <c r="F209" s="66"/>
    </row>
    <row r="210" spans="6:6" ht="12.75">
      <c r="F210" s="66"/>
    </row>
    <row r="211" spans="6:6" ht="12.75">
      <c r="F211" s="66"/>
    </row>
    <row r="212" spans="6:6" ht="12.75">
      <c r="F212" s="66"/>
    </row>
    <row r="213" spans="6:6" ht="12.75">
      <c r="F213" s="66"/>
    </row>
    <row r="214" spans="6:6" ht="12.75">
      <c r="F214" s="66"/>
    </row>
    <row r="215" spans="6:6" ht="12.75">
      <c r="F215" s="66"/>
    </row>
    <row r="216" spans="6:6" ht="12.75">
      <c r="F216" s="66"/>
    </row>
    <row r="217" spans="6:6" ht="12.75">
      <c r="F217" s="66"/>
    </row>
    <row r="218" spans="6:6" ht="12.75">
      <c r="F218" s="66"/>
    </row>
    <row r="219" spans="6:6" ht="12.75">
      <c r="F219" s="66"/>
    </row>
    <row r="220" spans="6:6" ht="12.75">
      <c r="F220" s="66"/>
    </row>
    <row r="221" spans="6:6" ht="12.75">
      <c r="F221" s="66"/>
    </row>
    <row r="222" spans="6:6" ht="12.75">
      <c r="F222" s="66"/>
    </row>
    <row r="223" spans="6:6" ht="12.75">
      <c r="F223" s="66"/>
    </row>
    <row r="224" spans="6:6" ht="12.75">
      <c r="F224" s="66"/>
    </row>
    <row r="225" spans="6:6" ht="12.75">
      <c r="F225" s="66"/>
    </row>
    <row r="226" spans="6:6" ht="12.75">
      <c r="F226" s="66"/>
    </row>
    <row r="227" spans="6:6" ht="12.75">
      <c r="F227" s="66"/>
    </row>
    <row r="228" spans="6:6" ht="12.75">
      <c r="F228" s="66"/>
    </row>
    <row r="229" spans="6:6" ht="12.75">
      <c r="F229" s="66"/>
    </row>
    <row r="230" spans="6:6" ht="12.75">
      <c r="F230" s="66"/>
    </row>
    <row r="231" spans="6:6" ht="12.75">
      <c r="F231" s="66"/>
    </row>
    <row r="232" spans="6:6" ht="12.75">
      <c r="F232" s="66"/>
    </row>
    <row r="233" spans="6:6" ht="12.75">
      <c r="F233" s="66"/>
    </row>
    <row r="234" spans="6:6" ht="12.75">
      <c r="F234" s="66"/>
    </row>
    <row r="235" spans="6:6" ht="12.75">
      <c r="F235" s="66"/>
    </row>
    <row r="236" spans="6:6" ht="12.75">
      <c r="F236" s="66"/>
    </row>
    <row r="237" spans="6:6" ht="12.75">
      <c r="F237" s="66"/>
    </row>
    <row r="238" spans="6:6" ht="12.75">
      <c r="F238" s="66"/>
    </row>
    <row r="239" spans="6:6" ht="12.75">
      <c r="F239" s="66"/>
    </row>
    <row r="240" spans="6:6" ht="12.75">
      <c r="F240" s="66"/>
    </row>
    <row r="241" spans="6:6" ht="12.75">
      <c r="F241" s="66"/>
    </row>
    <row r="242" spans="6:6" ht="12.75">
      <c r="F242" s="66"/>
    </row>
    <row r="243" spans="6:6" ht="12.75">
      <c r="F243" s="66"/>
    </row>
    <row r="244" spans="6:6" ht="12.75">
      <c r="F244" s="66"/>
    </row>
    <row r="245" spans="6:6" ht="12.75">
      <c r="F245" s="66"/>
    </row>
    <row r="246" spans="6:6" ht="12.75">
      <c r="F246" s="66"/>
    </row>
    <row r="247" spans="6:6" ht="12.75">
      <c r="F247" s="66"/>
    </row>
    <row r="248" spans="6:6" ht="12.75">
      <c r="F248" s="66"/>
    </row>
    <row r="249" spans="6:6" ht="12.75">
      <c r="F249" s="66"/>
    </row>
    <row r="250" spans="6:6" ht="12.75">
      <c r="F250" s="66"/>
    </row>
    <row r="251" spans="6:6" ht="12.75">
      <c r="F251" s="66"/>
    </row>
    <row r="252" spans="6:6" ht="12.75">
      <c r="F252" s="66"/>
    </row>
    <row r="253" spans="6:6" ht="12.75">
      <c r="F253" s="66"/>
    </row>
    <row r="254" spans="6:6" ht="12.75">
      <c r="F254" s="66"/>
    </row>
    <row r="255" spans="6:6" ht="12.75">
      <c r="F255" s="66"/>
    </row>
    <row r="256" spans="6:6" ht="12.75">
      <c r="F256" s="66"/>
    </row>
    <row r="257" spans="6:6" ht="12.75">
      <c r="F257" s="66"/>
    </row>
    <row r="258" spans="6:6" ht="12.75">
      <c r="F258" s="66"/>
    </row>
    <row r="259" spans="6:6" ht="12.75">
      <c r="F259" s="66"/>
    </row>
    <row r="260" spans="6:6" ht="12.75">
      <c r="F260" s="66"/>
    </row>
    <row r="261" spans="6:6" ht="12.75">
      <c r="F261" s="66"/>
    </row>
    <row r="262" spans="6:6" ht="12.75">
      <c r="F262" s="66"/>
    </row>
    <row r="263" spans="6:6" ht="12.75">
      <c r="F263" s="66"/>
    </row>
    <row r="264" spans="6:6" ht="12.75">
      <c r="F264" s="66"/>
    </row>
    <row r="265" spans="6:6" ht="12.75">
      <c r="F265" s="66"/>
    </row>
    <row r="266" spans="6:6" ht="12.75">
      <c r="F266" s="66"/>
    </row>
    <row r="267" spans="6:6" ht="12.75">
      <c r="F267" s="66"/>
    </row>
    <row r="268" spans="6:6" ht="12.75">
      <c r="F268" s="66"/>
    </row>
    <row r="269" spans="6:6" ht="12.75">
      <c r="F269" s="66"/>
    </row>
    <row r="270" spans="6:6" ht="12.75">
      <c r="F270" s="66"/>
    </row>
    <row r="271" spans="6:6" ht="12.75">
      <c r="F271" s="66"/>
    </row>
    <row r="272" spans="6:6" ht="12.75">
      <c r="F272" s="66"/>
    </row>
    <row r="273" spans="6:6" ht="12.75">
      <c r="F273" s="66"/>
    </row>
    <row r="274" spans="6:6" ht="12.75">
      <c r="F274" s="66"/>
    </row>
    <row r="275" spans="6:6" ht="12.75">
      <c r="F275" s="66"/>
    </row>
    <row r="276" spans="6:6" ht="12.75">
      <c r="F276" s="66"/>
    </row>
    <row r="277" spans="6:6" ht="12.75">
      <c r="F277" s="66"/>
    </row>
    <row r="278" spans="6:6" ht="12.75">
      <c r="F278" s="66"/>
    </row>
    <row r="279" spans="6:6" ht="12.75">
      <c r="F279" s="66"/>
    </row>
    <row r="280" spans="6:6" ht="12.75">
      <c r="F280" s="66"/>
    </row>
    <row r="281" spans="6:6" ht="12.75">
      <c r="F281" s="66"/>
    </row>
    <row r="282" spans="6:6" ht="12.75">
      <c r="F282" s="66"/>
    </row>
    <row r="283" spans="6:6" ht="12.75">
      <c r="F283" s="66"/>
    </row>
    <row r="284" spans="6:6" ht="12.75">
      <c r="F284" s="66"/>
    </row>
    <row r="285" spans="6:6" ht="12.75">
      <c r="F285" s="66"/>
    </row>
    <row r="286" spans="6:6" ht="12.75">
      <c r="F286" s="66"/>
    </row>
    <row r="287" spans="6:6" ht="12.75">
      <c r="F287" s="66"/>
    </row>
    <row r="288" spans="6:6" ht="12.75">
      <c r="F288" s="66"/>
    </row>
    <row r="289" spans="6:6" ht="12.75">
      <c r="F289" s="66"/>
    </row>
    <row r="290" spans="6:6" ht="12.75">
      <c r="F290" s="66"/>
    </row>
    <row r="291" spans="6:6" ht="12.75">
      <c r="F291" s="66"/>
    </row>
    <row r="292" spans="6:6" ht="12.75">
      <c r="F292" s="66"/>
    </row>
    <row r="293" spans="6:6" ht="12.75">
      <c r="F293" s="66"/>
    </row>
    <row r="294" spans="6:6" ht="12.75">
      <c r="F294" s="66"/>
    </row>
    <row r="295" spans="6:6" ht="12.75">
      <c r="F295" s="66"/>
    </row>
    <row r="296" spans="6:6" ht="12.75">
      <c r="F296" s="66"/>
    </row>
    <row r="297" spans="6:6" ht="12.75">
      <c r="F297" s="66"/>
    </row>
    <row r="298" spans="6:6" ht="12.75">
      <c r="F298" s="66"/>
    </row>
    <row r="299" spans="6:6" ht="12.75">
      <c r="F299" s="66"/>
    </row>
    <row r="300" spans="6:6" ht="12.75">
      <c r="F300" s="66"/>
    </row>
    <row r="301" spans="6:6" ht="12.75">
      <c r="F301" s="66"/>
    </row>
    <row r="302" spans="6:6" ht="12.75">
      <c r="F302" s="66"/>
    </row>
    <row r="303" spans="6:6" ht="12.75">
      <c r="F303" s="66"/>
    </row>
    <row r="304" spans="6:6" ht="12.75">
      <c r="F304" s="66"/>
    </row>
    <row r="305" spans="6:6" ht="12.75">
      <c r="F305" s="66"/>
    </row>
    <row r="306" spans="6:6" ht="12.75">
      <c r="F306" s="66"/>
    </row>
    <row r="307" spans="6:6" ht="12.75">
      <c r="F307" s="66"/>
    </row>
    <row r="308" spans="6:6" ht="12.75">
      <c r="F308" s="66"/>
    </row>
    <row r="309" spans="6:6" ht="12.75">
      <c r="F309" s="66"/>
    </row>
    <row r="310" spans="6:6" ht="12.75">
      <c r="F310" s="66"/>
    </row>
    <row r="311" spans="6:6" ht="12.75">
      <c r="F311" s="66"/>
    </row>
    <row r="312" spans="6:6" ht="12.75">
      <c r="F312" s="66"/>
    </row>
    <row r="313" spans="6:6" ht="12.75">
      <c r="F313" s="66"/>
    </row>
    <row r="314" spans="6:6" ht="12.75">
      <c r="F314" s="66"/>
    </row>
    <row r="315" spans="6:6" ht="12.75">
      <c r="F315" s="66"/>
    </row>
    <row r="316" spans="6:6" ht="12.75">
      <c r="F316" s="66"/>
    </row>
    <row r="317" spans="6:6" ht="12.75">
      <c r="F317" s="66"/>
    </row>
    <row r="318" spans="6:6" ht="12.75">
      <c r="F318" s="66"/>
    </row>
    <row r="319" spans="6:6" ht="12.75">
      <c r="F319" s="66"/>
    </row>
    <row r="320" spans="6:6" ht="12.75">
      <c r="F320" s="66"/>
    </row>
    <row r="321" spans="6:6" ht="12.75">
      <c r="F321" s="66"/>
    </row>
    <row r="322" spans="6:6" ht="12.75">
      <c r="F322" s="66"/>
    </row>
    <row r="323" spans="6:6" ht="12.75">
      <c r="F323" s="66"/>
    </row>
    <row r="324" spans="6:6" ht="12.75">
      <c r="F324" s="66"/>
    </row>
    <row r="325" spans="6:6" ht="12.75">
      <c r="F325" s="66"/>
    </row>
    <row r="326" spans="6:6" ht="12.75">
      <c r="F326" s="66"/>
    </row>
    <row r="327" spans="6:6" ht="12.75">
      <c r="F327" s="66"/>
    </row>
    <row r="328" spans="6:6" ht="12.75">
      <c r="F328" s="66"/>
    </row>
    <row r="329" spans="6:6" ht="12.75">
      <c r="F329" s="66"/>
    </row>
    <row r="330" spans="6:6" ht="12.75">
      <c r="F330" s="66"/>
    </row>
    <row r="331" spans="6:6" ht="12.75">
      <c r="F331" s="66"/>
    </row>
    <row r="332" spans="6:6" ht="12.75">
      <c r="F332" s="66"/>
    </row>
    <row r="333" spans="6:6" ht="12.75">
      <c r="F333" s="66"/>
    </row>
    <row r="334" spans="6:6" ht="12.75">
      <c r="F334" s="66"/>
    </row>
    <row r="335" spans="6:6" ht="12.75">
      <c r="F335" s="66"/>
    </row>
    <row r="336" spans="6:6" ht="12.75">
      <c r="F336" s="66"/>
    </row>
    <row r="337" spans="6:6" ht="12.75">
      <c r="F337" s="66"/>
    </row>
    <row r="338" spans="6:6" ht="12.75">
      <c r="F338" s="66"/>
    </row>
    <row r="339" spans="6:6" ht="12.75">
      <c r="F339" s="66"/>
    </row>
    <row r="340" spans="6:6" ht="12.75">
      <c r="F340" s="66"/>
    </row>
    <row r="341" spans="6:6" ht="12.75">
      <c r="F341" s="66"/>
    </row>
    <row r="342" spans="6:6" ht="12.75">
      <c r="F342" s="66"/>
    </row>
    <row r="343" spans="6:6" ht="12.75">
      <c r="F343" s="66"/>
    </row>
    <row r="344" spans="6:6" ht="12.75">
      <c r="F344" s="66"/>
    </row>
    <row r="345" spans="6:6" ht="12.75">
      <c r="F345" s="66"/>
    </row>
    <row r="346" spans="6:6" ht="12.75">
      <c r="F346" s="66"/>
    </row>
    <row r="347" spans="6:6" ht="12.75">
      <c r="F347" s="66"/>
    </row>
    <row r="348" spans="6:6" ht="12.75">
      <c r="F348" s="66"/>
    </row>
    <row r="349" spans="6:6" ht="12.75">
      <c r="F349" s="66"/>
    </row>
    <row r="350" spans="6:6" ht="12.75">
      <c r="F350" s="66"/>
    </row>
    <row r="351" spans="6:6" ht="12.75">
      <c r="F351" s="66"/>
    </row>
    <row r="352" spans="6:6" ht="12.75">
      <c r="F352" s="66"/>
    </row>
    <row r="353" spans="6:6" ht="12.75">
      <c r="F353" s="66"/>
    </row>
    <row r="354" spans="6:6" ht="12.75">
      <c r="F354" s="66"/>
    </row>
    <row r="355" spans="6:6" ht="12.75">
      <c r="F355" s="66"/>
    </row>
    <row r="356" spans="6:6" ht="12.75">
      <c r="F356" s="66"/>
    </row>
    <row r="357" spans="6:6" ht="12.75">
      <c r="F357" s="66"/>
    </row>
    <row r="358" spans="6:6" ht="12.75">
      <c r="F358" s="66"/>
    </row>
    <row r="359" spans="6:6" ht="12.75">
      <c r="F359" s="66"/>
    </row>
    <row r="360" spans="6:6" ht="12.75">
      <c r="F360" s="66"/>
    </row>
    <row r="361" spans="6:6" ht="12.75">
      <c r="F361" s="66"/>
    </row>
    <row r="362" spans="6:6" ht="12.75">
      <c r="F362" s="66"/>
    </row>
    <row r="363" spans="6:6" ht="12.75">
      <c r="F363" s="66"/>
    </row>
    <row r="364" spans="6:6" ht="12.75">
      <c r="F364" s="66"/>
    </row>
    <row r="365" spans="6:6" ht="12.75">
      <c r="F365" s="66"/>
    </row>
    <row r="366" spans="6:6" ht="12.75">
      <c r="F366" s="66"/>
    </row>
    <row r="367" spans="6:6" ht="12.75">
      <c r="F367" s="66"/>
    </row>
    <row r="368" spans="6:6" ht="12.75">
      <c r="F368" s="66"/>
    </row>
    <row r="369" spans="6:6" ht="12.75">
      <c r="F369" s="66"/>
    </row>
    <row r="370" spans="6:6" ht="12.75">
      <c r="F370" s="66"/>
    </row>
    <row r="371" spans="6:6" ht="12.75">
      <c r="F371" s="66"/>
    </row>
    <row r="372" spans="6:6" ht="12.75">
      <c r="F372" s="66"/>
    </row>
    <row r="373" spans="6:6" ht="12.75">
      <c r="F373" s="66"/>
    </row>
    <row r="374" spans="6:6" ht="12.75">
      <c r="F374" s="66"/>
    </row>
    <row r="375" spans="6:6" ht="12.75">
      <c r="F375" s="66"/>
    </row>
    <row r="376" spans="6:6" ht="12.75">
      <c r="F376" s="66"/>
    </row>
    <row r="377" spans="6:6" ht="12.75">
      <c r="F377" s="66"/>
    </row>
    <row r="378" spans="6:6" ht="12.75">
      <c r="F378" s="66"/>
    </row>
    <row r="379" spans="6:6" ht="12.75">
      <c r="F379" s="66"/>
    </row>
    <row r="380" spans="6:6" ht="12.75">
      <c r="F380" s="66"/>
    </row>
    <row r="381" spans="6:6" ht="12.75">
      <c r="F381" s="66"/>
    </row>
    <row r="382" spans="6:6" ht="12.75">
      <c r="F382" s="66"/>
    </row>
    <row r="383" spans="6:6" ht="12.75">
      <c r="F383" s="66"/>
    </row>
    <row r="384" spans="6:6" ht="12.75">
      <c r="F384" s="66"/>
    </row>
    <row r="385" spans="6:6" ht="12.75">
      <c r="F385" s="66"/>
    </row>
    <row r="386" spans="6:6" ht="12.75">
      <c r="F386" s="66"/>
    </row>
    <row r="387" spans="6:6" ht="12.75">
      <c r="F387" s="66"/>
    </row>
    <row r="388" spans="6:6" ht="12.75">
      <c r="F388" s="66"/>
    </row>
    <row r="389" spans="6:6" ht="12.75">
      <c r="F389" s="66"/>
    </row>
    <row r="390" spans="6:6" ht="12.75">
      <c r="F390" s="66"/>
    </row>
    <row r="391" spans="6:6" ht="12.75">
      <c r="F391" s="66"/>
    </row>
    <row r="392" spans="6:6" ht="12.75">
      <c r="F392" s="66"/>
    </row>
    <row r="393" spans="6:6" ht="12.75">
      <c r="F393" s="66"/>
    </row>
    <row r="394" spans="6:6" ht="12.75">
      <c r="F394" s="66"/>
    </row>
    <row r="395" spans="6:6" ht="12.75">
      <c r="F395" s="66"/>
    </row>
    <row r="396" spans="6:6" ht="12.75">
      <c r="F396" s="66"/>
    </row>
    <row r="397" spans="6:6" ht="12.75">
      <c r="F397" s="66"/>
    </row>
    <row r="398" spans="6:6" ht="12.75">
      <c r="F398" s="66"/>
    </row>
    <row r="399" spans="6:6" ht="12.75">
      <c r="F399" s="66"/>
    </row>
    <row r="400" spans="6:6" ht="12.75">
      <c r="F400" s="66"/>
    </row>
    <row r="401" spans="6:6" ht="12.75">
      <c r="F401" s="66"/>
    </row>
    <row r="402" spans="6:6" ht="12.75">
      <c r="F402" s="66"/>
    </row>
    <row r="403" spans="6:6" ht="12.75">
      <c r="F403" s="66"/>
    </row>
    <row r="404" spans="6:6" ht="12.75">
      <c r="F404" s="66"/>
    </row>
    <row r="405" spans="6:6" ht="12.75">
      <c r="F405" s="66"/>
    </row>
    <row r="406" spans="6:6" ht="12.75">
      <c r="F406" s="66"/>
    </row>
    <row r="407" spans="6:6" ht="12.75">
      <c r="F407" s="66"/>
    </row>
    <row r="408" spans="6:6" ht="12.75">
      <c r="F408" s="66"/>
    </row>
    <row r="409" spans="6:6" ht="12.75">
      <c r="F409" s="66"/>
    </row>
    <row r="410" spans="6:6" ht="12.75">
      <c r="F410" s="66"/>
    </row>
    <row r="411" spans="6:6" ht="12.75">
      <c r="F411" s="66"/>
    </row>
    <row r="412" spans="6:6" ht="12.75">
      <c r="F412" s="66"/>
    </row>
    <row r="413" spans="6:6" ht="12.75">
      <c r="F413" s="66"/>
    </row>
    <row r="414" spans="6:6" ht="12.75">
      <c r="F414" s="66"/>
    </row>
    <row r="415" spans="6:6" ht="12.75">
      <c r="F415" s="66"/>
    </row>
    <row r="416" spans="6:6" ht="12.75">
      <c r="F416" s="66"/>
    </row>
    <row r="417" spans="6:6" ht="12.75">
      <c r="F417" s="66"/>
    </row>
    <row r="418" spans="6:6" ht="12.75">
      <c r="F418" s="66"/>
    </row>
    <row r="419" spans="6:6" ht="12.75">
      <c r="F419" s="66"/>
    </row>
    <row r="420" spans="6:6" ht="12.75">
      <c r="F420" s="66"/>
    </row>
    <row r="421" spans="6:6" ht="12.75">
      <c r="F421" s="66"/>
    </row>
    <row r="422" spans="6:6" ht="12.75">
      <c r="F422" s="66"/>
    </row>
    <row r="423" spans="6:6" ht="12.75">
      <c r="F423" s="66"/>
    </row>
    <row r="424" spans="6:6" ht="12.75">
      <c r="F424" s="66"/>
    </row>
    <row r="425" spans="6:6" ht="12.75">
      <c r="F425" s="66"/>
    </row>
    <row r="426" spans="6:6" ht="12.75">
      <c r="F426" s="66"/>
    </row>
    <row r="427" spans="6:6" ht="12.75">
      <c r="F427" s="66"/>
    </row>
    <row r="428" spans="6:6" ht="12.75">
      <c r="F428" s="66"/>
    </row>
    <row r="429" spans="6:6" ht="12.75">
      <c r="F429" s="66"/>
    </row>
    <row r="430" spans="6:6" ht="12.75">
      <c r="F430" s="66"/>
    </row>
    <row r="431" spans="6:6" ht="12.75">
      <c r="F431" s="66"/>
    </row>
    <row r="432" spans="6:6" ht="12.75">
      <c r="F432" s="66"/>
    </row>
    <row r="433" spans="6:6" ht="12.75">
      <c r="F433" s="66"/>
    </row>
    <row r="434" spans="6:6" ht="12.75">
      <c r="F434" s="66"/>
    </row>
    <row r="435" spans="6:6" ht="12.75">
      <c r="F435" s="66"/>
    </row>
    <row r="436" spans="6:6" ht="12.75">
      <c r="F436" s="66"/>
    </row>
    <row r="437" spans="6:6" ht="12.75">
      <c r="F437" s="66"/>
    </row>
    <row r="438" spans="6:6" ht="12.75">
      <c r="F438" s="66"/>
    </row>
    <row r="439" spans="6:6" ht="12.75">
      <c r="F439" s="66"/>
    </row>
    <row r="440" spans="6:6" ht="12.75">
      <c r="F440" s="66"/>
    </row>
    <row r="441" spans="6:6" ht="12.75">
      <c r="F441" s="66"/>
    </row>
    <row r="442" spans="6:6" ht="12.75">
      <c r="F442" s="66"/>
    </row>
    <row r="443" spans="6:6" ht="12.75">
      <c r="F443" s="66"/>
    </row>
    <row r="444" spans="6:6" ht="12.75">
      <c r="F444" s="66"/>
    </row>
    <row r="445" spans="6:6" ht="12.75">
      <c r="F445" s="66"/>
    </row>
    <row r="446" spans="6:6" ht="12.75">
      <c r="F446" s="66"/>
    </row>
    <row r="447" spans="6:6" ht="12.75">
      <c r="F447" s="66"/>
    </row>
    <row r="448" spans="6:6" ht="12.75">
      <c r="F448" s="66"/>
    </row>
    <row r="449" spans="6:6" ht="12.75">
      <c r="F449" s="66"/>
    </row>
    <row r="450" spans="6:6" ht="12.75">
      <c r="F450" s="66"/>
    </row>
    <row r="451" spans="6:6" ht="12.75">
      <c r="F451" s="66"/>
    </row>
    <row r="452" spans="6:6" ht="12.75">
      <c r="F452" s="66"/>
    </row>
    <row r="453" spans="6:6" ht="12.75">
      <c r="F453" s="66"/>
    </row>
    <row r="454" spans="6:6" ht="12.75">
      <c r="F454" s="66"/>
    </row>
    <row r="455" spans="6:6" ht="12.75">
      <c r="F455" s="66"/>
    </row>
    <row r="456" spans="6:6" ht="12.75">
      <c r="F456" s="66"/>
    </row>
    <row r="457" spans="6:6" ht="12.75">
      <c r="F457" s="66"/>
    </row>
    <row r="458" spans="6:6" ht="12.75">
      <c r="F458" s="66"/>
    </row>
    <row r="459" spans="6:6" ht="12.75">
      <c r="F459" s="66"/>
    </row>
    <row r="460" spans="6:6" ht="12.75">
      <c r="F460" s="66"/>
    </row>
    <row r="461" spans="6:6" ht="12.75">
      <c r="F461" s="66"/>
    </row>
    <row r="462" spans="6:6" ht="12.75">
      <c r="F462" s="66"/>
    </row>
    <row r="463" spans="6:6" ht="12.75">
      <c r="F463" s="66"/>
    </row>
    <row r="464" spans="6:6" ht="12.75">
      <c r="F464" s="66"/>
    </row>
    <row r="465" spans="6:6" ht="12.75">
      <c r="F465" s="66"/>
    </row>
    <row r="466" spans="6:6" ht="12.75">
      <c r="F466" s="66"/>
    </row>
    <row r="467" spans="6:6" ht="12.75">
      <c r="F467" s="66"/>
    </row>
    <row r="468" spans="6:6" ht="12.75">
      <c r="F468" s="66"/>
    </row>
    <row r="469" spans="6:6" ht="12.75">
      <c r="F469" s="66"/>
    </row>
    <row r="470" spans="6:6" ht="12.75">
      <c r="F470" s="66"/>
    </row>
    <row r="471" spans="6:6" ht="12.75">
      <c r="F471" s="66"/>
    </row>
    <row r="472" spans="6:6" ht="12.75">
      <c r="F472" s="66"/>
    </row>
    <row r="473" spans="6:6" ht="12.75">
      <c r="F473" s="66"/>
    </row>
    <row r="474" spans="6:6" ht="12.75">
      <c r="F474" s="66"/>
    </row>
    <row r="475" spans="6:6" ht="12.75">
      <c r="F475" s="66"/>
    </row>
    <row r="476" spans="6:6" ht="12.75">
      <c r="F476" s="66"/>
    </row>
    <row r="477" spans="6:6" ht="12.75">
      <c r="F477" s="66"/>
    </row>
    <row r="478" spans="6:6" ht="12.75">
      <c r="F478" s="66"/>
    </row>
    <row r="479" spans="6:6" ht="12.75">
      <c r="F479" s="66"/>
    </row>
    <row r="480" spans="6:6" ht="12.75">
      <c r="F480" s="66"/>
    </row>
    <row r="481" spans="6:6" ht="12.75">
      <c r="F481" s="66"/>
    </row>
    <row r="482" spans="6:6" ht="12.75">
      <c r="F482" s="66"/>
    </row>
    <row r="483" spans="6:6" ht="12.75">
      <c r="F483" s="66"/>
    </row>
    <row r="484" spans="6:6" ht="12.75">
      <c r="F484" s="66"/>
    </row>
    <row r="485" spans="6:6" ht="12.75">
      <c r="F485" s="66"/>
    </row>
    <row r="486" spans="6:6" ht="12.75">
      <c r="F486" s="66"/>
    </row>
    <row r="487" spans="6:6" ht="12.75">
      <c r="F487" s="66"/>
    </row>
    <row r="488" spans="6:6" ht="12.75">
      <c r="F488" s="66"/>
    </row>
    <row r="489" spans="6:6" ht="12.75">
      <c r="F489" s="66"/>
    </row>
    <row r="490" spans="6:6" ht="12.75">
      <c r="F490" s="66"/>
    </row>
    <row r="491" spans="6:6" ht="12.75">
      <c r="F491" s="66"/>
    </row>
    <row r="492" spans="6:6" ht="12.75">
      <c r="F492" s="66"/>
    </row>
    <row r="493" spans="6:6" ht="12.75">
      <c r="F493" s="66"/>
    </row>
    <row r="494" spans="6:6" ht="12.75">
      <c r="F494" s="66"/>
    </row>
    <row r="495" spans="6:6" ht="12.75">
      <c r="F495" s="66"/>
    </row>
    <row r="496" spans="6:6" ht="12.75">
      <c r="F496" s="66"/>
    </row>
    <row r="497" spans="6:6" ht="12.75">
      <c r="F497" s="66"/>
    </row>
    <row r="498" spans="6:6" ht="12.75">
      <c r="F498" s="66"/>
    </row>
    <row r="499" spans="6:6" ht="12.75">
      <c r="F499" s="66"/>
    </row>
    <row r="500" spans="6:6" ht="12.75">
      <c r="F500" s="66"/>
    </row>
    <row r="501" spans="6:6" ht="12.75">
      <c r="F501" s="66"/>
    </row>
    <row r="502" spans="6:6" ht="12.75">
      <c r="F502" s="66"/>
    </row>
    <row r="503" spans="6:6" ht="12.75">
      <c r="F503" s="66"/>
    </row>
    <row r="504" spans="6:6" ht="12.75">
      <c r="F504" s="66"/>
    </row>
    <row r="505" spans="6:6" ht="12.75">
      <c r="F505" s="66"/>
    </row>
    <row r="506" spans="6:6" ht="12.75">
      <c r="F506" s="66"/>
    </row>
    <row r="507" spans="6:6" ht="12.75">
      <c r="F507" s="66"/>
    </row>
    <row r="508" spans="6:6" ht="12.75">
      <c r="F508" s="66"/>
    </row>
    <row r="509" spans="6:6" ht="12.75">
      <c r="F509" s="66"/>
    </row>
    <row r="510" spans="6:6" ht="12.75">
      <c r="F510" s="66"/>
    </row>
    <row r="511" spans="6:6" ht="12.75">
      <c r="F511" s="66"/>
    </row>
    <row r="512" spans="6:6" ht="12.75">
      <c r="F512" s="66"/>
    </row>
    <row r="513" spans="6:6" ht="12.75">
      <c r="F513" s="66"/>
    </row>
    <row r="514" spans="6:6" ht="12.75">
      <c r="F514" s="66"/>
    </row>
    <row r="515" spans="6:6" ht="12.75">
      <c r="F515" s="66"/>
    </row>
    <row r="516" spans="6:6" ht="12.75">
      <c r="F516" s="66"/>
    </row>
    <row r="517" spans="6:6" ht="12.75">
      <c r="F517" s="66"/>
    </row>
    <row r="518" spans="6:6" ht="12.75">
      <c r="F518" s="66"/>
    </row>
    <row r="519" spans="6:6" ht="12.75">
      <c r="F519" s="66"/>
    </row>
    <row r="520" spans="6:6" ht="12.75">
      <c r="F520" s="66"/>
    </row>
    <row r="521" spans="6:6" ht="12.75">
      <c r="F521" s="66"/>
    </row>
    <row r="522" spans="6:6" ht="12.75">
      <c r="F522" s="66"/>
    </row>
    <row r="523" spans="6:6" ht="12.75">
      <c r="F523" s="66"/>
    </row>
    <row r="524" spans="6:6" ht="12.75">
      <c r="F524" s="66"/>
    </row>
    <row r="525" spans="6:6" ht="12.75">
      <c r="F525" s="66"/>
    </row>
    <row r="526" spans="6:6" ht="12.75">
      <c r="F526" s="66"/>
    </row>
    <row r="527" spans="6:6" ht="12.75">
      <c r="F527" s="66"/>
    </row>
    <row r="528" spans="6:6" ht="12.75">
      <c r="F528" s="66"/>
    </row>
    <row r="529" spans="6:6" ht="12.75">
      <c r="F529" s="66"/>
    </row>
    <row r="530" spans="6:6" ht="12.75">
      <c r="F530" s="66"/>
    </row>
    <row r="531" spans="6:6" ht="12.75">
      <c r="F531" s="66"/>
    </row>
    <row r="532" spans="6:6" ht="12.75">
      <c r="F532" s="66"/>
    </row>
    <row r="533" spans="6:6" ht="12.75">
      <c r="F533" s="66"/>
    </row>
    <row r="534" spans="6:6" ht="12.75">
      <c r="F534" s="66"/>
    </row>
    <row r="535" spans="6:6" ht="12.75">
      <c r="F535" s="66"/>
    </row>
    <row r="536" spans="6:6" ht="12.75">
      <c r="F536" s="66"/>
    </row>
    <row r="537" spans="6:6" ht="12.75">
      <c r="F537" s="66"/>
    </row>
    <row r="538" spans="6:6" ht="12.75">
      <c r="F538" s="66"/>
    </row>
    <row r="539" spans="6:6" ht="12.75">
      <c r="F539" s="66"/>
    </row>
    <row r="540" spans="6:6" ht="12.75">
      <c r="F540" s="66"/>
    </row>
    <row r="541" spans="6:6" ht="12.75">
      <c r="F541" s="66"/>
    </row>
    <row r="542" spans="6:6" ht="12.75">
      <c r="F542" s="66"/>
    </row>
    <row r="543" spans="6:6" ht="12.75">
      <c r="F543" s="66"/>
    </row>
    <row r="544" spans="6:6" ht="12.75">
      <c r="F544" s="66"/>
    </row>
    <row r="545" spans="6:6" ht="12.75">
      <c r="F545" s="66"/>
    </row>
    <row r="546" spans="6:6" ht="12.75">
      <c r="F546" s="66"/>
    </row>
    <row r="547" spans="6:6" ht="12.75">
      <c r="F547" s="66"/>
    </row>
    <row r="548" spans="6:6" ht="12.75">
      <c r="F548" s="66"/>
    </row>
    <row r="549" spans="6:6" ht="12.75">
      <c r="F549" s="66"/>
    </row>
    <row r="550" spans="6:6" ht="12.75">
      <c r="F550" s="66"/>
    </row>
    <row r="551" spans="6:6" ht="12.75">
      <c r="F551" s="66"/>
    </row>
    <row r="552" spans="6:6" ht="12.75">
      <c r="F552" s="66"/>
    </row>
    <row r="553" spans="6:6" ht="12.75">
      <c r="F553" s="66"/>
    </row>
    <row r="554" spans="6:6" ht="12.75">
      <c r="F554" s="66"/>
    </row>
    <row r="555" spans="6:6" ht="12.75">
      <c r="F555" s="66"/>
    </row>
    <row r="556" spans="6:6" ht="12.75">
      <c r="F556" s="66"/>
    </row>
    <row r="557" spans="6:6" ht="12.75">
      <c r="F557" s="66"/>
    </row>
    <row r="558" spans="6:6" ht="12.75">
      <c r="F558" s="66"/>
    </row>
    <row r="559" spans="6:6" ht="12.75">
      <c r="F559" s="66"/>
    </row>
    <row r="560" spans="6:6" ht="12.75">
      <c r="F560" s="66"/>
    </row>
    <row r="561" spans="6:6" ht="12.75">
      <c r="F561" s="66"/>
    </row>
    <row r="562" spans="6:6" ht="12.75">
      <c r="F562" s="66"/>
    </row>
    <row r="563" spans="6:6" ht="12.75">
      <c r="F563" s="66"/>
    </row>
    <row r="564" spans="6:6" ht="12.75">
      <c r="F564" s="66"/>
    </row>
    <row r="565" spans="6:6" ht="12.75">
      <c r="F565" s="66"/>
    </row>
    <row r="566" spans="6:6" ht="12.75">
      <c r="F566" s="66"/>
    </row>
    <row r="567" spans="6:6" ht="12.75">
      <c r="F567" s="66"/>
    </row>
    <row r="568" spans="6:6" ht="12.75">
      <c r="F568" s="66"/>
    </row>
    <row r="569" spans="6:6" ht="12.75">
      <c r="F569" s="66"/>
    </row>
    <row r="570" spans="6:6" ht="12.75">
      <c r="F570" s="66"/>
    </row>
    <row r="571" spans="6:6" ht="12.75">
      <c r="F571" s="66"/>
    </row>
    <row r="572" spans="6:6" ht="12.75">
      <c r="F572" s="66"/>
    </row>
    <row r="573" spans="6:6" ht="12.75">
      <c r="F573" s="66"/>
    </row>
    <row r="574" spans="6:6" ht="12.75">
      <c r="F574" s="66"/>
    </row>
    <row r="575" spans="6:6" ht="12.75">
      <c r="F575" s="66"/>
    </row>
    <row r="576" spans="6:6" ht="12.75">
      <c r="F576" s="66"/>
    </row>
    <row r="577" spans="6:6" ht="12.75">
      <c r="F577" s="66"/>
    </row>
    <row r="578" spans="6:6" ht="12.75">
      <c r="F578" s="66"/>
    </row>
    <row r="579" spans="6:6" ht="12.75">
      <c r="F579" s="66"/>
    </row>
    <row r="580" spans="6:6" ht="12.75">
      <c r="F580" s="66"/>
    </row>
    <row r="581" spans="6:6" ht="12.75">
      <c r="F581" s="66"/>
    </row>
    <row r="582" spans="6:6" ht="12.75">
      <c r="F582" s="66"/>
    </row>
    <row r="583" spans="6:6" ht="12.75">
      <c r="F583" s="66"/>
    </row>
    <row r="584" spans="6:6" ht="12.75">
      <c r="F584" s="66"/>
    </row>
    <row r="585" spans="6:6" ht="12.75">
      <c r="F585" s="66"/>
    </row>
    <row r="586" spans="6:6" ht="12.75">
      <c r="F586" s="66"/>
    </row>
    <row r="587" spans="6:6" ht="12.75">
      <c r="F587" s="66"/>
    </row>
    <row r="588" spans="6:6" ht="12.75">
      <c r="F588" s="66"/>
    </row>
    <row r="589" spans="6:6" ht="12.75">
      <c r="F589" s="66"/>
    </row>
    <row r="590" spans="6:6" ht="12.75">
      <c r="F590" s="66"/>
    </row>
    <row r="591" spans="6:6" ht="12.75">
      <c r="F591" s="66"/>
    </row>
    <row r="592" spans="6:6" ht="12.75">
      <c r="F592" s="66"/>
    </row>
    <row r="593" spans="6:6" ht="12.75">
      <c r="F593" s="66"/>
    </row>
    <row r="594" spans="6:6" ht="12.75">
      <c r="F594" s="66"/>
    </row>
    <row r="595" spans="6:6" ht="12.75">
      <c r="F595" s="66"/>
    </row>
    <row r="596" spans="6:6" ht="12.75">
      <c r="F596" s="66"/>
    </row>
    <row r="597" spans="6:6" ht="12.75">
      <c r="F597" s="66"/>
    </row>
    <row r="598" spans="6:6" ht="12.75">
      <c r="F598" s="66"/>
    </row>
    <row r="599" spans="6:6" ht="12.75">
      <c r="F599" s="66"/>
    </row>
    <row r="600" spans="6:6" ht="12.75">
      <c r="F600" s="66"/>
    </row>
    <row r="601" spans="6:6" ht="12.75">
      <c r="F601" s="66"/>
    </row>
    <row r="602" spans="6:6" ht="12.75">
      <c r="F602" s="66"/>
    </row>
    <row r="603" spans="6:6" ht="12.75">
      <c r="F603" s="66"/>
    </row>
    <row r="604" spans="6:6" ht="12.75">
      <c r="F604" s="66"/>
    </row>
    <row r="605" spans="6:6" ht="12.75">
      <c r="F605" s="66"/>
    </row>
    <row r="606" spans="6:6" ht="12.75">
      <c r="F606" s="66"/>
    </row>
    <row r="607" spans="6:6" ht="12.75">
      <c r="F607" s="66"/>
    </row>
    <row r="608" spans="6:6" ht="12.75">
      <c r="F608" s="66"/>
    </row>
    <row r="609" spans="6:6" ht="12.75">
      <c r="F609" s="66"/>
    </row>
    <row r="610" spans="6:6" ht="12.75">
      <c r="F610" s="66"/>
    </row>
    <row r="611" spans="6:6" ht="12.75">
      <c r="F611" s="66"/>
    </row>
    <row r="612" spans="6:6" ht="12.75">
      <c r="F612" s="66"/>
    </row>
    <row r="613" spans="6:6" ht="12.75">
      <c r="F613" s="66"/>
    </row>
    <row r="614" spans="6:6" ht="12.75">
      <c r="F614" s="66"/>
    </row>
    <row r="615" spans="6:6" ht="12.75">
      <c r="F615" s="66"/>
    </row>
    <row r="616" spans="6:6" ht="12.75">
      <c r="F616" s="66"/>
    </row>
    <row r="617" spans="6:6" ht="12.75">
      <c r="F617" s="66"/>
    </row>
    <row r="618" spans="6:6" ht="12.75">
      <c r="F618" s="66"/>
    </row>
    <row r="619" spans="6:6" ht="12.75">
      <c r="F619" s="66"/>
    </row>
    <row r="620" spans="6:6" ht="12.75">
      <c r="F620" s="66"/>
    </row>
    <row r="621" spans="6:6" ht="12.75">
      <c r="F621" s="66"/>
    </row>
    <row r="622" spans="6:6" ht="12.75">
      <c r="F622" s="66"/>
    </row>
    <row r="623" spans="6:6" ht="12.75">
      <c r="F623" s="66"/>
    </row>
    <row r="624" spans="6:6" ht="12.75">
      <c r="F624" s="66"/>
    </row>
    <row r="625" spans="6:6" ht="12.75">
      <c r="F625" s="66"/>
    </row>
    <row r="626" spans="6:6" ht="12.75">
      <c r="F626" s="66"/>
    </row>
    <row r="627" spans="6:6" ht="12.75">
      <c r="F627" s="66"/>
    </row>
    <row r="628" spans="6:6" ht="12.75">
      <c r="F628" s="66"/>
    </row>
    <row r="629" spans="6:6" ht="12.75">
      <c r="F629" s="66"/>
    </row>
    <row r="630" spans="6:6" ht="12.75">
      <c r="F630" s="66"/>
    </row>
    <row r="631" spans="6:6" ht="12.75">
      <c r="F631" s="66"/>
    </row>
    <row r="632" spans="6:6" ht="12.75">
      <c r="F632" s="66"/>
    </row>
    <row r="633" spans="6:6" ht="12.75">
      <c r="F633" s="66"/>
    </row>
    <row r="634" spans="6:6" ht="12.75">
      <c r="F634" s="66"/>
    </row>
    <row r="635" spans="6:6" ht="12.75">
      <c r="F635" s="66"/>
    </row>
    <row r="636" spans="6:6" ht="12.75">
      <c r="F636" s="66"/>
    </row>
    <row r="637" spans="6:6" ht="12.75">
      <c r="F637" s="66"/>
    </row>
    <row r="638" spans="6:6" ht="12.75">
      <c r="F638" s="66"/>
    </row>
    <row r="639" spans="6:6" ht="12.75">
      <c r="F639" s="66"/>
    </row>
    <row r="640" spans="6:6" ht="12.75">
      <c r="F640" s="66"/>
    </row>
    <row r="641" spans="6:6" ht="12.75">
      <c r="F641" s="66"/>
    </row>
    <row r="642" spans="6:6" ht="12.75">
      <c r="F642" s="66"/>
    </row>
    <row r="643" spans="6:6" ht="12.75">
      <c r="F643" s="66"/>
    </row>
    <row r="644" spans="6:6" ht="12.75">
      <c r="F644" s="66"/>
    </row>
    <row r="645" spans="6:6" ht="12.75">
      <c r="F645" s="66"/>
    </row>
    <row r="646" spans="6:6" ht="12.75">
      <c r="F646" s="66"/>
    </row>
    <row r="647" spans="6:6" ht="12.75">
      <c r="F647" s="66"/>
    </row>
    <row r="648" spans="6:6" ht="12.75">
      <c r="F648" s="66"/>
    </row>
    <row r="649" spans="6:6" ht="12.75">
      <c r="F649" s="66"/>
    </row>
    <row r="650" spans="6:6" ht="12.75">
      <c r="F650" s="66"/>
    </row>
    <row r="651" spans="6:6" ht="12.75">
      <c r="F651" s="66"/>
    </row>
    <row r="652" spans="6:6" ht="12.75">
      <c r="F652" s="66"/>
    </row>
    <row r="653" spans="6:6" ht="12.75">
      <c r="F653" s="66"/>
    </row>
    <row r="654" spans="6:6" ht="12.75">
      <c r="F654" s="66"/>
    </row>
    <row r="655" spans="6:6" ht="12.75">
      <c r="F655" s="66"/>
    </row>
    <row r="656" spans="6:6" ht="12.75">
      <c r="F656" s="66"/>
    </row>
    <row r="657" spans="6:6" ht="12.75">
      <c r="F657" s="66"/>
    </row>
    <row r="658" spans="6:6" ht="12.75">
      <c r="F658" s="66"/>
    </row>
    <row r="659" spans="6:6" ht="12.75">
      <c r="F659" s="66"/>
    </row>
    <row r="660" spans="6:6" ht="12.75">
      <c r="F660" s="66"/>
    </row>
    <row r="661" spans="6:6" ht="12.75">
      <c r="F661" s="66"/>
    </row>
    <row r="662" spans="6:6" ht="12.75">
      <c r="F662" s="66"/>
    </row>
    <row r="663" spans="6:6" ht="12.75">
      <c r="F663" s="66"/>
    </row>
    <row r="664" spans="6:6" ht="12.75">
      <c r="F664" s="66"/>
    </row>
    <row r="665" spans="6:6" ht="12.75">
      <c r="F665" s="66"/>
    </row>
    <row r="666" spans="6:6" ht="12.75">
      <c r="F666" s="66"/>
    </row>
    <row r="667" spans="6:6" ht="12.75">
      <c r="F667" s="66"/>
    </row>
    <row r="668" spans="6:6" ht="12.75">
      <c r="F668" s="66"/>
    </row>
    <row r="669" spans="6:6" ht="12.75">
      <c r="F669" s="66"/>
    </row>
    <row r="670" spans="6:6" ht="12.75">
      <c r="F670" s="66"/>
    </row>
    <row r="671" spans="6:6" ht="12.75">
      <c r="F671" s="66"/>
    </row>
    <row r="672" spans="6:6" ht="12.75">
      <c r="F672" s="66"/>
    </row>
    <row r="673" spans="6:6" ht="12.75">
      <c r="F673" s="66"/>
    </row>
    <row r="674" spans="6:6" ht="12.75">
      <c r="F674" s="66"/>
    </row>
    <row r="675" spans="6:6" ht="12.75">
      <c r="F675" s="66"/>
    </row>
    <row r="676" spans="6:6" ht="12.75">
      <c r="F676" s="66"/>
    </row>
    <row r="677" spans="6:6" ht="12.75">
      <c r="F677" s="66"/>
    </row>
    <row r="678" spans="6:6" ht="12.75">
      <c r="F678" s="66"/>
    </row>
    <row r="679" spans="6:6" ht="12.75">
      <c r="F679" s="66"/>
    </row>
    <row r="680" spans="6:6" ht="12.75">
      <c r="F680" s="66"/>
    </row>
    <row r="681" spans="6:6" ht="12.75">
      <c r="F681" s="66"/>
    </row>
    <row r="682" spans="6:6" ht="12.75">
      <c r="F682" s="66"/>
    </row>
    <row r="683" spans="6:6" ht="12.75">
      <c r="F683" s="66"/>
    </row>
    <row r="684" spans="6:6" ht="12.75">
      <c r="F684" s="66"/>
    </row>
    <row r="685" spans="6:6" ht="12.75">
      <c r="F685" s="66"/>
    </row>
    <row r="686" spans="6:6" ht="12.75">
      <c r="F686" s="66"/>
    </row>
    <row r="687" spans="6:6" ht="12.75">
      <c r="F687" s="66"/>
    </row>
    <row r="688" spans="6:6" ht="12.75">
      <c r="F688" s="66"/>
    </row>
    <row r="689" spans="6:6" ht="12.75">
      <c r="F689" s="66"/>
    </row>
    <row r="690" spans="6:6" ht="12.75">
      <c r="F690" s="66"/>
    </row>
    <row r="691" spans="6:6" ht="12.75">
      <c r="F691" s="66"/>
    </row>
    <row r="692" spans="6:6" ht="12.75">
      <c r="F692" s="66"/>
    </row>
    <row r="693" spans="6:6" ht="12.75">
      <c r="F693" s="66"/>
    </row>
    <row r="694" spans="6:6" ht="12.75">
      <c r="F694" s="66"/>
    </row>
    <row r="695" spans="6:6" ht="12.75">
      <c r="F695" s="66"/>
    </row>
    <row r="696" spans="6:6" ht="12.75">
      <c r="F696" s="66"/>
    </row>
    <row r="697" spans="6:6" ht="12.75">
      <c r="F697" s="66"/>
    </row>
    <row r="698" spans="6:6" ht="12.75">
      <c r="F698" s="66"/>
    </row>
    <row r="699" spans="6:6" ht="12.75">
      <c r="F699" s="66"/>
    </row>
    <row r="700" spans="6:6" ht="12.75">
      <c r="F700" s="66"/>
    </row>
    <row r="701" spans="6:6" ht="12.75">
      <c r="F701" s="66"/>
    </row>
    <row r="702" spans="6:6" ht="12.75">
      <c r="F702" s="66"/>
    </row>
    <row r="703" spans="6:6" ht="12.75">
      <c r="F703" s="66"/>
    </row>
    <row r="704" spans="6:6" ht="12.75">
      <c r="F704" s="66"/>
    </row>
    <row r="705" spans="6:6" ht="12.75">
      <c r="F705" s="66"/>
    </row>
    <row r="706" spans="6:6" ht="12.75">
      <c r="F706" s="66"/>
    </row>
    <row r="707" spans="6:6" ht="12.75">
      <c r="F707" s="66"/>
    </row>
    <row r="708" spans="6:6" ht="12.75">
      <c r="F708" s="66"/>
    </row>
    <row r="709" spans="6:6" ht="12.75">
      <c r="F709" s="66"/>
    </row>
    <row r="710" spans="6:6" ht="12.75">
      <c r="F710" s="66"/>
    </row>
    <row r="711" spans="6:6" ht="12.75">
      <c r="F711" s="66"/>
    </row>
    <row r="712" spans="6:6" ht="12.75">
      <c r="F712" s="66"/>
    </row>
    <row r="713" spans="6:6" ht="12.75">
      <c r="F713" s="66"/>
    </row>
    <row r="714" spans="6:6" ht="12.75">
      <c r="F714" s="66"/>
    </row>
    <row r="715" spans="6:6" ht="12.75">
      <c r="F715" s="66"/>
    </row>
    <row r="716" spans="6:6" ht="12.75">
      <c r="F716" s="66"/>
    </row>
    <row r="717" spans="6:6" ht="12.75">
      <c r="F717" s="66"/>
    </row>
    <row r="718" spans="6:6" ht="12.75">
      <c r="F718" s="66"/>
    </row>
    <row r="719" spans="6:6" ht="12.75">
      <c r="F719" s="66"/>
    </row>
    <row r="720" spans="6:6" ht="12.75">
      <c r="F720" s="66"/>
    </row>
    <row r="721" spans="6:6" ht="12.75">
      <c r="F721" s="66"/>
    </row>
    <row r="722" spans="6:6" ht="12.75">
      <c r="F722" s="66"/>
    </row>
    <row r="723" spans="6:6" ht="12.75">
      <c r="F723" s="66"/>
    </row>
    <row r="724" spans="6:6" ht="12.75">
      <c r="F724" s="66"/>
    </row>
    <row r="725" spans="6:6" ht="12.75">
      <c r="F725" s="66"/>
    </row>
    <row r="726" spans="6:6" ht="12.75">
      <c r="F726" s="66"/>
    </row>
    <row r="727" spans="6:6" ht="12.75">
      <c r="F727" s="66"/>
    </row>
    <row r="728" spans="6:6" ht="12.75">
      <c r="F728" s="66"/>
    </row>
    <row r="729" spans="6:6" ht="12.75">
      <c r="F729" s="66"/>
    </row>
    <row r="730" spans="6:6" ht="12.75">
      <c r="F730" s="66"/>
    </row>
    <row r="731" spans="6:6" ht="12.75">
      <c r="F731" s="66"/>
    </row>
    <row r="732" spans="6:6" ht="12.75">
      <c r="F732" s="66"/>
    </row>
    <row r="733" spans="6:6" ht="12.75">
      <c r="F733" s="66"/>
    </row>
    <row r="734" spans="6:6" ht="12.75">
      <c r="F734" s="66"/>
    </row>
    <row r="735" spans="6:6" ht="12.75">
      <c r="F735" s="66"/>
    </row>
    <row r="736" spans="6:6" ht="12.75">
      <c r="F736" s="66"/>
    </row>
    <row r="737" spans="6:6" ht="12.75">
      <c r="F737" s="66"/>
    </row>
    <row r="738" spans="6:6" ht="12.75">
      <c r="F738" s="66"/>
    </row>
    <row r="739" spans="6:6" ht="12.75">
      <c r="F739" s="66"/>
    </row>
    <row r="740" spans="6:6" ht="12.75">
      <c r="F740" s="66"/>
    </row>
    <row r="741" spans="6:6" ht="12.75">
      <c r="F741" s="66"/>
    </row>
    <row r="742" spans="6:6" ht="12.75">
      <c r="F742" s="66"/>
    </row>
    <row r="743" spans="6:6" ht="12.75">
      <c r="F743" s="66"/>
    </row>
    <row r="744" spans="6:6" ht="12.75">
      <c r="F744" s="66"/>
    </row>
    <row r="745" spans="6:6" ht="12.75">
      <c r="F745" s="66"/>
    </row>
    <row r="746" spans="6:6" ht="12.75">
      <c r="F746" s="66"/>
    </row>
    <row r="747" spans="6:6" ht="12.75">
      <c r="F747" s="66"/>
    </row>
    <row r="748" spans="6:6" ht="12.75">
      <c r="F748" s="66"/>
    </row>
    <row r="749" spans="6:6" ht="12.75">
      <c r="F749" s="66"/>
    </row>
    <row r="750" spans="6:6" ht="12.75">
      <c r="F750" s="66"/>
    </row>
    <row r="751" spans="6:6" ht="12.75">
      <c r="F751" s="66"/>
    </row>
    <row r="752" spans="6:6" ht="12.75">
      <c r="F752" s="66"/>
    </row>
    <row r="753" spans="6:6" ht="12.75">
      <c r="F753" s="66"/>
    </row>
    <row r="754" spans="6:6" ht="12.75">
      <c r="F754" s="66"/>
    </row>
    <row r="755" spans="6:6" ht="12.75">
      <c r="F755" s="66"/>
    </row>
    <row r="756" spans="6:6" ht="12.75">
      <c r="F756" s="66"/>
    </row>
    <row r="757" spans="6:6" ht="12.75">
      <c r="F757" s="66"/>
    </row>
    <row r="758" spans="6:6" ht="12.75">
      <c r="F758" s="66"/>
    </row>
    <row r="759" spans="6:6" ht="12.75">
      <c r="F759" s="66"/>
    </row>
    <row r="760" spans="6:6" ht="12.75">
      <c r="F760" s="66"/>
    </row>
    <row r="761" spans="6:6" ht="12.75">
      <c r="F761" s="66"/>
    </row>
    <row r="762" spans="6:6" ht="12.75">
      <c r="F762" s="66"/>
    </row>
    <row r="763" spans="6:6" ht="12.75">
      <c r="F763" s="66"/>
    </row>
    <row r="764" spans="6:6" ht="12.75">
      <c r="F764" s="66"/>
    </row>
    <row r="765" spans="6:6" ht="12.75">
      <c r="F765" s="66"/>
    </row>
    <row r="766" spans="6:6" ht="12.75">
      <c r="F766" s="66"/>
    </row>
    <row r="767" spans="6:6" ht="12.75">
      <c r="F767" s="66"/>
    </row>
    <row r="768" spans="6:6" ht="12.75">
      <c r="F768" s="66"/>
    </row>
    <row r="769" spans="6:6" ht="12.75">
      <c r="F769" s="66"/>
    </row>
    <row r="770" spans="6:6" ht="12.75">
      <c r="F770" s="66"/>
    </row>
    <row r="771" spans="6:6" ht="12.75">
      <c r="F771" s="66"/>
    </row>
    <row r="772" spans="6:6" ht="12.75">
      <c r="F772" s="66"/>
    </row>
    <row r="773" spans="6:6" ht="12.75">
      <c r="F773" s="66"/>
    </row>
    <row r="774" spans="6:6" ht="12.75">
      <c r="F774" s="66"/>
    </row>
    <row r="775" spans="6:6" ht="12.75">
      <c r="F775" s="66"/>
    </row>
    <row r="776" spans="6:6" ht="12.75">
      <c r="F776" s="66"/>
    </row>
    <row r="777" spans="6:6" ht="12.75">
      <c r="F777" s="66"/>
    </row>
    <row r="778" spans="6:6" ht="12.75">
      <c r="F778" s="66"/>
    </row>
    <row r="779" spans="6:6" ht="12.75">
      <c r="F779" s="66"/>
    </row>
    <row r="780" spans="6:6" ht="12.75">
      <c r="F780" s="66"/>
    </row>
    <row r="781" spans="6:6" ht="12.75">
      <c r="F781" s="66"/>
    </row>
    <row r="782" spans="6:6" ht="12.75">
      <c r="F782" s="66"/>
    </row>
    <row r="783" spans="6:6" ht="12.75">
      <c r="F783" s="66"/>
    </row>
    <row r="784" spans="6:6" ht="12.75">
      <c r="F784" s="66"/>
    </row>
    <row r="785" spans="6:6" ht="12.75">
      <c r="F785" s="66"/>
    </row>
    <row r="786" spans="6:6" ht="12.75">
      <c r="F786" s="66"/>
    </row>
    <row r="787" spans="6:6" ht="12.75">
      <c r="F787" s="66"/>
    </row>
    <row r="788" spans="6:6" ht="12.75">
      <c r="F788" s="66"/>
    </row>
    <row r="789" spans="6:6" ht="12.75">
      <c r="F789" s="66"/>
    </row>
    <row r="790" spans="6:6" ht="12.75">
      <c r="F790" s="66"/>
    </row>
    <row r="791" spans="6:6" ht="12.75">
      <c r="F791" s="66"/>
    </row>
    <row r="792" spans="6:6" ht="12.75">
      <c r="F792" s="66"/>
    </row>
    <row r="793" spans="6:6" ht="12.75">
      <c r="F793" s="66"/>
    </row>
    <row r="794" spans="6:6" ht="12.75">
      <c r="F794" s="66"/>
    </row>
    <row r="795" spans="6:6" ht="12.75">
      <c r="F795" s="66"/>
    </row>
    <row r="796" spans="6:6" ht="12.75">
      <c r="F796" s="66"/>
    </row>
    <row r="797" spans="6:6" ht="12.75">
      <c r="F797" s="66"/>
    </row>
    <row r="798" spans="6:6" ht="12.75">
      <c r="F798" s="66"/>
    </row>
    <row r="799" spans="6:6" ht="12.75">
      <c r="F799" s="66"/>
    </row>
    <row r="800" spans="6:6" ht="12.75">
      <c r="F800" s="66"/>
    </row>
    <row r="801" spans="6:6" ht="12.75">
      <c r="F801" s="66"/>
    </row>
    <row r="802" spans="6:6" ht="12.75">
      <c r="F802" s="66"/>
    </row>
    <row r="803" spans="6:6" ht="12.75">
      <c r="F803" s="66"/>
    </row>
    <row r="804" spans="6:6" ht="12.75">
      <c r="F804" s="66"/>
    </row>
    <row r="805" spans="6:6" ht="12.75">
      <c r="F805" s="66"/>
    </row>
    <row r="806" spans="6:6" ht="12.75">
      <c r="F806" s="66"/>
    </row>
    <row r="807" spans="6:6" ht="12.75">
      <c r="F807" s="66"/>
    </row>
    <row r="808" spans="6:6" ht="12.75">
      <c r="F808" s="66"/>
    </row>
    <row r="809" spans="6:6" ht="12.75">
      <c r="F809" s="66"/>
    </row>
    <row r="810" spans="6:6" ht="12.75">
      <c r="F810" s="66"/>
    </row>
    <row r="811" spans="6:6" ht="12.75">
      <c r="F811" s="66"/>
    </row>
    <row r="812" spans="6:6" ht="12.75">
      <c r="F812" s="66"/>
    </row>
    <row r="813" spans="6:6" ht="12.75">
      <c r="F813" s="66"/>
    </row>
    <row r="814" spans="6:6" ht="12.75">
      <c r="F814" s="66"/>
    </row>
    <row r="815" spans="6:6" ht="12.75">
      <c r="F815" s="66"/>
    </row>
    <row r="816" spans="6:6" ht="12.75">
      <c r="F816" s="66"/>
    </row>
    <row r="817" spans="6:6" ht="12.75">
      <c r="F817" s="66"/>
    </row>
    <row r="818" spans="6:6" ht="12.75">
      <c r="F818" s="66"/>
    </row>
    <row r="819" spans="6:6" ht="12.75">
      <c r="F819" s="66"/>
    </row>
    <row r="820" spans="6:6" ht="12.75">
      <c r="F820" s="66"/>
    </row>
    <row r="821" spans="6:6" ht="12.75">
      <c r="F821" s="66"/>
    </row>
    <row r="822" spans="6:6" ht="12.75">
      <c r="F822" s="66"/>
    </row>
    <row r="823" spans="6:6" ht="12.75">
      <c r="F823" s="66"/>
    </row>
    <row r="824" spans="6:6" ht="12.75">
      <c r="F824" s="66"/>
    </row>
    <row r="825" spans="6:6" ht="12.75">
      <c r="F825" s="66"/>
    </row>
    <row r="826" spans="6:6" ht="12.75">
      <c r="F826" s="66"/>
    </row>
    <row r="827" spans="6:6" ht="12.75">
      <c r="F827" s="66"/>
    </row>
    <row r="828" spans="6:6" ht="12.75">
      <c r="F828" s="66"/>
    </row>
    <row r="829" spans="6:6" ht="12.75">
      <c r="F829" s="66"/>
    </row>
    <row r="830" spans="6:6" ht="12.75">
      <c r="F830" s="66"/>
    </row>
    <row r="831" spans="6:6" ht="12.75">
      <c r="F831" s="66"/>
    </row>
    <row r="832" spans="6:6" ht="12.75">
      <c r="F832" s="66"/>
    </row>
    <row r="833" spans="6:6" ht="12.75">
      <c r="F833" s="66"/>
    </row>
    <row r="834" spans="6:6" ht="12.75">
      <c r="F834" s="66"/>
    </row>
    <row r="835" spans="6:6" ht="12.75">
      <c r="F835" s="66"/>
    </row>
    <row r="836" spans="6:6" ht="12.75">
      <c r="F836" s="66"/>
    </row>
    <row r="837" spans="6:6" ht="12.75">
      <c r="F837" s="66"/>
    </row>
    <row r="838" spans="6:6" ht="12.75">
      <c r="F838" s="66"/>
    </row>
    <row r="839" spans="6:6" ht="12.75">
      <c r="F839" s="66"/>
    </row>
    <row r="840" spans="6:6" ht="12.75">
      <c r="F840" s="66"/>
    </row>
    <row r="841" spans="6:6" ht="12.75">
      <c r="F841" s="66"/>
    </row>
    <row r="842" spans="6:6" ht="12.75">
      <c r="F842" s="66"/>
    </row>
    <row r="843" spans="6:6" ht="12.75">
      <c r="F843" s="66"/>
    </row>
    <row r="844" spans="6:6" ht="12.75">
      <c r="F844" s="66"/>
    </row>
    <row r="845" spans="6:6" ht="12.75">
      <c r="F845" s="66"/>
    </row>
    <row r="846" spans="6:6" ht="12.75">
      <c r="F846" s="66"/>
    </row>
    <row r="847" spans="6:6" ht="12.75">
      <c r="F847" s="66"/>
    </row>
    <row r="848" spans="6:6" ht="12.75">
      <c r="F848" s="66"/>
    </row>
    <row r="849" spans="6:6" ht="12.75">
      <c r="F849" s="66"/>
    </row>
    <row r="850" spans="6:6" ht="12.75">
      <c r="F850" s="66"/>
    </row>
    <row r="851" spans="6:6" ht="12.75">
      <c r="F851" s="66"/>
    </row>
    <row r="852" spans="6:6" ht="12.75">
      <c r="F852" s="66"/>
    </row>
    <row r="853" spans="6:6" ht="12.75">
      <c r="F853" s="66"/>
    </row>
    <row r="854" spans="6:6" ht="12.75">
      <c r="F854" s="66"/>
    </row>
    <row r="855" spans="6:6" ht="12.75">
      <c r="F855" s="66"/>
    </row>
    <row r="856" spans="6:6" ht="12.75">
      <c r="F856" s="66"/>
    </row>
    <row r="857" spans="6:6" ht="12.75">
      <c r="F857" s="66"/>
    </row>
    <row r="858" spans="6:6" ht="12.75">
      <c r="F858" s="66"/>
    </row>
    <row r="859" spans="6:6" ht="12.75">
      <c r="F859" s="66"/>
    </row>
    <row r="860" spans="6:6" ht="12.75">
      <c r="F860" s="66"/>
    </row>
    <row r="861" spans="6:6" ht="12.75">
      <c r="F861" s="66"/>
    </row>
    <row r="862" spans="6:6" ht="12.75">
      <c r="F862" s="66"/>
    </row>
    <row r="863" spans="6:6" ht="12.75">
      <c r="F863" s="66"/>
    </row>
    <row r="864" spans="6:6" ht="12.75">
      <c r="F864" s="66"/>
    </row>
    <row r="865" spans="6:6" ht="12.75">
      <c r="F865" s="66"/>
    </row>
    <row r="866" spans="6:6" ht="12.75">
      <c r="F866" s="66"/>
    </row>
    <row r="867" spans="6:6" ht="12.75">
      <c r="F867" s="66"/>
    </row>
    <row r="868" spans="6:6" ht="12.75">
      <c r="F868" s="66"/>
    </row>
    <row r="869" spans="6:6" ht="12.75">
      <c r="F869" s="66"/>
    </row>
    <row r="870" spans="6:6" ht="12.75">
      <c r="F870" s="66"/>
    </row>
    <row r="871" spans="6:6" ht="12.75">
      <c r="F871" s="66"/>
    </row>
    <row r="872" spans="6:6" ht="12.75">
      <c r="F872" s="66"/>
    </row>
    <row r="873" spans="6:6" ht="12.75">
      <c r="F873" s="66"/>
    </row>
    <row r="874" spans="6:6" ht="12.75">
      <c r="F874" s="66"/>
    </row>
    <row r="875" spans="6:6" ht="12.75">
      <c r="F875" s="66"/>
    </row>
    <row r="876" spans="6:6" ht="12.75">
      <c r="F876" s="66"/>
    </row>
    <row r="877" spans="6:6" ht="12.75">
      <c r="F877" s="66"/>
    </row>
    <row r="878" spans="6:6" ht="12.75">
      <c r="F878" s="66"/>
    </row>
    <row r="879" spans="6:6" ht="12.75">
      <c r="F879" s="66"/>
    </row>
    <row r="880" spans="6:6" ht="12.75">
      <c r="F880" s="66"/>
    </row>
    <row r="881" spans="6:6" ht="12.75">
      <c r="F881" s="66"/>
    </row>
    <row r="882" spans="6:6" ht="12.75">
      <c r="F882" s="66"/>
    </row>
    <row r="883" spans="6:6" ht="12.75">
      <c r="F883" s="66"/>
    </row>
    <row r="884" spans="6:6" ht="12.75">
      <c r="F884" s="66"/>
    </row>
    <row r="885" spans="6:6" ht="12.75">
      <c r="F885" s="66"/>
    </row>
    <row r="886" spans="6:6" ht="12.75">
      <c r="F886" s="66"/>
    </row>
    <row r="887" spans="6:6" ht="12.75">
      <c r="F887" s="66"/>
    </row>
    <row r="888" spans="6:6" ht="12.75">
      <c r="F888" s="66"/>
    </row>
    <row r="889" spans="6:6" ht="12.75">
      <c r="F889" s="66"/>
    </row>
    <row r="890" spans="6:6" ht="12.75">
      <c r="F890" s="66"/>
    </row>
    <row r="891" spans="6:6" ht="12.75">
      <c r="F891" s="66"/>
    </row>
    <row r="892" spans="6:6" ht="12.75">
      <c r="F892" s="66"/>
    </row>
    <row r="893" spans="6:6" ht="12.75">
      <c r="F893" s="66"/>
    </row>
    <row r="894" spans="6:6" ht="12.75">
      <c r="F894" s="66"/>
    </row>
    <row r="895" spans="6:6" ht="12.75">
      <c r="F895" s="66"/>
    </row>
    <row r="896" spans="6:6" ht="12.75">
      <c r="F896" s="66"/>
    </row>
    <row r="897" spans="6:6" ht="12.75">
      <c r="F897" s="66"/>
    </row>
    <row r="898" spans="6:6" ht="12.75">
      <c r="F898" s="66"/>
    </row>
    <row r="899" spans="6:6" ht="12.75">
      <c r="F899" s="66"/>
    </row>
    <row r="900" spans="6:6" ht="12.75">
      <c r="F900" s="66"/>
    </row>
    <row r="901" spans="6:6" ht="12.75">
      <c r="F901" s="66"/>
    </row>
    <row r="902" spans="6:6" ht="12.75">
      <c r="F902" s="66"/>
    </row>
    <row r="903" spans="6:6" ht="12.75">
      <c r="F903" s="66"/>
    </row>
    <row r="904" spans="6:6" ht="12.75">
      <c r="F904" s="66"/>
    </row>
    <row r="905" spans="6:6" ht="12.75">
      <c r="F905" s="66"/>
    </row>
    <row r="906" spans="6:6" ht="12.75">
      <c r="F906" s="66"/>
    </row>
    <row r="907" spans="6:6" ht="12.75">
      <c r="F907" s="66"/>
    </row>
    <row r="908" spans="6:6" ht="12.75">
      <c r="F908" s="66"/>
    </row>
    <row r="909" spans="6:6" ht="12.75">
      <c r="F909" s="66"/>
    </row>
    <row r="910" spans="6:6" ht="12.75">
      <c r="F910" s="66"/>
    </row>
    <row r="911" spans="6:6" ht="12.75">
      <c r="F911" s="66"/>
    </row>
    <row r="912" spans="6:6" ht="12.75">
      <c r="F912" s="66"/>
    </row>
    <row r="913" spans="6:6" ht="12.75">
      <c r="F913" s="66"/>
    </row>
    <row r="914" spans="6:6" ht="12.75">
      <c r="F914" s="66"/>
    </row>
    <row r="915" spans="6:6" ht="12.75">
      <c r="F915" s="66"/>
    </row>
    <row r="916" spans="6:6" ht="12.75">
      <c r="F916" s="66"/>
    </row>
    <row r="917" spans="6:6" ht="12.75">
      <c r="F917" s="66"/>
    </row>
    <row r="918" spans="6:6" ht="12.75">
      <c r="F918" s="66"/>
    </row>
    <row r="919" spans="6:6" ht="12.75">
      <c r="F919" s="66"/>
    </row>
    <row r="920" spans="6:6" ht="12.75">
      <c r="F920" s="66"/>
    </row>
    <row r="921" spans="6:6" ht="12.75">
      <c r="F921" s="66"/>
    </row>
    <row r="922" spans="6:6" ht="12.75">
      <c r="F922" s="66"/>
    </row>
    <row r="923" spans="6:6" ht="12.75">
      <c r="F923" s="66"/>
    </row>
    <row r="924" spans="6:6" ht="12.75">
      <c r="F924" s="66"/>
    </row>
    <row r="925" spans="6:6" ht="12.75">
      <c r="F925" s="66"/>
    </row>
    <row r="926" spans="6:6" ht="12.75">
      <c r="F926" s="66"/>
    </row>
    <row r="927" spans="6:6" ht="12.75">
      <c r="F927" s="66"/>
    </row>
    <row r="928" spans="6:6" ht="12.75">
      <c r="F928" s="66"/>
    </row>
    <row r="929" spans="6:6" ht="12.75">
      <c r="F929" s="66"/>
    </row>
    <row r="930" spans="6:6" ht="12.75">
      <c r="F930" s="66"/>
    </row>
    <row r="931" spans="6:6" ht="12.75">
      <c r="F931" s="66"/>
    </row>
    <row r="932" spans="6:6" ht="12.75">
      <c r="F932" s="66"/>
    </row>
    <row r="933" spans="6:6" ht="12.75">
      <c r="F933" s="66"/>
    </row>
    <row r="934" spans="6:6" ht="12.75">
      <c r="F934" s="66"/>
    </row>
    <row r="935" spans="6:6" ht="12.75">
      <c r="F935" s="66"/>
    </row>
    <row r="936" spans="6:6" ht="12.75">
      <c r="F936" s="66"/>
    </row>
    <row r="937" spans="6:6" ht="12.75">
      <c r="F937" s="66"/>
    </row>
    <row r="938" spans="6:6" ht="12.75">
      <c r="F938" s="66"/>
    </row>
    <row r="939" spans="6:6" ht="12.75">
      <c r="F939" s="66"/>
    </row>
    <row r="940" spans="6:6" ht="12.75">
      <c r="F940" s="66"/>
    </row>
    <row r="941" spans="6:6" ht="12.75">
      <c r="F941" s="66"/>
    </row>
    <row r="942" spans="6:6" ht="12.75">
      <c r="F942" s="66"/>
    </row>
    <row r="943" spans="6:6" ht="12.75">
      <c r="F943" s="66"/>
    </row>
    <row r="944" spans="6:6" ht="12.75">
      <c r="F944" s="66"/>
    </row>
    <row r="945" spans="6:6" ht="12.75">
      <c r="F945" s="66"/>
    </row>
    <row r="946" spans="6:6" ht="12.75">
      <c r="F946" s="66"/>
    </row>
    <row r="947" spans="6:6" ht="12.75">
      <c r="F947" s="66"/>
    </row>
    <row r="948" spans="6:6" ht="12.75">
      <c r="F948" s="66"/>
    </row>
    <row r="949" spans="6:6" ht="12.75">
      <c r="F949" s="66"/>
    </row>
    <row r="950" spans="6:6" ht="12.75">
      <c r="F950" s="66"/>
    </row>
    <row r="951" spans="6:6" ht="12.75">
      <c r="F951" s="66"/>
    </row>
    <row r="952" spans="6:6" ht="12.75">
      <c r="F952" s="66"/>
    </row>
    <row r="953" spans="6:6" ht="12.75">
      <c r="F953" s="66"/>
    </row>
    <row r="954" spans="6:6" ht="12.75">
      <c r="F954" s="66"/>
    </row>
    <row r="955" spans="6:6" ht="12.75">
      <c r="F955" s="66"/>
    </row>
    <row r="956" spans="6:6" ht="12.75">
      <c r="F956" s="66"/>
    </row>
    <row r="957" spans="6:6" ht="12.75">
      <c r="F957" s="66"/>
    </row>
    <row r="958" spans="6:6" ht="12.75">
      <c r="F958" s="66"/>
    </row>
    <row r="959" spans="6:6" ht="12.75">
      <c r="F959" s="66"/>
    </row>
    <row r="960" spans="6:6" ht="12.75">
      <c r="F960" s="66"/>
    </row>
    <row r="961" spans="6:6" ht="12.75">
      <c r="F961" s="66"/>
    </row>
    <row r="962" spans="6:6" ht="12.75">
      <c r="F962" s="66"/>
    </row>
    <row r="963" spans="6:6" ht="12.75">
      <c r="F963" s="66"/>
    </row>
    <row r="964" spans="6:6" ht="12.75">
      <c r="F964" s="66"/>
    </row>
    <row r="965" spans="6:6" ht="12.75">
      <c r="F965" s="66"/>
    </row>
    <row r="966" spans="6:6" ht="12.75">
      <c r="F966" s="66"/>
    </row>
    <row r="967" spans="6:6" ht="12.75">
      <c r="F967" s="66"/>
    </row>
    <row r="968" spans="6:6" ht="12.75">
      <c r="F968" s="66"/>
    </row>
    <row r="969" spans="6:6" ht="12.75">
      <c r="F969" s="66"/>
    </row>
    <row r="970" spans="6:6" ht="12.75">
      <c r="F970" s="66"/>
    </row>
    <row r="971" spans="6:6" ht="12.75">
      <c r="F971" s="66"/>
    </row>
    <row r="972" spans="6:6" ht="12.75">
      <c r="F972" s="66"/>
    </row>
    <row r="973" spans="6:6" ht="12.75">
      <c r="F973" s="66"/>
    </row>
    <row r="974" spans="6:6" ht="12.75">
      <c r="F974" s="66"/>
    </row>
    <row r="975" spans="6:6" ht="12.75">
      <c r="F975" s="66"/>
    </row>
    <row r="976" spans="6:6" ht="12.75">
      <c r="F976" s="66"/>
    </row>
    <row r="977" spans="6:6" ht="12.75">
      <c r="F977" s="66"/>
    </row>
    <row r="978" spans="6:6" ht="12.75">
      <c r="F978" s="66"/>
    </row>
    <row r="979" spans="6:6" ht="12.75">
      <c r="F979" s="66"/>
    </row>
    <row r="980" spans="6:6" ht="12.75">
      <c r="F980" s="66"/>
    </row>
    <row r="981" spans="6:6" ht="12.75">
      <c r="F981" s="66"/>
    </row>
    <row r="982" spans="6:6" ht="12.75">
      <c r="F982" s="66"/>
    </row>
    <row r="983" spans="6:6" ht="12.75">
      <c r="F983" s="66"/>
    </row>
    <row r="984" spans="6:6" ht="12.75">
      <c r="F984" s="66"/>
    </row>
    <row r="985" spans="6:6" ht="12.75">
      <c r="F985" s="66"/>
    </row>
    <row r="986" spans="6:6" ht="12.75">
      <c r="F986" s="66"/>
    </row>
    <row r="987" spans="6:6" ht="12.75">
      <c r="F987" s="66"/>
    </row>
    <row r="988" spans="6:6" ht="12.75">
      <c r="F988" s="66"/>
    </row>
    <row r="989" spans="6:6" ht="12.75">
      <c r="F989" s="66"/>
    </row>
    <row r="990" spans="6:6" ht="12.75">
      <c r="F990" s="66"/>
    </row>
    <row r="991" spans="6:6" ht="12.75">
      <c r="F991" s="66"/>
    </row>
    <row r="992" spans="6:6" ht="12.75">
      <c r="F992" s="66"/>
    </row>
    <row r="993" spans="6:6" ht="12.75">
      <c r="F993" s="66"/>
    </row>
    <row r="994" spans="6:6" ht="12.75">
      <c r="F994" s="66"/>
    </row>
    <row r="995" spans="6:6" ht="12.75">
      <c r="F995" s="66"/>
    </row>
    <row r="996" spans="6:6" ht="12.75">
      <c r="F996" s="66"/>
    </row>
    <row r="997" spans="6:6" ht="12.75">
      <c r="F997" s="66"/>
    </row>
    <row r="998" spans="6:6" ht="12.75">
      <c r="F998" s="66"/>
    </row>
    <row r="999" spans="6:6" ht="12.75">
      <c r="F999" s="66"/>
    </row>
    <row r="1000" spans="6:6" ht="12.75">
      <c r="F1000" s="66"/>
    </row>
    <row r="1001" spans="6:6" ht="12.75">
      <c r="F1001" s="66"/>
    </row>
    <row r="1002" spans="6:6" ht="12.75">
      <c r="F1002" s="66"/>
    </row>
    <row r="1003" spans="6:6" ht="12.75">
      <c r="F1003" s="66"/>
    </row>
    <row r="1004" spans="6:6" ht="12.75">
      <c r="F1004" s="66"/>
    </row>
    <row r="1005" spans="6:6" ht="12.75">
      <c r="F1005" s="66"/>
    </row>
  </sheetData>
  <mergeCells count="3">
    <mergeCell ref="A1:F1"/>
    <mergeCell ref="I1:N1"/>
    <mergeCell ref="A59:F59"/>
  </mergeCells>
  <dataValidations count="2">
    <dataValidation type="list" allowBlank="1" showErrorMessage="1" sqref="E3:E58 E61:E64" xr:uid="{00000000-0002-0000-0200-000000000000}">
      <formula1>"Працює,Звільнено,Навчання"</formula1>
    </dataValidation>
    <dataValidation type="list" allowBlank="1" showErrorMessage="1" sqref="F4:F19 F21:F35 F37:F40 F42:F58" xr:uid="{00000000-0002-0000-0200-000001000000}">
      <formula1>"Юлія Саріджа,Ада Самойленко,Марія Підгорна,Валентина Матковська,Євгенія Червінська"</formula1>
    </dataValidation>
  </dataValidations>
  <hyperlinks>
    <hyperlink ref="C31"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06666"/>
    <outlinePr summaryBelow="0" summaryRight="0"/>
  </sheetPr>
  <dimension ref="A1:CI974"/>
  <sheetViews>
    <sheetView workbookViewId="0">
      <pane ySplit="1" topLeftCell="A2" activePane="bottomLeft" state="frozen"/>
      <selection pane="bottomLeft" activeCell="B3" sqref="B3"/>
    </sheetView>
  </sheetViews>
  <sheetFormatPr defaultColWidth="12.5703125" defaultRowHeight="15.75" customHeight="1"/>
  <cols>
    <col min="2" max="2" width="22.5703125" customWidth="1"/>
    <col min="3" max="3" width="15.28515625" customWidth="1"/>
    <col min="4" max="4" width="29.28515625" customWidth="1"/>
    <col min="7" max="7" width="12.85546875" customWidth="1"/>
    <col min="8" max="8" width="144.5703125" customWidth="1"/>
  </cols>
  <sheetData>
    <row r="1" spans="1:87" ht="30">
      <c r="A1" s="36" t="s">
        <v>5609</v>
      </c>
      <c r="B1" s="378" t="s">
        <v>5610</v>
      </c>
      <c r="C1" s="201" t="s">
        <v>3370</v>
      </c>
      <c r="D1" s="201" t="s">
        <v>7</v>
      </c>
      <c r="E1" s="201" t="s">
        <v>38</v>
      </c>
      <c r="F1" s="379" t="s">
        <v>3371</v>
      </c>
      <c r="G1" s="201" t="s">
        <v>5611</v>
      </c>
      <c r="H1" s="379" t="s">
        <v>5612</v>
      </c>
      <c r="I1" s="379"/>
      <c r="J1" s="379"/>
      <c r="K1" s="379"/>
      <c r="L1" s="379"/>
      <c r="M1" s="379"/>
      <c r="N1" s="379"/>
      <c r="O1" s="379"/>
      <c r="P1" s="380"/>
      <c r="Q1" s="381"/>
      <c r="R1" s="380"/>
      <c r="S1" s="380"/>
      <c r="T1" s="380"/>
      <c r="U1" s="380"/>
      <c r="V1" s="380"/>
      <c r="W1" s="380"/>
      <c r="X1" s="380"/>
      <c r="Y1" s="380"/>
      <c r="Z1" s="380"/>
      <c r="AA1" s="380"/>
      <c r="AB1" s="380"/>
      <c r="AC1" s="380"/>
      <c r="AD1" s="380"/>
      <c r="AE1" s="380"/>
      <c r="AF1" s="380"/>
      <c r="AG1" s="380"/>
      <c r="AH1" s="380"/>
      <c r="AI1" s="380"/>
      <c r="AJ1" s="380"/>
      <c r="AK1" s="380"/>
      <c r="AL1" s="380"/>
      <c r="AM1" s="380"/>
      <c r="AN1" s="380"/>
      <c r="AO1" s="380"/>
      <c r="AP1" s="380"/>
      <c r="AQ1" s="380"/>
      <c r="AR1" s="380"/>
      <c r="AS1" s="380"/>
      <c r="AT1" s="380"/>
      <c r="AU1" s="380"/>
      <c r="AV1" s="380"/>
      <c r="AW1" s="380"/>
      <c r="AX1" s="380"/>
      <c r="AY1" s="380"/>
      <c r="AZ1" s="380"/>
      <c r="BA1" s="380"/>
      <c r="BB1" s="380"/>
      <c r="BC1" s="380"/>
      <c r="BD1" s="380"/>
      <c r="BE1" s="380"/>
      <c r="BF1" s="380"/>
      <c r="BG1" s="380"/>
      <c r="BH1" s="380"/>
      <c r="BI1" s="380"/>
      <c r="BJ1" s="380"/>
      <c r="BK1" s="380"/>
      <c r="BL1" s="380"/>
      <c r="BM1" s="380"/>
      <c r="BN1" s="380"/>
      <c r="BO1" s="380"/>
      <c r="BP1" s="380"/>
      <c r="BQ1" s="380"/>
      <c r="BR1" s="380"/>
      <c r="BS1" s="380"/>
      <c r="BT1" s="380"/>
      <c r="BU1" s="380"/>
      <c r="BV1" s="380"/>
      <c r="BW1" s="380"/>
      <c r="BX1" s="380"/>
      <c r="BY1" s="380"/>
      <c r="BZ1" s="380"/>
      <c r="CA1" s="380"/>
      <c r="CB1" s="380"/>
      <c r="CC1" s="380"/>
      <c r="CD1" s="380"/>
      <c r="CE1" s="380"/>
      <c r="CF1" s="380"/>
      <c r="CG1" s="380"/>
      <c r="CH1" s="380"/>
      <c r="CI1" s="380"/>
    </row>
    <row r="2" spans="1:87" ht="18">
      <c r="A2" s="30" t="s">
        <v>5613</v>
      </c>
      <c r="B2" s="30" t="s">
        <v>5614</v>
      </c>
      <c r="C2" s="176" t="s">
        <v>5615</v>
      </c>
      <c r="D2" s="176" t="s">
        <v>5616</v>
      </c>
      <c r="E2" s="16" t="s">
        <v>38</v>
      </c>
      <c r="F2" s="16"/>
      <c r="G2" s="382"/>
      <c r="H2" s="16" t="s">
        <v>5617</v>
      </c>
      <c r="I2" s="16"/>
      <c r="J2" s="16"/>
      <c r="K2" s="16"/>
      <c r="L2" s="16"/>
      <c r="M2" s="16"/>
      <c r="N2" s="16"/>
      <c r="O2" s="16"/>
      <c r="P2" s="76"/>
      <c r="Q2" s="383"/>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row>
    <row r="3" spans="1:87" ht="18">
      <c r="A3" s="30" t="s">
        <v>5613</v>
      </c>
      <c r="B3" s="30" t="s">
        <v>5618</v>
      </c>
      <c r="C3" s="31" t="s">
        <v>5619</v>
      </c>
      <c r="D3" s="176"/>
      <c r="E3" s="16" t="s">
        <v>38</v>
      </c>
      <c r="F3" s="16"/>
      <c r="G3" s="382"/>
      <c r="H3" s="16" t="s">
        <v>5620</v>
      </c>
      <c r="I3" s="16"/>
      <c r="J3" s="16"/>
      <c r="K3" s="16"/>
      <c r="L3" s="16"/>
      <c r="M3" s="16"/>
      <c r="N3" s="16"/>
      <c r="O3" s="16"/>
      <c r="P3" s="76"/>
      <c r="Q3" s="383"/>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row>
    <row r="4" spans="1:87" ht="18">
      <c r="A4" s="30" t="s">
        <v>5613</v>
      </c>
      <c r="B4" s="30" t="s">
        <v>5621</v>
      </c>
      <c r="C4" s="31" t="s">
        <v>5622</v>
      </c>
      <c r="D4" s="31"/>
      <c r="E4" s="16" t="s">
        <v>38</v>
      </c>
      <c r="F4" s="16"/>
      <c r="G4" s="382"/>
      <c r="H4" s="16" t="s">
        <v>5623</v>
      </c>
      <c r="I4" s="16"/>
      <c r="J4" s="16"/>
      <c r="K4" s="16"/>
      <c r="L4" s="16"/>
      <c r="M4" s="16"/>
      <c r="N4" s="16"/>
      <c r="O4" s="16"/>
      <c r="P4" s="76"/>
      <c r="Q4" s="383"/>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row>
    <row r="5" spans="1:87" ht="18">
      <c r="A5" s="30" t="s">
        <v>5613</v>
      </c>
      <c r="B5" s="189" t="s">
        <v>5624</v>
      </c>
      <c r="C5" s="32" t="s">
        <v>5625</v>
      </c>
      <c r="D5" s="176"/>
      <c r="E5" s="16" t="s">
        <v>38</v>
      </c>
      <c r="F5" s="16"/>
      <c r="G5" s="382"/>
      <c r="H5" s="16" t="s">
        <v>5626</v>
      </c>
      <c r="I5" s="16"/>
      <c r="J5" s="16"/>
      <c r="K5" s="16"/>
      <c r="L5" s="16"/>
      <c r="M5" s="16"/>
      <c r="N5" s="16"/>
      <c r="O5" s="16"/>
      <c r="P5" s="76"/>
      <c r="Q5" s="383"/>
      <c r="R5" s="76"/>
      <c r="S5" s="76"/>
      <c r="T5" s="76"/>
      <c r="U5" s="76"/>
      <c r="V5" s="76"/>
      <c r="W5" s="76"/>
      <c r="X5" s="76"/>
      <c r="Y5" s="76"/>
      <c r="Z5" s="76"/>
      <c r="AA5" s="76"/>
      <c r="AB5" s="76"/>
      <c r="AC5" s="76"/>
      <c r="AD5" s="76"/>
      <c r="AE5" s="76"/>
      <c r="AF5" s="76"/>
      <c r="AG5" s="76"/>
      <c r="AH5" s="76"/>
      <c r="AI5" s="76"/>
      <c r="AJ5" s="76"/>
      <c r="AK5" s="76"/>
      <c r="AL5" s="76"/>
      <c r="AM5" s="76"/>
      <c r="AN5" s="76"/>
      <c r="AO5" s="76"/>
      <c r="AP5" s="76"/>
      <c r="AQ5" s="76"/>
      <c r="AR5" s="76"/>
      <c r="AS5" s="76"/>
      <c r="AT5" s="76"/>
      <c r="AU5" s="76"/>
      <c r="AV5" s="76"/>
      <c r="AW5" s="76"/>
      <c r="AX5" s="76"/>
      <c r="AY5" s="76"/>
      <c r="AZ5" s="76"/>
      <c r="BA5" s="76"/>
      <c r="BB5" s="76"/>
      <c r="BC5" s="76"/>
      <c r="BD5" s="76"/>
      <c r="BE5" s="76"/>
      <c r="BF5" s="76"/>
      <c r="BG5" s="76"/>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row>
    <row r="6" spans="1:87" ht="18">
      <c r="A6" s="30" t="s">
        <v>5613</v>
      </c>
      <c r="B6" s="189" t="s">
        <v>5627</v>
      </c>
      <c r="C6" s="31" t="s">
        <v>5628</v>
      </c>
      <c r="D6" s="176" t="s">
        <v>5629</v>
      </c>
      <c r="E6" s="16" t="s">
        <v>38</v>
      </c>
      <c r="F6" s="16"/>
      <c r="G6" s="382"/>
      <c r="H6" s="16" t="s">
        <v>5630</v>
      </c>
      <c r="I6" s="16"/>
      <c r="J6" s="16"/>
      <c r="K6" s="16"/>
      <c r="L6" s="16"/>
      <c r="M6" s="16"/>
      <c r="N6" s="16"/>
      <c r="O6" s="16"/>
      <c r="P6" s="76"/>
      <c r="Q6" s="383"/>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row>
    <row r="7" spans="1:87" ht="18">
      <c r="A7" s="30" t="s">
        <v>5613</v>
      </c>
      <c r="B7" s="30" t="s">
        <v>5631</v>
      </c>
      <c r="C7" s="90" t="s">
        <v>5632</v>
      </c>
      <c r="D7" s="90"/>
      <c r="E7" s="16" t="s">
        <v>38</v>
      </c>
      <c r="F7" s="76"/>
      <c r="G7" s="384"/>
      <c r="H7" s="76" t="s">
        <v>38</v>
      </c>
      <c r="I7" s="76"/>
      <c r="J7" s="76"/>
      <c r="K7" s="76"/>
      <c r="L7" s="76"/>
      <c r="M7" s="76"/>
      <c r="N7" s="76"/>
      <c r="O7" s="76"/>
      <c r="P7" s="76"/>
      <c r="Q7" s="383"/>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6"/>
      <c r="BA7" s="76"/>
      <c r="BB7" s="76"/>
      <c r="BC7" s="76"/>
      <c r="BD7" s="76"/>
      <c r="BE7" s="76"/>
      <c r="BF7" s="76"/>
      <c r="BG7" s="76"/>
      <c r="BH7" s="76"/>
      <c r="BI7" s="76"/>
      <c r="BJ7" s="76"/>
      <c r="BK7" s="76"/>
      <c r="BL7" s="76"/>
      <c r="BM7" s="76"/>
      <c r="BN7" s="76"/>
      <c r="BO7" s="76"/>
      <c r="BP7" s="76"/>
      <c r="BQ7" s="76"/>
      <c r="BR7" s="76"/>
      <c r="BS7" s="76"/>
      <c r="BT7" s="76"/>
      <c r="BU7" s="76"/>
      <c r="BV7" s="76"/>
      <c r="BW7" s="76"/>
      <c r="BX7" s="76"/>
      <c r="BY7" s="76"/>
      <c r="BZ7" s="76"/>
      <c r="CA7" s="76"/>
      <c r="CB7" s="76"/>
      <c r="CC7" s="76"/>
      <c r="CD7" s="76"/>
      <c r="CE7" s="76"/>
      <c r="CF7" s="76"/>
      <c r="CG7" s="76"/>
      <c r="CH7" s="76"/>
      <c r="CI7" s="76"/>
    </row>
    <row r="8" spans="1:87" ht="18">
      <c r="A8" s="30" t="s">
        <v>5613</v>
      </c>
      <c r="B8" s="189" t="s">
        <v>5633</v>
      </c>
      <c r="C8" s="31" t="s">
        <v>5634</v>
      </c>
      <c r="D8" s="31"/>
      <c r="E8" s="16" t="s">
        <v>38</v>
      </c>
      <c r="F8" s="16"/>
      <c r="G8" s="382"/>
      <c r="H8" s="16" t="s">
        <v>38</v>
      </c>
      <c r="I8" s="16"/>
      <c r="J8" s="16"/>
      <c r="K8" s="16"/>
      <c r="L8" s="16"/>
      <c r="M8" s="16"/>
      <c r="N8" s="16"/>
      <c r="O8" s="16"/>
      <c r="P8" s="76"/>
      <c r="Q8" s="383"/>
      <c r="R8" s="76"/>
      <c r="S8" s="76"/>
      <c r="T8" s="76"/>
      <c r="U8" s="76"/>
      <c r="V8" s="76"/>
      <c r="W8" s="76"/>
      <c r="X8" s="76"/>
      <c r="Y8" s="76"/>
      <c r="Z8" s="76"/>
      <c r="AA8" s="76"/>
      <c r="AB8" s="76"/>
      <c r="AC8" s="76"/>
      <c r="AD8" s="76"/>
      <c r="AE8" s="76"/>
      <c r="AF8" s="76"/>
      <c r="AG8" s="76"/>
      <c r="AH8" s="76"/>
      <c r="AI8" s="76"/>
      <c r="AJ8" s="76"/>
      <c r="AK8" s="76"/>
      <c r="AL8" s="76"/>
      <c r="AM8" s="76"/>
      <c r="AN8" s="76"/>
      <c r="AO8" s="76"/>
      <c r="AP8" s="76"/>
      <c r="AQ8" s="76"/>
      <c r="AR8" s="76"/>
      <c r="AS8" s="76"/>
      <c r="AT8" s="76"/>
      <c r="AU8" s="76"/>
      <c r="AV8" s="76"/>
      <c r="AW8" s="76"/>
      <c r="AX8" s="76"/>
      <c r="AY8" s="76"/>
      <c r="AZ8" s="76"/>
      <c r="BA8" s="76"/>
      <c r="BB8" s="76"/>
      <c r="BC8" s="76"/>
      <c r="BD8" s="76"/>
      <c r="BE8" s="76"/>
      <c r="BF8" s="76"/>
      <c r="BG8" s="76"/>
      <c r="BH8" s="76"/>
      <c r="BI8" s="76"/>
      <c r="BJ8" s="76"/>
      <c r="BK8" s="76"/>
      <c r="BL8" s="76"/>
      <c r="BM8" s="76"/>
      <c r="BN8" s="76"/>
      <c r="BO8" s="76"/>
      <c r="BP8" s="76"/>
      <c r="BQ8" s="76"/>
      <c r="BR8" s="76"/>
      <c r="BS8" s="76"/>
      <c r="BT8" s="76"/>
      <c r="BU8" s="76"/>
      <c r="BV8" s="76"/>
      <c r="BW8" s="76"/>
      <c r="BX8" s="76"/>
      <c r="BY8" s="76"/>
      <c r="BZ8" s="76"/>
      <c r="CA8" s="76"/>
      <c r="CB8" s="76"/>
      <c r="CC8" s="76"/>
      <c r="CD8" s="76"/>
      <c r="CE8" s="76"/>
      <c r="CF8" s="76"/>
      <c r="CG8" s="76"/>
      <c r="CH8" s="76"/>
      <c r="CI8" s="76"/>
    </row>
    <row r="9" spans="1:87" ht="18">
      <c r="A9" s="30" t="s">
        <v>5613</v>
      </c>
      <c r="B9" s="30" t="s">
        <v>5635</v>
      </c>
      <c r="C9" s="31" t="s">
        <v>5636</v>
      </c>
      <c r="D9" s="31"/>
      <c r="E9" s="16" t="s">
        <v>38</v>
      </c>
      <c r="F9" s="16"/>
      <c r="G9" s="382"/>
      <c r="H9" s="16" t="s">
        <v>5637</v>
      </c>
      <c r="I9" s="16"/>
      <c r="J9" s="16"/>
      <c r="K9" s="16"/>
      <c r="L9" s="16"/>
      <c r="M9" s="16"/>
      <c r="N9" s="16"/>
      <c r="O9" s="16"/>
      <c r="P9" s="76"/>
      <c r="Q9" s="383"/>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row>
    <row r="10" spans="1:87" ht="30.75">
      <c r="A10" s="30" t="s">
        <v>5613</v>
      </c>
      <c r="B10" s="189" t="s">
        <v>5638</v>
      </c>
      <c r="C10" s="176" t="s">
        <v>5639</v>
      </c>
      <c r="D10" s="176"/>
      <c r="E10" s="16" t="s">
        <v>38</v>
      </c>
      <c r="F10" s="16"/>
      <c r="G10" s="382"/>
      <c r="H10" s="16" t="s">
        <v>5640</v>
      </c>
      <c r="I10" s="16"/>
      <c r="J10" s="16"/>
      <c r="K10" s="16"/>
      <c r="L10" s="16"/>
      <c r="M10" s="16"/>
      <c r="N10" s="16"/>
      <c r="O10" s="16"/>
      <c r="P10" s="76"/>
      <c r="Q10" s="383"/>
      <c r="R10" s="76"/>
      <c r="S10" s="76"/>
      <c r="T10" s="76"/>
      <c r="U10" s="76"/>
      <c r="V10" s="76"/>
      <c r="W10" s="76"/>
      <c r="X10" s="76"/>
      <c r="Y10" s="76"/>
      <c r="Z10" s="76"/>
      <c r="AA10" s="76"/>
      <c r="AB10" s="76"/>
      <c r="AC10" s="76"/>
      <c r="AD10" s="76"/>
      <c r="AE10" s="76"/>
      <c r="AF10" s="76"/>
      <c r="AG10" s="76"/>
      <c r="AH10" s="76"/>
      <c r="AI10" s="76"/>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row>
    <row r="11" spans="1:87" ht="18">
      <c r="A11" s="30" t="s">
        <v>5613</v>
      </c>
      <c r="B11" s="30" t="s">
        <v>5641</v>
      </c>
      <c r="C11" s="31" t="s">
        <v>5642</v>
      </c>
      <c r="D11" s="31"/>
      <c r="E11" s="16" t="s">
        <v>38</v>
      </c>
      <c r="F11" s="16"/>
      <c r="G11" s="382"/>
      <c r="H11" s="16" t="s">
        <v>5643</v>
      </c>
      <c r="I11" s="16"/>
      <c r="J11" s="16"/>
      <c r="K11" s="16"/>
      <c r="L11" s="16"/>
      <c r="M11" s="16"/>
      <c r="N11" s="16"/>
      <c r="O11" s="16"/>
      <c r="P11" s="76"/>
      <c r="Q11" s="383"/>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row>
    <row r="12" spans="1:87" ht="18">
      <c r="A12" s="30" t="s">
        <v>5613</v>
      </c>
      <c r="B12" s="189" t="s">
        <v>5644</v>
      </c>
      <c r="C12" s="31" t="s">
        <v>5645</v>
      </c>
      <c r="D12" s="176"/>
      <c r="E12" s="16" t="s">
        <v>38</v>
      </c>
      <c r="F12" s="16"/>
      <c r="G12" s="382"/>
      <c r="H12" s="16" t="s">
        <v>5646</v>
      </c>
      <c r="I12" s="16"/>
      <c r="J12" s="16"/>
      <c r="K12" s="16"/>
      <c r="L12" s="16"/>
      <c r="M12" s="16"/>
      <c r="N12" s="16"/>
      <c r="O12" s="16"/>
      <c r="P12" s="76"/>
      <c r="Q12" s="76"/>
      <c r="R12" s="383"/>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row>
    <row r="13" spans="1:87" ht="18">
      <c r="A13" s="30" t="s">
        <v>5613</v>
      </c>
      <c r="B13" s="30" t="s">
        <v>5647</v>
      </c>
      <c r="C13" s="31" t="s">
        <v>5648</v>
      </c>
      <c r="D13" s="31"/>
      <c r="E13" s="16" t="s">
        <v>38</v>
      </c>
      <c r="F13" s="16"/>
      <c r="G13" s="382"/>
      <c r="H13" s="16" t="s">
        <v>5649</v>
      </c>
      <c r="I13" s="16"/>
      <c r="J13" s="16"/>
      <c r="K13" s="16"/>
      <c r="L13" s="16"/>
      <c r="M13" s="16"/>
      <c r="N13" s="16"/>
      <c r="O13" s="16"/>
      <c r="P13" s="76"/>
      <c r="Q13" s="76"/>
      <c r="R13" s="383"/>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row>
    <row r="14" spans="1:87" ht="18">
      <c r="A14" s="30" t="s">
        <v>5613</v>
      </c>
      <c r="B14" s="30" t="s">
        <v>5650</v>
      </c>
      <c r="C14" s="31" t="s">
        <v>5651</v>
      </c>
      <c r="D14" s="31"/>
      <c r="E14" s="16" t="s">
        <v>38</v>
      </c>
      <c r="F14" s="16"/>
      <c r="G14" s="382"/>
      <c r="H14" s="16" t="s">
        <v>38</v>
      </c>
      <c r="I14" s="16"/>
      <c r="J14" s="16"/>
      <c r="K14" s="16"/>
      <c r="L14" s="16"/>
      <c r="M14" s="16"/>
      <c r="N14" s="16"/>
      <c r="O14" s="16"/>
      <c r="P14" s="76"/>
      <c r="Q14" s="76"/>
      <c r="R14" s="383"/>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row>
    <row r="15" spans="1:87" ht="18">
      <c r="A15" s="30" t="s">
        <v>5613</v>
      </c>
      <c r="B15" s="189" t="s">
        <v>5652</v>
      </c>
      <c r="C15" s="176" t="s">
        <v>5653</v>
      </c>
      <c r="D15" s="176"/>
      <c r="E15" s="16" t="s">
        <v>38</v>
      </c>
      <c r="F15" s="16"/>
      <c r="G15" s="382"/>
      <c r="H15" s="16" t="s">
        <v>5654</v>
      </c>
      <c r="I15" s="16"/>
      <c r="J15" s="16"/>
      <c r="K15" s="16"/>
      <c r="L15" s="16"/>
      <c r="M15" s="16"/>
      <c r="N15" s="16"/>
      <c r="O15" s="16"/>
      <c r="P15" s="76"/>
      <c r="Q15" s="76"/>
      <c r="R15" s="383"/>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row>
    <row r="16" spans="1:87" ht="18">
      <c r="A16" s="30" t="s">
        <v>5613</v>
      </c>
      <c r="B16" s="385" t="s">
        <v>5655</v>
      </c>
      <c r="C16" s="31" t="s">
        <v>5656</v>
      </c>
      <c r="D16" s="31"/>
      <c r="E16" s="16" t="s">
        <v>38</v>
      </c>
      <c r="F16" s="16"/>
      <c r="G16" s="382"/>
      <c r="H16" s="16" t="s">
        <v>38</v>
      </c>
      <c r="I16" s="16"/>
      <c r="J16" s="16"/>
      <c r="K16" s="16"/>
      <c r="L16" s="16"/>
      <c r="M16" s="16"/>
      <c r="N16" s="16"/>
      <c r="O16" s="16"/>
      <c r="P16" s="76"/>
      <c r="Q16" s="76"/>
      <c r="R16" s="383"/>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row>
    <row r="17" spans="1:87" ht="18">
      <c r="A17" s="30" t="s">
        <v>5613</v>
      </c>
      <c r="B17" s="189" t="s">
        <v>5657</v>
      </c>
      <c r="C17" s="31" t="s">
        <v>5658</v>
      </c>
      <c r="D17" s="32"/>
      <c r="E17" s="16" t="s">
        <v>38</v>
      </c>
      <c r="F17" s="16"/>
      <c r="G17" s="382"/>
      <c r="H17" s="16" t="s">
        <v>5659</v>
      </c>
      <c r="I17" s="16"/>
      <c r="J17" s="16"/>
      <c r="K17" s="16"/>
      <c r="L17" s="16"/>
      <c r="M17" s="16"/>
      <c r="N17" s="16"/>
      <c r="O17" s="16"/>
      <c r="P17" s="76"/>
      <c r="Q17" s="76"/>
      <c r="R17" s="383"/>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6"/>
      <c r="BW17" s="76"/>
      <c r="BX17" s="76"/>
      <c r="BY17" s="76"/>
      <c r="BZ17" s="76"/>
      <c r="CA17" s="76"/>
      <c r="CB17" s="76"/>
      <c r="CC17" s="76"/>
      <c r="CD17" s="76"/>
      <c r="CE17" s="76"/>
      <c r="CF17" s="76"/>
      <c r="CG17" s="76"/>
      <c r="CH17" s="76"/>
      <c r="CI17" s="76"/>
    </row>
    <row r="18" spans="1:87" ht="18">
      <c r="A18" s="30" t="s">
        <v>5613</v>
      </c>
      <c r="B18" s="189" t="s">
        <v>5660</v>
      </c>
      <c r="C18" s="31" t="s">
        <v>5661</v>
      </c>
      <c r="D18" s="32"/>
      <c r="E18" s="16" t="s">
        <v>38</v>
      </c>
      <c r="F18" s="16"/>
      <c r="G18" s="382"/>
      <c r="H18" s="16" t="s">
        <v>5662</v>
      </c>
      <c r="I18" s="16"/>
      <c r="J18" s="16"/>
      <c r="K18" s="16"/>
      <c r="L18" s="16"/>
      <c r="M18" s="16"/>
      <c r="N18" s="16"/>
      <c r="O18" s="16"/>
      <c r="P18" s="76"/>
      <c r="Q18" s="76"/>
      <c r="R18" s="383"/>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row>
    <row r="19" spans="1:87" ht="18">
      <c r="A19" s="30" t="s">
        <v>5613</v>
      </c>
      <c r="B19" s="30" t="s">
        <v>5663</v>
      </c>
      <c r="C19" s="31" t="s">
        <v>5664</v>
      </c>
      <c r="D19" s="90" t="s">
        <v>5665</v>
      </c>
      <c r="E19" s="16" t="s">
        <v>38</v>
      </c>
      <c r="F19" s="16"/>
      <c r="G19" s="382"/>
      <c r="H19" s="16" t="s">
        <v>5666</v>
      </c>
      <c r="I19" s="16"/>
      <c r="J19" s="16"/>
      <c r="K19" s="16"/>
      <c r="L19" s="16"/>
      <c r="M19" s="16"/>
      <c r="N19" s="16"/>
      <c r="O19" s="16"/>
      <c r="P19" s="76"/>
      <c r="Q19" s="76"/>
      <c r="R19" s="383"/>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row>
    <row r="20" spans="1:87" ht="18">
      <c r="A20" s="30" t="s">
        <v>5613</v>
      </c>
      <c r="B20" s="189" t="s">
        <v>5667</v>
      </c>
      <c r="C20" s="31" t="s">
        <v>5668</v>
      </c>
      <c r="D20" s="176"/>
      <c r="E20" s="16" t="s">
        <v>38</v>
      </c>
      <c r="F20" s="16"/>
      <c r="G20" s="382"/>
      <c r="H20" s="16" t="s">
        <v>5643</v>
      </c>
      <c r="I20" s="16"/>
      <c r="J20" s="16"/>
      <c r="K20" s="16"/>
      <c r="L20" s="16"/>
      <c r="M20" s="16"/>
      <c r="N20" s="16"/>
      <c r="O20" s="16"/>
      <c r="P20" s="76"/>
      <c r="Q20" s="76"/>
      <c r="R20" s="383"/>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row>
    <row r="21" spans="1:87" ht="18">
      <c r="A21" s="30" t="s">
        <v>5613</v>
      </c>
      <c r="B21" s="386" t="s">
        <v>5669</v>
      </c>
      <c r="C21" s="32" t="s">
        <v>5670</v>
      </c>
      <c r="D21" s="32"/>
      <c r="E21" s="16" t="s">
        <v>38</v>
      </c>
      <c r="F21" s="16"/>
      <c r="G21" s="382"/>
      <c r="H21" s="16" t="s">
        <v>5671</v>
      </c>
      <c r="I21" s="16"/>
      <c r="J21" s="16"/>
      <c r="K21" s="16"/>
      <c r="L21" s="16"/>
      <c r="M21" s="16"/>
      <c r="N21" s="16"/>
      <c r="O21" s="16"/>
      <c r="P21" s="76"/>
      <c r="Q21" s="76"/>
      <c r="R21" s="383"/>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76"/>
      <c r="CC21" s="76"/>
      <c r="CD21" s="76"/>
      <c r="CE21" s="76"/>
      <c r="CF21" s="76"/>
      <c r="CG21" s="76"/>
      <c r="CH21" s="76"/>
      <c r="CI21" s="76"/>
    </row>
    <row r="22" spans="1:87" ht="18">
      <c r="A22" s="30" t="s">
        <v>5613</v>
      </c>
      <c r="B22" s="30" t="s">
        <v>5672</v>
      </c>
      <c r="C22" s="90" t="s">
        <v>5673</v>
      </c>
      <c r="D22" s="32"/>
      <c r="E22" s="16" t="s">
        <v>38</v>
      </c>
      <c r="F22" s="16"/>
      <c r="G22" s="382"/>
      <c r="H22" s="16" t="s">
        <v>5674</v>
      </c>
      <c r="I22" s="16"/>
      <c r="J22" s="16"/>
      <c r="K22" s="16"/>
      <c r="L22" s="16"/>
      <c r="M22" s="16"/>
      <c r="N22" s="16"/>
      <c r="O22" s="16"/>
      <c r="P22" s="76"/>
      <c r="Q22" s="76"/>
      <c r="R22" s="383"/>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row>
    <row r="23" spans="1:87" ht="18">
      <c r="A23" s="30" t="s">
        <v>5613</v>
      </c>
      <c r="B23" s="189" t="s">
        <v>5627</v>
      </c>
      <c r="C23" s="90" t="s">
        <v>5628</v>
      </c>
      <c r="D23" s="176" t="s">
        <v>5629</v>
      </c>
      <c r="E23" s="16" t="s">
        <v>38</v>
      </c>
      <c r="F23" s="16"/>
      <c r="G23" s="382"/>
      <c r="H23" s="16" t="s">
        <v>5630</v>
      </c>
      <c r="I23" s="16"/>
      <c r="J23" s="16"/>
      <c r="K23" s="16"/>
      <c r="L23" s="16"/>
      <c r="M23" s="16"/>
      <c r="N23" s="16"/>
      <c r="O23" s="16"/>
      <c r="P23" s="76"/>
      <c r="Q23" s="76"/>
      <c r="R23" s="383"/>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row>
    <row r="24" spans="1:87" ht="18">
      <c r="A24" s="30" t="s">
        <v>5613</v>
      </c>
      <c r="B24" s="30" t="s">
        <v>5675</v>
      </c>
      <c r="C24" s="32">
        <f>380973407507</f>
        <v>380973407507</v>
      </c>
      <c r="D24" s="32"/>
      <c r="E24" s="76" t="s">
        <v>38</v>
      </c>
      <c r="F24" s="30"/>
      <c r="G24" s="384"/>
      <c r="H24" s="76" t="s">
        <v>5676</v>
      </c>
      <c r="I24" s="76"/>
      <c r="J24" s="76"/>
      <c r="K24" s="76"/>
      <c r="L24" s="76"/>
      <c r="M24" s="76"/>
      <c r="N24" s="76"/>
      <c r="O24" s="76"/>
      <c r="P24" s="76"/>
      <c r="Q24" s="76"/>
      <c r="R24" s="383"/>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row>
    <row r="25" spans="1:87" ht="18">
      <c r="A25" s="30" t="s">
        <v>5613</v>
      </c>
      <c r="B25" s="76" t="s">
        <v>5677</v>
      </c>
      <c r="C25" s="76" t="s">
        <v>5678</v>
      </c>
      <c r="D25" s="76" t="s">
        <v>5679</v>
      </c>
      <c r="E25" s="16" t="s">
        <v>38</v>
      </c>
      <c r="F25" s="16"/>
      <c r="G25" s="382"/>
      <c r="H25" s="16"/>
      <c r="I25" s="16"/>
      <c r="J25" s="16"/>
      <c r="K25" s="16"/>
      <c r="L25" s="16"/>
      <c r="M25" s="16"/>
      <c r="N25" s="16"/>
      <c r="O25" s="16"/>
      <c r="P25" s="76"/>
      <c r="Q25" s="76"/>
      <c r="R25" s="383"/>
      <c r="S25" s="383"/>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row>
    <row r="26" spans="1:87" ht="18">
      <c r="A26" s="30" t="s">
        <v>5613</v>
      </c>
      <c r="B26" s="76" t="s">
        <v>3464</v>
      </c>
      <c r="C26" s="76" t="s">
        <v>3465</v>
      </c>
      <c r="D26" s="76" t="s">
        <v>3466</v>
      </c>
      <c r="E26" s="16" t="s">
        <v>38</v>
      </c>
      <c r="F26" s="16"/>
      <c r="G26" s="382"/>
      <c r="H26" s="16"/>
      <c r="I26" s="16"/>
      <c r="J26" s="16"/>
      <c r="K26" s="16"/>
      <c r="L26" s="16"/>
      <c r="M26" s="16"/>
      <c r="N26" s="16"/>
      <c r="O26" s="16"/>
      <c r="P26" s="76"/>
      <c r="Q26" s="76"/>
      <c r="R26" s="383"/>
      <c r="S26" s="383"/>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row>
    <row r="27" spans="1:87" ht="18">
      <c r="A27" s="30" t="s">
        <v>5613</v>
      </c>
      <c r="B27" s="189" t="s">
        <v>5680</v>
      </c>
      <c r="C27" s="90" t="s">
        <v>5681</v>
      </c>
      <c r="D27" s="31" t="s">
        <v>5682</v>
      </c>
      <c r="E27" s="16" t="s">
        <v>38</v>
      </c>
      <c r="F27" s="16"/>
      <c r="G27" s="382"/>
      <c r="H27" s="16"/>
      <c r="I27" s="16"/>
      <c r="J27" s="16"/>
      <c r="K27" s="16"/>
      <c r="L27" s="16"/>
      <c r="M27" s="16"/>
      <c r="N27" s="16"/>
      <c r="O27" s="16"/>
      <c r="P27" s="76"/>
      <c r="Q27" s="76"/>
      <c r="R27" s="383"/>
      <c r="S27" s="383"/>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row>
    <row r="28" spans="1:87" ht="15">
      <c r="A28" s="76" t="s">
        <v>5683</v>
      </c>
      <c r="B28" s="76" t="s">
        <v>5684</v>
      </c>
      <c r="C28" s="30" t="s">
        <v>5685</v>
      </c>
      <c r="D28" s="76" t="s">
        <v>5686</v>
      </c>
      <c r="E28" s="16" t="s">
        <v>38</v>
      </c>
      <c r="F28" s="76"/>
      <c r="G28" s="384"/>
      <c r="H28" s="76"/>
      <c r="I28" s="155"/>
      <c r="J28" s="155"/>
      <c r="K28" s="16"/>
      <c r="L28" s="16"/>
      <c r="M28" s="16"/>
      <c r="N28" s="16"/>
      <c r="O28" s="1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row>
    <row r="29" spans="1:87" ht="18">
      <c r="A29" s="30" t="s">
        <v>5613</v>
      </c>
      <c r="B29" s="30" t="s">
        <v>5687</v>
      </c>
      <c r="C29" s="32" t="s">
        <v>5688</v>
      </c>
      <c r="D29" s="32" t="s">
        <v>5689</v>
      </c>
      <c r="E29" s="16" t="s">
        <v>38</v>
      </c>
      <c r="F29" s="16"/>
      <c r="G29" s="382"/>
      <c r="H29" s="16"/>
      <c r="I29" s="16"/>
      <c r="J29" s="16"/>
      <c r="K29" s="16"/>
      <c r="L29" s="16"/>
      <c r="M29" s="16"/>
      <c r="N29" s="16"/>
      <c r="O29" s="16"/>
      <c r="P29" s="76"/>
      <c r="Q29" s="76"/>
      <c r="R29" s="383"/>
      <c r="S29" s="383"/>
      <c r="T29" s="76"/>
      <c r="U29" s="76"/>
      <c r="V29" s="387"/>
      <c r="W29" s="388"/>
      <c r="X29" s="76"/>
      <c r="Y29" s="76"/>
      <c r="Z29" s="76"/>
      <c r="AA29" s="76"/>
      <c r="AB29" s="76"/>
      <c r="AC29" s="76"/>
      <c r="AD29" s="76"/>
      <c r="AE29" s="389"/>
      <c r="AF29" s="389"/>
      <c r="AG29" s="76"/>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row>
    <row r="30" spans="1:87" ht="18">
      <c r="A30" s="30" t="s">
        <v>5613</v>
      </c>
      <c r="B30" s="76" t="s">
        <v>5690</v>
      </c>
      <c r="C30" s="76" t="s">
        <v>3534</v>
      </c>
      <c r="D30" s="14" t="s">
        <v>3535</v>
      </c>
      <c r="E30" s="16" t="s">
        <v>38</v>
      </c>
      <c r="F30" s="16"/>
      <c r="G30" s="382"/>
      <c r="H30" s="16"/>
      <c r="I30" s="16"/>
      <c r="J30" s="16"/>
      <c r="K30" s="16"/>
      <c r="L30" s="16"/>
      <c r="M30" s="16"/>
      <c r="N30" s="16"/>
      <c r="O30" s="16"/>
      <c r="P30" s="76"/>
      <c r="Q30" s="76"/>
      <c r="R30" s="294"/>
      <c r="S30" s="294"/>
      <c r="T30" s="383"/>
      <c r="U30" s="294"/>
      <c r="V30" s="76"/>
      <c r="W30" s="76"/>
      <c r="X30" s="390"/>
      <c r="Y30" s="391"/>
      <c r="Z30" s="76"/>
      <c r="AA30" s="76"/>
      <c r="AB30" s="76"/>
      <c r="AC30" s="76"/>
      <c r="AD30" s="76"/>
      <c r="AE30" s="76"/>
      <c r="AF30" s="76"/>
      <c r="AG30" s="76"/>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row>
    <row r="31" spans="1:87" ht="18">
      <c r="A31" s="30" t="s">
        <v>5613</v>
      </c>
      <c r="B31" s="76" t="s">
        <v>3542</v>
      </c>
      <c r="C31" s="76" t="s">
        <v>3543</v>
      </c>
      <c r="D31" s="281" t="s">
        <v>3544</v>
      </c>
      <c r="E31" s="16" t="s">
        <v>38</v>
      </c>
      <c r="F31" s="16"/>
      <c r="G31" s="382"/>
      <c r="H31" s="16"/>
      <c r="I31" s="16"/>
      <c r="J31" s="16"/>
      <c r="K31" s="16"/>
      <c r="L31" s="16"/>
      <c r="M31" s="16"/>
      <c r="N31" s="16"/>
      <c r="O31" s="16"/>
      <c r="P31" s="76"/>
      <c r="Q31" s="76"/>
      <c r="R31" s="294"/>
      <c r="S31" s="294"/>
      <c r="T31" s="383"/>
      <c r="U31" s="294"/>
      <c r="V31" s="76"/>
      <c r="W31" s="76"/>
      <c r="X31" s="392"/>
      <c r="Y31" s="391"/>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row>
    <row r="32" spans="1:87" ht="18">
      <c r="A32" s="30" t="s">
        <v>5613</v>
      </c>
      <c r="B32" s="76" t="s">
        <v>5691</v>
      </c>
      <c r="C32" s="76" t="s">
        <v>3507</v>
      </c>
      <c r="D32" s="17" t="s">
        <v>3508</v>
      </c>
      <c r="E32" s="16" t="s">
        <v>38</v>
      </c>
      <c r="F32" s="16"/>
      <c r="G32" s="382"/>
      <c r="H32" s="16"/>
      <c r="I32" s="16"/>
      <c r="J32" s="16"/>
      <c r="K32" s="16"/>
      <c r="L32" s="16"/>
      <c r="M32" s="16"/>
      <c r="N32" s="16"/>
      <c r="O32" s="16"/>
      <c r="P32" s="76"/>
      <c r="Q32" s="76"/>
      <c r="R32" s="389"/>
      <c r="S32" s="389"/>
      <c r="T32" s="383"/>
      <c r="U32" s="294"/>
      <c r="V32" s="76"/>
      <c r="W32" s="76"/>
      <c r="X32" s="387"/>
      <c r="Y32" s="388"/>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row>
    <row r="33" spans="1:87" ht="18">
      <c r="A33" s="30" t="s">
        <v>5613</v>
      </c>
      <c r="B33" s="76" t="s">
        <v>5692</v>
      </c>
      <c r="C33" s="76" t="s">
        <v>3461</v>
      </c>
      <c r="D33" s="76" t="s">
        <v>3462</v>
      </c>
      <c r="E33" s="16" t="s">
        <v>38</v>
      </c>
      <c r="F33" s="16"/>
      <c r="G33" s="382"/>
      <c r="H33" s="16"/>
      <c r="I33" s="16"/>
      <c r="J33" s="16"/>
      <c r="K33" s="16"/>
      <c r="L33" s="16"/>
      <c r="M33" s="16"/>
      <c r="N33" s="16"/>
      <c r="O33" s="16"/>
      <c r="P33" s="76"/>
      <c r="Q33" s="76"/>
      <c r="R33" s="389"/>
      <c r="S33" s="389"/>
      <c r="T33" s="383"/>
      <c r="U33" s="383"/>
      <c r="V33" s="76"/>
      <c r="W33" s="76"/>
      <c r="X33" s="387"/>
      <c r="Y33" s="388"/>
      <c r="Z33" s="76"/>
      <c r="AA33" s="76"/>
      <c r="AB33" s="76"/>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row>
    <row r="34" spans="1:87" ht="18">
      <c r="A34" s="30" t="s">
        <v>5613</v>
      </c>
      <c r="B34" s="76" t="s">
        <v>3410</v>
      </c>
      <c r="C34" s="76" t="s">
        <v>3411</v>
      </c>
      <c r="D34" s="16" t="s">
        <v>3412</v>
      </c>
      <c r="E34" s="16" t="s">
        <v>38</v>
      </c>
      <c r="F34" s="16"/>
      <c r="G34" s="382"/>
      <c r="H34" s="16"/>
      <c r="I34" s="16"/>
      <c r="J34" s="16"/>
      <c r="K34" s="16"/>
      <c r="L34" s="16"/>
      <c r="M34" s="16"/>
      <c r="N34" s="16"/>
      <c r="O34" s="16"/>
      <c r="P34" s="76"/>
      <c r="Q34" s="76"/>
      <c r="R34" s="389"/>
      <c r="S34" s="389"/>
      <c r="T34" s="383"/>
      <c r="U34" s="383"/>
      <c r="V34" s="76"/>
      <c r="W34" s="76"/>
      <c r="X34" s="387"/>
      <c r="Y34" s="388"/>
      <c r="Z34" s="76"/>
      <c r="AA34" s="76"/>
      <c r="AB34" s="76"/>
      <c r="AC34" s="76"/>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row>
    <row r="35" spans="1:87" ht="18">
      <c r="A35" s="30" t="s">
        <v>5613</v>
      </c>
      <c r="B35" s="30" t="s">
        <v>5693</v>
      </c>
      <c r="C35" s="90" t="s">
        <v>5694</v>
      </c>
      <c r="D35" s="31" t="s">
        <v>5695</v>
      </c>
      <c r="E35" s="16" t="s">
        <v>38</v>
      </c>
      <c r="F35" s="16"/>
      <c r="G35" s="382">
        <v>44845</v>
      </c>
      <c r="H35" s="16" t="s">
        <v>5696</v>
      </c>
      <c r="I35" s="16"/>
      <c r="J35" s="16"/>
      <c r="K35" s="16"/>
      <c r="L35" s="16"/>
      <c r="M35" s="16"/>
      <c r="N35" s="16"/>
      <c r="O35" s="16"/>
      <c r="P35" s="76"/>
      <c r="Q35" s="76"/>
      <c r="R35" s="389"/>
      <c r="S35" s="389"/>
      <c r="T35" s="383"/>
      <c r="U35" s="383"/>
      <c r="V35" s="383"/>
      <c r="W35" s="76"/>
      <c r="X35" s="76"/>
      <c r="Y35" s="387"/>
      <c r="Z35" s="388"/>
      <c r="AA35" s="76"/>
      <c r="AB35" s="76"/>
      <c r="AC35" s="76"/>
      <c r="AD35" s="76"/>
      <c r="AE35" s="76"/>
      <c r="AF35" s="30"/>
      <c r="AG35" s="30"/>
      <c r="AH35" s="30"/>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row>
    <row r="36" spans="1:87" ht="15">
      <c r="A36" s="16" t="s">
        <v>5683</v>
      </c>
      <c r="B36" s="76" t="s">
        <v>5697</v>
      </c>
      <c r="C36" s="76"/>
      <c r="D36" s="16" t="s">
        <v>5698</v>
      </c>
      <c r="E36" s="16" t="s">
        <v>38</v>
      </c>
      <c r="F36" s="76"/>
      <c r="G36" s="384"/>
      <c r="H36" s="76"/>
      <c r="I36" s="16"/>
      <c r="J36" s="16"/>
      <c r="K36" s="16"/>
      <c r="L36" s="16"/>
      <c r="M36" s="16"/>
      <c r="N36" s="16"/>
      <c r="O36" s="1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row>
    <row r="37" spans="1:87" ht="45.75">
      <c r="A37" s="30" t="s">
        <v>5613</v>
      </c>
      <c r="B37" s="76" t="s">
        <v>2223</v>
      </c>
      <c r="C37" s="147" t="s">
        <v>2224</v>
      </c>
      <c r="D37" s="147" t="s">
        <v>2225</v>
      </c>
      <c r="E37" s="16" t="s">
        <v>38</v>
      </c>
      <c r="F37" s="16"/>
      <c r="G37" s="382"/>
      <c r="H37" s="16"/>
      <c r="I37" s="16"/>
      <c r="J37" s="16"/>
      <c r="K37" s="16"/>
      <c r="L37" s="16"/>
      <c r="M37" s="16"/>
      <c r="N37" s="16"/>
      <c r="O37" s="16"/>
      <c r="P37" s="76"/>
      <c r="Q37" s="76"/>
      <c r="R37" s="391"/>
      <c r="S37" s="294"/>
      <c r="T37" s="383"/>
      <c r="U37" s="76"/>
      <c r="V37" s="383"/>
      <c r="W37" s="167"/>
      <c r="X37" s="167"/>
      <c r="Y37" s="393"/>
      <c r="Z37" s="394"/>
      <c r="AA37" s="76"/>
      <c r="AB37" s="167"/>
      <c r="AC37" s="167"/>
      <c r="AD37" s="167"/>
      <c r="AE37" s="167"/>
      <c r="AF37" s="76"/>
      <c r="AG37" s="76"/>
      <c r="AH37" s="76"/>
      <c r="AI37" s="76"/>
      <c r="AJ37" s="76"/>
      <c r="AK37" s="76"/>
      <c r="AL37" s="76"/>
      <c r="AM37" s="76"/>
      <c r="AN37" s="76"/>
      <c r="AO37" s="76"/>
      <c r="AP37" s="76"/>
      <c r="AQ37" s="76"/>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row>
    <row r="38" spans="1:87" ht="15">
      <c r="A38" s="396" t="s">
        <v>5613</v>
      </c>
      <c r="B38" s="397" t="s">
        <v>2175</v>
      </c>
      <c r="C38" s="398" t="s">
        <v>2176</v>
      </c>
      <c r="D38" s="399" t="s">
        <v>5699</v>
      </c>
      <c r="E38" s="400" t="s">
        <v>38</v>
      </c>
      <c r="F38" s="400" t="s">
        <v>18</v>
      </c>
      <c r="G38" s="401">
        <v>44870</v>
      </c>
      <c r="H38" s="400" t="s">
        <v>5700</v>
      </c>
      <c r="I38" s="16"/>
      <c r="J38" s="16"/>
      <c r="K38" s="16"/>
      <c r="L38" s="16"/>
      <c r="M38" s="16"/>
      <c r="N38" s="16"/>
      <c r="O38" s="1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row>
    <row r="39" spans="1:87" ht="15">
      <c r="A39" s="30" t="s">
        <v>5613</v>
      </c>
      <c r="B39" s="37" t="s">
        <v>35</v>
      </c>
      <c r="C39" s="402" t="s">
        <v>36</v>
      </c>
      <c r="D39" s="403" t="s">
        <v>37</v>
      </c>
      <c r="E39" s="16" t="s">
        <v>38</v>
      </c>
      <c r="F39" s="16" t="s">
        <v>3388</v>
      </c>
      <c r="G39" s="382"/>
      <c r="H39" s="16"/>
      <c r="I39" s="16"/>
      <c r="J39" s="16"/>
      <c r="K39" s="16"/>
      <c r="L39" s="16"/>
      <c r="M39" s="16"/>
      <c r="N39" s="16"/>
      <c r="O39" s="1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row>
    <row r="40" spans="1:87" ht="15">
      <c r="A40" s="30" t="s">
        <v>5613</v>
      </c>
      <c r="B40" s="177" t="s">
        <v>2054</v>
      </c>
      <c r="C40" s="116" t="s">
        <v>2055</v>
      </c>
      <c r="D40" s="116" t="s">
        <v>2056</v>
      </c>
      <c r="E40" s="16" t="s">
        <v>38</v>
      </c>
      <c r="F40" s="16" t="s">
        <v>18</v>
      </c>
      <c r="G40" s="382">
        <v>44891</v>
      </c>
      <c r="H40" s="16" t="s">
        <v>5701</v>
      </c>
      <c r="I40" s="16"/>
      <c r="J40" s="16"/>
      <c r="K40" s="16"/>
      <c r="L40" s="16"/>
      <c r="M40" s="16"/>
      <c r="N40" s="16"/>
      <c r="O40" s="1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row>
    <row r="41" spans="1:87" ht="15">
      <c r="A41" s="30" t="s">
        <v>5613</v>
      </c>
      <c r="B41" s="177" t="s">
        <v>2057</v>
      </c>
      <c r="C41" s="116" t="s">
        <v>2058</v>
      </c>
      <c r="D41" s="116" t="s">
        <v>2058</v>
      </c>
      <c r="E41" s="16" t="s">
        <v>38</v>
      </c>
      <c r="F41" s="16" t="s">
        <v>16</v>
      </c>
      <c r="G41" s="382"/>
      <c r="H41" s="16" t="s">
        <v>5702</v>
      </c>
      <c r="I41" s="16"/>
      <c r="J41" s="16"/>
      <c r="K41" s="16"/>
      <c r="L41" s="16"/>
      <c r="M41" s="16"/>
      <c r="N41" s="16"/>
      <c r="O41" s="1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row>
    <row r="42" spans="1:87" ht="15">
      <c r="A42" s="30" t="s">
        <v>5613</v>
      </c>
      <c r="B42" s="30" t="s">
        <v>2072</v>
      </c>
      <c r="C42" s="16" t="s">
        <v>2073</v>
      </c>
      <c r="D42" s="16" t="s">
        <v>2074</v>
      </c>
      <c r="E42" s="16" t="s">
        <v>38</v>
      </c>
      <c r="F42" s="16" t="s">
        <v>11</v>
      </c>
      <c r="G42" s="382"/>
      <c r="H42" s="16" t="s">
        <v>5703</v>
      </c>
      <c r="I42" s="16"/>
      <c r="J42" s="16"/>
      <c r="K42" s="16"/>
      <c r="L42" s="16"/>
      <c r="M42" s="16"/>
      <c r="N42" s="16"/>
      <c r="O42" s="1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row>
    <row r="43" spans="1:87">
      <c r="A43" s="30" t="s">
        <v>5613</v>
      </c>
      <c r="B43" s="177" t="s">
        <v>2077</v>
      </c>
      <c r="C43" s="404" t="s">
        <v>2078</v>
      </c>
      <c r="D43" s="402" t="s">
        <v>2079</v>
      </c>
      <c r="E43" s="16" t="s">
        <v>38</v>
      </c>
      <c r="F43" s="16" t="s">
        <v>18</v>
      </c>
      <c r="G43" s="382">
        <v>44895</v>
      </c>
      <c r="H43" s="16" t="s">
        <v>5704</v>
      </c>
      <c r="I43" s="16"/>
      <c r="J43" s="16"/>
      <c r="K43" s="16"/>
      <c r="L43" s="16"/>
      <c r="M43" s="16"/>
      <c r="N43" s="16"/>
      <c r="O43" s="16"/>
      <c r="P43" s="76"/>
      <c r="Q43" s="76"/>
      <c r="R43" s="76"/>
      <c r="S43" s="76"/>
      <c r="T43" s="7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row>
    <row r="44" spans="1:87" ht="15">
      <c r="A44" s="30" t="s">
        <v>5613</v>
      </c>
      <c r="B44" s="177" t="s">
        <v>2140</v>
      </c>
      <c r="C44" s="116" t="s">
        <v>2141</v>
      </c>
      <c r="D44" s="116" t="s">
        <v>2142</v>
      </c>
      <c r="E44" s="16" t="s">
        <v>38</v>
      </c>
      <c r="F44" s="16" t="s">
        <v>3388</v>
      </c>
      <c r="G44" s="382"/>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row>
    <row r="45" spans="1:87" ht="15">
      <c r="A45" s="30" t="s">
        <v>5613</v>
      </c>
      <c r="B45" s="30" t="s">
        <v>2204</v>
      </c>
      <c r="C45" s="205" t="s">
        <v>2206</v>
      </c>
      <c r="D45" s="405" t="s">
        <v>5705</v>
      </c>
      <c r="E45" s="16" t="s">
        <v>38</v>
      </c>
      <c r="F45" s="16" t="s">
        <v>11</v>
      </c>
      <c r="G45" s="382"/>
      <c r="H45" s="16" t="s">
        <v>5706</v>
      </c>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row>
    <row r="46" spans="1:87" ht="15">
      <c r="A46" s="30" t="s">
        <v>5613</v>
      </c>
      <c r="B46" s="144" t="s">
        <v>2279</v>
      </c>
      <c r="C46" s="117" t="s">
        <v>2280</v>
      </c>
      <c r="D46" s="117" t="s">
        <v>2281</v>
      </c>
      <c r="E46" s="16" t="s">
        <v>38</v>
      </c>
      <c r="F46" s="16" t="s">
        <v>3388</v>
      </c>
      <c r="G46" s="382"/>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row>
    <row r="47" spans="1:87" ht="15">
      <c r="A47" s="30" t="s">
        <v>5613</v>
      </c>
      <c r="B47" s="144" t="s">
        <v>1530</v>
      </c>
      <c r="C47" s="117" t="s">
        <v>1531</v>
      </c>
      <c r="D47" s="117" t="s">
        <v>1532</v>
      </c>
      <c r="E47" s="16" t="s">
        <v>38</v>
      </c>
      <c r="F47" s="16" t="s">
        <v>3388</v>
      </c>
      <c r="G47" s="38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row>
    <row r="48" spans="1:87" ht="15">
      <c r="A48" s="30" t="s">
        <v>5613</v>
      </c>
      <c r="B48" s="117" t="s">
        <v>1563</v>
      </c>
      <c r="C48" s="116" t="s">
        <v>1564</v>
      </c>
      <c r="D48" s="116" t="s">
        <v>1565</v>
      </c>
      <c r="E48" s="16" t="s">
        <v>38</v>
      </c>
      <c r="F48" s="16" t="s">
        <v>10</v>
      </c>
      <c r="G48" s="382"/>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row>
    <row r="49" spans="1:87" ht="18">
      <c r="A49" s="30" t="s">
        <v>5613</v>
      </c>
      <c r="B49" s="76" t="s">
        <v>1657</v>
      </c>
      <c r="C49" s="76" t="s">
        <v>1658</v>
      </c>
      <c r="D49" s="158" t="s">
        <v>1659</v>
      </c>
      <c r="E49" s="16" t="s">
        <v>38</v>
      </c>
      <c r="F49" s="16" t="s">
        <v>3388</v>
      </c>
      <c r="G49" s="382" t="s">
        <v>5707</v>
      </c>
      <c r="H49" s="16" t="s">
        <v>5708</v>
      </c>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row>
    <row r="50" spans="1:87" ht="15">
      <c r="A50" s="30" t="s">
        <v>5613</v>
      </c>
      <c r="B50" s="76" t="s">
        <v>1675</v>
      </c>
      <c r="C50" s="155">
        <v>380930479640</v>
      </c>
      <c r="D50" s="16" t="s">
        <v>1676</v>
      </c>
      <c r="E50" s="16" t="s">
        <v>38</v>
      </c>
      <c r="F50" s="16" t="s">
        <v>18</v>
      </c>
      <c r="G50" s="382"/>
      <c r="H50" s="16" t="s">
        <v>5709</v>
      </c>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row>
    <row r="51" spans="1:87" ht="18">
      <c r="A51" s="30" t="s">
        <v>5613</v>
      </c>
      <c r="B51" s="76" t="s">
        <v>1705</v>
      </c>
      <c r="C51" s="76" t="s">
        <v>1706</v>
      </c>
      <c r="D51" s="14" t="s">
        <v>1707</v>
      </c>
      <c r="E51" s="16" t="s">
        <v>38</v>
      </c>
      <c r="F51" s="16" t="s">
        <v>3388</v>
      </c>
      <c r="G51" s="382"/>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row>
    <row r="52" spans="1:87" ht="18">
      <c r="A52" s="30" t="s">
        <v>5613</v>
      </c>
      <c r="B52" s="76" t="s">
        <v>1726</v>
      </c>
      <c r="C52" s="16" t="s">
        <v>1727</v>
      </c>
      <c r="D52" s="14" t="s">
        <v>1728</v>
      </c>
      <c r="E52" s="16" t="s">
        <v>38</v>
      </c>
      <c r="F52" s="16" t="s">
        <v>3388</v>
      </c>
      <c r="G52" s="382"/>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row>
    <row r="53" spans="1:87" ht="15">
      <c r="A53" s="30" t="s">
        <v>5613</v>
      </c>
      <c r="B53" s="76" t="s">
        <v>1761</v>
      </c>
      <c r="C53" s="16" t="s">
        <v>1762</v>
      </c>
      <c r="D53" s="16" t="s">
        <v>1763</v>
      </c>
      <c r="E53" s="16" t="s">
        <v>38</v>
      </c>
      <c r="F53" s="16" t="s">
        <v>20</v>
      </c>
      <c r="G53" s="382" t="s">
        <v>5710</v>
      </c>
      <c r="H53" s="16" t="s">
        <v>5711</v>
      </c>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row>
    <row r="54" spans="1:87" ht="15">
      <c r="A54" s="30" t="s">
        <v>5613</v>
      </c>
      <c r="B54" s="76" t="s">
        <v>1811</v>
      </c>
      <c r="C54" s="16" t="s">
        <v>1812</v>
      </c>
      <c r="D54" s="76" t="s">
        <v>3642</v>
      </c>
      <c r="E54" s="16" t="s">
        <v>38</v>
      </c>
      <c r="F54" s="16" t="s">
        <v>12</v>
      </c>
      <c r="G54" s="382"/>
      <c r="H54" s="16" t="s">
        <v>5712</v>
      </c>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row>
    <row r="55" spans="1:87" ht="15">
      <c r="A55" s="30" t="s">
        <v>5613</v>
      </c>
      <c r="B55" s="76" t="s">
        <v>1814</v>
      </c>
      <c r="C55" s="76" t="s">
        <v>1815</v>
      </c>
      <c r="D55" s="76" t="s">
        <v>1816</v>
      </c>
      <c r="E55" s="16" t="s">
        <v>38</v>
      </c>
      <c r="F55" s="16" t="s">
        <v>12</v>
      </c>
      <c r="G55" s="382"/>
      <c r="H55" s="16" t="s">
        <v>5713</v>
      </c>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row>
    <row r="56" spans="1:87" ht="15">
      <c r="A56" s="30" t="s">
        <v>5613</v>
      </c>
      <c r="B56" s="76" t="s">
        <v>1920</v>
      </c>
      <c r="C56" s="76" t="s">
        <v>1921</v>
      </c>
      <c r="D56" s="76" t="s">
        <v>1922</v>
      </c>
      <c r="E56" s="16" t="s">
        <v>38</v>
      </c>
      <c r="F56" s="16" t="s">
        <v>12</v>
      </c>
      <c r="G56" s="382"/>
      <c r="H56" s="16" t="s">
        <v>5714</v>
      </c>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row>
    <row r="57" spans="1:87" ht="27">
      <c r="A57" s="16" t="s">
        <v>5613</v>
      </c>
      <c r="B57" s="76" t="s">
        <v>5715</v>
      </c>
      <c r="C57" s="406" t="s">
        <v>1753</v>
      </c>
      <c r="D57" s="16" t="s">
        <v>1754</v>
      </c>
      <c r="E57" s="16" t="s">
        <v>38</v>
      </c>
      <c r="F57" s="16" t="s">
        <v>10</v>
      </c>
      <c r="G57" s="382" t="s">
        <v>5716</v>
      </c>
      <c r="H57" s="407" t="s">
        <v>5717</v>
      </c>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row>
    <row r="58" spans="1:87" ht="30">
      <c r="A58" s="16" t="s">
        <v>5613</v>
      </c>
      <c r="B58" s="30" t="s">
        <v>2031</v>
      </c>
      <c r="C58" s="31" t="s">
        <v>2033</v>
      </c>
      <c r="D58" s="176" t="s">
        <v>2034</v>
      </c>
      <c r="E58" s="16" t="s">
        <v>38</v>
      </c>
      <c r="F58" s="16" t="s">
        <v>3388</v>
      </c>
      <c r="G58" s="382"/>
      <c r="H58" s="16" t="s">
        <v>5718</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row>
    <row r="59" spans="1:87" ht="39.75">
      <c r="A59" s="16" t="s">
        <v>5613</v>
      </c>
      <c r="B59" s="144" t="s">
        <v>2223</v>
      </c>
      <c r="C59" s="183" t="s">
        <v>2224</v>
      </c>
      <c r="D59" s="38" t="s">
        <v>2225</v>
      </c>
      <c r="E59" s="16" t="s">
        <v>38</v>
      </c>
      <c r="F59" s="16" t="s">
        <v>3388</v>
      </c>
      <c r="G59" s="382" t="s">
        <v>5707</v>
      </c>
      <c r="H59" s="16" t="s">
        <v>5719</v>
      </c>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row>
    <row r="60" spans="1:87" ht="15">
      <c r="A60" s="16" t="s">
        <v>5613</v>
      </c>
      <c r="B60" s="76" t="s">
        <v>1729</v>
      </c>
      <c r="C60" s="16" t="s">
        <v>1730</v>
      </c>
      <c r="D60" s="16" t="s">
        <v>1731</v>
      </c>
      <c r="E60" s="16" t="s">
        <v>38</v>
      </c>
      <c r="F60" s="16"/>
      <c r="G60" s="382" t="s">
        <v>5720</v>
      </c>
      <c r="H60" s="16" t="s">
        <v>5721</v>
      </c>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row>
    <row r="61" spans="1:87" ht="18">
      <c r="A61" s="16" t="s">
        <v>5613</v>
      </c>
      <c r="B61" s="76" t="s">
        <v>1687</v>
      </c>
      <c r="C61" s="158" t="s">
        <v>1688</v>
      </c>
      <c r="D61" s="16" t="s">
        <v>1689</v>
      </c>
      <c r="E61" s="16" t="s">
        <v>38</v>
      </c>
      <c r="F61" s="16" t="s">
        <v>16</v>
      </c>
      <c r="G61" s="382"/>
      <c r="H61" s="16" t="s">
        <v>5722</v>
      </c>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row>
    <row r="62" spans="1:87" ht="15">
      <c r="A62" s="16" t="s">
        <v>5613</v>
      </c>
      <c r="B62" s="76" t="s">
        <v>1845</v>
      </c>
      <c r="C62" s="76" t="s">
        <v>1846</v>
      </c>
      <c r="D62" s="76" t="s">
        <v>1847</v>
      </c>
      <c r="E62" s="16" t="s">
        <v>38</v>
      </c>
      <c r="F62" s="16"/>
      <c r="G62" s="38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row>
    <row r="63" spans="1:87" ht="15">
      <c r="A63" s="16" t="s">
        <v>5613</v>
      </c>
      <c r="B63" s="76" t="s">
        <v>97</v>
      </c>
      <c r="C63" s="67" t="s">
        <v>98</v>
      </c>
      <c r="D63" s="18" t="s">
        <v>99</v>
      </c>
      <c r="E63" s="16" t="s">
        <v>38</v>
      </c>
      <c r="F63" s="16"/>
      <c r="G63" s="38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row>
    <row r="64" spans="1:87" ht="15">
      <c r="A64" s="16" t="s">
        <v>5613</v>
      </c>
      <c r="B64" s="76" t="s">
        <v>161</v>
      </c>
      <c r="C64" s="16" t="s">
        <v>162</v>
      </c>
      <c r="D64" s="16" t="s">
        <v>163</v>
      </c>
      <c r="E64" s="16" t="s">
        <v>38</v>
      </c>
      <c r="F64" s="16"/>
      <c r="G64" s="38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row>
    <row r="65" spans="1:87" ht="15">
      <c r="A65" s="16" t="s">
        <v>5613</v>
      </c>
      <c r="B65" s="76" t="s">
        <v>185</v>
      </c>
      <c r="C65" s="85" t="s">
        <v>186</v>
      </c>
      <c r="D65" s="76" t="s">
        <v>187</v>
      </c>
      <c r="E65" s="16" t="s">
        <v>38</v>
      </c>
      <c r="F65" s="16" t="s">
        <v>3388</v>
      </c>
      <c r="G65" s="382" t="s">
        <v>5723</v>
      </c>
      <c r="H65" s="16" t="s">
        <v>188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row>
    <row r="66" spans="1:87" ht="17.25">
      <c r="A66" s="16" t="s">
        <v>5613</v>
      </c>
      <c r="B66" s="76" t="s">
        <v>1647</v>
      </c>
      <c r="C66" s="184" t="s">
        <v>1648</v>
      </c>
      <c r="D66" s="76" t="s">
        <v>1649</v>
      </c>
      <c r="E66" s="36" t="s">
        <v>38</v>
      </c>
      <c r="F66" s="16" t="s">
        <v>20</v>
      </c>
      <c r="G66" s="408"/>
      <c r="O66" s="40"/>
      <c r="P66" s="409"/>
      <c r="Q66" s="410"/>
      <c r="R66" s="41"/>
      <c r="S66" s="41"/>
      <c r="T66" s="41"/>
      <c r="U66" s="41"/>
      <c r="V66" s="41"/>
      <c r="W66" s="41"/>
      <c r="X66" s="41"/>
      <c r="Z66" s="36"/>
      <c r="AA66" s="411"/>
      <c r="AB66" s="412"/>
      <c r="AD66" s="413"/>
      <c r="AJ66" s="36"/>
      <c r="AK66" s="42"/>
      <c r="AL66" s="36"/>
      <c r="AN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row>
    <row r="67" spans="1:87" ht="15">
      <c r="A67" s="16" t="s">
        <v>5613</v>
      </c>
      <c r="B67" s="16" t="s">
        <v>2226</v>
      </c>
      <c r="C67" s="16" t="s">
        <v>5724</v>
      </c>
      <c r="D67" s="16"/>
      <c r="E67" s="36" t="s">
        <v>38</v>
      </c>
      <c r="F67" s="16" t="s">
        <v>16</v>
      </c>
      <c r="G67" s="382"/>
      <c r="H67" s="16" t="s">
        <v>5725</v>
      </c>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row>
    <row r="68" spans="1:87" ht="15">
      <c r="A68" s="16" t="s">
        <v>5613</v>
      </c>
      <c r="B68" s="16" t="s">
        <v>1941</v>
      </c>
      <c r="C68" s="16"/>
      <c r="D68" s="16"/>
      <c r="E68" s="36" t="s">
        <v>38</v>
      </c>
      <c r="F68" s="16" t="s">
        <v>16</v>
      </c>
      <c r="G68" s="382"/>
      <c r="H68" s="16" t="s">
        <v>5726</v>
      </c>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row>
    <row r="69" spans="1:87" ht="23.25" customHeight="1">
      <c r="A69" s="16" t="s">
        <v>5613</v>
      </c>
      <c r="B69" s="16" t="s">
        <v>158</v>
      </c>
      <c r="C69" s="285" t="s">
        <v>5727</v>
      </c>
      <c r="D69" s="16" t="s">
        <v>160</v>
      </c>
      <c r="E69" s="36" t="s">
        <v>38</v>
      </c>
      <c r="F69" s="16" t="s">
        <v>12</v>
      </c>
      <c r="G69" s="382"/>
      <c r="H69" s="16" t="s">
        <v>5728</v>
      </c>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row>
    <row r="70" spans="1:87" ht="15">
      <c r="A70" s="16" t="s">
        <v>5613</v>
      </c>
      <c r="B70" s="76" t="s">
        <v>1923</v>
      </c>
      <c r="C70" s="76" t="s">
        <v>1924</v>
      </c>
      <c r="D70" s="17" t="s">
        <v>1925</v>
      </c>
      <c r="E70" s="36" t="s">
        <v>38</v>
      </c>
      <c r="F70" s="16" t="s">
        <v>12</v>
      </c>
      <c r="G70" s="382" t="s">
        <v>5729</v>
      </c>
      <c r="H70" s="16" t="s">
        <v>5730</v>
      </c>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row>
    <row r="71" spans="1:87" ht="15">
      <c r="A71" s="16" t="s">
        <v>5613</v>
      </c>
      <c r="B71" s="147" t="s">
        <v>1575</v>
      </c>
      <c r="C71" s="16" t="s">
        <v>1576</v>
      </c>
      <c r="D71" s="16" t="s">
        <v>1577</v>
      </c>
      <c r="E71" s="36" t="s">
        <v>38</v>
      </c>
      <c r="F71" s="16" t="s">
        <v>18</v>
      </c>
      <c r="G71" s="382">
        <v>45040</v>
      </c>
      <c r="H71" s="67" t="s">
        <v>5731</v>
      </c>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row>
    <row r="72" spans="1:87" ht="30">
      <c r="A72" s="16" t="s">
        <v>5613</v>
      </c>
      <c r="B72" s="76" t="s">
        <v>1748</v>
      </c>
      <c r="C72" s="147" t="s">
        <v>1750</v>
      </c>
      <c r="D72" s="147" t="s">
        <v>1751</v>
      </c>
      <c r="E72" s="36" t="s">
        <v>38</v>
      </c>
      <c r="F72" s="16" t="s">
        <v>18</v>
      </c>
      <c r="G72" s="382" t="s">
        <v>5732</v>
      </c>
      <c r="H72" s="16" t="s">
        <v>5733</v>
      </c>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row>
    <row r="73" spans="1:87" ht="15">
      <c r="A73" s="16" t="s">
        <v>5613</v>
      </c>
      <c r="B73" s="76" t="s">
        <v>234</v>
      </c>
      <c r="C73" s="16" t="s">
        <v>235</v>
      </c>
      <c r="D73" s="16" t="s">
        <v>236</v>
      </c>
      <c r="E73" s="36" t="s">
        <v>38</v>
      </c>
      <c r="F73" s="16" t="s">
        <v>18</v>
      </c>
      <c r="G73" s="382">
        <v>45029</v>
      </c>
      <c r="H73" s="16" t="s">
        <v>5734</v>
      </c>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row>
    <row r="74" spans="1:87" ht="15">
      <c r="A74" s="16" t="s">
        <v>5613</v>
      </c>
      <c r="B74" s="76" t="s">
        <v>182</v>
      </c>
      <c r="C74" s="76" t="s">
        <v>183</v>
      </c>
      <c r="D74" s="76" t="s">
        <v>184</v>
      </c>
      <c r="E74" s="36" t="s">
        <v>38</v>
      </c>
      <c r="F74" s="16" t="s">
        <v>18</v>
      </c>
      <c r="G74" s="382">
        <v>45021</v>
      </c>
      <c r="H74" s="16" t="s">
        <v>5735</v>
      </c>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row>
    <row r="75" spans="1:87" ht="15">
      <c r="A75" s="16" t="s">
        <v>5613</v>
      </c>
      <c r="B75" s="414" t="s">
        <v>637</v>
      </c>
      <c r="C75" s="116" t="s">
        <v>638</v>
      </c>
      <c r="D75" s="116" t="s">
        <v>639</v>
      </c>
      <c r="E75" s="36" t="s">
        <v>34</v>
      </c>
      <c r="F75" s="16" t="s">
        <v>3388</v>
      </c>
      <c r="G75" s="382">
        <v>45057</v>
      </c>
      <c r="H75" s="16" t="s">
        <v>5736</v>
      </c>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row>
    <row r="76" spans="1:87" ht="15">
      <c r="A76" s="16" t="s">
        <v>5613</v>
      </c>
      <c r="B76" s="414" t="s">
        <v>1952</v>
      </c>
      <c r="C76" s="16" t="s">
        <v>1953</v>
      </c>
      <c r="D76" s="16" t="s">
        <v>1954</v>
      </c>
      <c r="E76" s="36" t="s">
        <v>38</v>
      </c>
      <c r="F76" s="16" t="s">
        <v>3388</v>
      </c>
      <c r="G76" s="382">
        <v>45062</v>
      </c>
      <c r="H76" s="16" t="s">
        <v>5737</v>
      </c>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row>
    <row r="77" spans="1:87" ht="15">
      <c r="A77" s="16" t="s">
        <v>5613</v>
      </c>
      <c r="B77" s="414" t="s">
        <v>791</v>
      </c>
      <c r="C77" s="16" t="s">
        <v>792</v>
      </c>
      <c r="D77" s="16" t="s">
        <v>793</v>
      </c>
      <c r="E77" s="36" t="s">
        <v>38</v>
      </c>
      <c r="F77" s="16" t="s">
        <v>3388</v>
      </c>
      <c r="G77" s="382">
        <v>45075</v>
      </c>
      <c r="H77" s="16" t="s">
        <v>5738</v>
      </c>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row>
    <row r="78" spans="1:87" ht="15">
      <c r="A78" s="16" t="s">
        <v>5613</v>
      </c>
      <c r="B78" s="415" t="s">
        <v>5739</v>
      </c>
      <c r="C78" s="16" t="s">
        <v>5740</v>
      </c>
      <c r="D78" s="31" t="s">
        <v>670</v>
      </c>
      <c r="E78" s="36" t="s">
        <v>38</v>
      </c>
      <c r="F78" s="16" t="s">
        <v>20</v>
      </c>
      <c r="G78" s="382">
        <v>45081</v>
      </c>
      <c r="H78" s="16" t="s">
        <v>5741</v>
      </c>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row>
    <row r="79" spans="1:87" ht="15">
      <c r="A79" s="16" t="s">
        <v>5613</v>
      </c>
      <c r="B79" s="414" t="s">
        <v>931</v>
      </c>
      <c r="C79" s="16" t="s">
        <v>932</v>
      </c>
      <c r="D79" s="16" t="s">
        <v>933</v>
      </c>
      <c r="E79" s="36" t="s">
        <v>38</v>
      </c>
      <c r="F79" s="16" t="s">
        <v>3388</v>
      </c>
      <c r="G79" s="382">
        <v>45096</v>
      </c>
      <c r="H79" s="16" t="s">
        <v>5742</v>
      </c>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row>
    <row r="80" spans="1:87" ht="15">
      <c r="A80" s="16" t="s">
        <v>5613</v>
      </c>
      <c r="B80" s="415" t="s">
        <v>871</v>
      </c>
      <c r="C80" s="16" t="s">
        <v>872</v>
      </c>
      <c r="D80" s="16" t="s">
        <v>873</v>
      </c>
      <c r="E80" s="36" t="s">
        <v>38</v>
      </c>
      <c r="F80" s="16" t="s">
        <v>3388</v>
      </c>
      <c r="G80" s="382">
        <v>45103</v>
      </c>
      <c r="H80" s="16" t="s">
        <v>5743</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row>
    <row r="81" spans="1:87" ht="18">
      <c r="A81" s="16" t="s">
        <v>5613</v>
      </c>
      <c r="B81" s="111" t="s">
        <v>851</v>
      </c>
      <c r="C81" s="16" t="s">
        <v>852</v>
      </c>
      <c r="D81" s="16" t="s">
        <v>853</v>
      </c>
      <c r="E81" s="36" t="s">
        <v>38</v>
      </c>
      <c r="F81" s="16" t="s">
        <v>3388</v>
      </c>
      <c r="G81" s="382">
        <v>45104</v>
      </c>
      <c r="H81" s="16" t="s">
        <v>5744</v>
      </c>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row>
    <row r="82" spans="1:87" ht="15">
      <c r="A82" s="16" t="s">
        <v>5613</v>
      </c>
      <c r="B82" s="414" t="s">
        <v>722</v>
      </c>
      <c r="C82" s="16" t="s">
        <v>723</v>
      </c>
      <c r="D82" s="16" t="s">
        <v>724</v>
      </c>
      <c r="E82" s="36" t="s">
        <v>38</v>
      </c>
      <c r="F82" s="16" t="s">
        <v>12</v>
      </c>
      <c r="G82" s="382">
        <v>45101</v>
      </c>
      <c r="H82" s="16" t="s">
        <v>5745</v>
      </c>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row>
    <row r="83" spans="1:87" ht="15.75" customHeight="1">
      <c r="A83" s="16" t="s">
        <v>5613</v>
      </c>
      <c r="B83" s="76" t="s">
        <v>1533</v>
      </c>
      <c r="C83" s="76" t="s">
        <v>1534</v>
      </c>
      <c r="D83" s="30" t="s">
        <v>1535</v>
      </c>
      <c r="E83" s="36" t="s">
        <v>38</v>
      </c>
      <c r="F83" s="16" t="s">
        <v>3388</v>
      </c>
      <c r="G83" s="382">
        <v>45106</v>
      </c>
      <c r="H83" s="16" t="s">
        <v>5746</v>
      </c>
      <c r="I83" s="16"/>
      <c r="J83" s="16"/>
      <c r="K83" s="16"/>
      <c r="L83" s="16"/>
      <c r="M83" s="16"/>
      <c r="N83" s="16"/>
      <c r="O83" s="16"/>
      <c r="P83" s="16"/>
      <c r="Q83" s="33"/>
      <c r="R83" s="389"/>
      <c r="S83" s="416"/>
      <c r="T83" s="34"/>
      <c r="U83" s="34"/>
      <c r="V83" s="34"/>
      <c r="W83" s="34"/>
      <c r="X83" s="34"/>
      <c r="Y83" s="34"/>
      <c r="Z83" s="34"/>
      <c r="AA83" s="56"/>
      <c r="AB83" s="56"/>
      <c r="AC83" s="56"/>
      <c r="AD83" s="56"/>
      <c r="AE83" s="112"/>
      <c r="AF83" s="417"/>
      <c r="AG83" s="113"/>
      <c r="AH83" s="417"/>
      <c r="AI83" s="62"/>
      <c r="AJ83" s="63"/>
      <c r="AK83" s="63"/>
      <c r="AL83" s="71"/>
      <c r="AM83" s="64"/>
      <c r="AN83" s="16"/>
      <c r="AO83" s="16"/>
      <c r="AP83" s="65"/>
      <c r="AQ83" s="65"/>
      <c r="AR83" s="65"/>
      <c r="AS83" s="104"/>
      <c r="AT83" s="35"/>
      <c r="AU83" s="36"/>
    </row>
    <row r="84" spans="1:87" ht="15.75" customHeight="1">
      <c r="A84" s="16" t="s">
        <v>5613</v>
      </c>
      <c r="B84" s="76" t="s">
        <v>1972</v>
      </c>
      <c r="C84" s="76" t="s">
        <v>1973</v>
      </c>
      <c r="D84" s="76" t="s">
        <v>1974</v>
      </c>
      <c r="E84" s="36" t="s">
        <v>38</v>
      </c>
      <c r="F84" s="16" t="s">
        <v>3388</v>
      </c>
      <c r="G84" s="382">
        <v>45106</v>
      </c>
      <c r="H84" s="16" t="s">
        <v>5747</v>
      </c>
      <c r="I84" s="16"/>
      <c r="J84" s="16"/>
      <c r="K84" s="16"/>
      <c r="L84" s="16"/>
      <c r="M84" s="16"/>
      <c r="N84" s="16"/>
      <c r="O84" s="16"/>
      <c r="P84" s="16"/>
      <c r="Q84" s="33"/>
      <c r="R84" s="389"/>
      <c r="S84" s="416"/>
      <c r="T84" s="34"/>
      <c r="U84" s="34"/>
      <c r="V84" s="34"/>
      <c r="W84" s="34"/>
      <c r="X84" s="34"/>
      <c r="Y84" s="34"/>
      <c r="Z84" s="34"/>
      <c r="AA84" s="56"/>
      <c r="AB84" s="56"/>
      <c r="AC84" s="56"/>
      <c r="AD84" s="56"/>
      <c r="AE84" s="112"/>
      <c r="AF84" s="417"/>
      <c r="AG84" s="113"/>
      <c r="AH84" s="417"/>
      <c r="AI84" s="62"/>
      <c r="AJ84" s="63"/>
      <c r="AK84" s="63"/>
      <c r="AL84" s="71"/>
      <c r="AM84" s="64"/>
      <c r="AN84" s="16"/>
      <c r="AO84" s="16"/>
      <c r="AP84" s="65"/>
      <c r="AQ84" s="65"/>
      <c r="AR84" s="65"/>
      <c r="AS84" s="16"/>
      <c r="AT84" s="35"/>
      <c r="AU84" s="36"/>
      <c r="BA84" s="114"/>
      <c r="BE84" s="66"/>
    </row>
    <row r="85" spans="1:87" ht="18">
      <c r="A85" s="16" t="s">
        <v>5613</v>
      </c>
      <c r="B85" s="111" t="s">
        <v>4218</v>
      </c>
      <c r="C85" s="16" t="s">
        <v>900</v>
      </c>
      <c r="D85" s="16" t="s">
        <v>901</v>
      </c>
      <c r="E85" s="33" t="s">
        <v>38</v>
      </c>
      <c r="F85" s="16" t="s">
        <v>16</v>
      </c>
      <c r="G85" s="382">
        <v>45106</v>
      </c>
      <c r="H85" s="16" t="s">
        <v>5748</v>
      </c>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row>
    <row r="86" spans="1:87" ht="18">
      <c r="A86" s="16" t="s">
        <v>5613</v>
      </c>
      <c r="B86" s="87" t="s">
        <v>2230</v>
      </c>
      <c r="C86" s="31" t="s">
        <v>2231</v>
      </c>
      <c r="D86" s="31" t="s">
        <v>2232</v>
      </c>
      <c r="E86" s="36" t="s">
        <v>38</v>
      </c>
      <c r="F86" s="16" t="s">
        <v>18</v>
      </c>
      <c r="G86" s="382">
        <v>45108</v>
      </c>
      <c r="H86" s="16" t="s">
        <v>5749</v>
      </c>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row>
    <row r="87" spans="1:87" ht="15">
      <c r="A87" s="16" t="s">
        <v>5613</v>
      </c>
      <c r="B87" s="415" t="s">
        <v>2059</v>
      </c>
      <c r="C87" s="16" t="s">
        <v>2060</v>
      </c>
      <c r="D87" s="16"/>
      <c r="E87" s="36" t="s">
        <v>38</v>
      </c>
      <c r="F87" s="16" t="s">
        <v>20</v>
      </c>
      <c r="G87" s="382">
        <v>45108</v>
      </c>
      <c r="H87" s="16" t="s">
        <v>5750</v>
      </c>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row>
    <row r="88" spans="1:87" ht="15">
      <c r="A88" s="16" t="s">
        <v>5613</v>
      </c>
      <c r="B88" s="76" t="s">
        <v>1045</v>
      </c>
      <c r="C88" s="31" t="s">
        <v>1046</v>
      </c>
      <c r="D88" s="31" t="s">
        <v>1047</v>
      </c>
      <c r="E88" s="33" t="s">
        <v>38</v>
      </c>
      <c r="F88" s="16" t="s">
        <v>16</v>
      </c>
      <c r="G88" s="408">
        <v>45119</v>
      </c>
      <c r="H88" s="16" t="s">
        <v>5751</v>
      </c>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row>
    <row r="89" spans="1:87">
      <c r="A89" s="16" t="s">
        <v>5613</v>
      </c>
      <c r="B89" s="115" t="s">
        <v>478</v>
      </c>
      <c r="C89" s="116" t="s">
        <v>479</v>
      </c>
      <c r="D89" s="117" t="s">
        <v>480</v>
      </c>
      <c r="E89" s="16" t="s">
        <v>38</v>
      </c>
      <c r="F89" s="16" t="s">
        <v>10</v>
      </c>
      <c r="G89" s="382">
        <v>45114</v>
      </c>
      <c r="H89" s="16" t="s">
        <v>5752</v>
      </c>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row>
    <row r="90" spans="1:87" ht="15">
      <c r="A90" s="16" t="s">
        <v>5613</v>
      </c>
      <c r="B90" s="76" t="s">
        <v>637</v>
      </c>
      <c r="C90" s="116" t="s">
        <v>638</v>
      </c>
      <c r="D90" s="116" t="s">
        <v>639</v>
      </c>
      <c r="E90" s="33" t="s">
        <v>38</v>
      </c>
      <c r="F90" s="16" t="s">
        <v>3388</v>
      </c>
      <c r="G90" s="382">
        <v>45125</v>
      </c>
      <c r="H90" s="16" t="s">
        <v>5753</v>
      </c>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row>
    <row r="91" spans="1:87" ht="15">
      <c r="A91" s="16" t="s">
        <v>5613</v>
      </c>
      <c r="B91" s="418" t="s">
        <v>896</v>
      </c>
      <c r="C91" s="373" t="s">
        <v>897</v>
      </c>
      <c r="D91" s="16" t="s">
        <v>898</v>
      </c>
      <c r="E91" s="33" t="s">
        <v>38</v>
      </c>
      <c r="F91" s="16" t="s">
        <v>12</v>
      </c>
      <c r="G91" s="382">
        <v>45129</v>
      </c>
      <c r="H91" s="16" t="s">
        <v>5754</v>
      </c>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row>
    <row r="92" spans="1:87" ht="15">
      <c r="A92" s="16" t="s">
        <v>5613</v>
      </c>
      <c r="B92" s="419" t="s">
        <v>919</v>
      </c>
      <c r="C92" s="373" t="s">
        <v>920</v>
      </c>
      <c r="D92" s="420" t="s">
        <v>921</v>
      </c>
      <c r="E92" s="33" t="s">
        <v>38</v>
      </c>
      <c r="F92" s="16" t="s">
        <v>12</v>
      </c>
      <c r="G92" s="382">
        <v>45133</v>
      </c>
      <c r="H92" s="16" t="s">
        <v>5755</v>
      </c>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row>
    <row r="93" spans="1:87" ht="15">
      <c r="A93" s="16" t="s">
        <v>5613</v>
      </c>
      <c r="B93" s="76" t="s">
        <v>1122</v>
      </c>
      <c r="C93" s="31" t="s">
        <v>1123</v>
      </c>
      <c r="D93" s="31" t="s">
        <v>1124</v>
      </c>
      <c r="E93" s="33" t="s">
        <v>38</v>
      </c>
      <c r="F93" s="16" t="s">
        <v>12</v>
      </c>
      <c r="G93" s="382">
        <v>45139</v>
      </c>
      <c r="H93" s="16" t="s">
        <v>5756</v>
      </c>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row>
    <row r="94" spans="1:87" ht="15">
      <c r="A94" s="16" t="s">
        <v>5613</v>
      </c>
      <c r="B94" s="76" t="s">
        <v>1082</v>
      </c>
      <c r="C94" s="31" t="s">
        <v>1084</v>
      </c>
      <c r="D94" s="31" t="s">
        <v>1085</v>
      </c>
      <c r="E94" s="33" t="s">
        <v>38</v>
      </c>
      <c r="F94" s="16" t="s">
        <v>12</v>
      </c>
      <c r="G94" s="382">
        <v>45146</v>
      </c>
      <c r="H94" s="16" t="s">
        <v>5757</v>
      </c>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row>
    <row r="95" spans="1:87" ht="15">
      <c r="A95" s="16" t="s">
        <v>5613</v>
      </c>
      <c r="B95" s="16" t="s">
        <v>1135</v>
      </c>
      <c r="C95" s="31" t="s">
        <v>1136</v>
      </c>
      <c r="D95" s="31" t="s">
        <v>1137</v>
      </c>
      <c r="E95" s="33" t="s">
        <v>38</v>
      </c>
      <c r="F95" s="16" t="s">
        <v>12</v>
      </c>
      <c r="G95" s="382">
        <v>45134</v>
      </c>
      <c r="H95" s="16" t="s">
        <v>5758</v>
      </c>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row>
    <row r="96" spans="1:87" ht="15">
      <c r="A96" s="16" t="s">
        <v>5613</v>
      </c>
      <c r="B96" s="414" t="s">
        <v>5759</v>
      </c>
      <c r="C96" s="16" t="s">
        <v>1074</v>
      </c>
      <c r="D96" s="31" t="s">
        <v>1075</v>
      </c>
      <c r="E96" s="33" t="s">
        <v>38</v>
      </c>
      <c r="F96" s="16" t="s">
        <v>3388</v>
      </c>
      <c r="G96" s="382">
        <v>45158</v>
      </c>
      <c r="H96" s="16" t="s">
        <v>5760</v>
      </c>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row>
    <row r="97" spans="1:87" ht="15">
      <c r="A97" s="16" t="s">
        <v>5613</v>
      </c>
      <c r="B97" s="414" t="s">
        <v>468</v>
      </c>
      <c r="C97" s="16" t="s">
        <v>469</v>
      </c>
      <c r="D97" s="16" t="s">
        <v>470</v>
      </c>
      <c r="E97" s="33" t="s">
        <v>38</v>
      </c>
      <c r="F97" s="16" t="s">
        <v>3388</v>
      </c>
      <c r="G97" s="382">
        <v>45165</v>
      </c>
      <c r="H97" s="16" t="s">
        <v>5761</v>
      </c>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row>
    <row r="98" spans="1:87" ht="15">
      <c r="A98" s="16" t="s">
        <v>5613</v>
      </c>
      <c r="B98" s="414" t="s">
        <v>1028</v>
      </c>
      <c r="C98" s="31" t="s">
        <v>1029</v>
      </c>
      <c r="D98" s="31" t="s">
        <v>1030</v>
      </c>
      <c r="E98" s="16" t="s">
        <v>5762</v>
      </c>
      <c r="F98" s="16" t="s">
        <v>11</v>
      </c>
      <c r="G98" s="382">
        <v>45166</v>
      </c>
      <c r="H98" s="16" t="s">
        <v>5763</v>
      </c>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row>
    <row r="99" spans="1:87" ht="18">
      <c r="A99" s="16" t="s">
        <v>5613</v>
      </c>
      <c r="B99" s="414" t="s">
        <v>391</v>
      </c>
      <c r="C99" s="76" t="s">
        <v>392</v>
      </c>
      <c r="D99" s="61" t="s">
        <v>393</v>
      </c>
      <c r="E99" s="16" t="s">
        <v>5762</v>
      </c>
      <c r="F99" s="16" t="s">
        <v>11</v>
      </c>
      <c r="G99" s="382">
        <v>45159</v>
      </c>
      <c r="H99" s="16" t="s">
        <v>5764</v>
      </c>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row>
    <row r="100" spans="1:87" ht="15">
      <c r="A100" s="16" t="s">
        <v>5613</v>
      </c>
      <c r="B100" s="414" t="s">
        <v>1601</v>
      </c>
      <c r="C100" s="16" t="s">
        <v>1603</v>
      </c>
      <c r="D100" s="16"/>
      <c r="E100" s="16" t="s">
        <v>38</v>
      </c>
      <c r="F100" s="16" t="s">
        <v>11</v>
      </c>
      <c r="G100" s="382">
        <v>45164</v>
      </c>
      <c r="H100" s="16" t="s">
        <v>5765</v>
      </c>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row>
    <row r="101" spans="1:87" ht="18">
      <c r="A101" s="16" t="s">
        <v>5613</v>
      </c>
      <c r="B101" s="61" t="s">
        <v>123</v>
      </c>
      <c r="C101" s="76" t="s">
        <v>125</v>
      </c>
      <c r="D101" s="16"/>
      <c r="E101" s="16" t="s">
        <v>38</v>
      </c>
      <c r="F101" s="16" t="s">
        <v>12</v>
      </c>
      <c r="G101" s="382">
        <v>45169</v>
      </c>
      <c r="H101" s="16" t="s">
        <v>5766</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row>
    <row r="102" spans="1:87" ht="18">
      <c r="A102" s="16" t="s">
        <v>5613</v>
      </c>
      <c r="B102" s="111" t="s">
        <v>653</v>
      </c>
      <c r="C102" s="16" t="s">
        <v>654</v>
      </c>
      <c r="D102" s="16"/>
      <c r="E102" s="16" t="s">
        <v>38</v>
      </c>
      <c r="F102" s="16" t="s">
        <v>12</v>
      </c>
      <c r="G102" s="382">
        <v>45169</v>
      </c>
      <c r="H102" s="16" t="s">
        <v>5767</v>
      </c>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row>
    <row r="103" spans="1:87" ht="15">
      <c r="A103" s="16" t="s">
        <v>5613</v>
      </c>
      <c r="B103" s="90" t="s">
        <v>1183</v>
      </c>
      <c r="C103" s="90" t="s">
        <v>1184</v>
      </c>
      <c r="D103" s="16"/>
      <c r="E103" s="16" t="s">
        <v>38</v>
      </c>
      <c r="F103" s="16" t="s">
        <v>12</v>
      </c>
      <c r="G103" s="382">
        <v>45148</v>
      </c>
      <c r="H103" s="16" t="s">
        <v>5768</v>
      </c>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row>
    <row r="104" spans="1:87" ht="15">
      <c r="A104" s="16" t="s">
        <v>5613</v>
      </c>
      <c r="B104" s="17" t="s">
        <v>370</v>
      </c>
      <c r="C104" s="70" t="s">
        <v>371</v>
      </c>
      <c r="D104" s="68" t="s">
        <v>372</v>
      </c>
      <c r="E104" s="16" t="s">
        <v>38</v>
      </c>
      <c r="F104" s="16" t="s">
        <v>12</v>
      </c>
      <c r="G104" s="382">
        <v>45170</v>
      </c>
      <c r="H104" s="16" t="s">
        <v>5767</v>
      </c>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row>
    <row r="105" spans="1:87" ht="15">
      <c r="A105" s="16" t="s">
        <v>5613</v>
      </c>
      <c r="B105" s="76" t="s">
        <v>1260</v>
      </c>
      <c r="C105" s="16" t="s">
        <v>1261</v>
      </c>
      <c r="D105" s="16"/>
      <c r="E105" s="16" t="s">
        <v>38</v>
      </c>
      <c r="F105" s="16" t="s">
        <v>12</v>
      </c>
      <c r="G105" s="382">
        <v>45171</v>
      </c>
      <c r="H105" s="16" t="s">
        <v>5769</v>
      </c>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row>
    <row r="106" spans="1:87" ht="15">
      <c r="A106" s="16" t="s">
        <v>5613</v>
      </c>
      <c r="B106" s="421" t="s">
        <v>890</v>
      </c>
      <c r="C106" s="285" t="s">
        <v>5770</v>
      </c>
      <c r="D106" s="16"/>
      <c r="E106" s="16" t="s">
        <v>38</v>
      </c>
      <c r="F106" s="16" t="s">
        <v>12</v>
      </c>
      <c r="G106" s="382">
        <v>45181</v>
      </c>
      <c r="H106" s="16" t="s">
        <v>5771</v>
      </c>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row>
    <row r="107" spans="1:87" ht="15">
      <c r="A107" s="16" t="s">
        <v>5613</v>
      </c>
      <c r="B107" s="422" t="s">
        <v>5772</v>
      </c>
      <c r="C107" s="16"/>
      <c r="D107" s="16"/>
      <c r="E107" s="16" t="s">
        <v>38</v>
      </c>
      <c r="F107" s="16" t="s">
        <v>11</v>
      </c>
      <c r="G107" s="382">
        <v>45189</v>
      </c>
      <c r="H107" s="16" t="s">
        <v>5773</v>
      </c>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row>
    <row r="108" spans="1:87" ht="15">
      <c r="A108" s="16" t="s">
        <v>5613</v>
      </c>
      <c r="B108" s="46" t="s">
        <v>48</v>
      </c>
      <c r="C108" s="44" t="s">
        <v>50</v>
      </c>
      <c r="D108" s="74" t="s">
        <v>51</v>
      </c>
      <c r="E108" s="16" t="s">
        <v>38</v>
      </c>
      <c r="F108" s="16" t="s">
        <v>12</v>
      </c>
      <c r="G108" s="382">
        <v>45189</v>
      </c>
      <c r="H108" s="16" t="s">
        <v>5774</v>
      </c>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row>
    <row r="109" spans="1:87">
      <c r="A109" s="16" t="s">
        <v>5613</v>
      </c>
      <c r="B109" s="101" t="s">
        <v>1560</v>
      </c>
      <c r="C109" s="44" t="s">
        <v>1561</v>
      </c>
      <c r="D109" s="74" t="s">
        <v>1562</v>
      </c>
      <c r="E109" s="16" t="s">
        <v>38</v>
      </c>
      <c r="F109" s="16" t="s">
        <v>18</v>
      </c>
      <c r="G109" s="382">
        <v>45189</v>
      </c>
      <c r="H109" s="16" t="s">
        <v>5775</v>
      </c>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row>
    <row r="110" spans="1:87" ht="15">
      <c r="A110" s="16" t="s">
        <v>5613</v>
      </c>
      <c r="B110" s="18" t="s">
        <v>1332</v>
      </c>
      <c r="C110" s="18" t="s">
        <v>1334</v>
      </c>
      <c r="D110" s="18" t="s">
        <v>1335</v>
      </c>
      <c r="E110" s="16" t="s">
        <v>38</v>
      </c>
      <c r="F110" s="16" t="s">
        <v>3388</v>
      </c>
      <c r="G110" s="382">
        <v>45193</v>
      </c>
      <c r="H110" s="16" t="s">
        <v>5776</v>
      </c>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row>
    <row r="111" spans="1:87" ht="15">
      <c r="A111" s="16" t="s">
        <v>5613</v>
      </c>
      <c r="B111" s="423" t="s">
        <v>54</v>
      </c>
      <c r="C111" s="17" t="s">
        <v>55</v>
      </c>
      <c r="D111" s="48" t="s">
        <v>56</v>
      </c>
      <c r="E111" s="16" t="s">
        <v>34</v>
      </c>
      <c r="F111" s="16" t="s">
        <v>12</v>
      </c>
      <c r="G111" s="382">
        <v>45194</v>
      </c>
      <c r="H111" s="16" t="s">
        <v>5777</v>
      </c>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row>
    <row r="112" spans="1:87" ht="15">
      <c r="A112" s="16" t="s">
        <v>5613</v>
      </c>
      <c r="B112" s="18" t="s">
        <v>1196</v>
      </c>
      <c r="C112" s="18" t="s">
        <v>1197</v>
      </c>
      <c r="D112" s="18" t="s">
        <v>1198</v>
      </c>
      <c r="E112" s="16" t="s">
        <v>38</v>
      </c>
      <c r="F112" s="16" t="s">
        <v>12</v>
      </c>
      <c r="G112" s="382">
        <v>45199</v>
      </c>
      <c r="H112" s="16" t="s">
        <v>5778</v>
      </c>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row>
    <row r="113" spans="1:87" ht="15">
      <c r="A113" s="16" t="s">
        <v>5613</v>
      </c>
      <c r="B113" s="17" t="s">
        <v>5779</v>
      </c>
      <c r="C113" s="44" t="s">
        <v>1410</v>
      </c>
      <c r="D113" s="44" t="s">
        <v>1411</v>
      </c>
      <c r="E113" s="16" t="s">
        <v>38</v>
      </c>
      <c r="F113" s="16" t="s">
        <v>3388</v>
      </c>
      <c r="G113" s="382">
        <v>45200</v>
      </c>
      <c r="H113" s="16" t="s">
        <v>5780</v>
      </c>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row>
    <row r="114" spans="1:87" ht="15">
      <c r="A114" s="16" t="s">
        <v>5613</v>
      </c>
      <c r="B114" s="18" t="s">
        <v>763</v>
      </c>
      <c r="C114" s="18" t="s">
        <v>764</v>
      </c>
      <c r="D114" s="18" t="s">
        <v>765</v>
      </c>
      <c r="E114" s="16" t="s">
        <v>38</v>
      </c>
      <c r="F114" s="16" t="s">
        <v>3388</v>
      </c>
      <c r="G114" s="382">
        <v>45200</v>
      </c>
      <c r="H114" s="16" t="s">
        <v>5781</v>
      </c>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row>
    <row r="115" spans="1:87" ht="15">
      <c r="A115" s="16" t="s">
        <v>5613</v>
      </c>
      <c r="B115" s="17" t="s">
        <v>1551</v>
      </c>
      <c r="C115" s="44" t="s">
        <v>1552</v>
      </c>
      <c r="D115" s="74" t="s">
        <v>1553</v>
      </c>
      <c r="E115" s="16" t="s">
        <v>38</v>
      </c>
      <c r="F115" s="16" t="s">
        <v>12</v>
      </c>
      <c r="G115" s="382">
        <v>45212</v>
      </c>
      <c r="H115" s="16" t="s">
        <v>5782</v>
      </c>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row>
    <row r="116" spans="1:87" ht="15">
      <c r="A116" s="16" t="s">
        <v>5613</v>
      </c>
      <c r="B116" s="97" t="s">
        <v>1820</v>
      </c>
      <c r="C116" s="44" t="s">
        <v>1821</v>
      </c>
      <c r="D116" s="74" t="s">
        <v>1822</v>
      </c>
      <c r="E116" s="16" t="s">
        <v>38</v>
      </c>
      <c r="F116" s="16" t="s">
        <v>13</v>
      </c>
      <c r="G116" s="382">
        <v>45216</v>
      </c>
      <c r="H116" s="16" t="s">
        <v>5783</v>
      </c>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row>
    <row r="117" spans="1:87" ht="15">
      <c r="A117" s="16" t="s">
        <v>5613</v>
      </c>
      <c r="B117" s="76" t="s">
        <v>2082</v>
      </c>
      <c r="C117" s="31" t="s">
        <v>2083</v>
      </c>
      <c r="D117" s="175" t="s">
        <v>2100</v>
      </c>
      <c r="E117" s="16" t="s">
        <v>38</v>
      </c>
      <c r="F117" s="16" t="s">
        <v>12</v>
      </c>
      <c r="G117" s="382">
        <v>45221</v>
      </c>
      <c r="H117" s="16" t="s">
        <v>5784</v>
      </c>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row>
    <row r="118" spans="1:87" ht="15">
      <c r="A118" s="16" t="s">
        <v>5613</v>
      </c>
      <c r="B118" s="16" t="s">
        <v>117</v>
      </c>
      <c r="C118" s="16" t="s">
        <v>118</v>
      </c>
      <c r="D118" s="184" t="s">
        <v>119</v>
      </c>
      <c r="E118" s="16" t="s">
        <v>38</v>
      </c>
      <c r="F118" s="16" t="s">
        <v>10</v>
      </c>
      <c r="G118" s="382">
        <v>45222</v>
      </c>
      <c r="H118" s="16" t="s">
        <v>5785</v>
      </c>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row>
    <row r="119" spans="1:87" ht="15">
      <c r="A119" s="16" t="s">
        <v>5613</v>
      </c>
      <c r="B119" s="16" t="s">
        <v>120</v>
      </c>
      <c r="C119" s="16" t="s">
        <v>121</v>
      </c>
      <c r="D119" s="184" t="s">
        <v>122</v>
      </c>
      <c r="E119" s="16" t="s">
        <v>38</v>
      </c>
      <c r="F119" s="16" t="s">
        <v>10</v>
      </c>
      <c r="G119" s="382">
        <v>45222</v>
      </c>
      <c r="H119" s="16" t="s">
        <v>5786</v>
      </c>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row>
    <row r="120" spans="1:87" ht="18">
      <c r="A120" s="16" t="s">
        <v>5613</v>
      </c>
      <c r="B120" s="111" t="s">
        <v>585</v>
      </c>
      <c r="C120" s="16" t="s">
        <v>586</v>
      </c>
      <c r="D120" s="16" t="s">
        <v>587</v>
      </c>
      <c r="E120" s="16" t="s">
        <v>38</v>
      </c>
      <c r="F120" s="16" t="s">
        <v>10</v>
      </c>
      <c r="G120" s="382">
        <v>45222</v>
      </c>
      <c r="H120" s="16" t="s">
        <v>5787</v>
      </c>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row>
    <row r="121" spans="1:87" ht="18">
      <c r="A121" s="16" t="s">
        <v>5613</v>
      </c>
      <c r="B121" s="87" t="s">
        <v>2039</v>
      </c>
      <c r="C121" s="205" t="s">
        <v>2040</v>
      </c>
      <c r="D121" s="205" t="s">
        <v>2041</v>
      </c>
      <c r="E121" s="16" t="s">
        <v>38</v>
      </c>
      <c r="F121" s="16" t="s">
        <v>10</v>
      </c>
      <c r="G121" s="382">
        <v>45222</v>
      </c>
      <c r="H121" s="16" t="s">
        <v>5788</v>
      </c>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row>
    <row r="122" spans="1:87" ht="15">
      <c r="A122" s="16" t="s">
        <v>5613</v>
      </c>
      <c r="B122" s="16" t="s">
        <v>2178</v>
      </c>
      <c r="C122" s="44" t="s">
        <v>2179</v>
      </c>
      <c r="D122" s="74" t="s">
        <v>2180</v>
      </c>
      <c r="E122" s="16" t="s">
        <v>34</v>
      </c>
      <c r="F122" s="16" t="s">
        <v>3388</v>
      </c>
      <c r="G122" s="382">
        <v>45229</v>
      </c>
      <c r="H122" s="16" t="s">
        <v>5789</v>
      </c>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row>
    <row r="123" spans="1:87" ht="15">
      <c r="A123" s="16" t="s">
        <v>5613</v>
      </c>
      <c r="B123" s="16" t="s">
        <v>1520</v>
      </c>
      <c r="C123" s="16"/>
      <c r="D123" s="373" t="s">
        <v>4227</v>
      </c>
      <c r="E123" s="16" t="s">
        <v>38</v>
      </c>
      <c r="F123" s="16" t="s">
        <v>12</v>
      </c>
      <c r="G123" s="382">
        <v>45232</v>
      </c>
      <c r="H123" s="16" t="s">
        <v>5790</v>
      </c>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row>
    <row r="124" spans="1:87" ht="15">
      <c r="A124" s="16" t="s">
        <v>5613</v>
      </c>
      <c r="B124" s="16" t="s">
        <v>1371</v>
      </c>
      <c r="C124" s="16"/>
      <c r="D124" s="16"/>
      <c r="E124" s="16" t="s">
        <v>38</v>
      </c>
      <c r="F124" s="16" t="s">
        <v>3388</v>
      </c>
      <c r="G124" s="382">
        <v>45231</v>
      </c>
      <c r="H124" s="16" t="s">
        <v>5791</v>
      </c>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row>
    <row r="125" spans="1:87" ht="15">
      <c r="A125" s="16" t="s">
        <v>5613</v>
      </c>
      <c r="B125" s="76" t="s">
        <v>45</v>
      </c>
      <c r="C125" s="162" t="s">
        <v>46</v>
      </c>
      <c r="D125" s="184" t="s">
        <v>47</v>
      </c>
      <c r="E125" s="16" t="s">
        <v>38</v>
      </c>
      <c r="F125" s="16" t="s">
        <v>10</v>
      </c>
      <c r="G125" s="382">
        <v>45241</v>
      </c>
      <c r="H125" s="16" t="s">
        <v>5792</v>
      </c>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row>
    <row r="126" spans="1:87" ht="15">
      <c r="A126" s="16" t="s">
        <v>5613</v>
      </c>
      <c r="B126" s="16" t="s">
        <v>100</v>
      </c>
      <c r="C126" s="70" t="s">
        <v>101</v>
      </c>
      <c r="D126" s="249" t="s">
        <v>102</v>
      </c>
      <c r="E126" s="16" t="s">
        <v>34</v>
      </c>
      <c r="F126" s="16" t="s">
        <v>12</v>
      </c>
      <c r="G126" s="382">
        <v>45246</v>
      </c>
      <c r="H126" s="16" t="s">
        <v>5793</v>
      </c>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row>
    <row r="127" spans="1:87" ht="18">
      <c r="A127" s="16" t="s">
        <v>5613</v>
      </c>
      <c r="B127" s="16" t="s">
        <v>1436</v>
      </c>
      <c r="C127" s="18" t="s">
        <v>1437</v>
      </c>
      <c r="D127" s="48" t="s">
        <v>1438</v>
      </c>
      <c r="E127" s="16" t="s">
        <v>38</v>
      </c>
      <c r="F127" s="16" t="s">
        <v>12</v>
      </c>
      <c r="G127" s="382">
        <v>45247</v>
      </c>
      <c r="H127" s="424" t="s">
        <v>5794</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row>
    <row r="128" spans="1:87" ht="15">
      <c r="A128" s="16" t="s">
        <v>5613</v>
      </c>
      <c r="B128" s="16" t="s">
        <v>141</v>
      </c>
      <c r="C128" s="16" t="s">
        <v>143</v>
      </c>
      <c r="D128" s="184" t="s">
        <v>144</v>
      </c>
      <c r="E128" s="16" t="s">
        <v>38</v>
      </c>
      <c r="F128" s="16" t="s">
        <v>12</v>
      </c>
      <c r="G128" s="382">
        <v>45250</v>
      </c>
      <c r="H128" s="16" t="s">
        <v>5795</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row>
    <row r="129" spans="1:87" ht="15">
      <c r="A129" s="16" t="s">
        <v>5613</v>
      </c>
      <c r="B129" s="16" t="s">
        <v>314</v>
      </c>
      <c r="C129" s="16" t="s">
        <v>315</v>
      </c>
      <c r="D129" s="184" t="s">
        <v>316</v>
      </c>
      <c r="E129" s="19" t="s">
        <v>34</v>
      </c>
      <c r="F129" s="16" t="s">
        <v>13</v>
      </c>
      <c r="G129" s="382">
        <v>45250</v>
      </c>
      <c r="H129" s="16" t="s">
        <v>5796</v>
      </c>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row>
    <row r="130" spans="1:87" ht="15">
      <c r="A130" s="16" t="s">
        <v>5613</v>
      </c>
      <c r="B130" s="425" t="s">
        <v>61</v>
      </c>
      <c r="C130" s="184" t="s">
        <v>62</v>
      </c>
      <c r="D130" s="184" t="s">
        <v>63</v>
      </c>
      <c r="E130" s="19" t="s">
        <v>38</v>
      </c>
      <c r="F130" s="16" t="s">
        <v>13</v>
      </c>
      <c r="G130" s="382">
        <v>45250</v>
      </c>
      <c r="H130" s="194" t="s">
        <v>5795</v>
      </c>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row>
    <row r="131" spans="1:87" ht="15">
      <c r="A131" s="16" t="s">
        <v>5613</v>
      </c>
      <c r="B131" s="17" t="s">
        <v>1842</v>
      </c>
      <c r="C131" s="44" t="s">
        <v>1843</v>
      </c>
      <c r="D131" s="74" t="s">
        <v>1844</v>
      </c>
      <c r="E131" s="16" t="s">
        <v>38</v>
      </c>
      <c r="F131" s="16" t="s">
        <v>18</v>
      </c>
      <c r="G131" s="382">
        <v>45252</v>
      </c>
      <c r="H131" s="16" t="s">
        <v>5797</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row>
    <row r="132" spans="1:87" ht="15">
      <c r="A132" s="16" t="s">
        <v>5613</v>
      </c>
      <c r="B132" s="17" t="s">
        <v>335</v>
      </c>
      <c r="C132" s="17" t="s">
        <v>336</v>
      </c>
      <c r="D132" s="96" t="s">
        <v>337</v>
      </c>
      <c r="E132" s="36" t="s">
        <v>34</v>
      </c>
      <c r="F132" s="16" t="s">
        <v>16</v>
      </c>
      <c r="G132" s="382">
        <v>45254</v>
      </c>
      <c r="H132" s="16" t="s">
        <v>5798</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row>
    <row r="133" spans="1:87" ht="15">
      <c r="A133" s="16" t="s">
        <v>5613</v>
      </c>
      <c r="B133" s="76" t="s">
        <v>2146</v>
      </c>
      <c r="C133" s="31" t="s">
        <v>2147</v>
      </c>
      <c r="D133" s="175" t="s">
        <v>2148</v>
      </c>
      <c r="E133" s="16" t="s">
        <v>34</v>
      </c>
      <c r="F133" s="16" t="s">
        <v>12</v>
      </c>
      <c r="G133" s="382">
        <v>45250</v>
      </c>
      <c r="H133" s="16" t="s">
        <v>5799</v>
      </c>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row>
    <row r="134" spans="1:87" ht="15">
      <c r="A134" s="16" t="s">
        <v>5613</v>
      </c>
      <c r="B134" s="18" t="s">
        <v>1199</v>
      </c>
      <c r="C134" s="18" t="s">
        <v>1200</v>
      </c>
      <c r="D134" s="48" t="s">
        <v>1201</v>
      </c>
      <c r="E134" s="16" t="s">
        <v>5800</v>
      </c>
      <c r="F134" s="16" t="s">
        <v>12</v>
      </c>
      <c r="G134" s="382">
        <v>45250</v>
      </c>
      <c r="H134" s="16" t="s">
        <v>5801</v>
      </c>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row>
    <row r="135" spans="1:87" ht="15">
      <c r="A135" s="16" t="s">
        <v>5613</v>
      </c>
      <c r="B135" s="16" t="s">
        <v>2025</v>
      </c>
      <c r="C135" s="31" t="s">
        <v>2026</v>
      </c>
      <c r="D135" s="175" t="s">
        <v>2027</v>
      </c>
      <c r="E135" s="16" t="s">
        <v>612</v>
      </c>
      <c r="F135" s="16" t="s">
        <v>3388</v>
      </c>
      <c r="G135" s="382">
        <v>45258</v>
      </c>
      <c r="H135" s="16" t="s">
        <v>5802</v>
      </c>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row>
    <row r="136" spans="1:87" ht="15">
      <c r="A136" s="16" t="s">
        <v>5613</v>
      </c>
      <c r="B136" s="16" t="s">
        <v>5803</v>
      </c>
      <c r="C136" s="16" t="s">
        <v>632</v>
      </c>
      <c r="D136" s="74" t="s">
        <v>633</v>
      </c>
      <c r="E136" s="33" t="s">
        <v>38</v>
      </c>
      <c r="F136" s="16" t="s">
        <v>16</v>
      </c>
      <c r="G136" s="382">
        <v>45199</v>
      </c>
      <c r="H136" s="16" t="s">
        <v>5804</v>
      </c>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row>
    <row r="137" spans="1:87" ht="15">
      <c r="A137" s="16" t="s">
        <v>5613</v>
      </c>
      <c r="B137" s="17" t="s">
        <v>2108</v>
      </c>
      <c r="C137" s="44" t="s">
        <v>2110</v>
      </c>
      <c r="D137" s="74" t="s">
        <v>2111</v>
      </c>
      <c r="E137" s="33" t="s">
        <v>38</v>
      </c>
      <c r="F137" s="16" t="s">
        <v>14</v>
      </c>
      <c r="G137" s="382">
        <v>45259</v>
      </c>
      <c r="H137" s="16" t="s">
        <v>5805</v>
      </c>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row>
    <row r="138" spans="1:87" ht="15">
      <c r="A138" s="16" t="s">
        <v>5613</v>
      </c>
      <c r="B138" s="17" t="s">
        <v>2124</v>
      </c>
      <c r="C138" s="44" t="s">
        <v>2126</v>
      </c>
      <c r="D138" s="74" t="s">
        <v>2127</v>
      </c>
      <c r="E138" s="33" t="s">
        <v>38</v>
      </c>
      <c r="F138" s="16" t="s">
        <v>14</v>
      </c>
      <c r="G138" s="382">
        <v>45259</v>
      </c>
      <c r="H138" s="16" t="s">
        <v>5806</v>
      </c>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row>
    <row r="139" spans="1:87" ht="15">
      <c r="A139" s="16" t="s">
        <v>5613</v>
      </c>
      <c r="B139" s="16" t="s">
        <v>975</v>
      </c>
      <c r="C139" s="18" t="s">
        <v>976</v>
      </c>
      <c r="D139" s="48" t="s">
        <v>977</v>
      </c>
      <c r="E139" s="36" t="s">
        <v>38</v>
      </c>
      <c r="F139" s="16" t="s">
        <v>16</v>
      </c>
      <c r="G139" s="382">
        <v>45260</v>
      </c>
      <c r="H139" s="16" t="s">
        <v>5807</v>
      </c>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row>
    <row r="140" spans="1:87" ht="15">
      <c r="A140" s="16" t="s">
        <v>5613</v>
      </c>
      <c r="B140" s="50" t="s">
        <v>808</v>
      </c>
      <c r="C140" s="18" t="s">
        <v>809</v>
      </c>
      <c r="D140" s="17" t="s">
        <v>810</v>
      </c>
      <c r="E140" s="33" t="s">
        <v>38</v>
      </c>
      <c r="F140" s="16" t="s">
        <v>3388</v>
      </c>
      <c r="G140" s="382">
        <v>45236</v>
      </c>
      <c r="H140" s="16" t="s">
        <v>5808</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row>
    <row r="141" spans="1:87" ht="15">
      <c r="A141" s="16" t="s">
        <v>5613</v>
      </c>
      <c r="B141" s="17" t="s">
        <v>1375</v>
      </c>
      <c r="C141" s="17" t="s">
        <v>1377</v>
      </c>
      <c r="D141" s="141" t="s">
        <v>1378</v>
      </c>
      <c r="E141" s="36" t="s">
        <v>34</v>
      </c>
      <c r="F141" s="16" t="s">
        <v>3388</v>
      </c>
      <c r="G141" s="382">
        <v>45261</v>
      </c>
      <c r="H141" s="16" t="s">
        <v>5809</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row>
    <row r="142" spans="1:87" ht="15">
      <c r="A142" s="16" t="s">
        <v>5613</v>
      </c>
      <c r="B142" s="18" t="s">
        <v>1690</v>
      </c>
      <c r="C142" s="44" t="s">
        <v>1691</v>
      </c>
      <c r="D142" s="74" t="s">
        <v>1692</v>
      </c>
      <c r="E142" s="33" t="s">
        <v>38</v>
      </c>
      <c r="F142" s="16" t="s">
        <v>3388</v>
      </c>
      <c r="G142" s="382">
        <v>45261</v>
      </c>
      <c r="H142" s="16" t="s">
        <v>5810</v>
      </c>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row>
    <row r="143" spans="1:87" ht="15">
      <c r="A143" s="16" t="s">
        <v>5613</v>
      </c>
      <c r="B143" s="16" t="s">
        <v>1316</v>
      </c>
      <c r="C143" s="18" t="s">
        <v>1317</v>
      </c>
      <c r="D143" s="48" t="s">
        <v>1318</v>
      </c>
      <c r="E143" s="33" t="s">
        <v>38</v>
      </c>
      <c r="F143" s="16" t="s">
        <v>12</v>
      </c>
      <c r="G143" s="382">
        <v>45272</v>
      </c>
      <c r="H143" s="16" t="s">
        <v>5811</v>
      </c>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row>
    <row r="144" spans="1:87" ht="15">
      <c r="A144" s="16" t="s">
        <v>5613</v>
      </c>
      <c r="B144" s="17" t="s">
        <v>87</v>
      </c>
      <c r="C144" s="18" t="s">
        <v>89</v>
      </c>
      <c r="D144" s="48" t="s">
        <v>90</v>
      </c>
      <c r="E144" s="36" t="s">
        <v>34</v>
      </c>
      <c r="F144" s="16" t="s">
        <v>12</v>
      </c>
      <c r="G144" s="382">
        <v>45273</v>
      </c>
      <c r="H144" s="16" t="s">
        <v>5812</v>
      </c>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row>
    <row r="145" spans="1:87" ht="15">
      <c r="A145" s="426" t="s">
        <v>5613</v>
      </c>
      <c r="B145" s="427" t="s">
        <v>613</v>
      </c>
      <c r="C145" s="427" t="s">
        <v>614</v>
      </c>
      <c r="D145" s="428" t="s">
        <v>615</v>
      </c>
      <c r="E145" s="429" t="s">
        <v>38</v>
      </c>
      <c r="F145" s="426" t="s">
        <v>12</v>
      </c>
      <c r="G145" s="430">
        <v>45280</v>
      </c>
      <c r="H145" s="426" t="s">
        <v>5813</v>
      </c>
      <c r="I145" s="426"/>
      <c r="J145" s="426"/>
      <c r="K145" s="426"/>
      <c r="L145" s="426"/>
      <c r="M145" s="426"/>
      <c r="N145" s="426"/>
      <c r="O145" s="426"/>
      <c r="P145" s="426"/>
      <c r="Q145" s="426"/>
      <c r="R145" s="426"/>
      <c r="S145" s="426"/>
      <c r="T145" s="426"/>
      <c r="U145" s="426"/>
      <c r="V145" s="426"/>
      <c r="W145" s="426"/>
      <c r="X145" s="426"/>
      <c r="Y145" s="426"/>
      <c r="Z145" s="426"/>
      <c r="AA145" s="426"/>
      <c r="AB145" s="426"/>
      <c r="AC145" s="426"/>
      <c r="AD145" s="426"/>
      <c r="AE145" s="426"/>
      <c r="AF145" s="426"/>
      <c r="AG145" s="426"/>
      <c r="AH145" s="426"/>
      <c r="AI145" s="426"/>
      <c r="AJ145" s="426"/>
      <c r="AK145" s="426"/>
      <c r="AL145" s="426"/>
      <c r="AM145" s="426"/>
      <c r="AN145" s="426"/>
      <c r="AO145" s="426"/>
      <c r="AP145" s="426"/>
      <c r="AQ145" s="426"/>
      <c r="AR145" s="426"/>
      <c r="AS145" s="426"/>
      <c r="AT145" s="426"/>
      <c r="AU145" s="426"/>
      <c r="AV145" s="426"/>
      <c r="AW145" s="426"/>
      <c r="AX145" s="426"/>
      <c r="AY145" s="426"/>
      <c r="AZ145" s="426"/>
      <c r="BA145" s="426"/>
      <c r="BB145" s="426"/>
      <c r="BC145" s="426"/>
      <c r="BD145" s="426"/>
      <c r="BE145" s="426"/>
      <c r="BF145" s="426"/>
      <c r="BG145" s="426"/>
      <c r="BH145" s="426"/>
      <c r="BI145" s="426"/>
      <c r="BJ145" s="426"/>
      <c r="BK145" s="426"/>
      <c r="BL145" s="426"/>
      <c r="BM145" s="426"/>
      <c r="BN145" s="426"/>
      <c r="BO145" s="426"/>
      <c r="BP145" s="426"/>
      <c r="BQ145" s="426"/>
      <c r="BR145" s="426"/>
      <c r="BS145" s="426"/>
      <c r="BT145" s="426"/>
      <c r="BU145" s="426"/>
      <c r="BV145" s="426"/>
      <c r="BW145" s="426"/>
      <c r="BX145" s="426"/>
      <c r="BY145" s="426"/>
      <c r="BZ145" s="426"/>
      <c r="CA145" s="426"/>
      <c r="CB145" s="426"/>
      <c r="CC145" s="426"/>
      <c r="CD145" s="16"/>
      <c r="CE145" s="16"/>
      <c r="CF145" s="16"/>
      <c r="CG145" s="16"/>
      <c r="CH145" s="16"/>
      <c r="CI145" s="16"/>
    </row>
    <row r="146" spans="1:87" ht="15">
      <c r="A146" s="16" t="s">
        <v>5613</v>
      </c>
      <c r="B146" s="76" t="s">
        <v>2622</v>
      </c>
      <c r="C146" s="31" t="s">
        <v>2623</v>
      </c>
      <c r="D146" s="175" t="s">
        <v>2624</v>
      </c>
      <c r="E146" s="33" t="s">
        <v>38</v>
      </c>
      <c r="F146" s="16" t="s">
        <v>12</v>
      </c>
      <c r="G146" s="382">
        <v>45292</v>
      </c>
      <c r="H146" s="16" t="s">
        <v>5814</v>
      </c>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row>
    <row r="147" spans="1:87" ht="18.75">
      <c r="A147" s="16" t="s">
        <v>5613</v>
      </c>
      <c r="B147" s="76" t="s">
        <v>2307</v>
      </c>
      <c r="C147" s="16" t="s">
        <v>2309</v>
      </c>
      <c r="D147" s="184" t="s">
        <v>2310</v>
      </c>
      <c r="E147" s="33" t="s">
        <v>38</v>
      </c>
      <c r="F147" s="16" t="s">
        <v>13</v>
      </c>
      <c r="G147" s="431">
        <v>45292</v>
      </c>
      <c r="H147" s="97" t="s">
        <v>5815</v>
      </c>
      <c r="I147" s="97"/>
      <c r="J147" s="97"/>
      <c r="K147" s="97"/>
      <c r="L147" s="97"/>
      <c r="M147" s="97"/>
      <c r="N147" s="97"/>
      <c r="O147" s="97"/>
      <c r="P147" s="97"/>
      <c r="Q147" s="97"/>
      <c r="R147" s="97"/>
      <c r="S147" s="432"/>
      <c r="T147" s="432"/>
      <c r="U147" s="433"/>
      <c r="V147" s="23"/>
      <c r="W147" s="34"/>
      <c r="X147" s="34"/>
      <c r="Y147" s="34"/>
      <c r="Z147" s="34"/>
      <c r="AA147" s="34"/>
      <c r="AB147" s="34"/>
      <c r="AC147" s="34"/>
      <c r="AD147" s="34"/>
      <c r="AE147" s="34"/>
      <c r="AF147" s="34"/>
      <c r="AG147" s="56"/>
      <c r="AH147" s="56"/>
      <c r="AI147" s="56"/>
      <c r="AJ147" s="56"/>
      <c r="AK147" s="24"/>
      <c r="AL147" s="25"/>
      <c r="AM147" s="26"/>
      <c r="AN147" s="434"/>
      <c r="AO147" s="33"/>
      <c r="AP147" s="16"/>
      <c r="AQ147" s="16"/>
      <c r="AR147" s="27" t="e">
        <v>#N/A</v>
      </c>
      <c r="AS147" s="28" t="e">
        <v>#N/A</v>
      </c>
      <c r="AT147" s="16"/>
      <c r="AU147" s="16"/>
      <c r="AV147" s="65"/>
      <c r="AW147" s="65"/>
      <c r="AX147" s="65"/>
      <c r="AY147" s="16"/>
      <c r="AZ147" s="35"/>
      <c r="BA147" s="36"/>
      <c r="BJ147" s="16" t="s">
        <v>4</v>
      </c>
      <c r="BK147" s="66"/>
      <c r="BL147" s="66"/>
      <c r="BM147" s="66"/>
      <c r="BN147" s="66"/>
      <c r="BO147" s="31"/>
      <c r="BR147" s="36" t="s">
        <v>2311</v>
      </c>
      <c r="BS147" s="36" t="b">
        <v>0</v>
      </c>
    </row>
    <row r="148" spans="1:87" ht="15">
      <c r="A148" s="16" t="s">
        <v>5613</v>
      </c>
      <c r="B148" s="17" t="s">
        <v>1497</v>
      </c>
      <c r="C148" s="17" t="s">
        <v>1499</v>
      </c>
      <c r="D148" s="48" t="s">
        <v>1500</v>
      </c>
      <c r="E148" s="33" t="s">
        <v>38</v>
      </c>
      <c r="F148" s="16" t="s">
        <v>12</v>
      </c>
      <c r="G148" s="431">
        <v>45292</v>
      </c>
      <c r="H148" s="16" t="s">
        <v>5816</v>
      </c>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row>
    <row r="149" spans="1:87" ht="18.75">
      <c r="A149" s="16" t="s">
        <v>5613</v>
      </c>
      <c r="B149" s="16" t="s">
        <v>2360</v>
      </c>
      <c r="C149" s="16" t="s">
        <v>2361</v>
      </c>
      <c r="D149" s="184" t="s">
        <v>2362</v>
      </c>
      <c r="E149" s="19" t="s">
        <v>38</v>
      </c>
      <c r="F149" s="16" t="s">
        <v>3388</v>
      </c>
      <c r="G149" s="408">
        <v>45294</v>
      </c>
      <c r="H149" s="18" t="s">
        <v>5817</v>
      </c>
      <c r="I149" s="18"/>
      <c r="J149" s="18"/>
      <c r="K149" s="18"/>
      <c r="L149" s="18"/>
      <c r="M149" s="18"/>
      <c r="N149" s="18"/>
      <c r="O149" s="18"/>
      <c r="P149" s="18"/>
      <c r="Q149" s="18"/>
      <c r="R149" s="18"/>
      <c r="S149" s="18"/>
      <c r="T149" s="20"/>
      <c r="U149" s="53"/>
      <c r="V149" s="23"/>
      <c r="W149" s="23"/>
      <c r="X149" s="34"/>
      <c r="Y149" s="34"/>
      <c r="Z149" s="34"/>
      <c r="AA149" s="34"/>
      <c r="AB149" s="34"/>
      <c r="AC149" s="34"/>
      <c r="AD149" s="34"/>
      <c r="AE149" s="34"/>
      <c r="AF149" s="34"/>
      <c r="AG149" s="34"/>
      <c r="AH149" s="56"/>
      <c r="AI149" s="56"/>
      <c r="AJ149" s="56"/>
      <c r="AK149" s="56"/>
      <c r="AL149" s="59" t="e">
        <v>#N/A</v>
      </c>
      <c r="AM149" s="25" t="e">
        <v>#N/A</v>
      </c>
      <c r="AN149" s="59" t="e">
        <v>#N/A</v>
      </c>
      <c r="AO149" s="434" t="e">
        <v>#N/A</v>
      </c>
      <c r="AP149" s="33"/>
      <c r="AQ149" s="16"/>
      <c r="AR149" s="16"/>
      <c r="AS149" s="27" t="e">
        <v>#N/A</v>
      </c>
      <c r="AT149" s="28" t="e">
        <v>#N/A</v>
      </c>
      <c r="AU149" s="16"/>
      <c r="AV149" s="16"/>
      <c r="AW149" s="65"/>
      <c r="AX149" s="65"/>
      <c r="AY149" s="65"/>
      <c r="AZ149" s="16"/>
      <c r="BA149" s="35"/>
      <c r="BB149" s="36"/>
      <c r="BK149" s="16" t="s">
        <v>4</v>
      </c>
      <c r="BL149" s="66"/>
      <c r="BM149" s="66"/>
      <c r="BN149" s="66"/>
      <c r="BO149" s="66"/>
      <c r="BP149" s="174" t="s">
        <v>82</v>
      </c>
      <c r="BT149" s="36" t="b">
        <v>0</v>
      </c>
    </row>
    <row r="150" spans="1:87" ht="15">
      <c r="A150" s="16" t="s">
        <v>5613</v>
      </c>
      <c r="B150" s="16" t="s">
        <v>2448</v>
      </c>
      <c r="C150" s="16" t="s">
        <v>2449</v>
      </c>
      <c r="D150" s="76" t="s">
        <v>2450</v>
      </c>
      <c r="E150" s="19" t="s">
        <v>38</v>
      </c>
      <c r="F150" s="16" t="s">
        <v>16</v>
      </c>
      <c r="G150" s="382">
        <v>45300</v>
      </c>
      <c r="H150" s="16" t="s">
        <v>5818</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row>
    <row r="151" spans="1:87" ht="15">
      <c r="A151" s="16" t="s">
        <v>5613</v>
      </c>
      <c r="B151" s="16" t="s">
        <v>1266</v>
      </c>
      <c r="C151" s="18" t="s">
        <v>1267</v>
      </c>
      <c r="D151" s="17" t="s">
        <v>1268</v>
      </c>
      <c r="E151" s="19" t="s">
        <v>38</v>
      </c>
      <c r="F151" s="16" t="s">
        <v>3388</v>
      </c>
      <c r="G151" s="382">
        <v>45300</v>
      </c>
      <c r="H151" s="16" t="s">
        <v>5819</v>
      </c>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row>
    <row r="152" spans="1:87" ht="15">
      <c r="A152" s="16" t="s">
        <v>5613</v>
      </c>
      <c r="B152" s="16" t="s">
        <v>2172</v>
      </c>
      <c r="C152" s="44" t="s">
        <v>2173</v>
      </c>
      <c r="D152" s="45" t="s">
        <v>2174</v>
      </c>
      <c r="E152" s="19" t="s">
        <v>38</v>
      </c>
      <c r="F152" s="16" t="s">
        <v>3388</v>
      </c>
      <c r="G152" s="382">
        <v>45294</v>
      </c>
      <c r="H152" s="16" t="s">
        <v>5820</v>
      </c>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row>
    <row r="153" spans="1:87" ht="15">
      <c r="A153" s="16" t="s">
        <v>5613</v>
      </c>
      <c r="B153" s="76" t="s">
        <v>2784</v>
      </c>
      <c r="C153" s="16" t="s">
        <v>2786</v>
      </c>
      <c r="D153" s="76" t="s">
        <v>2787</v>
      </c>
      <c r="E153" s="19" t="s">
        <v>38</v>
      </c>
      <c r="F153" s="16" t="s">
        <v>3388</v>
      </c>
      <c r="G153" s="382">
        <v>44934</v>
      </c>
      <c r="H153" s="16" t="s">
        <v>5821</v>
      </c>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row>
    <row r="154" spans="1:87" ht="15">
      <c r="A154" s="16" t="s">
        <v>5613</v>
      </c>
      <c r="B154" s="17" t="s">
        <v>1477</v>
      </c>
      <c r="C154" s="18" t="s">
        <v>1478</v>
      </c>
      <c r="D154" s="17" t="s">
        <v>1479</v>
      </c>
      <c r="E154" s="19" t="s">
        <v>38</v>
      </c>
      <c r="F154" s="16" t="s">
        <v>16</v>
      </c>
      <c r="G154" s="382">
        <v>45300</v>
      </c>
      <c r="H154" s="16" t="s">
        <v>5822</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row>
    <row r="155" spans="1:87" ht="15">
      <c r="A155" s="16" t="s">
        <v>5613</v>
      </c>
      <c r="B155" s="76" t="s">
        <v>70</v>
      </c>
      <c r="C155" s="15" t="s">
        <v>72</v>
      </c>
      <c r="D155" s="16" t="s">
        <v>73</v>
      </c>
      <c r="E155" s="19" t="s">
        <v>38</v>
      </c>
      <c r="F155" s="16" t="s">
        <v>10</v>
      </c>
      <c r="G155" s="382">
        <v>45302</v>
      </c>
      <c r="H155" s="16" t="s">
        <v>5823</v>
      </c>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row>
    <row r="156" spans="1:87" ht="15">
      <c r="A156" s="16" t="s">
        <v>5613</v>
      </c>
      <c r="B156" s="16" t="s">
        <v>91</v>
      </c>
      <c r="C156" s="16" t="s">
        <v>92</v>
      </c>
      <c r="D156" s="16" t="s">
        <v>93</v>
      </c>
      <c r="E156" s="19" t="s">
        <v>38</v>
      </c>
      <c r="F156" s="16" t="s">
        <v>10</v>
      </c>
      <c r="G156" s="382">
        <v>45302</v>
      </c>
      <c r="H156" s="16" t="s">
        <v>5824</v>
      </c>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row>
    <row r="157" spans="1:87" ht="15">
      <c r="A157" s="16" t="s">
        <v>5613</v>
      </c>
      <c r="B157" s="16" t="s">
        <v>978</v>
      </c>
      <c r="C157" s="16" t="s">
        <v>979</v>
      </c>
      <c r="D157" s="16" t="s">
        <v>980</v>
      </c>
      <c r="E157" s="19" t="s">
        <v>38</v>
      </c>
      <c r="F157" s="16" t="s">
        <v>10</v>
      </c>
      <c r="G157" s="382">
        <v>45302</v>
      </c>
      <c r="H157" s="16" t="s">
        <v>5825</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row>
    <row r="158" spans="1:87" ht="15">
      <c r="A158" s="16" t="s">
        <v>5613</v>
      </c>
      <c r="B158" s="76" t="s">
        <v>2292</v>
      </c>
      <c r="C158" s="16" t="s">
        <v>2293</v>
      </c>
      <c r="D158" s="184" t="s">
        <v>2294</v>
      </c>
      <c r="E158" s="19" t="s">
        <v>38</v>
      </c>
      <c r="F158" s="16" t="s">
        <v>10</v>
      </c>
      <c r="G158" s="382">
        <v>44951</v>
      </c>
      <c r="H158" s="16" t="s">
        <v>5826</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row>
    <row r="159" spans="1:87" ht="15">
      <c r="A159" s="16" t="s">
        <v>5613</v>
      </c>
      <c r="B159" s="16" t="s">
        <v>1755</v>
      </c>
      <c r="C159" s="16" t="s">
        <v>1756</v>
      </c>
      <c r="D159" s="16" t="s">
        <v>1757</v>
      </c>
      <c r="E159" s="19" t="s">
        <v>34</v>
      </c>
      <c r="F159" s="16" t="s">
        <v>16</v>
      </c>
      <c r="G159" s="382">
        <v>45302</v>
      </c>
      <c r="H159" s="16" t="s">
        <v>5827</v>
      </c>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row>
    <row r="160" spans="1:87" ht="15">
      <c r="A160" s="16" t="s">
        <v>5613</v>
      </c>
      <c r="B160" s="16" t="s">
        <v>57</v>
      </c>
      <c r="C160" s="17" t="s">
        <v>58</v>
      </c>
      <c r="D160" s="17" t="s">
        <v>59</v>
      </c>
      <c r="E160" s="19" t="s">
        <v>34</v>
      </c>
      <c r="F160" s="16" t="s">
        <v>16</v>
      </c>
      <c r="G160" s="382">
        <v>45302</v>
      </c>
      <c r="H160" s="16" t="s">
        <v>5828</v>
      </c>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row>
    <row r="161" spans="1:87" ht="15">
      <c r="A161" s="16" t="s">
        <v>5613</v>
      </c>
      <c r="B161" s="16" t="s">
        <v>175</v>
      </c>
      <c r="C161" s="84" t="s">
        <v>176</v>
      </c>
      <c r="D161" s="435" t="s">
        <v>177</v>
      </c>
      <c r="E161" s="19" t="s">
        <v>38</v>
      </c>
      <c r="F161" s="16" t="s">
        <v>17</v>
      </c>
      <c r="G161" s="382">
        <v>45305</v>
      </c>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row>
    <row r="162" spans="1:87" ht="18">
      <c r="A162" s="16" t="s">
        <v>5613</v>
      </c>
      <c r="B162" s="61" t="s">
        <v>2515</v>
      </c>
      <c r="C162" s="31" t="s">
        <v>2517</v>
      </c>
      <c r="D162" s="90" t="s">
        <v>2518</v>
      </c>
      <c r="E162" s="19" t="s">
        <v>38</v>
      </c>
      <c r="F162" s="16" t="s">
        <v>3388</v>
      </c>
      <c r="G162" s="382">
        <v>44938</v>
      </c>
      <c r="H162" s="16" t="s">
        <v>5829</v>
      </c>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row>
    <row r="163" spans="1:87" ht="15">
      <c r="A163" s="16" t="s">
        <v>5613</v>
      </c>
      <c r="B163" s="16" t="s">
        <v>413</v>
      </c>
      <c r="C163" s="17" t="s">
        <v>414</v>
      </c>
      <c r="D163" s="68" t="s">
        <v>415</v>
      </c>
      <c r="E163" s="19" t="s">
        <v>38</v>
      </c>
      <c r="F163" s="16" t="s">
        <v>16</v>
      </c>
      <c r="G163" s="382">
        <v>45302</v>
      </c>
      <c r="H163" s="16" t="s">
        <v>5830</v>
      </c>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row>
    <row r="164" spans="1:87" ht="18">
      <c r="A164" s="16" t="s">
        <v>5613</v>
      </c>
      <c r="B164" s="61" t="s">
        <v>628</v>
      </c>
      <c r="C164" s="122" t="s">
        <v>629</v>
      </c>
      <c r="D164" s="17" t="s">
        <v>630</v>
      </c>
      <c r="E164" s="19" t="s">
        <v>38</v>
      </c>
      <c r="F164" s="16" t="s">
        <v>16</v>
      </c>
      <c r="G164" s="38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row>
    <row r="165" spans="1:87" ht="18">
      <c r="A165" s="16" t="s">
        <v>5613</v>
      </c>
      <c r="B165" s="61" t="s">
        <v>622</v>
      </c>
      <c r="C165" s="44" t="s">
        <v>623</v>
      </c>
      <c r="D165" s="45" t="s">
        <v>624</v>
      </c>
      <c r="E165" s="19" t="s">
        <v>38</v>
      </c>
      <c r="F165" s="16" t="s">
        <v>16</v>
      </c>
      <c r="G165" s="38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row>
    <row r="166" spans="1:87" ht="18">
      <c r="A166" s="16" t="s">
        <v>5613</v>
      </c>
      <c r="B166" s="61" t="s">
        <v>950</v>
      </c>
      <c r="C166" s="18" t="s">
        <v>951</v>
      </c>
      <c r="D166" s="17" t="s">
        <v>952</v>
      </c>
      <c r="E166" s="19" t="s">
        <v>38</v>
      </c>
      <c r="F166" s="16" t="s">
        <v>3388</v>
      </c>
      <c r="G166" s="382">
        <v>45314</v>
      </c>
      <c r="H166" s="16" t="s">
        <v>5831</v>
      </c>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row>
    <row r="167" spans="1:87" ht="15">
      <c r="A167" s="16" t="s">
        <v>5613</v>
      </c>
      <c r="B167" s="16" t="s">
        <v>702</v>
      </c>
      <c r="C167" s="18" t="s">
        <v>703</v>
      </c>
      <c r="D167" s="17" t="s">
        <v>704</v>
      </c>
      <c r="E167" s="19" t="s">
        <v>38</v>
      </c>
      <c r="F167" s="16" t="s">
        <v>16</v>
      </c>
      <c r="G167" s="382">
        <v>45322</v>
      </c>
      <c r="H167" s="16" t="s">
        <v>5832</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row>
    <row r="168" spans="1:87">
      <c r="A168" s="16"/>
      <c r="B168" s="436" t="s">
        <v>899</v>
      </c>
      <c r="C168" s="16"/>
      <c r="D168" s="16"/>
      <c r="E168" s="19" t="s">
        <v>38</v>
      </c>
      <c r="F168" s="16"/>
      <c r="G168" s="38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row>
    <row r="169" spans="1:87" ht="30">
      <c r="A169" s="16"/>
      <c r="B169" s="437" t="s">
        <v>1234</v>
      </c>
      <c r="C169" s="16"/>
      <c r="D169" s="16"/>
      <c r="E169" s="19" t="s">
        <v>38</v>
      </c>
      <c r="F169" s="16"/>
      <c r="G169" s="38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row>
    <row r="170" spans="1:87" ht="18">
      <c r="A170" s="16" t="s">
        <v>5613</v>
      </c>
      <c r="B170" s="61" t="s">
        <v>671</v>
      </c>
      <c r="C170" s="18" t="s">
        <v>672</v>
      </c>
      <c r="D170" s="17" t="s">
        <v>673</v>
      </c>
      <c r="E170" s="19" t="s">
        <v>38</v>
      </c>
      <c r="F170" s="16" t="s">
        <v>13</v>
      </c>
      <c r="G170" s="382">
        <v>45324</v>
      </c>
      <c r="H170" s="16" t="s">
        <v>5833</v>
      </c>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row>
    <row r="171" spans="1:87" ht="15">
      <c r="A171" s="16" t="s">
        <v>5613</v>
      </c>
      <c r="B171" s="16" t="s">
        <v>2695</v>
      </c>
      <c r="C171" s="16" t="s">
        <v>2696</v>
      </c>
      <c r="D171" s="16" t="s">
        <v>2697</v>
      </c>
      <c r="E171" s="19" t="s">
        <v>38</v>
      </c>
      <c r="F171" s="16" t="s">
        <v>3388</v>
      </c>
      <c r="G171" s="382">
        <v>45326</v>
      </c>
      <c r="H171" s="16" t="s">
        <v>5834</v>
      </c>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row>
    <row r="172" spans="1:87" ht="18">
      <c r="A172" s="16" t="s">
        <v>5613</v>
      </c>
      <c r="B172" s="61" t="s">
        <v>781</v>
      </c>
      <c r="C172" s="76" t="s">
        <v>782</v>
      </c>
      <c r="D172" s="281" t="s">
        <v>783</v>
      </c>
      <c r="E172" s="19" t="s">
        <v>38</v>
      </c>
      <c r="F172" s="16" t="s">
        <v>13</v>
      </c>
      <c r="G172" s="382">
        <v>45327</v>
      </c>
      <c r="H172" s="16" t="s">
        <v>5835</v>
      </c>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row>
    <row r="173" spans="1:87" ht="18">
      <c r="A173" s="16" t="s">
        <v>5613</v>
      </c>
      <c r="B173" s="61" t="s">
        <v>2318</v>
      </c>
      <c r="C173" s="16" t="s">
        <v>2319</v>
      </c>
      <c r="D173" s="76" t="s">
        <v>2320</v>
      </c>
      <c r="E173" s="19" t="s">
        <v>38</v>
      </c>
      <c r="F173" s="16" t="s">
        <v>5836</v>
      </c>
      <c r="G173" s="382">
        <v>45328</v>
      </c>
      <c r="H173" s="16" t="s">
        <v>5837</v>
      </c>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row>
    <row r="174" spans="1:87" ht="18">
      <c r="A174" s="16" t="s">
        <v>5613</v>
      </c>
      <c r="B174" s="16" t="s">
        <v>2065</v>
      </c>
      <c r="C174" s="31" t="s">
        <v>2067</v>
      </c>
      <c r="D174" s="90" t="s">
        <v>2068</v>
      </c>
      <c r="E174" s="19" t="s">
        <v>38</v>
      </c>
      <c r="F174" s="16" t="s">
        <v>16</v>
      </c>
      <c r="G174" s="382">
        <v>45328</v>
      </c>
      <c r="H174" s="61" t="s">
        <v>5838</v>
      </c>
      <c r="I174" s="15"/>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row>
    <row r="175" spans="1:87" ht="18">
      <c r="A175" s="16" t="s">
        <v>5613</v>
      </c>
      <c r="B175" s="61" t="s">
        <v>1517</v>
      </c>
      <c r="C175" s="18" t="s">
        <v>1518</v>
      </c>
      <c r="D175" s="17" t="s">
        <v>1519</v>
      </c>
      <c r="E175" s="19" t="s">
        <v>38</v>
      </c>
      <c r="F175" s="16" t="s">
        <v>12</v>
      </c>
      <c r="G175" s="382">
        <v>45330</v>
      </c>
      <c r="H175" s="16" t="s">
        <v>5839</v>
      </c>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row>
    <row r="176" spans="1:87" ht="18" customHeight="1">
      <c r="A176" s="16" t="s">
        <v>5613</v>
      </c>
      <c r="B176" s="16" t="s">
        <v>2720</v>
      </c>
      <c r="C176" s="16" t="s">
        <v>2722</v>
      </c>
      <c r="D176" s="76" t="s">
        <v>2723</v>
      </c>
      <c r="E176" s="19" t="s">
        <v>38</v>
      </c>
      <c r="F176" s="16" t="s">
        <v>16</v>
      </c>
      <c r="G176" s="382">
        <v>45341</v>
      </c>
      <c r="H176" s="16" t="s">
        <v>5840</v>
      </c>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row>
    <row r="177" spans="1:87" ht="18">
      <c r="A177" s="16" t="s">
        <v>5613</v>
      </c>
      <c r="B177" s="111" t="s">
        <v>2881</v>
      </c>
      <c r="C177" s="16" t="s">
        <v>2882</v>
      </c>
      <c r="D177" s="16" t="s">
        <v>2883</v>
      </c>
      <c r="E177" s="19" t="s">
        <v>34</v>
      </c>
      <c r="F177" s="16" t="s">
        <v>12</v>
      </c>
      <c r="G177" s="382">
        <v>45309</v>
      </c>
      <c r="H177" s="16" t="s">
        <v>5841</v>
      </c>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row>
    <row r="178" spans="1:87" ht="18">
      <c r="A178" s="16" t="s">
        <v>5613</v>
      </c>
      <c r="B178" s="61" t="s">
        <v>2767</v>
      </c>
      <c r="C178" s="76" t="s">
        <v>2769</v>
      </c>
      <c r="D178" s="16" t="s">
        <v>2768</v>
      </c>
      <c r="E178" s="19" t="s">
        <v>34</v>
      </c>
      <c r="F178" s="16" t="s">
        <v>12</v>
      </c>
      <c r="G178" s="382">
        <v>45348</v>
      </c>
      <c r="H178" s="16" t="s">
        <v>5842</v>
      </c>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row>
    <row r="179" spans="1:87" ht="15">
      <c r="A179" s="16"/>
      <c r="B179" s="16" t="s">
        <v>2984</v>
      </c>
      <c r="C179" s="16" t="s">
        <v>2985</v>
      </c>
      <c r="D179" s="16" t="s">
        <v>2986</v>
      </c>
      <c r="E179" s="19" t="s">
        <v>38</v>
      </c>
      <c r="F179" s="155" t="s">
        <v>5836</v>
      </c>
      <c r="G179" s="382">
        <v>45348</v>
      </c>
      <c r="H179" s="16" t="s">
        <v>5843</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row>
    <row r="180" spans="1:87" ht="18">
      <c r="A180" s="16" t="s">
        <v>5613</v>
      </c>
      <c r="B180" s="61" t="s">
        <v>1037</v>
      </c>
      <c r="C180" s="18" t="s">
        <v>1038</v>
      </c>
      <c r="D180" s="17" t="s">
        <v>1039</v>
      </c>
      <c r="E180" s="19" t="s">
        <v>38</v>
      </c>
      <c r="F180" s="155" t="s">
        <v>13</v>
      </c>
      <c r="G180" s="382">
        <v>45349</v>
      </c>
      <c r="H180" s="18" t="s">
        <v>5844</v>
      </c>
      <c r="I180" s="18"/>
      <c r="J180" s="18"/>
      <c r="K180" s="18"/>
      <c r="L180" s="18"/>
      <c r="M180" s="18"/>
      <c r="N180" s="18"/>
      <c r="O180" s="18"/>
      <c r="P180" s="18"/>
      <c r="Q180" s="18"/>
      <c r="R180" s="18"/>
      <c r="S180" s="18"/>
      <c r="T180" s="199"/>
      <c r="U180" s="199"/>
      <c r="V180" s="21"/>
      <c r="W180" s="21"/>
      <c r="X180" s="21"/>
      <c r="Y180" s="21"/>
      <c r="Z180" s="21"/>
      <c r="AA180" s="22"/>
      <c r="AB180" s="23"/>
      <c r="AC180" s="23"/>
      <c r="AD180" s="23"/>
      <c r="AE180" s="23"/>
      <c r="AF180" s="23"/>
      <c r="AG180" s="23"/>
      <c r="AH180" s="23"/>
      <c r="AI180" s="23"/>
      <c r="AJ180" s="23"/>
      <c r="AK180" s="23"/>
      <c r="AL180" s="23"/>
      <c r="AM180" s="23"/>
      <c r="AN180" s="23"/>
      <c r="AO180" s="23"/>
      <c r="AP180" s="438"/>
      <c r="AQ180" s="434"/>
      <c r="AR180" s="26"/>
      <c r="AS180" s="434"/>
      <c r="AT180" s="29"/>
      <c r="AU180" s="29"/>
      <c r="AV180" s="29"/>
      <c r="AW180" s="439"/>
      <c r="AX180" s="29"/>
      <c r="AY180" s="18"/>
      <c r="AZ180" s="18"/>
      <c r="BA180" s="29"/>
      <c r="BB180" s="29"/>
      <c r="BC180" s="29"/>
      <c r="BD180" s="18"/>
      <c r="BE180" s="18"/>
      <c r="BF180" s="18"/>
      <c r="BG180" s="18"/>
      <c r="BH180" s="18"/>
      <c r="BI180" s="18"/>
      <c r="BJ180" s="18"/>
      <c r="BK180" s="18"/>
      <c r="BL180" s="18"/>
      <c r="BM180" s="49"/>
      <c r="BN180" s="18"/>
      <c r="BO180" s="18"/>
      <c r="BP180" s="18"/>
      <c r="BQ180" s="18"/>
      <c r="BR180" s="18"/>
      <c r="BS180" s="18"/>
      <c r="BT180" s="18"/>
      <c r="BU180" s="18"/>
      <c r="BV180" s="77" t="s">
        <v>1040</v>
      </c>
      <c r="BW180" s="18" t="s">
        <v>53</v>
      </c>
      <c r="BX180" s="23" t="s">
        <v>74</v>
      </c>
      <c r="BY180" s="23" t="s">
        <v>1041</v>
      </c>
      <c r="BZ180" s="18" t="b">
        <v>0</v>
      </c>
      <c r="CA180" s="18"/>
      <c r="CB180" s="18"/>
      <c r="CC180" s="18"/>
      <c r="CD180" s="18"/>
      <c r="CE180" s="18"/>
      <c r="CF180" s="18"/>
      <c r="CG180" s="18"/>
      <c r="CH180" s="18"/>
      <c r="CI180" s="18"/>
    </row>
    <row r="181" spans="1:87" ht="18">
      <c r="A181" s="16" t="s">
        <v>5613</v>
      </c>
      <c r="B181" s="61" t="s">
        <v>1617</v>
      </c>
      <c r="C181" s="18" t="s">
        <v>1618</v>
      </c>
      <c r="D181" s="17" t="s">
        <v>1619</v>
      </c>
      <c r="E181" s="19" t="s">
        <v>38</v>
      </c>
      <c r="F181" s="16" t="s">
        <v>18</v>
      </c>
      <c r="G181" s="382">
        <v>45333</v>
      </c>
      <c r="H181" s="18" t="s">
        <v>5845</v>
      </c>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row>
    <row r="182" spans="1:87" ht="15">
      <c r="A182" s="16" t="s">
        <v>5613</v>
      </c>
      <c r="B182" s="16" t="s">
        <v>1426</v>
      </c>
      <c r="C182" s="16"/>
      <c r="D182" s="16" t="s">
        <v>1428</v>
      </c>
      <c r="E182" s="19" t="s">
        <v>38</v>
      </c>
      <c r="F182" s="16" t="s">
        <v>18</v>
      </c>
      <c r="G182" s="382">
        <v>45327</v>
      </c>
      <c r="H182" s="16" t="s">
        <v>5846</v>
      </c>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row>
    <row r="183" spans="1:87" ht="18">
      <c r="A183" s="16" t="s">
        <v>5613</v>
      </c>
      <c r="B183" s="61" t="s">
        <v>1302</v>
      </c>
      <c r="C183" s="17" t="s">
        <v>1304</v>
      </c>
      <c r="D183" s="17" t="s">
        <v>1303</v>
      </c>
      <c r="E183" s="19" t="s">
        <v>38</v>
      </c>
      <c r="F183" s="16" t="s">
        <v>18</v>
      </c>
      <c r="G183" s="382">
        <v>45358</v>
      </c>
      <c r="H183" s="16" t="s">
        <v>5847</v>
      </c>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row>
    <row r="184" spans="1:87" ht="18">
      <c r="A184" s="16" t="s">
        <v>5613</v>
      </c>
      <c r="B184" s="440" t="s">
        <v>3024</v>
      </c>
      <c r="C184" s="441" t="s">
        <v>3025</v>
      </c>
      <c r="D184" s="221" t="s">
        <v>3026</v>
      </c>
      <c r="E184" s="19" t="s">
        <v>38</v>
      </c>
      <c r="F184" s="16" t="s">
        <v>5848</v>
      </c>
      <c r="G184" s="382">
        <v>45361</v>
      </c>
      <c r="H184" s="16" t="s">
        <v>5849</v>
      </c>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row>
    <row r="185" spans="1:87" ht="30">
      <c r="A185" s="16" t="s">
        <v>5613</v>
      </c>
      <c r="B185" s="442" t="s">
        <v>2635</v>
      </c>
      <c r="C185" s="441" t="s">
        <v>2636</v>
      </c>
      <c r="D185" s="221" t="s">
        <v>2637</v>
      </c>
      <c r="E185" s="19" t="s">
        <v>34</v>
      </c>
      <c r="F185" s="16" t="s">
        <v>5848</v>
      </c>
      <c r="G185" s="382">
        <v>45361</v>
      </c>
      <c r="H185" s="443" t="s">
        <v>5850</v>
      </c>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row>
    <row r="186" spans="1:87" ht="15">
      <c r="A186" s="16" t="s">
        <v>5613</v>
      </c>
      <c r="B186" s="16" t="s">
        <v>2962</v>
      </c>
      <c r="C186" s="16" t="s">
        <v>2963</v>
      </c>
      <c r="D186" s="16" t="s">
        <v>2964</v>
      </c>
      <c r="E186" s="19" t="s">
        <v>34</v>
      </c>
      <c r="F186" s="16" t="s">
        <v>3388</v>
      </c>
      <c r="G186" s="382">
        <v>45361</v>
      </c>
      <c r="H186" s="444" t="s">
        <v>5851</v>
      </c>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row>
    <row r="187" spans="1:87">
      <c r="A187" s="16" t="s">
        <v>5613</v>
      </c>
      <c r="B187" s="16" t="s">
        <v>3065</v>
      </c>
      <c r="C187" s="16" t="s">
        <v>3066</v>
      </c>
      <c r="D187" s="16" t="s">
        <v>3067</v>
      </c>
      <c r="E187" s="19" t="s">
        <v>38</v>
      </c>
      <c r="F187" s="16" t="s">
        <v>3388</v>
      </c>
      <c r="G187" s="382">
        <v>45368</v>
      </c>
      <c r="H187" s="443" t="s">
        <v>5852</v>
      </c>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row>
    <row r="188" spans="1:87" ht="45">
      <c r="A188" s="16" t="s">
        <v>5613</v>
      </c>
      <c r="B188" s="61" t="s">
        <v>2893</v>
      </c>
      <c r="C188" s="16" t="s">
        <v>2894</v>
      </c>
      <c r="D188" s="16" t="s">
        <v>2895</v>
      </c>
      <c r="E188" s="19" t="s">
        <v>34</v>
      </c>
      <c r="F188" s="16" t="s">
        <v>12</v>
      </c>
      <c r="G188" s="382">
        <v>45369</v>
      </c>
      <c r="H188" s="445" t="s">
        <v>5853</v>
      </c>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row>
    <row r="189" spans="1:87" ht="30.75">
      <c r="A189" s="16" t="s">
        <v>5613</v>
      </c>
      <c r="B189" s="61" t="s">
        <v>404</v>
      </c>
      <c r="C189" s="102" t="s">
        <v>405</v>
      </c>
      <c r="D189" s="88" t="s">
        <v>406</v>
      </c>
      <c r="E189" s="19" t="s">
        <v>38</v>
      </c>
      <c r="F189" s="16" t="s">
        <v>17</v>
      </c>
      <c r="G189" s="382">
        <v>45371</v>
      </c>
      <c r="H189" s="16" t="s">
        <v>5854</v>
      </c>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row>
    <row r="190" spans="1:87" ht="18">
      <c r="A190" s="16" t="s">
        <v>5613</v>
      </c>
      <c r="B190" s="61" t="s">
        <v>2399</v>
      </c>
      <c r="C190" s="31" t="s">
        <v>2400</v>
      </c>
      <c r="D190" s="90" t="s">
        <v>2401</v>
      </c>
      <c r="E190" s="19" t="s">
        <v>38</v>
      </c>
      <c r="F190" s="16" t="s">
        <v>17</v>
      </c>
      <c r="G190" s="382">
        <v>45371</v>
      </c>
      <c r="H190" s="16" t="s">
        <v>5855</v>
      </c>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row>
    <row r="191" spans="1:87">
      <c r="A191" s="16" t="s">
        <v>5613</v>
      </c>
      <c r="B191" s="442" t="s">
        <v>2859</v>
      </c>
      <c r="C191" s="441" t="s">
        <v>2860</v>
      </c>
      <c r="D191" s="221" t="s">
        <v>2861</v>
      </c>
      <c r="E191" s="19" t="s">
        <v>34</v>
      </c>
      <c r="F191" s="16" t="s">
        <v>5848</v>
      </c>
      <c r="G191" s="382">
        <v>45375</v>
      </c>
      <c r="H191" s="16" t="s">
        <v>5856</v>
      </c>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row>
    <row r="192" spans="1:87" ht="18">
      <c r="A192" s="16" t="s">
        <v>5613</v>
      </c>
      <c r="B192" s="61" t="s">
        <v>1309</v>
      </c>
      <c r="C192" s="18" t="s">
        <v>1310</v>
      </c>
      <c r="D192" s="17" t="s">
        <v>1311</v>
      </c>
      <c r="E192" s="19" t="s">
        <v>38</v>
      </c>
      <c r="F192" s="16" t="s">
        <v>3388</v>
      </c>
      <c r="G192" s="382">
        <v>45372</v>
      </c>
      <c r="H192" s="16" t="s">
        <v>5857</v>
      </c>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row>
    <row r="193" spans="1:87" ht="18">
      <c r="A193" s="16" t="s">
        <v>5613</v>
      </c>
      <c r="B193" s="61" t="s">
        <v>1257</v>
      </c>
      <c r="C193" s="18" t="s">
        <v>1258</v>
      </c>
      <c r="D193" s="17" t="s">
        <v>1259</v>
      </c>
      <c r="E193" s="19" t="s">
        <v>38</v>
      </c>
      <c r="F193" s="16" t="s">
        <v>3388</v>
      </c>
      <c r="G193" s="382">
        <v>45373</v>
      </c>
      <c r="H193" s="16" t="s">
        <v>5858</v>
      </c>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row>
    <row r="194" spans="1:87" ht="18">
      <c r="A194" s="16" t="s">
        <v>5613</v>
      </c>
      <c r="B194" s="61" t="s">
        <v>903</v>
      </c>
      <c r="C194" s="44" t="s">
        <v>904</v>
      </c>
      <c r="D194" s="45" t="s">
        <v>905</v>
      </c>
      <c r="E194" s="19" t="s">
        <v>38</v>
      </c>
      <c r="F194" s="16" t="s">
        <v>3388</v>
      </c>
      <c r="G194" s="382">
        <v>45376</v>
      </c>
      <c r="H194" s="16" t="s">
        <v>5859</v>
      </c>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row>
    <row r="195" spans="1:87" ht="18">
      <c r="A195" s="16" t="s">
        <v>5613</v>
      </c>
      <c r="B195" s="440" t="s">
        <v>2703</v>
      </c>
      <c r="C195" s="441" t="s">
        <v>2705</v>
      </c>
      <c r="D195" s="221" t="s">
        <v>2706</v>
      </c>
      <c r="E195" s="19" t="s">
        <v>38</v>
      </c>
      <c r="F195" s="16" t="s">
        <v>5848</v>
      </c>
      <c r="G195" s="382">
        <v>45379</v>
      </c>
      <c r="H195" s="16" t="s">
        <v>5859</v>
      </c>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row>
    <row r="196" spans="1:87" ht="15">
      <c r="A196" s="16" t="s">
        <v>5613</v>
      </c>
      <c r="B196" s="16" t="s">
        <v>987</v>
      </c>
      <c r="C196" s="16" t="s">
        <v>988</v>
      </c>
      <c r="D196" s="16" t="s">
        <v>989</v>
      </c>
      <c r="E196" s="19" t="s">
        <v>38</v>
      </c>
      <c r="F196" s="16" t="s">
        <v>16</v>
      </c>
      <c r="G196" s="382">
        <v>45382</v>
      </c>
      <c r="H196" s="16" t="s">
        <v>5860</v>
      </c>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row>
    <row r="197" spans="1:87" ht="15">
      <c r="A197" s="16" t="s">
        <v>5613</v>
      </c>
      <c r="B197" s="16" t="s">
        <v>5861</v>
      </c>
      <c r="C197" s="16" t="s">
        <v>5862</v>
      </c>
      <c r="D197" s="16" t="s">
        <v>1448</v>
      </c>
      <c r="E197" s="19" t="s">
        <v>38</v>
      </c>
      <c r="F197" s="16" t="s">
        <v>3388</v>
      </c>
      <c r="G197" s="382">
        <v>45386</v>
      </c>
      <c r="H197" s="16" t="s">
        <v>5863</v>
      </c>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row>
    <row r="198" spans="1:87" ht="15">
      <c r="A198" s="16"/>
      <c r="B198" s="16" t="s">
        <v>2691</v>
      </c>
      <c r="C198" s="441" t="s">
        <v>2693</v>
      </c>
      <c r="D198" s="221" t="s">
        <v>2694</v>
      </c>
      <c r="E198" s="19" t="s">
        <v>34</v>
      </c>
      <c r="F198" s="16" t="s">
        <v>5848</v>
      </c>
      <c r="G198" s="382">
        <v>45386</v>
      </c>
      <c r="H198" s="16" t="s">
        <v>5864</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row>
    <row r="199" spans="1:87" ht="15">
      <c r="A199" s="16" t="s">
        <v>5613</v>
      </c>
      <c r="B199" s="16" t="s">
        <v>1093</v>
      </c>
      <c r="C199" s="16" t="s">
        <v>1094</v>
      </c>
      <c r="D199" s="16" t="s">
        <v>1095</v>
      </c>
      <c r="E199" s="19" t="s">
        <v>34</v>
      </c>
      <c r="F199" s="16" t="s">
        <v>16</v>
      </c>
      <c r="G199" s="382">
        <v>45412</v>
      </c>
      <c r="H199" s="16" t="s">
        <v>5865</v>
      </c>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row>
    <row r="200" spans="1:87" ht="15">
      <c r="A200" s="16" t="s">
        <v>5613</v>
      </c>
      <c r="B200" s="16" t="s">
        <v>3268</v>
      </c>
      <c r="C200" s="16" t="s">
        <v>3242</v>
      </c>
      <c r="D200" s="16" t="s">
        <v>3243</v>
      </c>
      <c r="E200" s="19" t="s">
        <v>38</v>
      </c>
      <c r="F200" s="16" t="s">
        <v>3388</v>
      </c>
      <c r="G200" s="382">
        <v>45394</v>
      </c>
      <c r="H200" s="16" t="s">
        <v>5866</v>
      </c>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row>
    <row r="201" spans="1:87" ht="18">
      <c r="A201" s="16" t="s">
        <v>5613</v>
      </c>
      <c r="B201" s="61" t="s">
        <v>1699</v>
      </c>
      <c r="C201" s="18" t="s">
        <v>1700</v>
      </c>
      <c r="D201" s="17" t="s">
        <v>1701</v>
      </c>
      <c r="E201" s="19" t="s">
        <v>38</v>
      </c>
      <c r="F201" s="16" t="s">
        <v>12</v>
      </c>
      <c r="G201" s="382">
        <v>45393</v>
      </c>
      <c r="H201" s="16" t="s">
        <v>5867</v>
      </c>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row>
    <row r="202" spans="1:87" ht="15">
      <c r="A202" s="16" t="s">
        <v>5613</v>
      </c>
      <c r="B202" s="16" t="s">
        <v>1680</v>
      </c>
      <c r="C202" s="44" t="s">
        <v>1682</v>
      </c>
      <c r="D202" s="45" t="s">
        <v>1683</v>
      </c>
      <c r="E202" s="19" t="s">
        <v>38</v>
      </c>
      <c r="F202" s="16" t="s">
        <v>3388</v>
      </c>
      <c r="G202" s="382">
        <v>45386</v>
      </c>
      <c r="H202" s="16" t="s">
        <v>5868</v>
      </c>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row>
    <row r="203" spans="1:87" ht="15">
      <c r="A203" s="16"/>
      <c r="B203" s="16"/>
      <c r="C203" s="16"/>
      <c r="D203" s="16"/>
      <c r="E203" s="19"/>
      <c r="F203" s="16"/>
      <c r="G203" s="38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row>
    <row r="204" spans="1:87" ht="15">
      <c r="A204" s="16"/>
      <c r="B204" s="16"/>
      <c r="C204" s="16"/>
      <c r="D204" s="16"/>
      <c r="E204" s="19"/>
      <c r="F204" s="16"/>
      <c r="G204" s="38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row>
    <row r="205" spans="1:87" ht="15">
      <c r="A205" s="16"/>
      <c r="B205" s="16"/>
      <c r="C205" s="16"/>
      <c r="D205" s="16"/>
      <c r="E205" s="19"/>
      <c r="F205" s="16"/>
      <c r="G205" s="38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row>
    <row r="206" spans="1:87" ht="15">
      <c r="A206" s="16"/>
      <c r="B206" s="16"/>
      <c r="C206" s="16"/>
      <c r="D206" s="16"/>
      <c r="E206" s="19"/>
      <c r="F206" s="16"/>
      <c r="G206" s="38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row>
    <row r="207" spans="1:87" ht="15">
      <c r="A207" s="16"/>
      <c r="B207" s="16"/>
      <c r="C207" s="16"/>
      <c r="D207" s="16"/>
      <c r="E207" s="19"/>
      <c r="F207" s="16"/>
      <c r="G207" s="38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row>
    <row r="208" spans="1:87" ht="15">
      <c r="A208" s="16"/>
      <c r="B208" s="16"/>
      <c r="C208" s="16"/>
      <c r="D208" s="16"/>
      <c r="E208" s="19"/>
      <c r="F208" s="16"/>
      <c r="G208" s="38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row>
    <row r="209" spans="1:87" ht="15">
      <c r="A209" s="16"/>
      <c r="B209" s="16"/>
      <c r="C209" s="16"/>
      <c r="D209" s="16"/>
      <c r="E209" s="19"/>
      <c r="F209" s="16"/>
      <c r="G209" s="38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row>
    <row r="210" spans="1:87" ht="15">
      <c r="A210" s="16"/>
      <c r="B210" s="16"/>
      <c r="C210" s="16"/>
      <c r="D210" s="16"/>
      <c r="E210" s="19"/>
      <c r="F210" s="16"/>
      <c r="G210" s="38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row>
    <row r="211" spans="1:87" ht="15">
      <c r="A211" s="16"/>
      <c r="B211" s="16"/>
      <c r="C211" s="16"/>
      <c r="D211" s="16"/>
      <c r="E211" s="19"/>
      <c r="F211" s="16"/>
      <c r="G211" s="38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row>
    <row r="212" spans="1:87" ht="15">
      <c r="A212" s="16"/>
      <c r="B212" s="16"/>
      <c r="C212" s="16"/>
      <c r="D212" s="16"/>
      <c r="E212" s="19"/>
      <c r="F212" s="16"/>
      <c r="G212" s="38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row>
    <row r="213" spans="1:87" ht="15">
      <c r="A213" s="16"/>
      <c r="B213" s="16"/>
      <c r="C213" s="16"/>
      <c r="D213" s="16"/>
      <c r="E213" s="19"/>
      <c r="F213" s="16"/>
      <c r="G213" s="38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row>
    <row r="214" spans="1:87" ht="15">
      <c r="A214" s="16"/>
      <c r="B214" s="16"/>
      <c r="C214" s="16"/>
      <c r="D214" s="16"/>
      <c r="E214" s="19"/>
      <c r="F214" s="16"/>
      <c r="G214" s="38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row>
    <row r="215" spans="1:87" ht="15">
      <c r="A215" s="16"/>
      <c r="B215" s="16"/>
      <c r="C215" s="16"/>
      <c r="D215" s="16"/>
      <c r="E215" s="19"/>
      <c r="F215" s="16"/>
      <c r="G215" s="38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row>
    <row r="216" spans="1:87" ht="15">
      <c r="A216" s="16"/>
      <c r="B216" s="16"/>
      <c r="C216" s="16"/>
      <c r="D216" s="16"/>
      <c r="E216" s="19"/>
      <c r="F216" s="16"/>
      <c r="G216" s="38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row>
    <row r="217" spans="1:87" ht="15">
      <c r="A217" s="16"/>
      <c r="B217" s="16"/>
      <c r="C217" s="16"/>
      <c r="D217" s="16"/>
      <c r="E217" s="19"/>
      <c r="F217" s="16"/>
      <c r="G217" s="38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row>
    <row r="218" spans="1:87" ht="15">
      <c r="A218" s="16"/>
      <c r="B218" s="16"/>
      <c r="C218" s="16"/>
      <c r="D218" s="16"/>
      <c r="E218" s="16"/>
      <c r="F218" s="16"/>
      <c r="G218" s="38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row>
    <row r="219" spans="1:87" ht="15">
      <c r="A219" s="16"/>
      <c r="B219" s="16"/>
      <c r="C219" s="16"/>
      <c r="D219" s="16"/>
      <c r="E219" s="16"/>
      <c r="F219" s="16"/>
      <c r="G219" s="38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row>
    <row r="220" spans="1:87" ht="15">
      <c r="A220" s="16"/>
      <c r="B220" s="16"/>
      <c r="C220" s="16"/>
      <c r="D220" s="16"/>
      <c r="E220" s="16"/>
      <c r="F220" s="16"/>
      <c r="G220" s="38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row>
    <row r="221" spans="1:87" ht="15">
      <c r="A221" s="16"/>
      <c r="B221" s="16"/>
      <c r="C221" s="16"/>
      <c r="D221" s="16"/>
      <c r="E221" s="16"/>
      <c r="F221" s="16"/>
      <c r="G221" s="38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row>
    <row r="222" spans="1:87" ht="15">
      <c r="A222" s="16"/>
      <c r="B222" s="16"/>
      <c r="C222" s="16"/>
      <c r="D222" s="16"/>
      <c r="E222" s="16"/>
      <c r="F222" s="16"/>
      <c r="G222" s="38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row>
    <row r="223" spans="1:87" ht="15">
      <c r="A223" s="16"/>
      <c r="B223" s="16"/>
      <c r="C223" s="16"/>
      <c r="D223" s="16"/>
      <c r="E223" s="16"/>
      <c r="F223" s="16"/>
      <c r="G223" s="38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row>
    <row r="224" spans="1:87" ht="15">
      <c r="A224" s="16"/>
      <c r="B224" s="16"/>
      <c r="C224" s="16"/>
      <c r="D224" s="16"/>
      <c r="E224" s="16"/>
      <c r="F224" s="16"/>
      <c r="G224" s="38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row>
    <row r="225" spans="1:87" ht="15">
      <c r="A225" s="16"/>
      <c r="B225" s="16"/>
      <c r="C225" s="16"/>
      <c r="D225" s="16"/>
      <c r="E225" s="16"/>
      <c r="F225" s="16"/>
      <c r="G225" s="38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row>
    <row r="226" spans="1:87" ht="15">
      <c r="A226" s="16"/>
      <c r="B226" s="16"/>
      <c r="C226" s="16"/>
      <c r="D226" s="16"/>
      <c r="E226" s="16"/>
      <c r="F226" s="16"/>
      <c r="G226" s="38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row>
    <row r="227" spans="1:87" ht="15">
      <c r="A227" s="16"/>
      <c r="B227" s="16"/>
      <c r="C227" s="16"/>
      <c r="D227" s="16"/>
      <c r="E227" s="16"/>
      <c r="F227" s="16"/>
      <c r="G227" s="38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row>
    <row r="228" spans="1:87" ht="15">
      <c r="A228" s="16"/>
      <c r="B228" s="16"/>
      <c r="C228" s="16"/>
      <c r="D228" s="16"/>
      <c r="E228" s="16"/>
      <c r="F228" s="16"/>
      <c r="G228" s="38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row>
    <row r="229" spans="1:87" ht="15">
      <c r="A229" s="16"/>
      <c r="B229" s="16"/>
      <c r="C229" s="16"/>
      <c r="D229" s="16"/>
      <c r="E229" s="16"/>
      <c r="F229" s="16"/>
      <c r="G229" s="38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row>
    <row r="230" spans="1:87" ht="15">
      <c r="A230" s="16"/>
      <c r="B230" s="16"/>
      <c r="C230" s="16"/>
      <c r="D230" s="16"/>
      <c r="E230" s="16"/>
      <c r="F230" s="16"/>
      <c r="G230" s="38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row>
    <row r="231" spans="1:87" ht="15">
      <c r="A231" s="16"/>
      <c r="B231" s="16"/>
      <c r="C231" s="16"/>
      <c r="D231" s="16"/>
      <c r="E231" s="16"/>
      <c r="F231" s="16"/>
      <c r="G231" s="38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row>
    <row r="232" spans="1:87" ht="15">
      <c r="A232" s="16"/>
      <c r="B232" s="16"/>
      <c r="C232" s="16"/>
      <c r="D232" s="16"/>
      <c r="E232" s="16"/>
      <c r="F232" s="16"/>
      <c r="G232" s="38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row>
    <row r="233" spans="1:87" ht="15">
      <c r="A233" s="16"/>
      <c r="B233" s="16"/>
      <c r="C233" s="16"/>
      <c r="D233" s="16"/>
      <c r="E233" s="16"/>
      <c r="F233" s="16"/>
      <c r="G233" s="38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row>
    <row r="234" spans="1:87" ht="15">
      <c r="A234" s="16"/>
      <c r="B234" s="16"/>
      <c r="C234" s="16"/>
      <c r="D234" s="16"/>
      <c r="E234" s="16"/>
      <c r="F234" s="16"/>
      <c r="G234" s="38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row>
    <row r="235" spans="1:87" ht="15">
      <c r="A235" s="16"/>
      <c r="B235" s="16"/>
      <c r="C235" s="16"/>
      <c r="D235" s="16"/>
      <c r="E235" s="16"/>
      <c r="F235" s="16"/>
      <c r="G235" s="38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row>
    <row r="236" spans="1:87" ht="15">
      <c r="A236" s="16"/>
      <c r="B236" s="16"/>
      <c r="C236" s="16"/>
      <c r="D236" s="16"/>
      <c r="E236" s="16"/>
      <c r="F236" s="16"/>
      <c r="G236" s="38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row>
    <row r="237" spans="1:87" ht="15">
      <c r="A237" s="16"/>
      <c r="B237" s="16"/>
      <c r="C237" s="16"/>
      <c r="D237" s="16"/>
      <c r="E237" s="16"/>
      <c r="F237" s="16"/>
      <c r="G237" s="38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row>
    <row r="238" spans="1:87" ht="15">
      <c r="A238" s="16"/>
      <c r="B238" s="16"/>
      <c r="C238" s="16"/>
      <c r="D238" s="16"/>
      <c r="E238" s="16"/>
      <c r="F238" s="16"/>
      <c r="G238" s="38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row>
    <row r="239" spans="1:87" ht="15">
      <c r="A239" s="16"/>
      <c r="B239" s="16"/>
      <c r="C239" s="16"/>
      <c r="D239" s="16"/>
      <c r="E239" s="16"/>
      <c r="F239" s="16"/>
      <c r="G239" s="38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row>
    <row r="240" spans="1:87" ht="15">
      <c r="A240" s="16"/>
      <c r="B240" s="16"/>
      <c r="C240" s="16"/>
      <c r="D240" s="16"/>
      <c r="E240" s="16"/>
      <c r="F240" s="16"/>
      <c r="G240" s="38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row>
    <row r="241" spans="1:87" ht="15">
      <c r="A241" s="16"/>
      <c r="B241" s="16"/>
      <c r="C241" s="16"/>
      <c r="D241" s="16"/>
      <c r="E241" s="16"/>
      <c r="F241" s="16"/>
      <c r="G241" s="38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row>
    <row r="242" spans="1:87" ht="15">
      <c r="A242" s="16"/>
      <c r="B242" s="16"/>
      <c r="C242" s="16"/>
      <c r="D242" s="16"/>
      <c r="E242" s="16"/>
      <c r="F242" s="16"/>
      <c r="G242" s="38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row>
    <row r="243" spans="1:87" ht="15">
      <c r="A243" s="16"/>
      <c r="B243" s="16"/>
      <c r="C243" s="16"/>
      <c r="D243" s="16"/>
      <c r="E243" s="16"/>
      <c r="F243" s="16"/>
      <c r="G243" s="38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row>
    <row r="244" spans="1:87" ht="15">
      <c r="A244" s="16"/>
      <c r="B244" s="16"/>
      <c r="C244" s="16"/>
      <c r="D244" s="16"/>
      <c r="E244" s="16"/>
      <c r="F244" s="16"/>
      <c r="G244" s="38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row>
    <row r="245" spans="1:87" ht="15">
      <c r="A245" s="16"/>
      <c r="B245" s="16"/>
      <c r="C245" s="16"/>
      <c r="D245" s="16"/>
      <c r="E245" s="16"/>
      <c r="F245" s="16"/>
      <c r="G245" s="38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row>
    <row r="246" spans="1:87" ht="15">
      <c r="A246" s="16"/>
      <c r="B246" s="16"/>
      <c r="C246" s="16"/>
      <c r="D246" s="16"/>
      <c r="E246" s="16"/>
      <c r="F246" s="16"/>
      <c r="G246" s="38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row>
    <row r="247" spans="1:87" ht="15">
      <c r="A247" s="16"/>
      <c r="B247" s="16"/>
      <c r="C247" s="16"/>
      <c r="D247" s="16"/>
      <c r="E247" s="16"/>
      <c r="F247" s="16"/>
      <c r="G247" s="38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row>
    <row r="248" spans="1:87" ht="15">
      <c r="A248" s="16"/>
      <c r="B248" s="16"/>
      <c r="C248" s="16"/>
      <c r="D248" s="16"/>
      <c r="E248" s="16"/>
      <c r="F248" s="16"/>
      <c r="G248" s="38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row>
    <row r="249" spans="1:87" ht="15">
      <c r="A249" s="16"/>
      <c r="B249" s="16"/>
      <c r="C249" s="16"/>
      <c r="D249" s="16"/>
      <c r="E249" s="16"/>
      <c r="F249" s="16"/>
      <c r="G249" s="38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row>
    <row r="250" spans="1:87" ht="15">
      <c r="A250" s="16"/>
      <c r="B250" s="16"/>
      <c r="C250" s="16"/>
      <c r="D250" s="16"/>
      <c r="E250" s="16"/>
      <c r="F250" s="16"/>
      <c r="G250" s="38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row>
    <row r="251" spans="1:87" ht="15">
      <c r="A251" s="16"/>
      <c r="B251" s="16"/>
      <c r="C251" s="16"/>
      <c r="D251" s="16"/>
      <c r="E251" s="16"/>
      <c r="F251" s="16"/>
      <c r="G251" s="38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row>
    <row r="252" spans="1:87" ht="15">
      <c r="A252" s="16"/>
      <c r="B252" s="16"/>
      <c r="C252" s="16"/>
      <c r="D252" s="16"/>
      <c r="E252" s="16"/>
      <c r="F252" s="16"/>
      <c r="G252" s="38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row>
    <row r="253" spans="1:87" ht="15">
      <c r="A253" s="16"/>
      <c r="B253" s="16"/>
      <c r="C253" s="16"/>
      <c r="D253" s="16"/>
      <c r="E253" s="16"/>
      <c r="F253" s="16"/>
      <c r="G253" s="38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row>
    <row r="254" spans="1:87" ht="15">
      <c r="A254" s="16"/>
      <c r="B254" s="16"/>
      <c r="C254" s="16"/>
      <c r="D254" s="16"/>
      <c r="E254" s="16"/>
      <c r="F254" s="16"/>
      <c r="G254" s="38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row>
    <row r="255" spans="1:87" ht="15">
      <c r="A255" s="16"/>
      <c r="B255" s="16"/>
      <c r="C255" s="16"/>
      <c r="D255" s="16"/>
      <c r="E255" s="16"/>
      <c r="F255" s="16"/>
      <c r="G255" s="38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row>
    <row r="256" spans="1:87" ht="15">
      <c r="A256" s="16"/>
      <c r="B256" s="16"/>
      <c r="C256" s="16"/>
      <c r="D256" s="16"/>
      <c r="E256" s="16"/>
      <c r="F256" s="16"/>
      <c r="G256" s="38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row>
    <row r="257" spans="1:87" ht="15">
      <c r="A257" s="16"/>
      <c r="B257" s="16"/>
      <c r="C257" s="16"/>
      <c r="D257" s="16"/>
      <c r="E257" s="16"/>
      <c r="F257" s="16"/>
      <c r="G257" s="38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row>
    <row r="258" spans="1:87" ht="15">
      <c r="A258" s="16"/>
      <c r="B258" s="16"/>
      <c r="C258" s="16"/>
      <c r="D258" s="16"/>
      <c r="E258" s="16"/>
      <c r="F258" s="16"/>
      <c r="G258" s="38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row>
    <row r="259" spans="1:87" ht="15">
      <c r="A259" s="16"/>
      <c r="B259" s="16"/>
      <c r="C259" s="16"/>
      <c r="D259" s="16"/>
      <c r="E259" s="16"/>
      <c r="F259" s="16"/>
      <c r="G259" s="38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row>
    <row r="260" spans="1:87" ht="15">
      <c r="A260" s="16"/>
      <c r="B260" s="16"/>
      <c r="C260" s="16"/>
      <c r="D260" s="16"/>
      <c r="E260" s="16"/>
      <c r="F260" s="16"/>
      <c r="G260" s="38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row>
    <row r="261" spans="1:87" ht="15">
      <c r="A261" s="16"/>
      <c r="B261" s="16"/>
      <c r="C261" s="16"/>
      <c r="D261" s="16"/>
      <c r="E261" s="16"/>
      <c r="F261" s="16"/>
      <c r="G261" s="38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row>
    <row r="262" spans="1:87" ht="15">
      <c r="A262" s="16"/>
      <c r="B262" s="16"/>
      <c r="C262" s="16"/>
      <c r="D262" s="16"/>
      <c r="E262" s="16"/>
      <c r="F262" s="16"/>
      <c r="G262" s="38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row>
    <row r="263" spans="1:87" ht="15">
      <c r="A263" s="16"/>
      <c r="B263" s="16"/>
      <c r="C263" s="16"/>
      <c r="D263" s="16"/>
      <c r="E263" s="16"/>
      <c r="F263" s="16"/>
      <c r="G263" s="38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row>
    <row r="264" spans="1:87" ht="15">
      <c r="A264" s="16"/>
      <c r="B264" s="16"/>
      <c r="C264" s="16"/>
      <c r="D264" s="16"/>
      <c r="E264" s="16"/>
      <c r="F264" s="16"/>
      <c r="G264" s="38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row>
    <row r="265" spans="1:87" ht="15">
      <c r="A265" s="16"/>
      <c r="B265" s="16"/>
      <c r="C265" s="16"/>
      <c r="D265" s="16"/>
      <c r="E265" s="16"/>
      <c r="F265" s="16"/>
      <c r="G265" s="38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row>
    <row r="266" spans="1:87" ht="15">
      <c r="A266" s="16"/>
      <c r="B266" s="16"/>
      <c r="C266" s="16"/>
      <c r="D266" s="16"/>
      <c r="E266" s="16"/>
      <c r="F266" s="16"/>
      <c r="G266" s="38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row>
    <row r="267" spans="1:87" ht="15">
      <c r="A267" s="16"/>
      <c r="B267" s="16"/>
      <c r="C267" s="16"/>
      <c r="D267" s="16"/>
      <c r="E267" s="16"/>
      <c r="F267" s="16"/>
      <c r="G267" s="38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row>
    <row r="268" spans="1:87" ht="15">
      <c r="A268" s="16"/>
      <c r="B268" s="16"/>
      <c r="C268" s="16"/>
      <c r="D268" s="16"/>
      <c r="E268" s="16"/>
      <c r="F268" s="16"/>
      <c r="G268" s="38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row>
    <row r="269" spans="1:87" ht="15">
      <c r="A269" s="16"/>
      <c r="B269" s="16"/>
      <c r="C269" s="16"/>
      <c r="D269" s="16"/>
      <c r="E269" s="16"/>
      <c r="F269" s="16"/>
      <c r="G269" s="38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row>
    <row r="270" spans="1:87" ht="15">
      <c r="A270" s="16"/>
      <c r="B270" s="16"/>
      <c r="C270" s="16"/>
      <c r="D270" s="16"/>
      <c r="E270" s="16"/>
      <c r="F270" s="16"/>
      <c r="G270" s="38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row>
    <row r="271" spans="1:87" ht="15">
      <c r="A271" s="16"/>
      <c r="B271" s="16"/>
      <c r="C271" s="16"/>
      <c r="D271" s="16"/>
      <c r="E271" s="16"/>
      <c r="F271" s="16"/>
      <c r="G271" s="38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row>
    <row r="272" spans="1:87" ht="15">
      <c r="A272" s="16"/>
      <c r="B272" s="16"/>
      <c r="C272" s="16"/>
      <c r="D272" s="16"/>
      <c r="E272" s="16"/>
      <c r="F272" s="16"/>
      <c r="G272" s="38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row>
    <row r="273" spans="1:87" ht="15">
      <c r="A273" s="16"/>
      <c r="B273" s="16"/>
      <c r="C273" s="16"/>
      <c r="D273" s="16"/>
      <c r="E273" s="16"/>
      <c r="F273" s="16"/>
      <c r="G273" s="38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row>
    <row r="274" spans="1:87" ht="15">
      <c r="A274" s="16"/>
      <c r="B274" s="16"/>
      <c r="C274" s="16"/>
      <c r="D274" s="16"/>
      <c r="E274" s="16"/>
      <c r="F274" s="16"/>
      <c r="G274" s="38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row>
    <row r="275" spans="1:87" ht="15">
      <c r="A275" s="16"/>
      <c r="B275" s="16"/>
      <c r="C275" s="16"/>
      <c r="D275" s="16"/>
      <c r="E275" s="16"/>
      <c r="F275" s="16"/>
      <c r="G275" s="38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row>
    <row r="276" spans="1:87" ht="15">
      <c r="A276" s="16"/>
      <c r="B276" s="16"/>
      <c r="C276" s="16"/>
      <c r="D276" s="16"/>
      <c r="E276" s="16"/>
      <c r="F276" s="16"/>
      <c r="G276" s="38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row>
    <row r="277" spans="1:87" ht="15">
      <c r="A277" s="16"/>
      <c r="B277" s="16"/>
      <c r="C277" s="16"/>
      <c r="D277" s="16"/>
      <c r="E277" s="16"/>
      <c r="F277" s="16"/>
      <c r="G277" s="38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row>
    <row r="278" spans="1:87" ht="15">
      <c r="A278" s="16"/>
      <c r="B278" s="16"/>
      <c r="C278" s="16"/>
      <c r="D278" s="16"/>
      <c r="E278" s="16"/>
      <c r="F278" s="16"/>
      <c r="G278" s="38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row>
    <row r="279" spans="1:87" ht="15">
      <c r="A279" s="16"/>
      <c r="B279" s="16"/>
      <c r="C279" s="16"/>
      <c r="D279" s="16"/>
      <c r="E279" s="16"/>
      <c r="F279" s="16"/>
      <c r="G279" s="38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row>
    <row r="280" spans="1:87" ht="15">
      <c r="A280" s="16"/>
      <c r="B280" s="16"/>
      <c r="C280" s="16"/>
      <c r="D280" s="16"/>
      <c r="E280" s="16"/>
      <c r="F280" s="16"/>
      <c r="G280" s="38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row>
    <row r="281" spans="1:87" ht="15">
      <c r="A281" s="16"/>
      <c r="B281" s="16"/>
      <c r="C281" s="16"/>
      <c r="D281" s="16"/>
      <c r="E281" s="16"/>
      <c r="F281" s="16"/>
      <c r="G281" s="38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row>
    <row r="282" spans="1:87" ht="15">
      <c r="A282" s="16"/>
      <c r="B282" s="16"/>
      <c r="C282" s="16"/>
      <c r="D282" s="16"/>
      <c r="E282" s="16"/>
      <c r="F282" s="16"/>
      <c r="G282" s="38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row>
    <row r="283" spans="1:87" ht="15">
      <c r="A283" s="16"/>
      <c r="B283" s="16"/>
      <c r="C283" s="16"/>
      <c r="D283" s="16"/>
      <c r="E283" s="16"/>
      <c r="F283" s="16"/>
      <c r="G283" s="38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row>
    <row r="284" spans="1:87" ht="15">
      <c r="A284" s="16"/>
      <c r="B284" s="16"/>
      <c r="C284" s="16"/>
      <c r="D284" s="16"/>
      <c r="E284" s="16"/>
      <c r="F284" s="16"/>
      <c r="G284" s="38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row>
    <row r="285" spans="1:87" ht="15">
      <c r="A285" s="16"/>
      <c r="B285" s="16"/>
      <c r="C285" s="16"/>
      <c r="D285" s="16"/>
      <c r="E285" s="16"/>
      <c r="F285" s="16"/>
      <c r="G285" s="38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row>
    <row r="286" spans="1:87" ht="15">
      <c r="A286" s="16"/>
      <c r="B286" s="16"/>
      <c r="C286" s="16"/>
      <c r="D286" s="16"/>
      <c r="E286" s="16"/>
      <c r="F286" s="16"/>
      <c r="G286" s="38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row>
    <row r="287" spans="1:87" ht="15">
      <c r="A287" s="16"/>
      <c r="B287" s="16"/>
      <c r="C287" s="16"/>
      <c r="D287" s="16"/>
      <c r="E287" s="16"/>
      <c r="F287" s="16"/>
      <c r="G287" s="38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row>
    <row r="288" spans="1:87" ht="15">
      <c r="A288" s="16"/>
      <c r="B288" s="16"/>
      <c r="C288" s="16"/>
      <c r="D288" s="16"/>
      <c r="E288" s="16"/>
      <c r="F288" s="16"/>
      <c r="G288" s="38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row>
    <row r="289" spans="1:87" ht="15">
      <c r="A289" s="16"/>
      <c r="B289" s="16"/>
      <c r="C289" s="16"/>
      <c r="D289" s="16"/>
      <c r="E289" s="16"/>
      <c r="F289" s="16"/>
      <c r="G289" s="38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row>
    <row r="290" spans="1:87" ht="15">
      <c r="A290" s="16"/>
      <c r="B290" s="16"/>
      <c r="C290" s="16"/>
      <c r="D290" s="16"/>
      <c r="E290" s="16"/>
      <c r="F290" s="16"/>
      <c r="G290" s="38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row>
    <row r="291" spans="1:87" ht="15">
      <c r="A291" s="16"/>
      <c r="B291" s="16"/>
      <c r="C291" s="16"/>
      <c r="D291" s="16"/>
      <c r="E291" s="16"/>
      <c r="F291" s="16"/>
      <c r="G291" s="38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row>
    <row r="292" spans="1:87" ht="15">
      <c r="A292" s="16"/>
      <c r="B292" s="16"/>
      <c r="C292" s="16"/>
      <c r="D292" s="16"/>
      <c r="E292" s="16"/>
      <c r="F292" s="16"/>
      <c r="G292" s="38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row>
    <row r="293" spans="1:87" ht="15">
      <c r="A293" s="16"/>
      <c r="B293" s="16"/>
      <c r="C293" s="16"/>
      <c r="D293" s="16"/>
      <c r="E293" s="16"/>
      <c r="F293" s="16"/>
      <c r="G293" s="38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row>
    <row r="294" spans="1:87" ht="15">
      <c r="A294" s="16"/>
      <c r="B294" s="16"/>
      <c r="C294" s="16"/>
      <c r="D294" s="16"/>
      <c r="E294" s="16"/>
      <c r="F294" s="16"/>
      <c r="G294" s="38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row>
    <row r="295" spans="1:87" ht="15">
      <c r="A295" s="16"/>
      <c r="B295" s="16"/>
      <c r="C295" s="16"/>
      <c r="D295" s="16"/>
      <c r="E295" s="16"/>
      <c r="F295" s="16"/>
      <c r="G295" s="38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row>
    <row r="296" spans="1:87" ht="15">
      <c r="A296" s="16"/>
      <c r="B296" s="16"/>
      <c r="C296" s="16"/>
      <c r="D296" s="16"/>
      <c r="E296" s="16"/>
      <c r="F296" s="16"/>
      <c r="G296" s="38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row>
    <row r="297" spans="1:87" ht="15">
      <c r="A297" s="16"/>
      <c r="B297" s="16"/>
      <c r="C297" s="16"/>
      <c r="D297" s="16"/>
      <c r="E297" s="16"/>
      <c r="F297" s="16"/>
      <c r="G297" s="38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row>
    <row r="298" spans="1:87" ht="15">
      <c r="A298" s="16"/>
      <c r="B298" s="16"/>
      <c r="C298" s="16"/>
      <c r="D298" s="16"/>
      <c r="E298" s="16"/>
      <c r="F298" s="16"/>
      <c r="G298" s="38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row>
    <row r="299" spans="1:87" ht="15">
      <c r="A299" s="16"/>
      <c r="B299" s="16"/>
      <c r="C299" s="16"/>
      <c r="D299" s="16"/>
      <c r="E299" s="16"/>
      <c r="F299" s="16"/>
      <c r="G299" s="38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row>
    <row r="300" spans="1:87" ht="15">
      <c r="A300" s="16"/>
      <c r="B300" s="16"/>
      <c r="C300" s="16"/>
      <c r="D300" s="16"/>
      <c r="E300" s="16"/>
      <c r="F300" s="16"/>
      <c r="G300" s="38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row>
    <row r="301" spans="1:87" ht="15">
      <c r="A301" s="16"/>
      <c r="B301" s="16"/>
      <c r="C301" s="16"/>
      <c r="D301" s="16"/>
      <c r="E301" s="16"/>
      <c r="F301" s="16"/>
      <c r="G301" s="38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row>
    <row r="302" spans="1:87" ht="15">
      <c r="A302" s="16"/>
      <c r="B302" s="16"/>
      <c r="C302" s="16"/>
      <c r="D302" s="16"/>
      <c r="E302" s="16"/>
      <c r="F302" s="16"/>
      <c r="G302" s="38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row>
    <row r="303" spans="1:87" ht="15">
      <c r="A303" s="16"/>
      <c r="B303" s="16"/>
      <c r="C303" s="16"/>
      <c r="D303" s="16"/>
      <c r="E303" s="16"/>
      <c r="F303" s="16"/>
      <c r="G303" s="38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row>
    <row r="304" spans="1:87" ht="15">
      <c r="A304" s="16"/>
      <c r="B304" s="16"/>
      <c r="C304" s="16"/>
      <c r="D304" s="16"/>
      <c r="E304" s="16"/>
      <c r="F304" s="16"/>
      <c r="G304" s="38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row>
    <row r="305" spans="1:87" ht="15">
      <c r="A305" s="16"/>
      <c r="B305" s="16"/>
      <c r="C305" s="16"/>
      <c r="D305" s="16"/>
      <c r="E305" s="16"/>
      <c r="F305" s="16"/>
      <c r="G305" s="38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row>
    <row r="306" spans="1:87" ht="15">
      <c r="A306" s="16"/>
      <c r="B306" s="16"/>
      <c r="C306" s="16"/>
      <c r="D306" s="16"/>
      <c r="E306" s="16"/>
      <c r="F306" s="16"/>
      <c r="G306" s="38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row>
    <row r="307" spans="1:87" ht="15">
      <c r="A307" s="16"/>
      <c r="B307" s="16"/>
      <c r="C307" s="16"/>
      <c r="D307" s="16"/>
      <c r="E307" s="16"/>
      <c r="F307" s="16"/>
      <c r="G307" s="38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row>
    <row r="308" spans="1:87" ht="15">
      <c r="A308" s="16"/>
      <c r="B308" s="16"/>
      <c r="C308" s="16"/>
      <c r="D308" s="16"/>
      <c r="E308" s="16"/>
      <c r="F308" s="16"/>
      <c r="G308" s="38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row>
    <row r="309" spans="1:87" ht="15">
      <c r="A309" s="16"/>
      <c r="B309" s="16"/>
      <c r="C309" s="16"/>
      <c r="D309" s="16"/>
      <c r="E309" s="16"/>
      <c r="F309" s="16"/>
      <c r="G309" s="38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row>
    <row r="310" spans="1:87" ht="15">
      <c r="A310" s="16"/>
      <c r="B310" s="16"/>
      <c r="C310" s="16"/>
      <c r="D310" s="16"/>
      <c r="E310" s="16"/>
      <c r="F310" s="16"/>
      <c r="G310" s="38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row>
    <row r="311" spans="1:87" ht="15">
      <c r="A311" s="16"/>
      <c r="B311" s="16"/>
      <c r="C311" s="16"/>
      <c r="D311" s="16"/>
      <c r="E311" s="16"/>
      <c r="F311" s="16"/>
      <c r="G311" s="38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row>
    <row r="312" spans="1:87" ht="15">
      <c r="A312" s="16"/>
      <c r="B312" s="16"/>
      <c r="C312" s="16"/>
      <c r="D312" s="16"/>
      <c r="E312" s="16"/>
      <c r="F312" s="16"/>
      <c r="G312" s="38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row>
    <row r="313" spans="1:87" ht="15">
      <c r="A313" s="16"/>
      <c r="B313" s="16"/>
      <c r="C313" s="16"/>
      <c r="D313" s="16"/>
      <c r="E313" s="16"/>
      <c r="F313" s="16"/>
      <c r="G313" s="38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row>
    <row r="314" spans="1:87" ht="15">
      <c r="A314" s="16"/>
      <c r="B314" s="16"/>
      <c r="C314" s="16"/>
      <c r="D314" s="16"/>
      <c r="E314" s="16"/>
      <c r="F314" s="16"/>
      <c r="G314" s="38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row>
    <row r="315" spans="1:87" ht="15">
      <c r="A315" s="16"/>
      <c r="B315" s="16"/>
      <c r="C315" s="16"/>
      <c r="D315" s="16"/>
      <c r="E315" s="16"/>
      <c r="F315" s="16"/>
      <c r="G315" s="38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row>
    <row r="316" spans="1:87" ht="15">
      <c r="A316" s="16"/>
      <c r="B316" s="16"/>
      <c r="C316" s="16"/>
      <c r="D316" s="16"/>
      <c r="E316" s="16"/>
      <c r="F316" s="16"/>
      <c r="G316" s="38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row>
    <row r="317" spans="1:87" ht="15">
      <c r="A317" s="16"/>
      <c r="B317" s="16"/>
      <c r="C317" s="16"/>
      <c r="D317" s="16"/>
      <c r="E317" s="16"/>
      <c r="F317" s="16"/>
      <c r="G317" s="38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row>
    <row r="318" spans="1:87" ht="15">
      <c r="A318" s="16"/>
      <c r="B318" s="16"/>
      <c r="C318" s="16"/>
      <c r="D318" s="16"/>
      <c r="E318" s="16"/>
      <c r="F318" s="16"/>
      <c r="G318" s="38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row>
    <row r="319" spans="1:87" ht="15">
      <c r="A319" s="16"/>
      <c r="B319" s="16"/>
      <c r="C319" s="16"/>
      <c r="D319" s="16"/>
      <c r="E319" s="16"/>
      <c r="F319" s="16"/>
      <c r="G319" s="38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row>
    <row r="320" spans="1:87" ht="15">
      <c r="A320" s="16"/>
      <c r="B320" s="16"/>
      <c r="C320" s="16"/>
      <c r="D320" s="16"/>
      <c r="E320" s="16"/>
      <c r="F320" s="16"/>
      <c r="G320" s="38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row>
    <row r="321" spans="1:87" ht="15">
      <c r="A321" s="16"/>
      <c r="B321" s="16"/>
      <c r="C321" s="16"/>
      <c r="D321" s="16"/>
      <c r="E321" s="16"/>
      <c r="F321" s="16"/>
      <c r="G321" s="38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row>
    <row r="322" spans="1:87" ht="15">
      <c r="A322" s="16"/>
      <c r="B322" s="16"/>
      <c r="C322" s="16"/>
      <c r="D322" s="16"/>
      <c r="E322" s="16"/>
      <c r="F322" s="16"/>
      <c r="G322" s="38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row>
    <row r="323" spans="1:87" ht="15">
      <c r="A323" s="16"/>
      <c r="B323" s="16"/>
      <c r="C323" s="16"/>
      <c r="D323" s="16"/>
      <c r="E323" s="16"/>
      <c r="F323" s="16"/>
      <c r="G323" s="38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row>
    <row r="324" spans="1:87" ht="15">
      <c r="A324" s="16"/>
      <c r="B324" s="16"/>
      <c r="C324" s="16"/>
      <c r="D324" s="16"/>
      <c r="E324" s="16"/>
      <c r="F324" s="16"/>
      <c r="G324" s="38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row>
    <row r="325" spans="1:87" ht="15">
      <c r="A325" s="16"/>
      <c r="B325" s="16"/>
      <c r="C325" s="16"/>
      <c r="D325" s="16"/>
      <c r="E325" s="16"/>
      <c r="F325" s="16"/>
      <c r="G325" s="38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row>
    <row r="326" spans="1:87" ht="15">
      <c r="A326" s="16"/>
      <c r="B326" s="16"/>
      <c r="C326" s="16"/>
      <c r="D326" s="16"/>
      <c r="E326" s="16"/>
      <c r="F326" s="16"/>
      <c r="G326" s="38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row>
    <row r="327" spans="1:87" ht="15">
      <c r="A327" s="16"/>
      <c r="B327" s="16"/>
      <c r="C327" s="16"/>
      <c r="D327" s="16"/>
      <c r="E327" s="16"/>
      <c r="F327" s="16"/>
      <c r="G327" s="38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row>
    <row r="328" spans="1:87" ht="15">
      <c r="A328" s="16"/>
      <c r="B328" s="16"/>
      <c r="C328" s="16"/>
      <c r="D328" s="16"/>
      <c r="E328" s="16"/>
      <c r="F328" s="16"/>
      <c r="G328" s="38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row>
    <row r="329" spans="1:87" ht="15">
      <c r="A329" s="16"/>
      <c r="B329" s="16"/>
      <c r="C329" s="16"/>
      <c r="D329" s="16"/>
      <c r="E329" s="16"/>
      <c r="F329" s="16"/>
      <c r="G329" s="38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row>
    <row r="330" spans="1:87" ht="15">
      <c r="A330" s="16"/>
      <c r="B330" s="16"/>
      <c r="C330" s="16"/>
      <c r="D330" s="16"/>
      <c r="E330" s="16"/>
      <c r="F330" s="16"/>
      <c r="G330" s="38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row>
    <row r="331" spans="1:87" ht="15">
      <c r="A331" s="16"/>
      <c r="B331" s="16"/>
      <c r="C331" s="16"/>
      <c r="D331" s="16"/>
      <c r="E331" s="16"/>
      <c r="F331" s="16"/>
      <c r="G331" s="38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row>
    <row r="332" spans="1:87" ht="15">
      <c r="A332" s="16"/>
      <c r="B332" s="16"/>
      <c r="C332" s="16"/>
      <c r="D332" s="16"/>
      <c r="E332" s="16"/>
      <c r="F332" s="16"/>
      <c r="G332" s="38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row>
    <row r="333" spans="1:87" ht="15">
      <c r="A333" s="16"/>
      <c r="B333" s="16"/>
      <c r="C333" s="16"/>
      <c r="D333" s="16"/>
      <c r="E333" s="16"/>
      <c r="F333" s="16"/>
      <c r="G333" s="38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row>
    <row r="334" spans="1:87" ht="15">
      <c r="A334" s="16"/>
      <c r="B334" s="16"/>
      <c r="C334" s="16"/>
      <c r="D334" s="16"/>
      <c r="E334" s="16"/>
      <c r="F334" s="16"/>
      <c r="G334" s="38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row>
    <row r="335" spans="1:87" ht="15">
      <c r="A335" s="16"/>
      <c r="B335" s="16"/>
      <c r="C335" s="16"/>
      <c r="D335" s="16"/>
      <c r="E335" s="16"/>
      <c r="F335" s="16"/>
      <c r="G335" s="38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row>
    <row r="336" spans="1:87" ht="15">
      <c r="A336" s="16"/>
      <c r="B336" s="16"/>
      <c r="C336" s="16"/>
      <c r="D336" s="16"/>
      <c r="E336" s="16"/>
      <c r="F336" s="16"/>
      <c r="G336" s="38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row>
    <row r="337" spans="1:87" ht="15">
      <c r="A337" s="16"/>
      <c r="B337" s="16"/>
      <c r="C337" s="16"/>
      <c r="D337" s="16"/>
      <c r="E337" s="16"/>
      <c r="F337" s="16"/>
      <c r="G337" s="38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row>
    <row r="338" spans="1:87" ht="15">
      <c r="A338" s="16"/>
      <c r="B338" s="16"/>
      <c r="C338" s="16"/>
      <c r="D338" s="16"/>
      <c r="E338" s="16"/>
      <c r="F338" s="16"/>
      <c r="G338" s="38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row>
    <row r="339" spans="1:87" ht="15">
      <c r="A339" s="16"/>
      <c r="B339" s="16"/>
      <c r="C339" s="16"/>
      <c r="D339" s="16"/>
      <c r="E339" s="16"/>
      <c r="F339" s="16"/>
      <c r="G339" s="38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row>
    <row r="340" spans="1:87" ht="15">
      <c r="A340" s="16"/>
      <c r="B340" s="16"/>
      <c r="C340" s="16"/>
      <c r="D340" s="16"/>
      <c r="E340" s="16"/>
      <c r="F340" s="16"/>
      <c r="G340" s="38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row>
    <row r="341" spans="1:87" ht="15">
      <c r="A341" s="16"/>
      <c r="B341" s="16"/>
      <c r="C341" s="16"/>
      <c r="D341" s="16"/>
      <c r="E341" s="16"/>
      <c r="F341" s="16"/>
      <c r="G341" s="38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row>
    <row r="342" spans="1:87" ht="15">
      <c r="A342" s="16"/>
      <c r="B342" s="16"/>
      <c r="C342" s="16"/>
      <c r="D342" s="16"/>
      <c r="E342" s="16"/>
      <c r="F342" s="16"/>
      <c r="G342" s="38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row>
    <row r="343" spans="1:87" ht="15">
      <c r="A343" s="16"/>
      <c r="B343" s="16"/>
      <c r="C343" s="16"/>
      <c r="D343" s="16"/>
      <c r="E343" s="16"/>
      <c r="F343" s="16"/>
      <c r="G343" s="38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row>
    <row r="344" spans="1:87" ht="15">
      <c r="A344" s="16"/>
      <c r="B344" s="16"/>
      <c r="C344" s="16"/>
      <c r="D344" s="16"/>
      <c r="E344" s="16"/>
      <c r="F344" s="16"/>
      <c r="G344" s="38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row>
    <row r="345" spans="1:87" ht="15">
      <c r="A345" s="16"/>
      <c r="B345" s="16"/>
      <c r="C345" s="16"/>
      <c r="D345" s="16"/>
      <c r="E345" s="16"/>
      <c r="F345" s="16"/>
      <c r="G345" s="38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row>
    <row r="346" spans="1:87" ht="15">
      <c r="A346" s="16"/>
      <c r="B346" s="16"/>
      <c r="C346" s="16"/>
      <c r="D346" s="16"/>
      <c r="E346" s="16"/>
      <c r="F346" s="16"/>
      <c r="G346" s="38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row>
    <row r="347" spans="1:87" ht="15">
      <c r="A347" s="16"/>
      <c r="B347" s="16"/>
      <c r="C347" s="16"/>
      <c r="D347" s="16"/>
      <c r="E347" s="16"/>
      <c r="F347" s="16"/>
      <c r="G347" s="38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row>
    <row r="348" spans="1:87" ht="15">
      <c r="A348" s="16"/>
      <c r="B348" s="16"/>
      <c r="C348" s="16"/>
      <c r="D348" s="16"/>
      <c r="E348" s="16"/>
      <c r="F348" s="16"/>
      <c r="G348" s="38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row>
    <row r="349" spans="1:87" ht="15">
      <c r="A349" s="16"/>
      <c r="B349" s="16"/>
      <c r="C349" s="16"/>
      <c r="D349" s="16"/>
      <c r="E349" s="16"/>
      <c r="F349" s="16"/>
      <c r="G349" s="38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row>
    <row r="350" spans="1:87" ht="15">
      <c r="A350" s="16"/>
      <c r="B350" s="16"/>
      <c r="C350" s="16"/>
      <c r="D350" s="16"/>
      <c r="E350" s="16"/>
      <c r="F350" s="16"/>
      <c r="G350" s="38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row>
    <row r="351" spans="1:87" ht="15">
      <c r="A351" s="16"/>
      <c r="B351" s="16"/>
      <c r="C351" s="16"/>
      <c r="D351" s="16"/>
      <c r="E351" s="16"/>
      <c r="F351" s="16"/>
      <c r="G351" s="38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row>
    <row r="352" spans="1:87" ht="15">
      <c r="A352" s="16"/>
      <c r="B352" s="16"/>
      <c r="C352" s="16"/>
      <c r="D352" s="16"/>
      <c r="E352" s="16"/>
      <c r="F352" s="16"/>
      <c r="G352" s="38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row>
    <row r="353" spans="1:87" ht="15">
      <c r="A353" s="16"/>
      <c r="B353" s="16"/>
      <c r="C353" s="16"/>
      <c r="D353" s="16"/>
      <c r="E353" s="16"/>
      <c r="F353" s="16"/>
      <c r="G353" s="38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row>
    <row r="354" spans="1:87" ht="15">
      <c r="A354" s="16"/>
      <c r="B354" s="16"/>
      <c r="C354" s="16"/>
      <c r="D354" s="16"/>
      <c r="E354" s="16"/>
      <c r="F354" s="16"/>
      <c r="G354" s="38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row>
    <row r="355" spans="1:87" ht="15">
      <c r="A355" s="16"/>
      <c r="B355" s="16"/>
      <c r="C355" s="16"/>
      <c r="D355" s="16"/>
      <c r="E355" s="16"/>
      <c r="F355" s="16"/>
      <c r="G355" s="38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row>
    <row r="356" spans="1:87" ht="15">
      <c r="A356" s="16"/>
      <c r="B356" s="16"/>
      <c r="C356" s="16"/>
      <c r="D356" s="16"/>
      <c r="E356" s="16"/>
      <c r="F356" s="16"/>
      <c r="G356" s="38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row>
    <row r="357" spans="1:87" ht="15">
      <c r="A357" s="16"/>
      <c r="B357" s="16"/>
      <c r="C357" s="16"/>
      <c r="D357" s="16"/>
      <c r="E357" s="16"/>
      <c r="F357" s="16"/>
      <c r="G357" s="38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row>
    <row r="358" spans="1:87" ht="15">
      <c r="A358" s="16"/>
      <c r="B358" s="16"/>
      <c r="C358" s="16"/>
      <c r="D358" s="16"/>
      <c r="E358" s="16"/>
      <c r="F358" s="16"/>
      <c r="G358" s="38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row>
    <row r="359" spans="1:87" ht="15">
      <c r="A359" s="16"/>
      <c r="B359" s="16"/>
      <c r="C359" s="16"/>
      <c r="D359" s="16"/>
      <c r="E359" s="16"/>
      <c r="F359" s="16"/>
      <c r="G359" s="38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row>
    <row r="360" spans="1:87" ht="15">
      <c r="A360" s="16"/>
      <c r="B360" s="16"/>
      <c r="C360" s="16"/>
      <c r="D360" s="16"/>
      <c r="E360" s="16"/>
      <c r="F360" s="16"/>
      <c r="G360" s="38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row>
    <row r="361" spans="1:87" ht="15">
      <c r="A361" s="16"/>
      <c r="B361" s="16"/>
      <c r="C361" s="16"/>
      <c r="D361" s="16"/>
      <c r="E361" s="16"/>
      <c r="F361" s="16"/>
      <c r="G361" s="38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row>
    <row r="362" spans="1:87" ht="15">
      <c r="A362" s="16"/>
      <c r="B362" s="16"/>
      <c r="C362" s="16"/>
      <c r="D362" s="16"/>
      <c r="E362" s="16"/>
      <c r="F362" s="16"/>
      <c r="G362" s="38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row>
    <row r="363" spans="1:87" ht="15">
      <c r="A363" s="16"/>
      <c r="B363" s="16"/>
      <c r="C363" s="16"/>
      <c r="D363" s="16"/>
      <c r="E363" s="16"/>
      <c r="F363" s="16"/>
      <c r="G363" s="38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row>
    <row r="364" spans="1:87" ht="15">
      <c r="A364" s="16"/>
      <c r="B364" s="16"/>
      <c r="C364" s="16"/>
      <c r="D364" s="16"/>
      <c r="E364" s="16"/>
      <c r="F364" s="16"/>
      <c r="G364" s="38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row>
    <row r="365" spans="1:87" ht="15">
      <c r="A365" s="16"/>
      <c r="B365" s="16"/>
      <c r="C365" s="16"/>
      <c r="D365" s="16"/>
      <c r="E365" s="16"/>
      <c r="F365" s="16"/>
      <c r="G365" s="38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row>
    <row r="366" spans="1:87" ht="15">
      <c r="A366" s="16"/>
      <c r="B366" s="16"/>
      <c r="C366" s="16"/>
      <c r="D366" s="16"/>
      <c r="E366" s="16"/>
      <c r="F366" s="16"/>
      <c r="G366" s="38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row>
    <row r="367" spans="1:87" ht="15">
      <c r="A367" s="16"/>
      <c r="B367" s="16"/>
      <c r="C367" s="16"/>
      <c r="D367" s="16"/>
      <c r="E367" s="16"/>
      <c r="F367" s="16"/>
      <c r="G367" s="38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row>
    <row r="368" spans="1:87" ht="15">
      <c r="A368" s="16"/>
      <c r="B368" s="16"/>
      <c r="C368" s="16"/>
      <c r="D368" s="16"/>
      <c r="E368" s="16"/>
      <c r="F368" s="16"/>
      <c r="G368" s="38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row>
    <row r="369" spans="1:87" ht="15">
      <c r="A369" s="16"/>
      <c r="B369" s="16"/>
      <c r="C369" s="16"/>
      <c r="D369" s="16"/>
      <c r="E369" s="16"/>
      <c r="F369" s="16"/>
      <c r="G369" s="38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row>
    <row r="370" spans="1:87" ht="15">
      <c r="A370" s="16"/>
      <c r="B370" s="16"/>
      <c r="C370" s="16"/>
      <c r="D370" s="16"/>
      <c r="E370" s="16"/>
      <c r="F370" s="16"/>
      <c r="G370" s="38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row>
    <row r="371" spans="1:87" ht="15">
      <c r="A371" s="16"/>
      <c r="B371" s="16"/>
      <c r="C371" s="16"/>
      <c r="D371" s="16"/>
      <c r="E371" s="16"/>
      <c r="F371" s="16"/>
      <c r="G371" s="38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row>
    <row r="372" spans="1:87" ht="15">
      <c r="A372" s="16"/>
      <c r="B372" s="16"/>
      <c r="C372" s="16"/>
      <c r="D372" s="16"/>
      <c r="E372" s="16"/>
      <c r="F372" s="16"/>
      <c r="G372" s="38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c r="CI372" s="16"/>
    </row>
    <row r="373" spans="1:87" ht="15">
      <c r="A373" s="16"/>
      <c r="B373" s="16"/>
      <c r="C373" s="16"/>
      <c r="D373" s="16"/>
      <c r="E373" s="16"/>
      <c r="F373" s="16"/>
      <c r="G373" s="38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row>
    <row r="374" spans="1:87" ht="15">
      <c r="A374" s="16"/>
      <c r="B374" s="16"/>
      <c r="C374" s="16"/>
      <c r="D374" s="16"/>
      <c r="E374" s="16"/>
      <c r="F374" s="16"/>
      <c r="G374" s="38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row>
    <row r="375" spans="1:87" ht="15">
      <c r="A375" s="16"/>
      <c r="B375" s="16"/>
      <c r="C375" s="16"/>
      <c r="D375" s="16"/>
      <c r="E375" s="16"/>
      <c r="F375" s="16"/>
      <c r="G375" s="38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row>
    <row r="376" spans="1:87" ht="15">
      <c r="A376" s="16"/>
      <c r="B376" s="16"/>
      <c r="C376" s="16"/>
      <c r="D376" s="16"/>
      <c r="E376" s="16"/>
      <c r="F376" s="16"/>
      <c r="G376" s="38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row>
    <row r="377" spans="1:87" ht="15">
      <c r="A377" s="16"/>
      <c r="B377" s="16"/>
      <c r="C377" s="16"/>
      <c r="D377" s="16"/>
      <c r="E377" s="16"/>
      <c r="F377" s="16"/>
      <c r="G377" s="38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row>
    <row r="378" spans="1:87" ht="15">
      <c r="A378" s="16"/>
      <c r="B378" s="16"/>
      <c r="C378" s="16"/>
      <c r="D378" s="16"/>
      <c r="E378" s="16"/>
      <c r="F378" s="16"/>
      <c r="G378" s="38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row>
    <row r="379" spans="1:87" ht="15">
      <c r="A379" s="16"/>
      <c r="B379" s="16"/>
      <c r="C379" s="16"/>
      <c r="D379" s="16"/>
      <c r="E379" s="16"/>
      <c r="F379" s="16"/>
      <c r="G379" s="38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row>
    <row r="380" spans="1:87" ht="15">
      <c r="A380" s="16"/>
      <c r="B380" s="16"/>
      <c r="C380" s="16"/>
      <c r="D380" s="16"/>
      <c r="E380" s="16"/>
      <c r="F380" s="16"/>
      <c r="G380" s="38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row>
    <row r="381" spans="1:87" ht="15">
      <c r="A381" s="16"/>
      <c r="B381" s="16"/>
      <c r="C381" s="16"/>
      <c r="D381" s="16"/>
      <c r="E381" s="16"/>
      <c r="F381" s="16"/>
      <c r="G381" s="38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row>
    <row r="382" spans="1:87" ht="15">
      <c r="A382" s="16"/>
      <c r="B382" s="16"/>
      <c r="C382" s="16"/>
      <c r="D382" s="16"/>
      <c r="E382" s="16"/>
      <c r="F382" s="16"/>
      <c r="G382" s="38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row>
    <row r="383" spans="1:87" ht="15">
      <c r="A383" s="16"/>
      <c r="B383" s="16"/>
      <c r="C383" s="16"/>
      <c r="D383" s="16"/>
      <c r="E383" s="16"/>
      <c r="F383" s="16"/>
      <c r="G383" s="38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row>
    <row r="384" spans="1:87" ht="15">
      <c r="A384" s="16"/>
      <c r="B384" s="16"/>
      <c r="C384" s="16"/>
      <c r="D384" s="16"/>
      <c r="E384" s="16"/>
      <c r="F384" s="16"/>
      <c r="G384" s="38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row>
    <row r="385" spans="1:87" ht="15">
      <c r="A385" s="16"/>
      <c r="B385" s="16"/>
      <c r="C385" s="16"/>
      <c r="D385" s="16"/>
      <c r="E385" s="16"/>
      <c r="F385" s="16"/>
      <c r="G385" s="38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row>
    <row r="386" spans="1:87" ht="15">
      <c r="A386" s="16"/>
      <c r="B386" s="16"/>
      <c r="C386" s="16"/>
      <c r="D386" s="16"/>
      <c r="E386" s="16"/>
      <c r="F386" s="16"/>
      <c r="G386" s="38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row>
    <row r="387" spans="1:87" ht="15">
      <c r="A387" s="16"/>
      <c r="B387" s="16"/>
      <c r="C387" s="16"/>
      <c r="D387" s="16"/>
      <c r="E387" s="16"/>
      <c r="F387" s="16"/>
      <c r="G387" s="38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row>
    <row r="388" spans="1:87" ht="15">
      <c r="A388" s="16"/>
      <c r="B388" s="16"/>
      <c r="C388" s="16"/>
      <c r="D388" s="16"/>
      <c r="E388" s="16"/>
      <c r="F388" s="16"/>
      <c r="G388" s="38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row>
    <row r="389" spans="1:87" ht="15">
      <c r="A389" s="16"/>
      <c r="B389" s="16"/>
      <c r="C389" s="16"/>
      <c r="D389" s="16"/>
      <c r="E389" s="16"/>
      <c r="F389" s="16"/>
      <c r="G389" s="38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row>
    <row r="390" spans="1:87" ht="15">
      <c r="A390" s="16"/>
      <c r="B390" s="16"/>
      <c r="C390" s="16"/>
      <c r="D390" s="16"/>
      <c r="E390" s="16"/>
      <c r="F390" s="16"/>
      <c r="G390" s="38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row>
    <row r="391" spans="1:87" ht="15">
      <c r="A391" s="16"/>
      <c r="B391" s="16"/>
      <c r="C391" s="16"/>
      <c r="D391" s="16"/>
      <c r="E391" s="16"/>
      <c r="F391" s="16"/>
      <c r="G391" s="38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row>
    <row r="392" spans="1:87" ht="15">
      <c r="A392" s="16"/>
      <c r="B392" s="16"/>
      <c r="C392" s="16"/>
      <c r="D392" s="16"/>
      <c r="E392" s="16"/>
      <c r="F392" s="16"/>
      <c r="G392" s="38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row>
    <row r="393" spans="1:87" ht="15">
      <c r="A393" s="16"/>
      <c r="B393" s="16"/>
      <c r="C393" s="16"/>
      <c r="D393" s="16"/>
      <c r="E393" s="16"/>
      <c r="F393" s="16"/>
      <c r="G393" s="38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row>
    <row r="394" spans="1:87" ht="15">
      <c r="A394" s="16"/>
      <c r="B394" s="16"/>
      <c r="C394" s="16"/>
      <c r="D394" s="16"/>
      <c r="E394" s="16"/>
      <c r="F394" s="16"/>
      <c r="G394" s="38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row>
    <row r="395" spans="1:87" ht="15">
      <c r="A395" s="16"/>
      <c r="B395" s="16"/>
      <c r="C395" s="16"/>
      <c r="D395" s="16"/>
      <c r="E395" s="16"/>
      <c r="F395" s="16"/>
      <c r="G395" s="38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row>
    <row r="396" spans="1:87" ht="15">
      <c r="A396" s="16"/>
      <c r="B396" s="16"/>
      <c r="C396" s="16"/>
      <c r="D396" s="16"/>
      <c r="E396" s="16"/>
      <c r="F396" s="16"/>
      <c r="G396" s="38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row>
    <row r="397" spans="1:87" ht="15">
      <c r="A397" s="16"/>
      <c r="B397" s="16"/>
      <c r="C397" s="16"/>
      <c r="D397" s="16"/>
      <c r="E397" s="16"/>
      <c r="F397" s="16"/>
      <c r="G397" s="38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row>
    <row r="398" spans="1:87" ht="15">
      <c r="A398" s="16"/>
      <c r="B398" s="16"/>
      <c r="C398" s="16"/>
      <c r="D398" s="16"/>
      <c r="E398" s="16"/>
      <c r="F398" s="16"/>
      <c r="G398" s="38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row>
    <row r="399" spans="1:87" ht="15">
      <c r="A399" s="16"/>
      <c r="B399" s="16"/>
      <c r="C399" s="16"/>
      <c r="D399" s="16"/>
      <c r="E399" s="16"/>
      <c r="F399" s="16"/>
      <c r="G399" s="38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row>
    <row r="400" spans="1:87" ht="15">
      <c r="A400" s="16"/>
      <c r="B400" s="16"/>
      <c r="C400" s="16"/>
      <c r="D400" s="16"/>
      <c r="E400" s="16"/>
      <c r="F400" s="16"/>
      <c r="G400" s="38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row>
    <row r="401" spans="1:87" ht="15">
      <c r="A401" s="16"/>
      <c r="B401" s="16"/>
      <c r="C401" s="16"/>
      <c r="D401" s="16"/>
      <c r="E401" s="16"/>
      <c r="F401" s="16"/>
      <c r="G401" s="38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row>
    <row r="402" spans="1:87" ht="15">
      <c r="A402" s="16"/>
      <c r="B402" s="16"/>
      <c r="C402" s="16"/>
      <c r="D402" s="16"/>
      <c r="E402" s="16"/>
      <c r="F402" s="16"/>
      <c r="G402" s="38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row>
    <row r="403" spans="1:87" ht="15">
      <c r="A403" s="16"/>
      <c r="B403" s="16"/>
      <c r="C403" s="16"/>
      <c r="D403" s="16"/>
      <c r="E403" s="16"/>
      <c r="F403" s="16"/>
      <c r="G403" s="38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row>
    <row r="404" spans="1:87" ht="15">
      <c r="A404" s="16"/>
      <c r="B404" s="16"/>
      <c r="C404" s="16"/>
      <c r="D404" s="16"/>
      <c r="E404" s="16"/>
      <c r="F404" s="16"/>
      <c r="G404" s="38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row>
    <row r="405" spans="1:87" ht="15">
      <c r="A405" s="16"/>
      <c r="B405" s="16"/>
      <c r="C405" s="16"/>
      <c r="D405" s="16"/>
      <c r="E405" s="16"/>
      <c r="F405" s="16"/>
      <c r="G405" s="38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row>
    <row r="406" spans="1:87" ht="15">
      <c r="A406" s="16"/>
      <c r="B406" s="16"/>
      <c r="C406" s="16"/>
      <c r="D406" s="16"/>
      <c r="E406" s="16"/>
      <c r="F406" s="16"/>
      <c r="G406" s="38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row>
    <row r="407" spans="1:87" ht="15">
      <c r="A407" s="16"/>
      <c r="B407" s="16"/>
      <c r="C407" s="16"/>
      <c r="D407" s="16"/>
      <c r="E407" s="16"/>
      <c r="F407" s="16"/>
      <c r="G407" s="38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row>
    <row r="408" spans="1:87" ht="15">
      <c r="A408" s="16"/>
      <c r="B408" s="16"/>
      <c r="C408" s="16"/>
      <c r="D408" s="16"/>
      <c r="E408" s="16"/>
      <c r="F408" s="16"/>
      <c r="G408" s="38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row>
    <row r="409" spans="1:87" ht="15">
      <c r="A409" s="16"/>
      <c r="B409" s="16"/>
      <c r="C409" s="16"/>
      <c r="D409" s="16"/>
      <c r="E409" s="16"/>
      <c r="F409" s="16"/>
      <c r="G409" s="38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row>
    <row r="410" spans="1:87" ht="15">
      <c r="A410" s="16"/>
      <c r="B410" s="16"/>
      <c r="C410" s="16"/>
      <c r="D410" s="16"/>
      <c r="E410" s="16"/>
      <c r="F410" s="16"/>
      <c r="G410" s="38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row>
    <row r="411" spans="1:87" ht="15">
      <c r="A411" s="16"/>
      <c r="B411" s="16"/>
      <c r="C411" s="16"/>
      <c r="D411" s="16"/>
      <c r="E411" s="16"/>
      <c r="F411" s="16"/>
      <c r="G411" s="38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row>
    <row r="412" spans="1:87" ht="15">
      <c r="A412" s="16"/>
      <c r="B412" s="16"/>
      <c r="C412" s="16"/>
      <c r="D412" s="16"/>
      <c r="E412" s="16"/>
      <c r="F412" s="16"/>
      <c r="G412" s="38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row>
    <row r="413" spans="1:87" ht="15">
      <c r="A413" s="16"/>
      <c r="B413" s="16"/>
      <c r="C413" s="16"/>
      <c r="D413" s="16"/>
      <c r="E413" s="16"/>
      <c r="F413" s="16"/>
      <c r="G413" s="38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row>
    <row r="414" spans="1:87" ht="15">
      <c r="A414" s="16"/>
      <c r="B414" s="16"/>
      <c r="C414" s="16"/>
      <c r="D414" s="16"/>
      <c r="E414" s="16"/>
      <c r="F414" s="16"/>
      <c r="G414" s="38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row>
    <row r="415" spans="1:87" ht="15">
      <c r="A415" s="16"/>
      <c r="B415" s="16"/>
      <c r="C415" s="16"/>
      <c r="D415" s="16"/>
      <c r="E415" s="16"/>
      <c r="F415" s="16"/>
      <c r="G415" s="38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row>
    <row r="416" spans="1:87" ht="15">
      <c r="A416" s="16"/>
      <c r="B416" s="16"/>
      <c r="C416" s="16"/>
      <c r="D416" s="16"/>
      <c r="E416" s="16"/>
      <c r="F416" s="16"/>
      <c r="G416" s="38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row>
    <row r="417" spans="1:87" ht="15">
      <c r="A417" s="16"/>
      <c r="B417" s="16"/>
      <c r="C417" s="16"/>
      <c r="D417" s="16"/>
      <c r="E417" s="16"/>
      <c r="F417" s="16"/>
      <c r="G417" s="38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row>
    <row r="418" spans="1:87" ht="15">
      <c r="A418" s="16"/>
      <c r="B418" s="16"/>
      <c r="C418" s="16"/>
      <c r="D418" s="16"/>
      <c r="E418" s="16"/>
      <c r="F418" s="16"/>
      <c r="G418" s="38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row>
    <row r="419" spans="1:87" ht="15">
      <c r="A419" s="16"/>
      <c r="B419" s="16"/>
      <c r="C419" s="16"/>
      <c r="D419" s="16"/>
      <c r="E419" s="16"/>
      <c r="F419" s="16"/>
      <c r="G419" s="38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row>
    <row r="420" spans="1:87" ht="15">
      <c r="A420" s="16"/>
      <c r="B420" s="16"/>
      <c r="C420" s="16"/>
      <c r="D420" s="16"/>
      <c r="E420" s="16"/>
      <c r="F420" s="16"/>
      <c r="G420" s="38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row>
    <row r="421" spans="1:87" ht="15">
      <c r="A421" s="16"/>
      <c r="B421" s="16"/>
      <c r="C421" s="16"/>
      <c r="D421" s="16"/>
      <c r="E421" s="16"/>
      <c r="F421" s="16"/>
      <c r="G421" s="38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row>
    <row r="422" spans="1:87" ht="15">
      <c r="A422" s="16"/>
      <c r="B422" s="16"/>
      <c r="C422" s="16"/>
      <c r="D422" s="16"/>
      <c r="E422" s="16"/>
      <c r="F422" s="16"/>
      <c r="G422" s="38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row>
    <row r="423" spans="1:87" ht="15">
      <c r="A423" s="16"/>
      <c r="B423" s="16"/>
      <c r="C423" s="16"/>
      <c r="D423" s="16"/>
      <c r="E423" s="16"/>
      <c r="F423" s="16"/>
      <c r="G423" s="38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row>
    <row r="424" spans="1:87" ht="15">
      <c r="A424" s="16"/>
      <c r="B424" s="16"/>
      <c r="C424" s="16"/>
      <c r="D424" s="16"/>
      <c r="E424" s="16"/>
      <c r="F424" s="16"/>
      <c r="G424" s="38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row>
    <row r="425" spans="1:87" ht="15">
      <c r="A425" s="16"/>
      <c r="B425" s="16"/>
      <c r="C425" s="16"/>
      <c r="D425" s="16"/>
      <c r="E425" s="16"/>
      <c r="F425" s="16"/>
      <c r="G425" s="38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row>
    <row r="426" spans="1:87" ht="15">
      <c r="A426" s="16"/>
      <c r="B426" s="16"/>
      <c r="C426" s="16"/>
      <c r="D426" s="16"/>
      <c r="E426" s="16"/>
      <c r="F426" s="16"/>
      <c r="G426" s="38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row>
    <row r="427" spans="1:87" ht="15">
      <c r="A427" s="16"/>
      <c r="B427" s="16"/>
      <c r="C427" s="16"/>
      <c r="D427" s="16"/>
      <c r="E427" s="16"/>
      <c r="F427" s="16"/>
      <c r="G427" s="38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row>
    <row r="428" spans="1:87" ht="15">
      <c r="A428" s="16"/>
      <c r="B428" s="16"/>
      <c r="C428" s="16"/>
      <c r="D428" s="16"/>
      <c r="E428" s="16"/>
      <c r="F428" s="16"/>
      <c r="G428" s="38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row>
    <row r="429" spans="1:87" ht="15">
      <c r="A429" s="16"/>
      <c r="B429" s="16"/>
      <c r="C429" s="16"/>
      <c r="D429" s="16"/>
      <c r="E429" s="16"/>
      <c r="F429" s="16"/>
      <c r="G429" s="38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c r="CI429" s="16"/>
    </row>
    <row r="430" spans="1:87" ht="15">
      <c r="A430" s="16"/>
      <c r="B430" s="16"/>
      <c r="C430" s="16"/>
      <c r="D430" s="16"/>
      <c r="E430" s="16"/>
      <c r="F430" s="16"/>
      <c r="G430" s="38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row>
    <row r="431" spans="1:87" ht="15">
      <c r="A431" s="16"/>
      <c r="B431" s="16"/>
      <c r="C431" s="16"/>
      <c r="D431" s="16"/>
      <c r="E431" s="16"/>
      <c r="F431" s="16"/>
      <c r="G431" s="38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row>
    <row r="432" spans="1:87" ht="15">
      <c r="A432" s="16"/>
      <c r="B432" s="16"/>
      <c r="C432" s="16"/>
      <c r="D432" s="16"/>
      <c r="E432" s="16"/>
      <c r="F432" s="16"/>
      <c r="G432" s="38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row>
    <row r="433" spans="1:87" ht="15">
      <c r="A433" s="16"/>
      <c r="B433" s="16"/>
      <c r="C433" s="16"/>
      <c r="D433" s="16"/>
      <c r="E433" s="16"/>
      <c r="F433" s="16"/>
      <c r="G433" s="38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row>
    <row r="434" spans="1:87" ht="15">
      <c r="A434" s="16"/>
      <c r="B434" s="16"/>
      <c r="C434" s="16"/>
      <c r="D434" s="16"/>
      <c r="E434" s="16"/>
      <c r="F434" s="16"/>
      <c r="G434" s="38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row>
    <row r="435" spans="1:87" ht="15">
      <c r="A435" s="16"/>
      <c r="B435" s="16"/>
      <c r="C435" s="16"/>
      <c r="D435" s="16"/>
      <c r="E435" s="16"/>
      <c r="F435" s="16"/>
      <c r="G435" s="38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row>
    <row r="436" spans="1:87" ht="15">
      <c r="A436" s="16"/>
      <c r="B436" s="16"/>
      <c r="C436" s="16"/>
      <c r="D436" s="16"/>
      <c r="E436" s="16"/>
      <c r="F436" s="16"/>
      <c r="G436" s="38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row>
    <row r="437" spans="1:87" ht="15">
      <c r="A437" s="16"/>
      <c r="B437" s="16"/>
      <c r="C437" s="16"/>
      <c r="D437" s="16"/>
      <c r="E437" s="16"/>
      <c r="F437" s="16"/>
      <c r="G437" s="38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row>
    <row r="438" spans="1:87" ht="15">
      <c r="A438" s="16"/>
      <c r="B438" s="16"/>
      <c r="C438" s="16"/>
      <c r="D438" s="16"/>
      <c r="E438" s="16"/>
      <c r="F438" s="16"/>
      <c r="G438" s="38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row>
    <row r="439" spans="1:87" ht="15">
      <c r="A439" s="16"/>
      <c r="B439" s="16"/>
      <c r="C439" s="16"/>
      <c r="D439" s="16"/>
      <c r="E439" s="16"/>
      <c r="F439" s="16"/>
      <c r="G439" s="38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c r="CI439" s="16"/>
    </row>
    <row r="440" spans="1:87" ht="15">
      <c r="A440" s="16"/>
      <c r="B440" s="16"/>
      <c r="C440" s="16"/>
      <c r="D440" s="16"/>
      <c r="E440" s="16"/>
      <c r="F440" s="16"/>
      <c r="G440" s="38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row>
    <row r="441" spans="1:87" ht="15">
      <c r="A441" s="16"/>
      <c r="B441" s="16"/>
      <c r="C441" s="16"/>
      <c r="D441" s="16"/>
      <c r="E441" s="16"/>
      <c r="F441" s="16"/>
      <c r="G441" s="38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row>
    <row r="442" spans="1:87" ht="15">
      <c r="A442" s="16"/>
      <c r="B442" s="16"/>
      <c r="C442" s="16"/>
      <c r="D442" s="16"/>
      <c r="E442" s="16"/>
      <c r="F442" s="16"/>
      <c r="G442" s="38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row>
    <row r="443" spans="1:87" ht="15">
      <c r="A443" s="16"/>
      <c r="B443" s="16"/>
      <c r="C443" s="16"/>
      <c r="D443" s="16"/>
      <c r="E443" s="16"/>
      <c r="F443" s="16"/>
      <c r="G443" s="38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row>
    <row r="444" spans="1:87" ht="15">
      <c r="A444" s="16"/>
      <c r="B444" s="16"/>
      <c r="C444" s="16"/>
      <c r="D444" s="16"/>
      <c r="E444" s="16"/>
      <c r="F444" s="16"/>
      <c r="G444" s="38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row>
    <row r="445" spans="1:87" ht="15">
      <c r="A445" s="16"/>
      <c r="B445" s="16"/>
      <c r="C445" s="16"/>
      <c r="D445" s="16"/>
      <c r="E445" s="16"/>
      <c r="F445" s="16"/>
      <c r="G445" s="38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row>
    <row r="446" spans="1:87" ht="15">
      <c r="A446" s="16"/>
      <c r="B446" s="16"/>
      <c r="C446" s="16"/>
      <c r="D446" s="16"/>
      <c r="E446" s="16"/>
      <c r="F446" s="16"/>
      <c r="G446" s="38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row>
    <row r="447" spans="1:87" ht="15">
      <c r="A447" s="16"/>
      <c r="B447" s="16"/>
      <c r="C447" s="16"/>
      <c r="D447" s="16"/>
      <c r="E447" s="16"/>
      <c r="F447" s="16"/>
      <c r="G447" s="38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row>
    <row r="448" spans="1:87" ht="15">
      <c r="A448" s="16"/>
      <c r="B448" s="16"/>
      <c r="C448" s="16"/>
      <c r="D448" s="16"/>
      <c r="E448" s="16"/>
      <c r="F448" s="16"/>
      <c r="G448" s="38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row>
    <row r="449" spans="1:87" ht="15">
      <c r="A449" s="16"/>
      <c r="B449" s="16"/>
      <c r="C449" s="16"/>
      <c r="D449" s="16"/>
      <c r="E449" s="16"/>
      <c r="F449" s="16"/>
      <c r="G449" s="38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row>
    <row r="450" spans="1:87" ht="15">
      <c r="A450" s="16"/>
      <c r="B450" s="16"/>
      <c r="C450" s="16"/>
      <c r="D450" s="16"/>
      <c r="E450" s="16"/>
      <c r="F450" s="16"/>
      <c r="G450" s="38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row>
    <row r="451" spans="1:87" ht="15">
      <c r="A451" s="16"/>
      <c r="B451" s="16"/>
      <c r="C451" s="16"/>
      <c r="D451" s="16"/>
      <c r="E451" s="16"/>
      <c r="F451" s="16"/>
      <c r="G451" s="38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row>
    <row r="452" spans="1:87" ht="15">
      <c r="A452" s="16"/>
      <c r="B452" s="16"/>
      <c r="C452" s="16"/>
      <c r="D452" s="16"/>
      <c r="E452" s="16"/>
      <c r="F452" s="16"/>
      <c r="G452" s="38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row>
    <row r="453" spans="1:87" ht="15">
      <c r="A453" s="16"/>
      <c r="B453" s="16"/>
      <c r="C453" s="16"/>
      <c r="D453" s="16"/>
      <c r="E453" s="16"/>
      <c r="F453" s="16"/>
      <c r="G453" s="38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row>
    <row r="454" spans="1:87" ht="15">
      <c r="A454" s="16"/>
      <c r="B454" s="16"/>
      <c r="C454" s="16"/>
      <c r="D454" s="16"/>
      <c r="E454" s="16"/>
      <c r="F454" s="16"/>
      <c r="G454" s="38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row>
    <row r="455" spans="1:87" ht="15">
      <c r="A455" s="16"/>
      <c r="B455" s="16"/>
      <c r="C455" s="16"/>
      <c r="D455" s="16"/>
      <c r="E455" s="16"/>
      <c r="F455" s="16"/>
      <c r="G455" s="38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row>
    <row r="456" spans="1:87" ht="15">
      <c r="A456" s="16"/>
      <c r="B456" s="16"/>
      <c r="C456" s="16"/>
      <c r="D456" s="16"/>
      <c r="E456" s="16"/>
      <c r="F456" s="16"/>
      <c r="G456" s="38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row>
    <row r="457" spans="1:87" ht="15">
      <c r="A457" s="16"/>
      <c r="B457" s="16"/>
      <c r="C457" s="16"/>
      <c r="D457" s="16"/>
      <c r="E457" s="16"/>
      <c r="F457" s="16"/>
      <c r="G457" s="38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row>
    <row r="458" spans="1:87" ht="15">
      <c r="A458" s="16"/>
      <c r="B458" s="16"/>
      <c r="C458" s="16"/>
      <c r="D458" s="16"/>
      <c r="E458" s="16"/>
      <c r="F458" s="16"/>
      <c r="G458" s="38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row>
    <row r="459" spans="1:87" ht="15">
      <c r="A459" s="16"/>
      <c r="B459" s="16"/>
      <c r="C459" s="16"/>
      <c r="D459" s="16"/>
      <c r="E459" s="16"/>
      <c r="F459" s="16"/>
      <c r="G459" s="38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row>
    <row r="460" spans="1:87" ht="15">
      <c r="A460" s="16"/>
      <c r="B460" s="16"/>
      <c r="C460" s="16"/>
      <c r="D460" s="16"/>
      <c r="E460" s="16"/>
      <c r="F460" s="16"/>
      <c r="G460" s="38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row>
    <row r="461" spans="1:87" ht="15">
      <c r="A461" s="16"/>
      <c r="B461" s="16"/>
      <c r="C461" s="16"/>
      <c r="D461" s="16"/>
      <c r="E461" s="16"/>
      <c r="F461" s="16"/>
      <c r="G461" s="38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row>
    <row r="462" spans="1:87" ht="15">
      <c r="A462" s="16"/>
      <c r="B462" s="16"/>
      <c r="C462" s="16"/>
      <c r="D462" s="16"/>
      <c r="E462" s="16"/>
      <c r="F462" s="16"/>
      <c r="G462" s="38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row>
    <row r="463" spans="1:87" ht="15">
      <c r="A463" s="16"/>
      <c r="B463" s="16"/>
      <c r="C463" s="16"/>
      <c r="D463" s="16"/>
      <c r="E463" s="16"/>
      <c r="F463" s="16"/>
      <c r="G463" s="38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row>
    <row r="464" spans="1:87" ht="15">
      <c r="A464" s="16"/>
      <c r="B464" s="16"/>
      <c r="C464" s="16"/>
      <c r="D464" s="16"/>
      <c r="E464" s="16"/>
      <c r="F464" s="16"/>
      <c r="G464" s="38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row>
    <row r="465" spans="1:87" ht="15">
      <c r="A465" s="16"/>
      <c r="B465" s="16"/>
      <c r="C465" s="16"/>
      <c r="D465" s="16"/>
      <c r="E465" s="16"/>
      <c r="F465" s="16"/>
      <c r="G465" s="38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row>
    <row r="466" spans="1:87" ht="15">
      <c r="A466" s="16"/>
      <c r="B466" s="16"/>
      <c r="C466" s="16"/>
      <c r="D466" s="16"/>
      <c r="E466" s="16"/>
      <c r="F466" s="16"/>
      <c r="G466" s="38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row>
    <row r="467" spans="1:87" ht="15">
      <c r="A467" s="16"/>
      <c r="B467" s="16"/>
      <c r="C467" s="16"/>
      <c r="D467" s="16"/>
      <c r="E467" s="16"/>
      <c r="F467" s="16"/>
      <c r="G467" s="38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row>
    <row r="468" spans="1:87" ht="15">
      <c r="A468" s="16"/>
      <c r="B468" s="16"/>
      <c r="C468" s="16"/>
      <c r="D468" s="16"/>
      <c r="E468" s="16"/>
      <c r="F468" s="16"/>
      <c r="G468" s="38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row>
    <row r="469" spans="1:87" ht="15">
      <c r="A469" s="16"/>
      <c r="B469" s="16"/>
      <c r="C469" s="16"/>
      <c r="D469" s="16"/>
      <c r="E469" s="16"/>
      <c r="F469" s="16"/>
      <c r="G469" s="38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row>
    <row r="470" spans="1:87" ht="15">
      <c r="A470" s="16"/>
      <c r="B470" s="16"/>
      <c r="C470" s="16"/>
      <c r="D470" s="16"/>
      <c r="E470" s="16"/>
      <c r="F470" s="16"/>
      <c r="G470" s="38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row>
    <row r="471" spans="1:87" ht="15">
      <c r="A471" s="16"/>
      <c r="B471" s="16"/>
      <c r="C471" s="16"/>
      <c r="D471" s="16"/>
      <c r="E471" s="16"/>
      <c r="F471" s="16"/>
      <c r="G471" s="38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row>
    <row r="472" spans="1:87" ht="15">
      <c r="A472" s="16"/>
      <c r="B472" s="16"/>
      <c r="C472" s="16"/>
      <c r="D472" s="16"/>
      <c r="E472" s="16"/>
      <c r="F472" s="16"/>
      <c r="G472" s="38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row>
    <row r="473" spans="1:87" ht="15">
      <c r="A473" s="16"/>
      <c r="B473" s="16"/>
      <c r="C473" s="16"/>
      <c r="D473" s="16"/>
      <c r="E473" s="16"/>
      <c r="F473" s="16"/>
      <c r="G473" s="38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row>
    <row r="474" spans="1:87" ht="15">
      <c r="A474" s="16"/>
      <c r="B474" s="16"/>
      <c r="C474" s="16"/>
      <c r="D474" s="16"/>
      <c r="E474" s="16"/>
      <c r="F474" s="16"/>
      <c r="G474" s="38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row>
    <row r="475" spans="1:87" ht="15">
      <c r="A475" s="16"/>
      <c r="B475" s="16"/>
      <c r="C475" s="16"/>
      <c r="D475" s="16"/>
      <c r="E475" s="16"/>
      <c r="F475" s="16"/>
      <c r="G475" s="38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row>
    <row r="476" spans="1:87" ht="15">
      <c r="A476" s="16"/>
      <c r="B476" s="16"/>
      <c r="C476" s="16"/>
      <c r="D476" s="16"/>
      <c r="E476" s="16"/>
      <c r="F476" s="16"/>
      <c r="G476" s="38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row>
    <row r="477" spans="1:87" ht="15">
      <c r="A477" s="16"/>
      <c r="B477" s="16"/>
      <c r="C477" s="16"/>
      <c r="D477" s="16"/>
      <c r="E477" s="16"/>
      <c r="F477" s="16"/>
      <c r="G477" s="38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row>
    <row r="478" spans="1:87" ht="15">
      <c r="A478" s="16"/>
      <c r="B478" s="16"/>
      <c r="C478" s="16"/>
      <c r="D478" s="16"/>
      <c r="E478" s="16"/>
      <c r="F478" s="16"/>
      <c r="G478" s="38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row>
    <row r="479" spans="1:87" ht="15">
      <c r="A479" s="16"/>
      <c r="B479" s="16"/>
      <c r="C479" s="16"/>
      <c r="D479" s="16"/>
      <c r="E479" s="16"/>
      <c r="F479" s="16"/>
      <c r="G479" s="38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row>
    <row r="480" spans="1:87" ht="15">
      <c r="A480" s="16"/>
      <c r="B480" s="16"/>
      <c r="C480" s="16"/>
      <c r="D480" s="16"/>
      <c r="E480" s="16"/>
      <c r="F480" s="16"/>
      <c r="G480" s="38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row>
    <row r="481" spans="1:87" ht="15">
      <c r="A481" s="16"/>
      <c r="B481" s="16"/>
      <c r="C481" s="16"/>
      <c r="D481" s="16"/>
      <c r="E481" s="16"/>
      <c r="F481" s="16"/>
      <c r="G481" s="38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row>
    <row r="482" spans="1:87" ht="15">
      <c r="A482" s="16"/>
      <c r="B482" s="16"/>
      <c r="C482" s="16"/>
      <c r="D482" s="16"/>
      <c r="E482" s="16"/>
      <c r="F482" s="16"/>
      <c r="G482" s="38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row>
    <row r="483" spans="1:87" ht="15">
      <c r="A483" s="16"/>
      <c r="B483" s="16"/>
      <c r="C483" s="16"/>
      <c r="D483" s="16"/>
      <c r="E483" s="16"/>
      <c r="F483" s="16"/>
      <c r="G483" s="38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row>
    <row r="484" spans="1:87" ht="15">
      <c r="A484" s="16"/>
      <c r="B484" s="16"/>
      <c r="C484" s="16"/>
      <c r="D484" s="16"/>
      <c r="E484" s="16"/>
      <c r="F484" s="16"/>
      <c r="G484" s="38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row>
    <row r="485" spans="1:87" ht="15">
      <c r="A485" s="16"/>
      <c r="B485" s="16"/>
      <c r="C485" s="16"/>
      <c r="D485" s="16"/>
      <c r="E485" s="16"/>
      <c r="F485" s="16"/>
      <c r="G485" s="38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row>
    <row r="486" spans="1:87" ht="15">
      <c r="A486" s="16"/>
      <c r="B486" s="16"/>
      <c r="C486" s="16"/>
      <c r="D486" s="16"/>
      <c r="E486" s="16"/>
      <c r="F486" s="16"/>
      <c r="G486" s="38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row>
    <row r="487" spans="1:87" ht="15">
      <c r="A487" s="16"/>
      <c r="B487" s="16"/>
      <c r="C487" s="16"/>
      <c r="D487" s="16"/>
      <c r="E487" s="16"/>
      <c r="F487" s="16"/>
      <c r="G487" s="38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row>
    <row r="488" spans="1:87" ht="15">
      <c r="A488" s="16"/>
      <c r="B488" s="16"/>
      <c r="C488" s="16"/>
      <c r="D488" s="16"/>
      <c r="E488" s="16"/>
      <c r="F488" s="16"/>
      <c r="G488" s="38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row>
    <row r="489" spans="1:87" ht="15">
      <c r="A489" s="16"/>
      <c r="B489" s="16"/>
      <c r="C489" s="16"/>
      <c r="D489" s="16"/>
      <c r="E489" s="16"/>
      <c r="F489" s="16"/>
      <c r="G489" s="38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row>
    <row r="490" spans="1:87" ht="15">
      <c r="A490" s="16"/>
      <c r="B490" s="16"/>
      <c r="C490" s="16"/>
      <c r="D490" s="16"/>
      <c r="E490" s="16"/>
      <c r="F490" s="16"/>
      <c r="G490" s="38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row>
    <row r="491" spans="1:87" ht="15">
      <c r="A491" s="16"/>
      <c r="B491" s="16"/>
      <c r="C491" s="16"/>
      <c r="D491" s="16"/>
      <c r="E491" s="16"/>
      <c r="F491" s="16"/>
      <c r="G491" s="38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row>
    <row r="492" spans="1:87" ht="15">
      <c r="A492" s="16"/>
      <c r="B492" s="16"/>
      <c r="C492" s="16"/>
      <c r="D492" s="16"/>
      <c r="E492" s="16"/>
      <c r="F492" s="16"/>
      <c r="G492" s="38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row>
    <row r="493" spans="1:87" ht="15">
      <c r="A493" s="16"/>
      <c r="B493" s="16"/>
      <c r="C493" s="16"/>
      <c r="D493" s="16"/>
      <c r="E493" s="16"/>
      <c r="F493" s="16"/>
      <c r="G493" s="38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row>
    <row r="494" spans="1:87" ht="15">
      <c r="A494" s="16"/>
      <c r="B494" s="16"/>
      <c r="C494" s="16"/>
      <c r="D494" s="16"/>
      <c r="E494" s="16"/>
      <c r="F494" s="16"/>
      <c r="G494" s="38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row>
    <row r="495" spans="1:87" ht="15">
      <c r="A495" s="16"/>
      <c r="B495" s="16"/>
      <c r="C495" s="16"/>
      <c r="D495" s="16"/>
      <c r="E495" s="16"/>
      <c r="F495" s="16"/>
      <c r="G495" s="38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row>
    <row r="496" spans="1:87" ht="15">
      <c r="A496" s="16"/>
      <c r="B496" s="16"/>
      <c r="C496" s="16"/>
      <c r="D496" s="16"/>
      <c r="E496" s="16"/>
      <c r="F496" s="16"/>
      <c r="G496" s="38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row>
    <row r="497" spans="1:87" ht="15">
      <c r="A497" s="16"/>
      <c r="B497" s="16"/>
      <c r="C497" s="16"/>
      <c r="D497" s="16"/>
      <c r="E497" s="16"/>
      <c r="F497" s="16"/>
      <c r="G497" s="38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row>
    <row r="498" spans="1:87" ht="15">
      <c r="A498" s="16"/>
      <c r="B498" s="16"/>
      <c r="C498" s="16"/>
      <c r="D498" s="16"/>
      <c r="E498" s="16"/>
      <c r="F498" s="16"/>
      <c r="G498" s="38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row>
    <row r="499" spans="1:87" ht="15">
      <c r="A499" s="16"/>
      <c r="B499" s="16"/>
      <c r="C499" s="16"/>
      <c r="D499" s="16"/>
      <c r="E499" s="16"/>
      <c r="F499" s="16"/>
      <c r="G499" s="38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row>
    <row r="500" spans="1:87" ht="15">
      <c r="A500" s="16"/>
      <c r="B500" s="16"/>
      <c r="C500" s="16"/>
      <c r="D500" s="16"/>
      <c r="E500" s="16"/>
      <c r="F500" s="16"/>
      <c r="G500" s="38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row>
    <row r="501" spans="1:87" ht="15">
      <c r="A501" s="16"/>
      <c r="B501" s="16"/>
      <c r="C501" s="16"/>
      <c r="D501" s="16"/>
      <c r="E501" s="16"/>
      <c r="F501" s="16"/>
      <c r="G501" s="38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row>
    <row r="502" spans="1:87" ht="15">
      <c r="A502" s="16"/>
      <c r="B502" s="16"/>
      <c r="C502" s="16"/>
      <c r="D502" s="16"/>
      <c r="E502" s="16"/>
      <c r="F502" s="16"/>
      <c r="G502" s="38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row>
    <row r="503" spans="1:87" ht="15">
      <c r="A503" s="16"/>
      <c r="B503" s="16"/>
      <c r="C503" s="16"/>
      <c r="D503" s="16"/>
      <c r="E503" s="16"/>
      <c r="F503" s="16"/>
      <c r="G503" s="38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row>
    <row r="504" spans="1:87" ht="15">
      <c r="A504" s="16"/>
      <c r="B504" s="16"/>
      <c r="C504" s="16"/>
      <c r="D504" s="16"/>
      <c r="E504" s="16"/>
      <c r="F504" s="16"/>
      <c r="G504" s="38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row>
    <row r="505" spans="1:87" ht="15">
      <c r="A505" s="16"/>
      <c r="B505" s="16"/>
      <c r="C505" s="16"/>
      <c r="D505" s="16"/>
      <c r="E505" s="16"/>
      <c r="F505" s="16"/>
      <c r="G505" s="38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row>
    <row r="506" spans="1:87" ht="15">
      <c r="A506" s="16"/>
      <c r="B506" s="16"/>
      <c r="C506" s="16"/>
      <c r="D506" s="16"/>
      <c r="E506" s="16"/>
      <c r="F506" s="16"/>
      <c r="G506" s="38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row>
    <row r="507" spans="1:87" ht="15">
      <c r="A507" s="16"/>
      <c r="B507" s="16"/>
      <c r="C507" s="16"/>
      <c r="D507" s="16"/>
      <c r="E507" s="16"/>
      <c r="F507" s="16"/>
      <c r="G507" s="38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row>
    <row r="508" spans="1:87" ht="15">
      <c r="A508" s="16"/>
      <c r="B508" s="16"/>
      <c r="C508" s="16"/>
      <c r="D508" s="16"/>
      <c r="E508" s="16"/>
      <c r="F508" s="16"/>
      <c r="G508" s="38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row>
    <row r="509" spans="1:87" ht="15">
      <c r="A509" s="16"/>
      <c r="B509" s="16"/>
      <c r="C509" s="16"/>
      <c r="D509" s="16"/>
      <c r="E509" s="16"/>
      <c r="F509" s="16"/>
      <c r="G509" s="38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row>
    <row r="510" spans="1:87" ht="15">
      <c r="A510" s="16"/>
      <c r="B510" s="16"/>
      <c r="C510" s="16"/>
      <c r="D510" s="16"/>
      <c r="E510" s="16"/>
      <c r="F510" s="16"/>
      <c r="G510" s="38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row>
    <row r="511" spans="1:87" ht="15">
      <c r="A511" s="16"/>
      <c r="B511" s="16"/>
      <c r="C511" s="16"/>
      <c r="D511" s="16"/>
      <c r="E511" s="16"/>
      <c r="F511" s="16"/>
      <c r="G511" s="38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c r="CI511" s="16"/>
    </row>
    <row r="512" spans="1:87" ht="15">
      <c r="A512" s="16"/>
      <c r="B512" s="16"/>
      <c r="C512" s="16"/>
      <c r="D512" s="16"/>
      <c r="E512" s="16"/>
      <c r="F512" s="16"/>
      <c r="G512" s="38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row>
    <row r="513" spans="1:87" ht="15">
      <c r="A513" s="16"/>
      <c r="B513" s="16"/>
      <c r="C513" s="16"/>
      <c r="D513" s="16"/>
      <c r="E513" s="16"/>
      <c r="F513" s="16"/>
      <c r="G513" s="38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row>
    <row r="514" spans="1:87" ht="15">
      <c r="A514" s="16"/>
      <c r="B514" s="16"/>
      <c r="C514" s="16"/>
      <c r="D514" s="16"/>
      <c r="E514" s="16"/>
      <c r="F514" s="16"/>
      <c r="G514" s="38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row>
    <row r="515" spans="1:87" ht="15">
      <c r="A515" s="16"/>
      <c r="B515" s="16"/>
      <c r="C515" s="16"/>
      <c r="D515" s="16"/>
      <c r="E515" s="16"/>
      <c r="F515" s="16"/>
      <c r="G515" s="38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c r="CI515" s="16"/>
    </row>
    <row r="516" spans="1:87" ht="15">
      <c r="A516" s="16"/>
      <c r="B516" s="16"/>
      <c r="C516" s="16"/>
      <c r="D516" s="16"/>
      <c r="E516" s="16"/>
      <c r="F516" s="16"/>
      <c r="G516" s="38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row>
    <row r="517" spans="1:87" ht="15">
      <c r="A517" s="16"/>
      <c r="B517" s="16"/>
      <c r="C517" s="16"/>
      <c r="D517" s="16"/>
      <c r="E517" s="16"/>
      <c r="F517" s="16"/>
      <c r="G517" s="38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row>
    <row r="518" spans="1:87" ht="15">
      <c r="A518" s="16"/>
      <c r="B518" s="16"/>
      <c r="C518" s="16"/>
      <c r="D518" s="16"/>
      <c r="E518" s="16"/>
      <c r="F518" s="16"/>
      <c r="G518" s="38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row>
    <row r="519" spans="1:87" ht="15">
      <c r="A519" s="16"/>
      <c r="B519" s="16"/>
      <c r="C519" s="16"/>
      <c r="D519" s="16"/>
      <c r="E519" s="16"/>
      <c r="F519" s="16"/>
      <c r="G519" s="38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row>
    <row r="520" spans="1:87" ht="15">
      <c r="A520" s="16"/>
      <c r="B520" s="16"/>
      <c r="C520" s="16"/>
      <c r="D520" s="16"/>
      <c r="E520" s="16"/>
      <c r="F520" s="16"/>
      <c r="G520" s="38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row>
    <row r="521" spans="1:87" ht="15">
      <c r="A521" s="16"/>
      <c r="B521" s="16"/>
      <c r="C521" s="16"/>
      <c r="D521" s="16"/>
      <c r="E521" s="16"/>
      <c r="F521" s="16"/>
      <c r="G521" s="38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c r="CI521" s="16"/>
    </row>
    <row r="522" spans="1:87" ht="15">
      <c r="A522" s="16"/>
      <c r="B522" s="16"/>
      <c r="C522" s="16"/>
      <c r="D522" s="16"/>
      <c r="E522" s="16"/>
      <c r="F522" s="16"/>
      <c r="G522" s="38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row>
    <row r="523" spans="1:87" ht="15">
      <c r="A523" s="16"/>
      <c r="B523" s="16"/>
      <c r="C523" s="16"/>
      <c r="D523" s="16"/>
      <c r="E523" s="16"/>
      <c r="F523" s="16"/>
      <c r="G523" s="38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row>
    <row r="524" spans="1:87" ht="15">
      <c r="A524" s="16"/>
      <c r="B524" s="16"/>
      <c r="C524" s="16"/>
      <c r="D524" s="16"/>
      <c r="E524" s="16"/>
      <c r="F524" s="16"/>
      <c r="G524" s="38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row>
    <row r="525" spans="1:87" ht="15">
      <c r="A525" s="16"/>
      <c r="B525" s="16"/>
      <c r="C525" s="16"/>
      <c r="D525" s="16"/>
      <c r="E525" s="16"/>
      <c r="F525" s="16"/>
      <c r="G525" s="38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row>
    <row r="526" spans="1:87" ht="15">
      <c r="A526" s="16"/>
      <c r="B526" s="16"/>
      <c r="C526" s="16"/>
      <c r="D526" s="16"/>
      <c r="E526" s="16"/>
      <c r="F526" s="16"/>
      <c r="G526" s="38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row>
    <row r="527" spans="1:87" ht="15">
      <c r="A527" s="16"/>
      <c r="B527" s="16"/>
      <c r="C527" s="16"/>
      <c r="D527" s="16"/>
      <c r="E527" s="16"/>
      <c r="F527" s="16"/>
      <c r="G527" s="38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c r="CI527" s="16"/>
    </row>
    <row r="528" spans="1:87" ht="15">
      <c r="A528" s="16"/>
      <c r="B528" s="16"/>
      <c r="C528" s="16"/>
      <c r="D528" s="16"/>
      <c r="E528" s="16"/>
      <c r="F528" s="16"/>
      <c r="G528" s="38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c r="CI528" s="16"/>
    </row>
    <row r="529" spans="1:87" ht="15">
      <c r="A529" s="16"/>
      <c r="B529" s="16"/>
      <c r="C529" s="16"/>
      <c r="D529" s="16"/>
      <c r="E529" s="16"/>
      <c r="F529" s="16"/>
      <c r="G529" s="38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c r="CI529" s="16"/>
    </row>
    <row r="530" spans="1:87" ht="15">
      <c r="A530" s="16"/>
      <c r="B530" s="16"/>
      <c r="C530" s="16"/>
      <c r="D530" s="16"/>
      <c r="E530" s="16"/>
      <c r="F530" s="16"/>
      <c r="G530" s="38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c r="CI530" s="16"/>
    </row>
    <row r="531" spans="1:87" ht="15">
      <c r="A531" s="16"/>
      <c r="B531" s="16"/>
      <c r="C531" s="16"/>
      <c r="D531" s="16"/>
      <c r="E531" s="16"/>
      <c r="F531" s="16"/>
      <c r="G531" s="38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row>
    <row r="532" spans="1:87" ht="15">
      <c r="A532" s="16"/>
      <c r="B532" s="16"/>
      <c r="C532" s="16"/>
      <c r="D532" s="16"/>
      <c r="E532" s="16"/>
      <c r="F532" s="16"/>
      <c r="G532" s="38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c r="CI532" s="16"/>
    </row>
    <row r="533" spans="1:87" ht="15">
      <c r="A533" s="16"/>
      <c r="B533" s="16"/>
      <c r="C533" s="16"/>
      <c r="D533" s="16"/>
      <c r="E533" s="16"/>
      <c r="F533" s="16"/>
      <c r="G533" s="38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row>
    <row r="534" spans="1:87" ht="15">
      <c r="A534" s="16"/>
      <c r="B534" s="16"/>
      <c r="C534" s="16"/>
      <c r="D534" s="16"/>
      <c r="E534" s="16"/>
      <c r="F534" s="16"/>
      <c r="G534" s="38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row>
    <row r="535" spans="1:87" ht="15">
      <c r="A535" s="16"/>
      <c r="B535" s="16"/>
      <c r="C535" s="16"/>
      <c r="D535" s="16"/>
      <c r="E535" s="16"/>
      <c r="F535" s="16"/>
      <c r="G535" s="38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row>
    <row r="536" spans="1:87" ht="15">
      <c r="A536" s="16"/>
      <c r="B536" s="16"/>
      <c r="C536" s="16"/>
      <c r="D536" s="16"/>
      <c r="E536" s="16"/>
      <c r="F536" s="16"/>
      <c r="G536" s="38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row>
    <row r="537" spans="1:87" ht="15">
      <c r="A537" s="16"/>
      <c r="B537" s="16"/>
      <c r="C537" s="16"/>
      <c r="D537" s="16"/>
      <c r="E537" s="16"/>
      <c r="F537" s="16"/>
      <c r="G537" s="38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row>
    <row r="538" spans="1:87" ht="15">
      <c r="A538" s="16"/>
      <c r="B538" s="16"/>
      <c r="C538" s="16"/>
      <c r="D538" s="16"/>
      <c r="E538" s="16"/>
      <c r="F538" s="16"/>
      <c r="G538" s="38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row>
    <row r="539" spans="1:87" ht="15">
      <c r="A539" s="16"/>
      <c r="B539" s="16"/>
      <c r="C539" s="16"/>
      <c r="D539" s="16"/>
      <c r="E539" s="16"/>
      <c r="F539" s="16"/>
      <c r="G539" s="38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row>
    <row r="540" spans="1:87" ht="15">
      <c r="A540" s="16"/>
      <c r="B540" s="16"/>
      <c r="C540" s="16"/>
      <c r="D540" s="16"/>
      <c r="E540" s="16"/>
      <c r="F540" s="16"/>
      <c r="G540" s="38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row>
    <row r="541" spans="1:87" ht="15">
      <c r="A541" s="16"/>
      <c r="B541" s="16"/>
      <c r="C541" s="16"/>
      <c r="D541" s="16"/>
      <c r="E541" s="16"/>
      <c r="F541" s="16"/>
      <c r="G541" s="38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row>
    <row r="542" spans="1:87" ht="15">
      <c r="A542" s="16"/>
      <c r="B542" s="16"/>
      <c r="C542" s="16"/>
      <c r="D542" s="16"/>
      <c r="E542" s="16"/>
      <c r="F542" s="16"/>
      <c r="G542" s="38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row>
    <row r="543" spans="1:87" ht="15">
      <c r="A543" s="16"/>
      <c r="B543" s="16"/>
      <c r="C543" s="16"/>
      <c r="D543" s="16"/>
      <c r="E543" s="16"/>
      <c r="F543" s="16"/>
      <c r="G543" s="38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row>
    <row r="544" spans="1:87" ht="15">
      <c r="A544" s="16"/>
      <c r="B544" s="16"/>
      <c r="C544" s="16"/>
      <c r="D544" s="16"/>
      <c r="E544" s="16"/>
      <c r="F544" s="16"/>
      <c r="G544" s="38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row>
    <row r="545" spans="1:87" ht="15">
      <c r="A545" s="16"/>
      <c r="B545" s="16"/>
      <c r="C545" s="16"/>
      <c r="D545" s="16"/>
      <c r="E545" s="16"/>
      <c r="F545" s="16"/>
      <c r="G545" s="38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row>
    <row r="546" spans="1:87" ht="15">
      <c r="A546" s="16"/>
      <c r="B546" s="16"/>
      <c r="C546" s="16"/>
      <c r="D546" s="16"/>
      <c r="E546" s="16"/>
      <c r="F546" s="16"/>
      <c r="G546" s="38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row>
    <row r="547" spans="1:87" ht="15">
      <c r="A547" s="16"/>
      <c r="B547" s="16"/>
      <c r="C547" s="16"/>
      <c r="D547" s="16"/>
      <c r="E547" s="16"/>
      <c r="F547" s="16"/>
      <c r="G547" s="38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row>
    <row r="548" spans="1:87" ht="15">
      <c r="A548" s="16"/>
      <c r="B548" s="16"/>
      <c r="C548" s="16"/>
      <c r="D548" s="16"/>
      <c r="E548" s="16"/>
      <c r="F548" s="16"/>
      <c r="G548" s="38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row>
    <row r="549" spans="1:87" ht="15">
      <c r="A549" s="16"/>
      <c r="B549" s="16"/>
      <c r="C549" s="16"/>
      <c r="D549" s="16"/>
      <c r="E549" s="16"/>
      <c r="F549" s="16"/>
      <c r="G549" s="38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row>
    <row r="550" spans="1:87" ht="15">
      <c r="A550" s="16"/>
      <c r="B550" s="16"/>
      <c r="C550" s="16"/>
      <c r="D550" s="16"/>
      <c r="E550" s="16"/>
      <c r="F550" s="16"/>
      <c r="G550" s="38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row>
    <row r="551" spans="1:87" ht="15">
      <c r="A551" s="16"/>
      <c r="B551" s="16"/>
      <c r="C551" s="16"/>
      <c r="D551" s="16"/>
      <c r="E551" s="16"/>
      <c r="F551" s="16"/>
      <c r="G551" s="38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row>
    <row r="552" spans="1:87" ht="15">
      <c r="A552" s="16"/>
      <c r="B552" s="16"/>
      <c r="C552" s="16"/>
      <c r="D552" s="16"/>
      <c r="E552" s="16"/>
      <c r="F552" s="16"/>
      <c r="G552" s="38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row>
    <row r="553" spans="1:87" ht="15">
      <c r="A553" s="16"/>
      <c r="B553" s="16"/>
      <c r="C553" s="16"/>
      <c r="D553" s="16"/>
      <c r="E553" s="16"/>
      <c r="F553" s="16"/>
      <c r="G553" s="38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row>
    <row r="554" spans="1:87" ht="15">
      <c r="A554" s="16"/>
      <c r="B554" s="16"/>
      <c r="C554" s="16"/>
      <c r="D554" s="16"/>
      <c r="E554" s="16"/>
      <c r="F554" s="16"/>
      <c r="G554" s="38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row>
    <row r="555" spans="1:87" ht="15">
      <c r="A555" s="16"/>
      <c r="B555" s="16"/>
      <c r="C555" s="16"/>
      <c r="D555" s="16"/>
      <c r="E555" s="16"/>
      <c r="F555" s="16"/>
      <c r="G555" s="38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row>
    <row r="556" spans="1:87" ht="15">
      <c r="A556" s="16"/>
      <c r="B556" s="16"/>
      <c r="C556" s="16"/>
      <c r="D556" s="16"/>
      <c r="E556" s="16"/>
      <c r="F556" s="16"/>
      <c r="G556" s="38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row>
    <row r="557" spans="1:87" ht="15">
      <c r="A557" s="16"/>
      <c r="B557" s="16"/>
      <c r="C557" s="16"/>
      <c r="D557" s="16"/>
      <c r="E557" s="16"/>
      <c r="F557" s="16"/>
      <c r="G557" s="38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row>
    <row r="558" spans="1:87" ht="15">
      <c r="A558" s="16"/>
      <c r="B558" s="16"/>
      <c r="C558" s="16"/>
      <c r="D558" s="16"/>
      <c r="E558" s="16"/>
      <c r="F558" s="16"/>
      <c r="G558" s="38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row>
    <row r="559" spans="1:87" ht="15">
      <c r="A559" s="16"/>
      <c r="B559" s="16"/>
      <c r="C559" s="16"/>
      <c r="D559" s="16"/>
      <c r="E559" s="16"/>
      <c r="F559" s="16"/>
      <c r="G559" s="38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row>
    <row r="560" spans="1:87" ht="15">
      <c r="A560" s="16"/>
      <c r="B560" s="16"/>
      <c r="C560" s="16"/>
      <c r="D560" s="16"/>
      <c r="E560" s="16"/>
      <c r="F560" s="16"/>
      <c r="G560" s="38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row>
    <row r="561" spans="1:87" ht="15">
      <c r="A561" s="16"/>
      <c r="B561" s="16"/>
      <c r="C561" s="16"/>
      <c r="D561" s="16"/>
      <c r="E561" s="16"/>
      <c r="F561" s="16"/>
      <c r="G561" s="38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row>
    <row r="562" spans="1:87" ht="15">
      <c r="A562" s="16"/>
      <c r="B562" s="16"/>
      <c r="C562" s="16"/>
      <c r="D562" s="16"/>
      <c r="E562" s="16"/>
      <c r="F562" s="16"/>
      <c r="G562" s="38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row>
    <row r="563" spans="1:87" ht="15">
      <c r="A563" s="16"/>
      <c r="B563" s="16"/>
      <c r="C563" s="16"/>
      <c r="D563" s="16"/>
      <c r="E563" s="16"/>
      <c r="F563" s="16"/>
      <c r="G563" s="38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row>
    <row r="564" spans="1:87" ht="15">
      <c r="A564" s="16"/>
      <c r="B564" s="16"/>
      <c r="C564" s="16"/>
      <c r="D564" s="16"/>
      <c r="E564" s="16"/>
      <c r="F564" s="16"/>
      <c r="G564" s="38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row>
    <row r="565" spans="1:87" ht="15">
      <c r="A565" s="16"/>
      <c r="B565" s="16"/>
      <c r="C565" s="16"/>
      <c r="D565" s="16"/>
      <c r="E565" s="16"/>
      <c r="F565" s="16"/>
      <c r="G565" s="38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row>
    <row r="566" spans="1:87" ht="15">
      <c r="A566" s="16"/>
      <c r="B566" s="16"/>
      <c r="C566" s="16"/>
      <c r="D566" s="16"/>
      <c r="E566" s="16"/>
      <c r="F566" s="16"/>
      <c r="G566" s="38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row>
    <row r="567" spans="1:87" ht="15">
      <c r="A567" s="16"/>
      <c r="B567" s="16"/>
      <c r="C567" s="16"/>
      <c r="D567" s="16"/>
      <c r="E567" s="16"/>
      <c r="F567" s="16"/>
      <c r="G567" s="38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row>
    <row r="568" spans="1:87" ht="15">
      <c r="A568" s="16"/>
      <c r="B568" s="16"/>
      <c r="C568" s="16"/>
      <c r="D568" s="16"/>
      <c r="E568" s="16"/>
      <c r="F568" s="16"/>
      <c r="G568" s="38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row>
    <row r="569" spans="1:87" ht="15">
      <c r="A569" s="16"/>
      <c r="B569" s="16"/>
      <c r="C569" s="16"/>
      <c r="D569" s="16"/>
      <c r="E569" s="16"/>
      <c r="F569" s="16"/>
      <c r="G569" s="38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row>
    <row r="570" spans="1:87" ht="15">
      <c r="A570" s="16"/>
      <c r="B570" s="16"/>
      <c r="C570" s="16"/>
      <c r="D570" s="16"/>
      <c r="E570" s="16"/>
      <c r="F570" s="16"/>
      <c r="G570" s="38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row>
    <row r="571" spans="1:87" ht="15">
      <c r="A571" s="16"/>
      <c r="B571" s="16"/>
      <c r="C571" s="16"/>
      <c r="D571" s="16"/>
      <c r="E571" s="16"/>
      <c r="F571" s="16"/>
      <c r="G571" s="38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row>
    <row r="572" spans="1:87" ht="15">
      <c r="A572" s="16"/>
      <c r="B572" s="16"/>
      <c r="C572" s="16"/>
      <c r="D572" s="16"/>
      <c r="E572" s="16"/>
      <c r="F572" s="16"/>
      <c r="G572" s="38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row>
    <row r="573" spans="1:87" ht="15">
      <c r="A573" s="16"/>
      <c r="B573" s="16"/>
      <c r="C573" s="16"/>
      <c r="D573" s="16"/>
      <c r="E573" s="16"/>
      <c r="F573" s="16"/>
      <c r="G573" s="38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row>
    <row r="574" spans="1:87" ht="15">
      <c r="A574" s="16"/>
      <c r="B574" s="16"/>
      <c r="C574" s="16"/>
      <c r="D574" s="16"/>
      <c r="E574" s="16"/>
      <c r="F574" s="16"/>
      <c r="G574" s="38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row>
    <row r="575" spans="1:87" ht="15">
      <c r="A575" s="16"/>
      <c r="B575" s="16"/>
      <c r="C575" s="16"/>
      <c r="D575" s="16"/>
      <c r="E575" s="16"/>
      <c r="F575" s="16"/>
      <c r="G575" s="38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row>
    <row r="576" spans="1:87" ht="15">
      <c r="A576" s="16"/>
      <c r="B576" s="16"/>
      <c r="C576" s="16"/>
      <c r="D576" s="16"/>
      <c r="E576" s="16"/>
      <c r="F576" s="16"/>
      <c r="G576" s="38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row>
    <row r="577" spans="1:87" ht="15">
      <c r="A577" s="16"/>
      <c r="B577" s="16"/>
      <c r="C577" s="16"/>
      <c r="D577" s="16"/>
      <c r="E577" s="16"/>
      <c r="F577" s="16"/>
      <c r="G577" s="38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row>
    <row r="578" spans="1:87" ht="15">
      <c r="A578" s="16"/>
      <c r="B578" s="16"/>
      <c r="C578" s="16"/>
      <c r="D578" s="16"/>
      <c r="E578" s="16"/>
      <c r="F578" s="16"/>
      <c r="G578" s="38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row>
    <row r="579" spans="1:87" ht="15">
      <c r="A579" s="16"/>
      <c r="B579" s="16"/>
      <c r="C579" s="16"/>
      <c r="D579" s="16"/>
      <c r="E579" s="16"/>
      <c r="F579" s="16"/>
      <c r="G579" s="38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row>
    <row r="580" spans="1:87" ht="15">
      <c r="A580" s="16"/>
      <c r="B580" s="16"/>
      <c r="C580" s="16"/>
      <c r="D580" s="16"/>
      <c r="E580" s="16"/>
      <c r="F580" s="16"/>
      <c r="G580" s="38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row>
    <row r="581" spans="1:87" ht="15">
      <c r="A581" s="16"/>
      <c r="B581" s="16"/>
      <c r="C581" s="16"/>
      <c r="D581" s="16"/>
      <c r="E581" s="16"/>
      <c r="F581" s="16"/>
      <c r="G581" s="38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row>
    <row r="582" spans="1:87" ht="15">
      <c r="A582" s="16"/>
      <c r="B582" s="16"/>
      <c r="C582" s="16"/>
      <c r="D582" s="16"/>
      <c r="E582" s="16"/>
      <c r="F582" s="16"/>
      <c r="G582" s="38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row>
    <row r="583" spans="1:87" ht="15">
      <c r="A583" s="16"/>
      <c r="B583" s="16"/>
      <c r="C583" s="16"/>
      <c r="D583" s="16"/>
      <c r="E583" s="16"/>
      <c r="F583" s="16"/>
      <c r="G583" s="38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row>
    <row r="584" spans="1:87" ht="15">
      <c r="A584" s="16"/>
      <c r="B584" s="16"/>
      <c r="C584" s="16"/>
      <c r="D584" s="16"/>
      <c r="E584" s="16"/>
      <c r="F584" s="16"/>
      <c r="G584" s="38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row>
    <row r="585" spans="1:87" ht="15">
      <c r="A585" s="16"/>
      <c r="B585" s="16"/>
      <c r="C585" s="16"/>
      <c r="D585" s="16"/>
      <c r="E585" s="16"/>
      <c r="F585" s="16"/>
      <c r="G585" s="38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row>
    <row r="586" spans="1:87" ht="15">
      <c r="A586" s="16"/>
      <c r="B586" s="16"/>
      <c r="C586" s="16"/>
      <c r="D586" s="16"/>
      <c r="E586" s="16"/>
      <c r="F586" s="16"/>
      <c r="G586" s="38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row>
    <row r="587" spans="1:87" ht="15">
      <c r="A587" s="16"/>
      <c r="B587" s="16"/>
      <c r="C587" s="16"/>
      <c r="D587" s="16"/>
      <c r="E587" s="16"/>
      <c r="F587" s="16"/>
      <c r="G587" s="38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row>
    <row r="588" spans="1:87" ht="15">
      <c r="A588" s="16"/>
      <c r="B588" s="16"/>
      <c r="C588" s="16"/>
      <c r="D588" s="16"/>
      <c r="E588" s="16"/>
      <c r="F588" s="16"/>
      <c r="G588" s="38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row>
    <row r="589" spans="1:87" ht="15">
      <c r="A589" s="16"/>
      <c r="B589" s="16"/>
      <c r="C589" s="16"/>
      <c r="D589" s="16"/>
      <c r="E589" s="16"/>
      <c r="F589" s="16"/>
      <c r="G589" s="38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row>
    <row r="590" spans="1:87" ht="15">
      <c r="A590" s="16"/>
      <c r="B590" s="16"/>
      <c r="C590" s="16"/>
      <c r="D590" s="16"/>
      <c r="E590" s="16"/>
      <c r="F590" s="16"/>
      <c r="G590" s="38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row>
    <row r="591" spans="1:87" ht="15">
      <c r="A591" s="16"/>
      <c r="B591" s="16"/>
      <c r="C591" s="16"/>
      <c r="D591" s="16"/>
      <c r="E591" s="16"/>
      <c r="F591" s="16"/>
      <c r="G591" s="38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row>
    <row r="592" spans="1:87" ht="15">
      <c r="A592" s="16"/>
      <c r="B592" s="16"/>
      <c r="C592" s="16"/>
      <c r="D592" s="16"/>
      <c r="E592" s="16"/>
      <c r="F592" s="16"/>
      <c r="G592" s="38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row>
    <row r="593" spans="1:87" ht="15">
      <c r="A593" s="16"/>
      <c r="B593" s="16"/>
      <c r="C593" s="16"/>
      <c r="D593" s="16"/>
      <c r="E593" s="16"/>
      <c r="F593" s="16"/>
      <c r="G593" s="38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row>
    <row r="594" spans="1:87" ht="15">
      <c r="A594" s="16"/>
      <c r="B594" s="16"/>
      <c r="C594" s="16"/>
      <c r="D594" s="16"/>
      <c r="E594" s="16"/>
      <c r="F594" s="16"/>
      <c r="G594" s="38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row>
    <row r="595" spans="1:87" ht="15">
      <c r="A595" s="16"/>
      <c r="B595" s="16"/>
      <c r="C595" s="16"/>
      <c r="D595" s="16"/>
      <c r="E595" s="16"/>
      <c r="F595" s="16"/>
      <c r="G595" s="38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row>
    <row r="596" spans="1:87" ht="15">
      <c r="A596" s="16"/>
      <c r="B596" s="16"/>
      <c r="C596" s="16"/>
      <c r="D596" s="16"/>
      <c r="E596" s="16"/>
      <c r="F596" s="16"/>
      <c r="G596" s="38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row>
    <row r="597" spans="1:87" ht="15">
      <c r="A597" s="16"/>
      <c r="B597" s="16"/>
      <c r="C597" s="16"/>
      <c r="D597" s="16"/>
      <c r="E597" s="16"/>
      <c r="F597" s="16"/>
      <c r="G597" s="38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row>
    <row r="598" spans="1:87" ht="15">
      <c r="A598" s="16"/>
      <c r="B598" s="16"/>
      <c r="C598" s="16"/>
      <c r="D598" s="16"/>
      <c r="E598" s="16"/>
      <c r="F598" s="16"/>
      <c r="G598" s="38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row>
    <row r="599" spans="1:87" ht="15">
      <c r="A599" s="16"/>
      <c r="B599" s="16"/>
      <c r="C599" s="16"/>
      <c r="D599" s="16"/>
      <c r="E599" s="16"/>
      <c r="F599" s="16"/>
      <c r="G599" s="38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row>
    <row r="600" spans="1:87" ht="15">
      <c r="A600" s="16"/>
      <c r="B600" s="16"/>
      <c r="C600" s="16"/>
      <c r="D600" s="16"/>
      <c r="E600" s="16"/>
      <c r="F600" s="16"/>
      <c r="G600" s="38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row>
    <row r="601" spans="1:87" ht="15">
      <c r="A601" s="16"/>
      <c r="B601" s="16"/>
      <c r="C601" s="16"/>
      <c r="D601" s="16"/>
      <c r="E601" s="16"/>
      <c r="F601" s="16"/>
      <c r="G601" s="38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row>
    <row r="602" spans="1:87" ht="15">
      <c r="A602" s="16"/>
      <c r="B602" s="16"/>
      <c r="C602" s="16"/>
      <c r="D602" s="16"/>
      <c r="E602" s="16"/>
      <c r="F602" s="16"/>
      <c r="G602" s="38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row>
    <row r="603" spans="1:87" ht="15">
      <c r="A603" s="16"/>
      <c r="B603" s="16"/>
      <c r="C603" s="16"/>
      <c r="D603" s="16"/>
      <c r="E603" s="16"/>
      <c r="F603" s="16"/>
      <c r="G603" s="38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row>
    <row r="604" spans="1:87" ht="15">
      <c r="A604" s="16"/>
      <c r="B604" s="16"/>
      <c r="C604" s="16"/>
      <c r="D604" s="16"/>
      <c r="E604" s="16"/>
      <c r="F604" s="16"/>
      <c r="G604" s="38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row>
    <row r="605" spans="1:87" ht="15">
      <c r="A605" s="16"/>
      <c r="B605" s="16"/>
      <c r="C605" s="16"/>
      <c r="D605" s="16"/>
      <c r="E605" s="16"/>
      <c r="F605" s="16"/>
      <c r="G605" s="38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row>
    <row r="606" spans="1:87" ht="15">
      <c r="A606" s="16"/>
      <c r="B606" s="16"/>
      <c r="C606" s="16"/>
      <c r="D606" s="16"/>
      <c r="E606" s="16"/>
      <c r="F606" s="16"/>
      <c r="G606" s="38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6"/>
      <c r="CG606" s="16"/>
      <c r="CH606" s="16"/>
      <c r="CI606" s="16"/>
    </row>
    <row r="607" spans="1:87" ht="15">
      <c r="A607" s="16"/>
      <c r="B607" s="16"/>
      <c r="C607" s="16"/>
      <c r="D607" s="16"/>
      <c r="E607" s="16"/>
      <c r="F607" s="16"/>
      <c r="G607" s="38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c r="CD607" s="16"/>
      <c r="CE607" s="16"/>
      <c r="CF607" s="16"/>
      <c r="CG607" s="16"/>
      <c r="CH607" s="16"/>
      <c r="CI607" s="16"/>
    </row>
    <row r="608" spans="1:87" ht="15">
      <c r="A608" s="16"/>
      <c r="B608" s="16"/>
      <c r="C608" s="16"/>
      <c r="D608" s="16"/>
      <c r="E608" s="16"/>
      <c r="F608" s="16"/>
      <c r="G608" s="38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c r="CI608" s="16"/>
    </row>
    <row r="609" spans="1:87" ht="15">
      <c r="A609" s="16"/>
      <c r="B609" s="16"/>
      <c r="C609" s="16"/>
      <c r="D609" s="16"/>
      <c r="E609" s="16"/>
      <c r="F609" s="16"/>
      <c r="G609" s="38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c r="CI609" s="16"/>
    </row>
    <row r="610" spans="1:87" ht="15">
      <c r="A610" s="16"/>
      <c r="B610" s="16"/>
      <c r="C610" s="16"/>
      <c r="D610" s="16"/>
      <c r="E610" s="16"/>
      <c r="F610" s="16"/>
      <c r="G610" s="38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6"/>
      <c r="CH610" s="16"/>
      <c r="CI610" s="16"/>
    </row>
    <row r="611" spans="1:87" ht="15">
      <c r="A611" s="16"/>
      <c r="B611" s="16"/>
      <c r="C611" s="16"/>
      <c r="D611" s="16"/>
      <c r="E611" s="16"/>
      <c r="F611" s="16"/>
      <c r="G611" s="38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row>
    <row r="612" spans="1:87" ht="15">
      <c r="A612" s="16"/>
      <c r="B612" s="16"/>
      <c r="C612" s="16"/>
      <c r="D612" s="16"/>
      <c r="E612" s="16"/>
      <c r="F612" s="16"/>
      <c r="G612" s="38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row>
    <row r="613" spans="1:87" ht="15">
      <c r="A613" s="16"/>
      <c r="B613" s="16"/>
      <c r="C613" s="16"/>
      <c r="D613" s="16"/>
      <c r="E613" s="16"/>
      <c r="F613" s="16"/>
      <c r="G613" s="38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c r="CI613" s="16"/>
    </row>
    <row r="614" spans="1:87" ht="15">
      <c r="A614" s="16"/>
      <c r="B614" s="16"/>
      <c r="C614" s="16"/>
      <c r="D614" s="16"/>
      <c r="E614" s="16"/>
      <c r="F614" s="16"/>
      <c r="G614" s="38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6"/>
      <c r="CG614" s="16"/>
      <c r="CH614" s="16"/>
      <c r="CI614" s="16"/>
    </row>
    <row r="615" spans="1:87" ht="15">
      <c r="A615" s="16"/>
      <c r="B615" s="16"/>
      <c r="C615" s="16"/>
      <c r="D615" s="16"/>
      <c r="E615" s="16"/>
      <c r="F615" s="16"/>
      <c r="G615" s="38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c r="CI615" s="16"/>
    </row>
    <row r="616" spans="1:87" ht="15">
      <c r="A616" s="16"/>
      <c r="B616" s="16"/>
      <c r="C616" s="16"/>
      <c r="D616" s="16"/>
      <c r="E616" s="16"/>
      <c r="F616" s="16"/>
      <c r="G616" s="38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row>
    <row r="617" spans="1:87" ht="15">
      <c r="A617" s="16"/>
      <c r="B617" s="16"/>
      <c r="C617" s="16"/>
      <c r="D617" s="16"/>
      <c r="E617" s="16"/>
      <c r="F617" s="16"/>
      <c r="G617" s="38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row>
    <row r="618" spans="1:87" ht="15">
      <c r="A618" s="16"/>
      <c r="B618" s="16"/>
      <c r="C618" s="16"/>
      <c r="D618" s="16"/>
      <c r="E618" s="16"/>
      <c r="F618" s="16"/>
      <c r="G618" s="38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row>
    <row r="619" spans="1:87" ht="15">
      <c r="A619" s="16"/>
      <c r="B619" s="16"/>
      <c r="C619" s="16"/>
      <c r="D619" s="16"/>
      <c r="E619" s="16"/>
      <c r="F619" s="16"/>
      <c r="G619" s="38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row>
    <row r="620" spans="1:87" ht="15">
      <c r="A620" s="16"/>
      <c r="B620" s="16"/>
      <c r="C620" s="16"/>
      <c r="D620" s="16"/>
      <c r="E620" s="16"/>
      <c r="F620" s="16"/>
      <c r="G620" s="38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row>
    <row r="621" spans="1:87" ht="15">
      <c r="A621" s="16"/>
      <c r="B621" s="16"/>
      <c r="C621" s="16"/>
      <c r="D621" s="16"/>
      <c r="E621" s="16"/>
      <c r="F621" s="16"/>
      <c r="G621" s="38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row>
    <row r="622" spans="1:87" ht="15">
      <c r="A622" s="16"/>
      <c r="B622" s="16"/>
      <c r="C622" s="16"/>
      <c r="D622" s="16"/>
      <c r="E622" s="16"/>
      <c r="F622" s="16"/>
      <c r="G622" s="38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row>
    <row r="623" spans="1:87" ht="15">
      <c r="A623" s="16"/>
      <c r="B623" s="16"/>
      <c r="C623" s="16"/>
      <c r="D623" s="16"/>
      <c r="E623" s="16"/>
      <c r="F623" s="16"/>
      <c r="G623" s="38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row>
    <row r="624" spans="1:87" ht="15">
      <c r="A624" s="16"/>
      <c r="B624" s="16"/>
      <c r="C624" s="16"/>
      <c r="D624" s="16"/>
      <c r="E624" s="16"/>
      <c r="F624" s="16"/>
      <c r="G624" s="38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row>
    <row r="625" spans="1:87" ht="15">
      <c r="A625" s="16"/>
      <c r="B625" s="16"/>
      <c r="C625" s="16"/>
      <c r="D625" s="16"/>
      <c r="E625" s="16"/>
      <c r="F625" s="16"/>
      <c r="G625" s="38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row>
    <row r="626" spans="1:87" ht="15">
      <c r="A626" s="16"/>
      <c r="B626" s="16"/>
      <c r="C626" s="16"/>
      <c r="D626" s="16"/>
      <c r="E626" s="16"/>
      <c r="F626" s="16"/>
      <c r="G626" s="38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row>
    <row r="627" spans="1:87" ht="15">
      <c r="A627" s="16"/>
      <c r="B627" s="16"/>
      <c r="C627" s="16"/>
      <c r="D627" s="16"/>
      <c r="E627" s="16"/>
      <c r="F627" s="16"/>
      <c r="G627" s="38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row>
    <row r="628" spans="1:87" ht="15">
      <c r="A628" s="16"/>
      <c r="B628" s="16"/>
      <c r="C628" s="16"/>
      <c r="D628" s="16"/>
      <c r="E628" s="16"/>
      <c r="F628" s="16"/>
      <c r="G628" s="38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row>
    <row r="629" spans="1:87" ht="15">
      <c r="A629" s="16"/>
      <c r="B629" s="16"/>
      <c r="C629" s="16"/>
      <c r="D629" s="16"/>
      <c r="E629" s="16"/>
      <c r="F629" s="16"/>
      <c r="G629" s="38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6"/>
      <c r="CH629" s="16"/>
      <c r="CI629" s="16"/>
    </row>
    <row r="630" spans="1:87" ht="15">
      <c r="A630" s="16"/>
      <c r="B630" s="16"/>
      <c r="C630" s="16"/>
      <c r="D630" s="16"/>
      <c r="E630" s="16"/>
      <c r="F630" s="16"/>
      <c r="G630" s="38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6"/>
      <c r="CH630" s="16"/>
      <c r="CI630" s="16"/>
    </row>
    <row r="631" spans="1:87" ht="15">
      <c r="A631" s="16"/>
      <c r="B631" s="16"/>
      <c r="C631" s="16"/>
      <c r="D631" s="16"/>
      <c r="E631" s="16"/>
      <c r="F631" s="16"/>
      <c r="G631" s="38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c r="CD631" s="16"/>
      <c r="CE631" s="16"/>
      <c r="CF631" s="16"/>
      <c r="CG631" s="16"/>
      <c r="CH631" s="16"/>
      <c r="CI631" s="16"/>
    </row>
    <row r="632" spans="1:87" ht="15">
      <c r="A632" s="16"/>
      <c r="B632" s="16"/>
      <c r="C632" s="16"/>
      <c r="D632" s="16"/>
      <c r="E632" s="16"/>
      <c r="F632" s="16"/>
      <c r="G632" s="38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6"/>
      <c r="CG632" s="16"/>
      <c r="CH632" s="16"/>
      <c r="CI632" s="16"/>
    </row>
    <row r="633" spans="1:87" ht="15">
      <c r="A633" s="16"/>
      <c r="B633" s="16"/>
      <c r="C633" s="16"/>
      <c r="D633" s="16"/>
      <c r="E633" s="16"/>
      <c r="F633" s="16"/>
      <c r="G633" s="38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c r="CD633" s="16"/>
      <c r="CE633" s="16"/>
      <c r="CF633" s="16"/>
      <c r="CG633" s="16"/>
      <c r="CH633" s="16"/>
      <c r="CI633" s="16"/>
    </row>
    <row r="634" spans="1:87" ht="15">
      <c r="A634" s="16"/>
      <c r="B634" s="16"/>
      <c r="C634" s="16"/>
      <c r="D634" s="16"/>
      <c r="E634" s="16"/>
      <c r="F634" s="16"/>
      <c r="G634" s="38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c r="CD634" s="16"/>
      <c r="CE634" s="16"/>
      <c r="CF634" s="16"/>
      <c r="CG634" s="16"/>
      <c r="CH634" s="16"/>
      <c r="CI634" s="16"/>
    </row>
    <row r="635" spans="1:87" ht="15">
      <c r="A635" s="16"/>
      <c r="B635" s="16"/>
      <c r="C635" s="16"/>
      <c r="D635" s="16"/>
      <c r="E635" s="16"/>
      <c r="F635" s="16"/>
      <c r="G635" s="38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c r="CD635" s="16"/>
      <c r="CE635" s="16"/>
      <c r="CF635" s="16"/>
      <c r="CG635" s="16"/>
      <c r="CH635" s="16"/>
      <c r="CI635" s="16"/>
    </row>
    <row r="636" spans="1:87" ht="15">
      <c r="A636" s="16"/>
      <c r="B636" s="16"/>
      <c r="C636" s="16"/>
      <c r="D636" s="16"/>
      <c r="E636" s="16"/>
      <c r="F636" s="16"/>
      <c r="G636" s="38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c r="CD636" s="16"/>
      <c r="CE636" s="16"/>
      <c r="CF636" s="16"/>
      <c r="CG636" s="16"/>
      <c r="CH636" s="16"/>
      <c r="CI636" s="16"/>
    </row>
    <row r="637" spans="1:87" ht="15">
      <c r="A637" s="16"/>
      <c r="B637" s="16"/>
      <c r="C637" s="16"/>
      <c r="D637" s="16"/>
      <c r="E637" s="16"/>
      <c r="F637" s="16"/>
      <c r="G637" s="38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c r="CD637" s="16"/>
      <c r="CE637" s="16"/>
      <c r="CF637" s="16"/>
      <c r="CG637" s="16"/>
      <c r="CH637" s="16"/>
      <c r="CI637" s="16"/>
    </row>
    <row r="638" spans="1:87" ht="15">
      <c r="A638" s="16"/>
      <c r="B638" s="16"/>
      <c r="C638" s="16"/>
      <c r="D638" s="16"/>
      <c r="E638" s="16"/>
      <c r="F638" s="16"/>
      <c r="G638" s="38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6"/>
      <c r="CG638" s="16"/>
      <c r="CH638" s="16"/>
      <c r="CI638" s="16"/>
    </row>
    <row r="639" spans="1:87" ht="15">
      <c r="A639" s="16"/>
      <c r="B639" s="16"/>
      <c r="C639" s="16"/>
      <c r="D639" s="16"/>
      <c r="E639" s="16"/>
      <c r="F639" s="16"/>
      <c r="G639" s="38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c r="CD639" s="16"/>
      <c r="CE639" s="16"/>
      <c r="CF639" s="16"/>
      <c r="CG639" s="16"/>
      <c r="CH639" s="16"/>
      <c r="CI639" s="16"/>
    </row>
    <row r="640" spans="1:87" ht="15">
      <c r="A640" s="16"/>
      <c r="B640" s="16"/>
      <c r="C640" s="16"/>
      <c r="D640" s="16"/>
      <c r="E640" s="16"/>
      <c r="F640" s="16"/>
      <c r="G640" s="38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6"/>
      <c r="CG640" s="16"/>
      <c r="CH640" s="16"/>
      <c r="CI640" s="16"/>
    </row>
    <row r="641" spans="1:87" ht="15">
      <c r="A641" s="16"/>
      <c r="B641" s="16"/>
      <c r="C641" s="16"/>
      <c r="D641" s="16"/>
      <c r="E641" s="16"/>
      <c r="F641" s="16"/>
      <c r="G641" s="38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c r="CD641" s="16"/>
      <c r="CE641" s="16"/>
      <c r="CF641" s="16"/>
      <c r="CG641" s="16"/>
      <c r="CH641" s="16"/>
      <c r="CI641" s="16"/>
    </row>
    <row r="642" spans="1:87" ht="15">
      <c r="A642" s="16"/>
      <c r="B642" s="16"/>
      <c r="C642" s="16"/>
      <c r="D642" s="16"/>
      <c r="E642" s="16"/>
      <c r="F642" s="16"/>
      <c r="G642" s="38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6"/>
      <c r="CG642" s="16"/>
      <c r="CH642" s="16"/>
      <c r="CI642" s="16"/>
    </row>
    <row r="643" spans="1:87" ht="15">
      <c r="A643" s="16"/>
      <c r="B643" s="16"/>
      <c r="C643" s="16"/>
      <c r="D643" s="16"/>
      <c r="E643" s="16"/>
      <c r="F643" s="16"/>
      <c r="G643" s="38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c r="CD643" s="16"/>
      <c r="CE643" s="16"/>
      <c r="CF643" s="16"/>
      <c r="CG643" s="16"/>
      <c r="CH643" s="16"/>
      <c r="CI643" s="16"/>
    </row>
    <row r="644" spans="1:87" ht="15">
      <c r="A644" s="16"/>
      <c r="B644" s="16"/>
      <c r="C644" s="16"/>
      <c r="D644" s="16"/>
      <c r="E644" s="16"/>
      <c r="F644" s="16"/>
      <c r="G644" s="38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6"/>
      <c r="CG644" s="16"/>
      <c r="CH644" s="16"/>
      <c r="CI644" s="16"/>
    </row>
    <row r="645" spans="1:87" ht="15">
      <c r="A645" s="16"/>
      <c r="B645" s="16"/>
      <c r="C645" s="16"/>
      <c r="D645" s="16"/>
      <c r="E645" s="16"/>
      <c r="F645" s="16"/>
      <c r="G645" s="38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c r="CD645" s="16"/>
      <c r="CE645" s="16"/>
      <c r="CF645" s="16"/>
      <c r="CG645" s="16"/>
      <c r="CH645" s="16"/>
      <c r="CI645" s="16"/>
    </row>
    <row r="646" spans="1:87" ht="15">
      <c r="A646" s="16"/>
      <c r="B646" s="16"/>
      <c r="C646" s="16"/>
      <c r="D646" s="16"/>
      <c r="E646" s="16"/>
      <c r="F646" s="16"/>
      <c r="G646" s="38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6"/>
      <c r="CG646" s="16"/>
      <c r="CH646" s="16"/>
      <c r="CI646" s="16"/>
    </row>
    <row r="647" spans="1:87" ht="15">
      <c r="A647" s="16"/>
      <c r="B647" s="16"/>
      <c r="C647" s="16"/>
      <c r="D647" s="16"/>
      <c r="E647" s="16"/>
      <c r="F647" s="16"/>
      <c r="G647" s="38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c r="CD647" s="16"/>
      <c r="CE647" s="16"/>
      <c r="CF647" s="16"/>
      <c r="CG647" s="16"/>
      <c r="CH647" s="16"/>
      <c r="CI647" s="16"/>
    </row>
    <row r="648" spans="1:87" ht="15">
      <c r="A648" s="16"/>
      <c r="B648" s="16"/>
      <c r="C648" s="16"/>
      <c r="D648" s="16"/>
      <c r="E648" s="16"/>
      <c r="F648" s="16"/>
      <c r="G648" s="38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6"/>
      <c r="CG648" s="16"/>
      <c r="CH648" s="16"/>
      <c r="CI648" s="16"/>
    </row>
    <row r="649" spans="1:87" ht="15">
      <c r="A649" s="16"/>
      <c r="B649" s="16"/>
      <c r="C649" s="16"/>
      <c r="D649" s="16"/>
      <c r="E649" s="16"/>
      <c r="F649" s="16"/>
      <c r="G649" s="38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6"/>
      <c r="CH649" s="16"/>
      <c r="CI649" s="16"/>
    </row>
    <row r="650" spans="1:87" ht="15">
      <c r="A650" s="16"/>
      <c r="B650" s="16"/>
      <c r="C650" s="16"/>
      <c r="D650" s="16"/>
      <c r="E650" s="16"/>
      <c r="F650" s="16"/>
      <c r="G650" s="38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6"/>
      <c r="CH650" s="16"/>
      <c r="CI650" s="16"/>
    </row>
    <row r="651" spans="1:87" ht="15">
      <c r="A651" s="16"/>
      <c r="B651" s="16"/>
      <c r="C651" s="16"/>
      <c r="D651" s="16"/>
      <c r="E651" s="16"/>
      <c r="F651" s="16"/>
      <c r="G651" s="38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c r="CD651" s="16"/>
      <c r="CE651" s="16"/>
      <c r="CF651" s="16"/>
      <c r="CG651" s="16"/>
      <c r="CH651" s="16"/>
      <c r="CI651" s="16"/>
    </row>
    <row r="652" spans="1:87" ht="15">
      <c r="A652" s="16"/>
      <c r="B652" s="16"/>
      <c r="C652" s="16"/>
      <c r="D652" s="16"/>
      <c r="E652" s="16"/>
      <c r="F652" s="16"/>
      <c r="G652" s="38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6"/>
      <c r="CG652" s="16"/>
      <c r="CH652" s="16"/>
      <c r="CI652" s="16"/>
    </row>
    <row r="653" spans="1:87" ht="15">
      <c r="A653" s="16"/>
      <c r="B653" s="16"/>
      <c r="C653" s="16"/>
      <c r="D653" s="16"/>
      <c r="E653" s="16"/>
      <c r="F653" s="16"/>
      <c r="G653" s="38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c r="CD653" s="16"/>
      <c r="CE653" s="16"/>
      <c r="CF653" s="16"/>
      <c r="CG653" s="16"/>
      <c r="CH653" s="16"/>
      <c r="CI653" s="16"/>
    </row>
    <row r="654" spans="1:87" ht="15">
      <c r="A654" s="16"/>
      <c r="B654" s="16"/>
      <c r="C654" s="16"/>
      <c r="D654" s="16"/>
      <c r="E654" s="16"/>
      <c r="F654" s="16"/>
      <c r="G654" s="38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c r="CD654" s="16"/>
      <c r="CE654" s="16"/>
      <c r="CF654" s="16"/>
      <c r="CG654" s="16"/>
      <c r="CH654" s="16"/>
      <c r="CI654" s="16"/>
    </row>
    <row r="655" spans="1:87" ht="15">
      <c r="A655" s="16"/>
      <c r="B655" s="16"/>
      <c r="C655" s="16"/>
      <c r="D655" s="16"/>
      <c r="E655" s="16"/>
      <c r="F655" s="16"/>
      <c r="G655" s="38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6"/>
      <c r="CH655" s="16"/>
      <c r="CI655" s="16"/>
    </row>
    <row r="656" spans="1:87" ht="15">
      <c r="A656" s="16"/>
      <c r="B656" s="16"/>
      <c r="C656" s="16"/>
      <c r="D656" s="16"/>
      <c r="E656" s="16"/>
      <c r="F656" s="16"/>
      <c r="G656" s="38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6"/>
      <c r="CH656" s="16"/>
      <c r="CI656" s="16"/>
    </row>
    <row r="657" spans="1:87" ht="15">
      <c r="A657" s="16"/>
      <c r="B657" s="16"/>
      <c r="C657" s="16"/>
      <c r="D657" s="16"/>
      <c r="E657" s="16"/>
      <c r="F657" s="16"/>
      <c r="G657" s="38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c r="CD657" s="16"/>
      <c r="CE657" s="16"/>
      <c r="CF657" s="16"/>
      <c r="CG657" s="16"/>
      <c r="CH657" s="16"/>
      <c r="CI657" s="16"/>
    </row>
    <row r="658" spans="1:87" ht="15">
      <c r="A658" s="16"/>
      <c r="B658" s="16"/>
      <c r="C658" s="16"/>
      <c r="D658" s="16"/>
      <c r="E658" s="16"/>
      <c r="F658" s="16"/>
      <c r="G658" s="38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6"/>
      <c r="CG658" s="16"/>
      <c r="CH658" s="16"/>
      <c r="CI658" s="16"/>
    </row>
    <row r="659" spans="1:87" ht="15">
      <c r="A659" s="16"/>
      <c r="B659" s="16"/>
      <c r="C659" s="16"/>
      <c r="D659" s="16"/>
      <c r="E659" s="16"/>
      <c r="F659" s="16"/>
      <c r="G659" s="38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c r="CI659" s="16"/>
    </row>
    <row r="660" spans="1:87" ht="15">
      <c r="A660" s="16"/>
      <c r="B660" s="16"/>
      <c r="C660" s="16"/>
      <c r="D660" s="16"/>
      <c r="E660" s="16"/>
      <c r="F660" s="16"/>
      <c r="G660" s="38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c r="CI660" s="16"/>
    </row>
    <row r="661" spans="1:87" ht="15">
      <c r="A661" s="16"/>
      <c r="B661" s="16"/>
      <c r="C661" s="16"/>
      <c r="D661" s="16"/>
      <c r="E661" s="16"/>
      <c r="F661" s="16"/>
      <c r="G661" s="38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c r="CI661" s="16"/>
    </row>
    <row r="662" spans="1:87" ht="15">
      <c r="A662" s="16"/>
      <c r="B662" s="16"/>
      <c r="C662" s="16"/>
      <c r="D662" s="16"/>
      <c r="E662" s="16"/>
      <c r="F662" s="16"/>
      <c r="G662" s="38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c r="CI662" s="16"/>
    </row>
    <row r="663" spans="1:87" ht="15">
      <c r="A663" s="16"/>
      <c r="B663" s="16"/>
      <c r="C663" s="16"/>
      <c r="D663" s="16"/>
      <c r="E663" s="16"/>
      <c r="F663" s="16"/>
      <c r="G663" s="38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c r="CI663" s="16"/>
    </row>
    <row r="664" spans="1:87" ht="15">
      <c r="A664" s="16"/>
      <c r="B664" s="16"/>
      <c r="C664" s="16"/>
      <c r="D664" s="16"/>
      <c r="E664" s="16"/>
      <c r="F664" s="16"/>
      <c r="G664" s="38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c r="CI664" s="16"/>
    </row>
    <row r="665" spans="1:87" ht="15">
      <c r="A665" s="16"/>
      <c r="B665" s="16"/>
      <c r="C665" s="16"/>
      <c r="D665" s="16"/>
      <c r="E665" s="16"/>
      <c r="F665" s="16"/>
      <c r="G665" s="38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c r="CI665" s="16"/>
    </row>
    <row r="666" spans="1:87" ht="15">
      <c r="A666" s="16"/>
      <c r="B666" s="16"/>
      <c r="C666" s="16"/>
      <c r="D666" s="16"/>
      <c r="E666" s="16"/>
      <c r="F666" s="16"/>
      <c r="G666" s="38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c r="CI666" s="16"/>
    </row>
    <row r="667" spans="1:87" ht="15">
      <c r="A667" s="16"/>
      <c r="B667" s="16"/>
      <c r="C667" s="16"/>
      <c r="D667" s="16"/>
      <c r="E667" s="16"/>
      <c r="F667" s="16"/>
      <c r="G667" s="38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c r="CI667" s="16"/>
    </row>
    <row r="668" spans="1:87" ht="15">
      <c r="A668" s="16"/>
      <c r="B668" s="16"/>
      <c r="C668" s="16"/>
      <c r="D668" s="16"/>
      <c r="E668" s="16"/>
      <c r="F668" s="16"/>
      <c r="G668" s="38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c r="CI668" s="16"/>
    </row>
    <row r="669" spans="1:87" ht="15">
      <c r="A669" s="16"/>
      <c r="B669" s="16"/>
      <c r="C669" s="16"/>
      <c r="D669" s="16"/>
      <c r="E669" s="16"/>
      <c r="F669" s="16"/>
      <c r="G669" s="38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c r="CI669" s="16"/>
    </row>
    <row r="670" spans="1:87" ht="15">
      <c r="A670" s="16"/>
      <c r="B670" s="16"/>
      <c r="C670" s="16"/>
      <c r="D670" s="16"/>
      <c r="E670" s="16"/>
      <c r="F670" s="16"/>
      <c r="G670" s="38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c r="CI670" s="16"/>
    </row>
    <row r="671" spans="1:87" ht="15">
      <c r="A671" s="16"/>
      <c r="B671" s="16"/>
      <c r="C671" s="16"/>
      <c r="D671" s="16"/>
      <c r="E671" s="16"/>
      <c r="F671" s="16"/>
      <c r="G671" s="38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c r="CI671" s="16"/>
    </row>
    <row r="672" spans="1:87" ht="15">
      <c r="A672" s="16"/>
      <c r="B672" s="16"/>
      <c r="C672" s="16"/>
      <c r="D672" s="16"/>
      <c r="E672" s="16"/>
      <c r="F672" s="16"/>
      <c r="G672" s="38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c r="CI672" s="16"/>
    </row>
    <row r="673" spans="1:87" ht="15">
      <c r="A673" s="16"/>
      <c r="B673" s="16"/>
      <c r="C673" s="16"/>
      <c r="D673" s="16"/>
      <c r="E673" s="16"/>
      <c r="F673" s="16"/>
      <c r="G673" s="38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c r="CI673" s="16"/>
    </row>
    <row r="674" spans="1:87" ht="15">
      <c r="A674" s="16"/>
      <c r="B674" s="16"/>
      <c r="C674" s="16"/>
      <c r="D674" s="16"/>
      <c r="E674" s="16"/>
      <c r="F674" s="16"/>
      <c r="G674" s="38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c r="CI674" s="16"/>
    </row>
    <row r="675" spans="1:87" ht="15">
      <c r="A675" s="16"/>
      <c r="B675" s="16"/>
      <c r="C675" s="16"/>
      <c r="D675" s="16"/>
      <c r="E675" s="16"/>
      <c r="F675" s="16"/>
      <c r="G675" s="38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c r="CI675" s="16"/>
    </row>
    <row r="676" spans="1:87" ht="15">
      <c r="A676" s="16"/>
      <c r="B676" s="16"/>
      <c r="C676" s="16"/>
      <c r="D676" s="16"/>
      <c r="E676" s="16"/>
      <c r="F676" s="16"/>
      <c r="G676" s="38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c r="CI676" s="16"/>
    </row>
    <row r="677" spans="1:87" ht="15">
      <c r="A677" s="16"/>
      <c r="B677" s="16"/>
      <c r="C677" s="16"/>
      <c r="D677" s="16"/>
      <c r="E677" s="16"/>
      <c r="F677" s="16"/>
      <c r="G677" s="38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row>
    <row r="678" spans="1:87" ht="15">
      <c r="A678" s="16"/>
      <c r="B678" s="16"/>
      <c r="C678" s="16"/>
      <c r="D678" s="16"/>
      <c r="E678" s="16"/>
      <c r="F678" s="16"/>
      <c r="G678" s="38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row>
    <row r="679" spans="1:87" ht="15">
      <c r="A679" s="16"/>
      <c r="B679" s="16"/>
      <c r="C679" s="16"/>
      <c r="D679" s="16"/>
      <c r="E679" s="16"/>
      <c r="F679" s="16"/>
      <c r="G679" s="38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row>
    <row r="680" spans="1:87" ht="15">
      <c r="A680" s="16"/>
      <c r="B680" s="16"/>
      <c r="C680" s="16"/>
      <c r="D680" s="16"/>
      <c r="E680" s="16"/>
      <c r="F680" s="16"/>
      <c r="G680" s="38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row>
    <row r="681" spans="1:87" ht="15">
      <c r="A681" s="16"/>
      <c r="B681" s="16"/>
      <c r="C681" s="16"/>
      <c r="D681" s="16"/>
      <c r="E681" s="16"/>
      <c r="F681" s="16"/>
      <c r="G681" s="38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row>
    <row r="682" spans="1:87" ht="15">
      <c r="A682" s="16"/>
      <c r="B682" s="16"/>
      <c r="C682" s="16"/>
      <c r="D682" s="16"/>
      <c r="E682" s="16"/>
      <c r="F682" s="16"/>
      <c r="G682" s="38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row>
    <row r="683" spans="1:87" ht="15">
      <c r="A683" s="16"/>
      <c r="B683" s="16"/>
      <c r="C683" s="16"/>
      <c r="D683" s="16"/>
      <c r="E683" s="16"/>
      <c r="F683" s="16"/>
      <c r="G683" s="38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row>
    <row r="684" spans="1:87" ht="15">
      <c r="A684" s="16"/>
      <c r="B684" s="16"/>
      <c r="C684" s="16"/>
      <c r="D684" s="16"/>
      <c r="E684" s="16"/>
      <c r="F684" s="16"/>
      <c r="G684" s="38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row>
    <row r="685" spans="1:87" ht="15">
      <c r="A685" s="16"/>
      <c r="B685" s="16"/>
      <c r="C685" s="16"/>
      <c r="D685" s="16"/>
      <c r="E685" s="16"/>
      <c r="F685" s="16"/>
      <c r="G685" s="38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row>
    <row r="686" spans="1:87" ht="15">
      <c r="A686" s="16"/>
      <c r="B686" s="16"/>
      <c r="C686" s="16"/>
      <c r="D686" s="16"/>
      <c r="E686" s="16"/>
      <c r="F686" s="16"/>
      <c r="G686" s="38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row>
    <row r="687" spans="1:87" ht="15">
      <c r="A687" s="16"/>
      <c r="B687" s="16"/>
      <c r="C687" s="16"/>
      <c r="D687" s="16"/>
      <c r="E687" s="16"/>
      <c r="F687" s="16"/>
      <c r="G687" s="38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row>
    <row r="688" spans="1:87" ht="15">
      <c r="A688" s="16"/>
      <c r="B688" s="16"/>
      <c r="C688" s="16"/>
      <c r="D688" s="16"/>
      <c r="E688" s="16"/>
      <c r="F688" s="16"/>
      <c r="G688" s="38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row>
    <row r="689" spans="1:87" ht="15">
      <c r="A689" s="16"/>
      <c r="B689" s="16"/>
      <c r="C689" s="16"/>
      <c r="D689" s="16"/>
      <c r="E689" s="16"/>
      <c r="F689" s="16"/>
      <c r="G689" s="38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row>
    <row r="690" spans="1:87" ht="15">
      <c r="A690" s="16"/>
      <c r="B690" s="16"/>
      <c r="C690" s="16"/>
      <c r="D690" s="16"/>
      <c r="E690" s="16"/>
      <c r="F690" s="16"/>
      <c r="G690" s="38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row>
    <row r="691" spans="1:87" ht="15">
      <c r="A691" s="16"/>
      <c r="B691" s="16"/>
      <c r="C691" s="16"/>
      <c r="D691" s="16"/>
      <c r="E691" s="16"/>
      <c r="F691" s="16"/>
      <c r="G691" s="38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row>
    <row r="692" spans="1:87" ht="15">
      <c r="A692" s="16"/>
      <c r="B692" s="16"/>
      <c r="C692" s="16"/>
      <c r="D692" s="16"/>
      <c r="E692" s="16"/>
      <c r="F692" s="16"/>
      <c r="G692" s="38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row>
    <row r="693" spans="1:87" ht="15">
      <c r="A693" s="16"/>
      <c r="B693" s="16"/>
      <c r="C693" s="16"/>
      <c r="D693" s="16"/>
      <c r="E693" s="16"/>
      <c r="F693" s="16"/>
      <c r="G693" s="38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row>
    <row r="694" spans="1:87" ht="15">
      <c r="A694" s="16"/>
      <c r="B694" s="16"/>
      <c r="C694" s="16"/>
      <c r="D694" s="16"/>
      <c r="E694" s="16"/>
      <c r="F694" s="16"/>
      <c r="G694" s="38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row>
    <row r="695" spans="1:87" ht="15">
      <c r="A695" s="16"/>
      <c r="B695" s="16"/>
      <c r="C695" s="16"/>
      <c r="D695" s="16"/>
      <c r="E695" s="16"/>
      <c r="F695" s="16"/>
      <c r="G695" s="38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row>
    <row r="696" spans="1:87" ht="15">
      <c r="A696" s="16"/>
      <c r="B696" s="16"/>
      <c r="C696" s="16"/>
      <c r="D696" s="16"/>
      <c r="E696" s="16"/>
      <c r="F696" s="16"/>
      <c r="G696" s="38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row>
    <row r="697" spans="1:87" ht="15">
      <c r="A697" s="16"/>
      <c r="B697" s="16"/>
      <c r="C697" s="16"/>
      <c r="D697" s="16"/>
      <c r="E697" s="16"/>
      <c r="F697" s="16"/>
      <c r="G697" s="38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row>
    <row r="698" spans="1:87" ht="15">
      <c r="A698" s="16"/>
      <c r="B698" s="16"/>
      <c r="C698" s="16"/>
      <c r="D698" s="16"/>
      <c r="E698" s="16"/>
      <c r="F698" s="16"/>
      <c r="G698" s="38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row>
    <row r="699" spans="1:87" ht="15">
      <c r="A699" s="16"/>
      <c r="B699" s="16"/>
      <c r="C699" s="16"/>
      <c r="D699" s="16"/>
      <c r="E699" s="16"/>
      <c r="F699" s="16"/>
      <c r="G699" s="38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row>
    <row r="700" spans="1:87" ht="15">
      <c r="A700" s="16"/>
      <c r="B700" s="16"/>
      <c r="C700" s="16"/>
      <c r="D700" s="16"/>
      <c r="E700" s="16"/>
      <c r="F700" s="16"/>
      <c r="G700" s="38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row>
    <row r="701" spans="1:87" ht="15">
      <c r="A701" s="16"/>
      <c r="B701" s="16"/>
      <c r="C701" s="16"/>
      <c r="D701" s="16"/>
      <c r="E701" s="16"/>
      <c r="F701" s="16"/>
      <c r="G701" s="38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row>
    <row r="702" spans="1:87" ht="15">
      <c r="A702" s="16"/>
      <c r="B702" s="16"/>
      <c r="C702" s="16"/>
      <c r="D702" s="16"/>
      <c r="E702" s="16"/>
      <c r="F702" s="16"/>
      <c r="G702" s="38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row>
    <row r="703" spans="1:87" ht="15">
      <c r="A703" s="16"/>
      <c r="B703" s="16"/>
      <c r="C703" s="16"/>
      <c r="D703" s="16"/>
      <c r="E703" s="16"/>
      <c r="F703" s="16"/>
      <c r="G703" s="38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row>
    <row r="704" spans="1:87" ht="15">
      <c r="A704" s="16"/>
      <c r="B704" s="16"/>
      <c r="C704" s="16"/>
      <c r="D704" s="16"/>
      <c r="E704" s="16"/>
      <c r="F704" s="16"/>
      <c r="G704" s="38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c r="CI704" s="16"/>
    </row>
    <row r="705" spans="1:87" ht="15">
      <c r="A705" s="16"/>
      <c r="B705" s="16"/>
      <c r="C705" s="16"/>
      <c r="D705" s="16"/>
      <c r="E705" s="16"/>
      <c r="F705" s="16"/>
      <c r="G705" s="38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c r="CI705" s="16"/>
    </row>
    <row r="706" spans="1:87" ht="15">
      <c r="A706" s="16"/>
      <c r="B706" s="16"/>
      <c r="C706" s="16"/>
      <c r="D706" s="16"/>
      <c r="E706" s="16"/>
      <c r="F706" s="16"/>
      <c r="G706" s="38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row>
    <row r="707" spans="1:87" ht="15">
      <c r="A707" s="16"/>
      <c r="B707" s="16"/>
      <c r="C707" s="16"/>
      <c r="D707" s="16"/>
      <c r="E707" s="16"/>
      <c r="F707" s="16"/>
      <c r="G707" s="38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row>
    <row r="708" spans="1:87" ht="15">
      <c r="A708" s="16"/>
      <c r="B708" s="16"/>
      <c r="C708" s="16"/>
      <c r="D708" s="16"/>
      <c r="E708" s="16"/>
      <c r="F708" s="16"/>
      <c r="G708" s="38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c r="CI708" s="16"/>
    </row>
    <row r="709" spans="1:87" ht="15">
      <c r="A709" s="16"/>
      <c r="B709" s="16"/>
      <c r="C709" s="16"/>
      <c r="D709" s="16"/>
      <c r="E709" s="16"/>
      <c r="F709" s="16"/>
      <c r="G709" s="38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c r="CI709" s="16"/>
    </row>
    <row r="710" spans="1:87" ht="15">
      <c r="A710" s="16"/>
      <c r="B710" s="16"/>
      <c r="C710" s="16"/>
      <c r="D710" s="16"/>
      <c r="E710" s="16"/>
      <c r="F710" s="16"/>
      <c r="G710" s="38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c r="CI710" s="16"/>
    </row>
    <row r="711" spans="1:87" ht="15">
      <c r="A711" s="16"/>
      <c r="B711" s="16"/>
      <c r="C711" s="16"/>
      <c r="D711" s="16"/>
      <c r="E711" s="16"/>
      <c r="F711" s="16"/>
      <c r="G711" s="38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c r="CI711" s="16"/>
    </row>
    <row r="712" spans="1:87" ht="15">
      <c r="A712" s="16"/>
      <c r="B712" s="16"/>
      <c r="C712" s="16"/>
      <c r="D712" s="16"/>
      <c r="E712" s="16"/>
      <c r="F712" s="16"/>
      <c r="G712" s="38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c r="CI712" s="16"/>
    </row>
    <row r="713" spans="1:87" ht="15">
      <c r="A713" s="16"/>
      <c r="B713" s="16"/>
      <c r="C713" s="16"/>
      <c r="D713" s="16"/>
      <c r="E713" s="16"/>
      <c r="F713" s="16"/>
      <c r="G713" s="38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c r="CI713" s="16"/>
    </row>
    <row r="714" spans="1:87" ht="15">
      <c r="A714" s="16"/>
      <c r="B714" s="16"/>
      <c r="C714" s="16"/>
      <c r="D714" s="16"/>
      <c r="E714" s="16"/>
      <c r="F714" s="16"/>
      <c r="G714" s="38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row>
    <row r="715" spans="1:87" ht="15">
      <c r="A715" s="16"/>
      <c r="B715" s="16"/>
      <c r="C715" s="16"/>
      <c r="D715" s="16"/>
      <c r="E715" s="16"/>
      <c r="F715" s="16"/>
      <c r="G715" s="38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c r="CI715" s="16"/>
    </row>
    <row r="716" spans="1:87" ht="15">
      <c r="A716" s="16"/>
      <c r="B716" s="16"/>
      <c r="C716" s="16"/>
      <c r="D716" s="16"/>
      <c r="E716" s="16"/>
      <c r="F716" s="16"/>
      <c r="G716" s="38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row>
    <row r="717" spans="1:87" ht="15">
      <c r="A717" s="16"/>
      <c r="B717" s="16"/>
      <c r="C717" s="16"/>
      <c r="D717" s="16"/>
      <c r="E717" s="16"/>
      <c r="F717" s="16"/>
      <c r="G717" s="38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c r="CI717" s="16"/>
    </row>
    <row r="718" spans="1:87" ht="15">
      <c r="A718" s="16"/>
      <c r="B718" s="16"/>
      <c r="C718" s="16"/>
      <c r="D718" s="16"/>
      <c r="E718" s="16"/>
      <c r="F718" s="16"/>
      <c r="G718" s="38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c r="CI718" s="16"/>
    </row>
    <row r="719" spans="1:87" ht="15">
      <c r="A719" s="16"/>
      <c r="B719" s="16"/>
      <c r="C719" s="16"/>
      <c r="D719" s="16"/>
      <c r="E719" s="16"/>
      <c r="F719" s="16"/>
      <c r="G719" s="38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c r="CI719" s="16"/>
    </row>
    <row r="720" spans="1:87" ht="15">
      <c r="A720" s="16"/>
      <c r="B720" s="16"/>
      <c r="C720" s="16"/>
      <c r="D720" s="16"/>
      <c r="E720" s="16"/>
      <c r="F720" s="16"/>
      <c r="G720" s="38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c r="CI720" s="16"/>
    </row>
    <row r="721" spans="1:87" ht="15">
      <c r="A721" s="16"/>
      <c r="B721" s="16"/>
      <c r="C721" s="16"/>
      <c r="D721" s="16"/>
      <c r="E721" s="16"/>
      <c r="F721" s="16"/>
      <c r="G721" s="38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c r="CI721" s="16"/>
    </row>
    <row r="722" spans="1:87" ht="15">
      <c r="A722" s="16"/>
      <c r="B722" s="16"/>
      <c r="C722" s="16"/>
      <c r="D722" s="16"/>
      <c r="E722" s="16"/>
      <c r="F722" s="16"/>
      <c r="G722" s="38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c r="CI722" s="16"/>
    </row>
    <row r="723" spans="1:87" ht="15">
      <c r="A723" s="16"/>
      <c r="B723" s="16"/>
      <c r="C723" s="16"/>
      <c r="D723" s="16"/>
      <c r="E723" s="16"/>
      <c r="F723" s="16"/>
      <c r="G723" s="38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c r="CI723" s="16"/>
    </row>
    <row r="724" spans="1:87" ht="15">
      <c r="A724" s="16"/>
      <c r="B724" s="16"/>
      <c r="C724" s="16"/>
      <c r="D724" s="16"/>
      <c r="E724" s="16"/>
      <c r="F724" s="16"/>
      <c r="G724" s="38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row>
    <row r="725" spans="1:87" ht="15">
      <c r="A725" s="16"/>
      <c r="B725" s="16"/>
      <c r="C725" s="16"/>
      <c r="D725" s="16"/>
      <c r="E725" s="16"/>
      <c r="F725" s="16"/>
      <c r="G725" s="38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row>
    <row r="726" spans="1:87" ht="15">
      <c r="A726" s="16"/>
      <c r="B726" s="16"/>
      <c r="C726" s="16"/>
      <c r="D726" s="16"/>
      <c r="E726" s="16"/>
      <c r="F726" s="16"/>
      <c r="G726" s="38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c r="CI726" s="16"/>
    </row>
    <row r="727" spans="1:87" ht="15">
      <c r="A727" s="16"/>
      <c r="B727" s="16"/>
      <c r="C727" s="16"/>
      <c r="D727" s="16"/>
      <c r="E727" s="16"/>
      <c r="F727" s="16"/>
      <c r="G727" s="38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c r="CI727" s="16"/>
    </row>
    <row r="728" spans="1:87" ht="15">
      <c r="A728" s="16"/>
      <c r="B728" s="16"/>
      <c r="C728" s="16"/>
      <c r="D728" s="16"/>
      <c r="E728" s="16"/>
      <c r="F728" s="16"/>
      <c r="G728" s="38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c r="CI728" s="16"/>
    </row>
    <row r="729" spans="1:87" ht="15">
      <c r="A729" s="16"/>
      <c r="B729" s="16"/>
      <c r="C729" s="16"/>
      <c r="D729" s="16"/>
      <c r="E729" s="16"/>
      <c r="F729" s="16"/>
      <c r="G729" s="38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row>
    <row r="730" spans="1:87" ht="15">
      <c r="A730" s="16"/>
      <c r="B730" s="16"/>
      <c r="C730" s="16"/>
      <c r="D730" s="16"/>
      <c r="E730" s="16"/>
      <c r="F730" s="16"/>
      <c r="G730" s="38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row>
    <row r="731" spans="1:87" ht="15">
      <c r="A731" s="16"/>
      <c r="B731" s="16"/>
      <c r="C731" s="16"/>
      <c r="D731" s="16"/>
      <c r="E731" s="16"/>
      <c r="F731" s="16"/>
      <c r="G731" s="38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row>
    <row r="732" spans="1:87" ht="15">
      <c r="A732" s="16"/>
      <c r="B732" s="16"/>
      <c r="C732" s="16"/>
      <c r="D732" s="16"/>
      <c r="E732" s="16"/>
      <c r="F732" s="16"/>
      <c r="G732" s="38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row>
    <row r="733" spans="1:87" ht="15">
      <c r="A733" s="16"/>
      <c r="B733" s="16"/>
      <c r="C733" s="16"/>
      <c r="D733" s="16"/>
      <c r="E733" s="16"/>
      <c r="F733" s="16"/>
      <c r="G733" s="38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row>
    <row r="734" spans="1:87" ht="15">
      <c r="A734" s="16"/>
      <c r="B734" s="16"/>
      <c r="C734" s="16"/>
      <c r="D734" s="16"/>
      <c r="E734" s="16"/>
      <c r="F734" s="16"/>
      <c r="G734" s="38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row>
    <row r="735" spans="1:87" ht="15">
      <c r="A735" s="16"/>
      <c r="B735" s="16"/>
      <c r="C735" s="16"/>
      <c r="D735" s="16"/>
      <c r="E735" s="16"/>
      <c r="F735" s="16"/>
      <c r="G735" s="38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row>
    <row r="736" spans="1:87" ht="15">
      <c r="A736" s="16"/>
      <c r="B736" s="16"/>
      <c r="C736" s="16"/>
      <c r="D736" s="16"/>
      <c r="E736" s="16"/>
      <c r="F736" s="16"/>
      <c r="G736" s="38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row>
    <row r="737" spans="1:87" ht="15">
      <c r="A737" s="16"/>
      <c r="B737" s="16"/>
      <c r="C737" s="16"/>
      <c r="D737" s="16"/>
      <c r="E737" s="16"/>
      <c r="F737" s="16"/>
      <c r="G737" s="38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row>
    <row r="738" spans="1:87" ht="15">
      <c r="A738" s="16"/>
      <c r="B738" s="16"/>
      <c r="C738" s="16"/>
      <c r="D738" s="16"/>
      <c r="E738" s="16"/>
      <c r="F738" s="16"/>
      <c r="G738" s="38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row>
    <row r="739" spans="1:87" ht="15">
      <c r="A739" s="16"/>
      <c r="B739" s="16"/>
      <c r="C739" s="16"/>
      <c r="D739" s="16"/>
      <c r="E739" s="16"/>
      <c r="F739" s="16"/>
      <c r="G739" s="38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row>
    <row r="740" spans="1:87" ht="15">
      <c r="A740" s="16"/>
      <c r="B740" s="16"/>
      <c r="C740" s="16"/>
      <c r="D740" s="16"/>
      <c r="E740" s="16"/>
      <c r="F740" s="16"/>
      <c r="G740" s="38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row>
    <row r="741" spans="1:87" ht="15">
      <c r="A741" s="16"/>
      <c r="B741" s="16"/>
      <c r="C741" s="16"/>
      <c r="D741" s="16"/>
      <c r="E741" s="16"/>
      <c r="F741" s="16"/>
      <c r="G741" s="38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row>
    <row r="742" spans="1:87" ht="15">
      <c r="A742" s="16"/>
      <c r="B742" s="16"/>
      <c r="C742" s="16"/>
      <c r="D742" s="16"/>
      <c r="E742" s="16"/>
      <c r="F742" s="16"/>
      <c r="G742" s="38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row>
    <row r="743" spans="1:87" ht="15">
      <c r="A743" s="16"/>
      <c r="B743" s="16"/>
      <c r="C743" s="16"/>
      <c r="D743" s="16"/>
      <c r="E743" s="16"/>
      <c r="F743" s="16"/>
      <c r="G743" s="38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row>
    <row r="744" spans="1:87" ht="15">
      <c r="A744" s="16"/>
      <c r="B744" s="16"/>
      <c r="C744" s="16"/>
      <c r="D744" s="16"/>
      <c r="E744" s="16"/>
      <c r="F744" s="16"/>
      <c r="G744" s="38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row>
    <row r="745" spans="1:87" ht="15">
      <c r="A745" s="16"/>
      <c r="B745" s="16"/>
      <c r="C745" s="16"/>
      <c r="D745" s="16"/>
      <c r="E745" s="16"/>
      <c r="F745" s="16"/>
      <c r="G745" s="38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row>
    <row r="746" spans="1:87" ht="15">
      <c r="A746" s="16"/>
      <c r="B746" s="16"/>
      <c r="C746" s="16"/>
      <c r="D746" s="16"/>
      <c r="E746" s="16"/>
      <c r="F746" s="16"/>
      <c r="G746" s="38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c r="CI746" s="16"/>
    </row>
    <row r="747" spans="1:87" ht="15">
      <c r="A747" s="16"/>
      <c r="B747" s="16"/>
      <c r="C747" s="16"/>
      <c r="D747" s="16"/>
      <c r="E747" s="16"/>
      <c r="F747" s="16"/>
      <c r="G747" s="38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c r="CI747" s="16"/>
    </row>
    <row r="748" spans="1:87" ht="15">
      <c r="A748" s="16"/>
      <c r="B748" s="16"/>
      <c r="C748" s="16"/>
      <c r="D748" s="16"/>
      <c r="E748" s="16"/>
      <c r="F748" s="16"/>
      <c r="G748" s="38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c r="CI748" s="16"/>
    </row>
    <row r="749" spans="1:87" ht="15">
      <c r="A749" s="16"/>
      <c r="B749" s="16"/>
      <c r="C749" s="16"/>
      <c r="D749" s="16"/>
      <c r="E749" s="16"/>
      <c r="F749" s="16"/>
      <c r="G749" s="38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c r="CI749" s="16"/>
    </row>
    <row r="750" spans="1:87" ht="15">
      <c r="A750" s="16"/>
      <c r="B750" s="16"/>
      <c r="C750" s="16"/>
      <c r="D750" s="16"/>
      <c r="E750" s="16"/>
      <c r="F750" s="16"/>
      <c r="G750" s="38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c r="CI750" s="16"/>
    </row>
    <row r="751" spans="1:87" ht="15">
      <c r="A751" s="16"/>
      <c r="B751" s="16"/>
      <c r="C751" s="16"/>
      <c r="D751" s="16"/>
      <c r="E751" s="16"/>
      <c r="F751" s="16"/>
      <c r="G751" s="38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c r="CI751" s="16"/>
    </row>
    <row r="752" spans="1:87" ht="15">
      <c r="A752" s="16"/>
      <c r="B752" s="16"/>
      <c r="C752" s="16"/>
      <c r="D752" s="16"/>
      <c r="E752" s="16"/>
      <c r="F752" s="16"/>
      <c r="G752" s="38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row>
    <row r="753" spans="1:87" ht="15">
      <c r="A753" s="16"/>
      <c r="B753" s="16"/>
      <c r="C753" s="16"/>
      <c r="D753" s="16"/>
      <c r="E753" s="16"/>
      <c r="F753" s="16"/>
      <c r="G753" s="38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c r="CI753" s="16"/>
    </row>
    <row r="754" spans="1:87" ht="15">
      <c r="A754" s="16"/>
      <c r="B754" s="16"/>
      <c r="C754" s="16"/>
      <c r="D754" s="16"/>
      <c r="E754" s="16"/>
      <c r="F754" s="16"/>
      <c r="G754" s="38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row>
    <row r="755" spans="1:87" ht="15">
      <c r="A755" s="16"/>
      <c r="B755" s="16"/>
      <c r="C755" s="16"/>
      <c r="D755" s="16"/>
      <c r="E755" s="16"/>
      <c r="F755" s="16"/>
      <c r="G755" s="38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c r="CI755" s="16"/>
    </row>
    <row r="756" spans="1:87" ht="15">
      <c r="A756" s="16"/>
      <c r="B756" s="16"/>
      <c r="C756" s="16"/>
      <c r="D756" s="16"/>
      <c r="E756" s="16"/>
      <c r="F756" s="16"/>
      <c r="G756" s="38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c r="CI756" s="16"/>
    </row>
    <row r="757" spans="1:87" ht="15">
      <c r="A757" s="16"/>
      <c r="B757" s="16"/>
      <c r="C757" s="16"/>
      <c r="D757" s="16"/>
      <c r="E757" s="16"/>
      <c r="F757" s="16"/>
      <c r="G757" s="38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row>
    <row r="758" spans="1:87" ht="15">
      <c r="A758" s="16"/>
      <c r="B758" s="16"/>
      <c r="C758" s="16"/>
      <c r="D758" s="16"/>
      <c r="E758" s="16"/>
      <c r="F758" s="16"/>
      <c r="G758" s="38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row>
    <row r="759" spans="1:87" ht="15">
      <c r="A759" s="16"/>
      <c r="B759" s="16"/>
      <c r="C759" s="16"/>
      <c r="D759" s="16"/>
      <c r="E759" s="16"/>
      <c r="F759" s="16"/>
      <c r="G759" s="38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c r="CI759" s="16"/>
    </row>
    <row r="760" spans="1:87" ht="15">
      <c r="A760" s="16"/>
      <c r="B760" s="16"/>
      <c r="C760" s="16"/>
      <c r="D760" s="16"/>
      <c r="E760" s="16"/>
      <c r="F760" s="16"/>
      <c r="G760" s="38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c r="CI760" s="16"/>
    </row>
    <row r="761" spans="1:87" ht="15">
      <c r="A761" s="16"/>
      <c r="B761" s="16"/>
      <c r="C761" s="16"/>
      <c r="D761" s="16"/>
      <c r="E761" s="16"/>
      <c r="F761" s="16"/>
      <c r="G761" s="38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row>
    <row r="762" spans="1:87" ht="15">
      <c r="A762" s="16"/>
      <c r="B762" s="16"/>
      <c r="C762" s="16"/>
      <c r="D762" s="16"/>
      <c r="E762" s="16"/>
      <c r="F762" s="16"/>
      <c r="G762" s="38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row>
    <row r="763" spans="1:87" ht="15">
      <c r="A763" s="16"/>
      <c r="B763" s="16"/>
      <c r="C763" s="16"/>
      <c r="D763" s="16"/>
      <c r="E763" s="16"/>
      <c r="F763" s="16"/>
      <c r="G763" s="38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c r="CI763" s="16"/>
    </row>
    <row r="764" spans="1:87" ht="15">
      <c r="A764" s="16"/>
      <c r="B764" s="16"/>
      <c r="C764" s="16"/>
      <c r="D764" s="16"/>
      <c r="E764" s="16"/>
      <c r="F764" s="16"/>
      <c r="G764" s="38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c r="CI764" s="16"/>
    </row>
    <row r="765" spans="1:87" ht="15">
      <c r="A765" s="16"/>
      <c r="B765" s="16"/>
      <c r="C765" s="16"/>
      <c r="D765" s="16"/>
      <c r="E765" s="16"/>
      <c r="F765" s="16"/>
      <c r="G765" s="38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row>
    <row r="766" spans="1:87" ht="15">
      <c r="A766" s="16"/>
      <c r="B766" s="16"/>
      <c r="C766" s="16"/>
      <c r="D766" s="16"/>
      <c r="E766" s="16"/>
      <c r="F766" s="16"/>
      <c r="G766" s="38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c r="CI766" s="16"/>
    </row>
    <row r="767" spans="1:87" ht="15">
      <c r="A767" s="16"/>
      <c r="B767" s="16"/>
      <c r="C767" s="16"/>
      <c r="D767" s="16"/>
      <c r="E767" s="16"/>
      <c r="F767" s="16"/>
      <c r="G767" s="38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c r="CI767" s="16"/>
    </row>
    <row r="768" spans="1:87" ht="15">
      <c r="A768" s="16"/>
      <c r="B768" s="16"/>
      <c r="C768" s="16"/>
      <c r="D768" s="16"/>
      <c r="E768" s="16"/>
      <c r="F768" s="16"/>
      <c r="G768" s="38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c r="CI768" s="16"/>
    </row>
    <row r="769" spans="1:87" ht="15">
      <c r="A769" s="16"/>
      <c r="B769" s="16"/>
      <c r="C769" s="16"/>
      <c r="D769" s="16"/>
      <c r="E769" s="16"/>
      <c r="F769" s="16"/>
      <c r="G769" s="38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row>
    <row r="770" spans="1:87" ht="15">
      <c r="A770" s="16"/>
      <c r="B770" s="16"/>
      <c r="C770" s="16"/>
      <c r="D770" s="16"/>
      <c r="E770" s="16"/>
      <c r="F770" s="16"/>
      <c r="G770" s="38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row>
    <row r="771" spans="1:87" ht="15">
      <c r="A771" s="16"/>
      <c r="B771" s="16"/>
      <c r="C771" s="16"/>
      <c r="D771" s="16"/>
      <c r="E771" s="16"/>
      <c r="F771" s="16"/>
      <c r="G771" s="38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row>
    <row r="772" spans="1:87" ht="15">
      <c r="A772" s="16"/>
      <c r="B772" s="16"/>
      <c r="C772" s="16"/>
      <c r="D772" s="16"/>
      <c r="E772" s="16"/>
      <c r="F772" s="16"/>
      <c r="G772" s="38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row>
    <row r="773" spans="1:87" ht="15">
      <c r="A773" s="16"/>
      <c r="B773" s="16"/>
      <c r="C773" s="16"/>
      <c r="D773" s="16"/>
      <c r="E773" s="16"/>
      <c r="F773" s="16"/>
      <c r="G773" s="38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row>
    <row r="774" spans="1:87" ht="15">
      <c r="A774" s="16"/>
      <c r="B774" s="16"/>
      <c r="C774" s="16"/>
      <c r="D774" s="16"/>
      <c r="E774" s="16"/>
      <c r="F774" s="16"/>
      <c r="G774" s="38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c r="CI774" s="16"/>
    </row>
    <row r="775" spans="1:87" ht="15">
      <c r="A775" s="16"/>
      <c r="B775" s="16"/>
      <c r="C775" s="16"/>
      <c r="D775" s="16"/>
      <c r="E775" s="16"/>
      <c r="F775" s="16"/>
      <c r="G775" s="38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c r="CI775" s="16"/>
    </row>
    <row r="776" spans="1:87" ht="15">
      <c r="A776" s="16"/>
      <c r="B776" s="16"/>
      <c r="C776" s="16"/>
      <c r="D776" s="16"/>
      <c r="E776" s="16"/>
      <c r="F776" s="16"/>
      <c r="G776" s="38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c r="CI776" s="16"/>
    </row>
    <row r="777" spans="1:87" ht="15">
      <c r="A777" s="16"/>
      <c r="B777" s="16"/>
      <c r="C777" s="16"/>
      <c r="D777" s="16"/>
      <c r="E777" s="16"/>
      <c r="F777" s="16"/>
      <c r="G777" s="38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row>
    <row r="778" spans="1:87" ht="15">
      <c r="A778" s="16"/>
      <c r="B778" s="16"/>
      <c r="C778" s="16"/>
      <c r="D778" s="16"/>
      <c r="E778" s="16"/>
      <c r="F778" s="16"/>
      <c r="G778" s="38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row>
    <row r="779" spans="1:87" ht="15">
      <c r="A779" s="16"/>
      <c r="B779" s="16"/>
      <c r="C779" s="16"/>
      <c r="D779" s="16"/>
      <c r="E779" s="16"/>
      <c r="F779" s="16"/>
      <c r="G779" s="38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c r="CI779" s="16"/>
    </row>
    <row r="780" spans="1:87" ht="15">
      <c r="A780" s="16"/>
      <c r="B780" s="16"/>
      <c r="C780" s="16"/>
      <c r="D780" s="16"/>
      <c r="E780" s="16"/>
      <c r="F780" s="16"/>
      <c r="G780" s="38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row>
    <row r="781" spans="1:87" ht="15">
      <c r="A781" s="16"/>
      <c r="B781" s="16"/>
      <c r="C781" s="16"/>
      <c r="D781" s="16"/>
      <c r="E781" s="16"/>
      <c r="F781" s="16"/>
      <c r="G781" s="38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c r="CI781" s="16"/>
    </row>
    <row r="782" spans="1:87" ht="15">
      <c r="A782" s="16"/>
      <c r="B782" s="16"/>
      <c r="C782" s="16"/>
      <c r="D782" s="16"/>
      <c r="E782" s="16"/>
      <c r="F782" s="16"/>
      <c r="G782" s="38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c r="CI782" s="16"/>
    </row>
    <row r="783" spans="1:87" ht="15">
      <c r="A783" s="16"/>
      <c r="B783" s="16"/>
      <c r="C783" s="16"/>
      <c r="D783" s="16"/>
      <c r="E783" s="16"/>
      <c r="F783" s="16"/>
      <c r="G783" s="38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c r="CI783" s="16"/>
    </row>
    <row r="784" spans="1:87" ht="15">
      <c r="A784" s="16"/>
      <c r="B784" s="16"/>
      <c r="C784" s="16"/>
      <c r="D784" s="16"/>
      <c r="E784" s="16"/>
      <c r="F784" s="16"/>
      <c r="G784" s="38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c r="CI784" s="16"/>
    </row>
    <row r="785" spans="1:87" ht="15">
      <c r="A785" s="16"/>
      <c r="B785" s="16"/>
      <c r="C785" s="16"/>
      <c r="D785" s="16"/>
      <c r="E785" s="16"/>
      <c r="F785" s="16"/>
      <c r="G785" s="38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row>
    <row r="786" spans="1:87" ht="15">
      <c r="A786" s="16"/>
      <c r="B786" s="16"/>
      <c r="C786" s="16"/>
      <c r="D786" s="16"/>
      <c r="E786" s="16"/>
      <c r="F786" s="16"/>
      <c r="G786" s="38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row>
    <row r="787" spans="1:87" ht="15">
      <c r="A787" s="16"/>
      <c r="B787" s="16"/>
      <c r="C787" s="16"/>
      <c r="D787" s="16"/>
      <c r="E787" s="16"/>
      <c r="F787" s="16"/>
      <c r="G787" s="38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row>
    <row r="788" spans="1:87" ht="15">
      <c r="A788" s="16"/>
      <c r="B788" s="16"/>
      <c r="C788" s="16"/>
      <c r="D788" s="16"/>
      <c r="E788" s="16"/>
      <c r="F788" s="16"/>
      <c r="G788" s="38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c r="CI788" s="16"/>
    </row>
    <row r="789" spans="1:87" ht="15">
      <c r="A789" s="16"/>
      <c r="B789" s="16"/>
      <c r="C789" s="16"/>
      <c r="D789" s="16"/>
      <c r="E789" s="16"/>
      <c r="F789" s="16"/>
      <c r="G789" s="38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c r="CI789" s="16"/>
    </row>
    <row r="790" spans="1:87" ht="15">
      <c r="A790" s="16"/>
      <c r="B790" s="16"/>
      <c r="C790" s="16"/>
      <c r="D790" s="16"/>
      <c r="E790" s="16"/>
      <c r="F790" s="16"/>
      <c r="G790" s="38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c r="CI790" s="16"/>
    </row>
    <row r="791" spans="1:87" ht="15">
      <c r="A791" s="16"/>
      <c r="B791" s="16"/>
      <c r="C791" s="16"/>
      <c r="D791" s="16"/>
      <c r="E791" s="16"/>
      <c r="F791" s="16"/>
      <c r="G791" s="38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row>
    <row r="792" spans="1:87" ht="15">
      <c r="A792" s="16"/>
      <c r="B792" s="16"/>
      <c r="C792" s="16"/>
      <c r="D792" s="16"/>
      <c r="E792" s="16"/>
      <c r="F792" s="16"/>
      <c r="G792" s="38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row>
    <row r="793" spans="1:87" ht="15">
      <c r="A793" s="16"/>
      <c r="B793" s="16"/>
      <c r="C793" s="16"/>
      <c r="D793" s="16"/>
      <c r="E793" s="16"/>
      <c r="F793" s="16"/>
      <c r="G793" s="38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row>
    <row r="794" spans="1:87" ht="15">
      <c r="A794" s="16"/>
      <c r="B794" s="16"/>
      <c r="C794" s="16"/>
      <c r="D794" s="16"/>
      <c r="E794" s="16"/>
      <c r="F794" s="16"/>
      <c r="G794" s="38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row>
    <row r="795" spans="1:87" ht="15">
      <c r="A795" s="16"/>
      <c r="B795" s="16"/>
      <c r="C795" s="16"/>
      <c r="D795" s="16"/>
      <c r="E795" s="16"/>
      <c r="F795" s="16"/>
      <c r="G795" s="38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c r="CI795" s="16"/>
    </row>
    <row r="796" spans="1:87" ht="15">
      <c r="A796" s="16"/>
      <c r="B796" s="16"/>
      <c r="C796" s="16"/>
      <c r="D796" s="16"/>
      <c r="E796" s="16"/>
      <c r="F796" s="16"/>
      <c r="G796" s="38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c r="CI796" s="16"/>
    </row>
    <row r="797" spans="1:87" ht="15">
      <c r="A797" s="16"/>
      <c r="B797" s="16"/>
      <c r="C797" s="16"/>
      <c r="D797" s="16"/>
      <c r="E797" s="16"/>
      <c r="F797" s="16"/>
      <c r="G797" s="38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c r="CI797" s="16"/>
    </row>
    <row r="798" spans="1:87" ht="15">
      <c r="A798" s="16"/>
      <c r="B798" s="16"/>
      <c r="C798" s="16"/>
      <c r="D798" s="16"/>
      <c r="E798" s="16"/>
      <c r="F798" s="16"/>
      <c r="G798" s="38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c r="CI798" s="16"/>
    </row>
    <row r="799" spans="1:87" ht="15">
      <c r="A799" s="16"/>
      <c r="B799" s="16"/>
      <c r="C799" s="16"/>
      <c r="D799" s="16"/>
      <c r="E799" s="16"/>
      <c r="F799" s="16"/>
      <c r="G799" s="38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row>
    <row r="800" spans="1:87" ht="15">
      <c r="A800" s="16"/>
      <c r="B800" s="16"/>
      <c r="C800" s="16"/>
      <c r="D800" s="16"/>
      <c r="E800" s="16"/>
      <c r="F800" s="16"/>
      <c r="G800" s="38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row>
    <row r="801" spans="1:87" ht="15">
      <c r="A801" s="16"/>
      <c r="B801" s="16"/>
      <c r="C801" s="16"/>
      <c r="D801" s="16"/>
      <c r="E801" s="16"/>
      <c r="F801" s="16"/>
      <c r="G801" s="38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c r="CI801" s="16"/>
    </row>
    <row r="802" spans="1:87" ht="15">
      <c r="A802" s="16"/>
      <c r="B802" s="16"/>
      <c r="C802" s="16"/>
      <c r="D802" s="16"/>
      <c r="E802" s="16"/>
      <c r="F802" s="16"/>
      <c r="G802" s="38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row>
    <row r="803" spans="1:87" ht="15">
      <c r="A803" s="16"/>
      <c r="B803" s="16"/>
      <c r="C803" s="16"/>
      <c r="D803" s="16"/>
      <c r="E803" s="16"/>
      <c r="F803" s="16"/>
      <c r="G803" s="38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row>
    <row r="804" spans="1:87" ht="15">
      <c r="A804" s="16"/>
      <c r="B804" s="16"/>
      <c r="C804" s="16"/>
      <c r="D804" s="16"/>
      <c r="E804" s="16"/>
      <c r="F804" s="16"/>
      <c r="G804" s="38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c r="CI804" s="16"/>
    </row>
    <row r="805" spans="1:87" ht="15">
      <c r="A805" s="16"/>
      <c r="B805" s="16"/>
      <c r="C805" s="16"/>
      <c r="D805" s="16"/>
      <c r="E805" s="16"/>
      <c r="F805" s="16"/>
      <c r="G805" s="38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row>
    <row r="806" spans="1:87" ht="15">
      <c r="A806" s="16"/>
      <c r="B806" s="16"/>
      <c r="C806" s="16"/>
      <c r="D806" s="16"/>
      <c r="E806" s="16"/>
      <c r="F806" s="16"/>
      <c r="G806" s="38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row>
    <row r="807" spans="1:87" ht="15">
      <c r="A807" s="16"/>
      <c r="B807" s="16"/>
      <c r="C807" s="16"/>
      <c r="D807" s="16"/>
      <c r="E807" s="16"/>
      <c r="F807" s="16"/>
      <c r="G807" s="38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row>
    <row r="808" spans="1:87" ht="15">
      <c r="A808" s="16"/>
      <c r="B808" s="16"/>
      <c r="C808" s="16"/>
      <c r="D808" s="16"/>
      <c r="E808" s="16"/>
      <c r="F808" s="16"/>
      <c r="G808" s="38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row>
    <row r="809" spans="1:87" ht="15">
      <c r="A809" s="16"/>
      <c r="B809" s="16"/>
      <c r="C809" s="16"/>
      <c r="D809" s="16"/>
      <c r="E809" s="16"/>
      <c r="F809" s="16"/>
      <c r="G809" s="38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row>
    <row r="810" spans="1:87" ht="15">
      <c r="A810" s="16"/>
      <c r="B810" s="16"/>
      <c r="C810" s="16"/>
      <c r="D810" s="16"/>
      <c r="E810" s="16"/>
      <c r="F810" s="16"/>
      <c r="G810" s="38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c r="CI810" s="16"/>
    </row>
    <row r="811" spans="1:87" ht="15">
      <c r="A811" s="16"/>
      <c r="B811" s="16"/>
      <c r="C811" s="16"/>
      <c r="D811" s="16"/>
      <c r="E811" s="16"/>
      <c r="F811" s="16"/>
      <c r="G811" s="38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row>
    <row r="812" spans="1:87" ht="15">
      <c r="A812" s="16"/>
      <c r="B812" s="16"/>
      <c r="C812" s="16"/>
      <c r="D812" s="16"/>
      <c r="E812" s="16"/>
      <c r="F812" s="16"/>
      <c r="G812" s="38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row>
    <row r="813" spans="1:87" ht="15">
      <c r="A813" s="16"/>
      <c r="B813" s="16"/>
      <c r="C813" s="16"/>
      <c r="D813" s="16"/>
      <c r="E813" s="16"/>
      <c r="F813" s="16"/>
      <c r="G813" s="38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row>
    <row r="814" spans="1:87" ht="15">
      <c r="A814" s="16"/>
      <c r="B814" s="16"/>
      <c r="C814" s="16"/>
      <c r="D814" s="16"/>
      <c r="E814" s="16"/>
      <c r="F814" s="16"/>
      <c r="G814" s="38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row>
    <row r="815" spans="1:87" ht="15">
      <c r="A815" s="16"/>
      <c r="B815" s="16"/>
      <c r="C815" s="16"/>
      <c r="D815" s="16"/>
      <c r="E815" s="16"/>
      <c r="F815" s="16"/>
      <c r="G815" s="38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row>
    <row r="816" spans="1:87" ht="15">
      <c r="A816" s="16"/>
      <c r="B816" s="16"/>
      <c r="C816" s="16"/>
      <c r="D816" s="16"/>
      <c r="E816" s="16"/>
      <c r="F816" s="16"/>
      <c r="G816" s="38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row>
    <row r="817" spans="1:87" ht="15">
      <c r="A817" s="16"/>
      <c r="B817" s="16"/>
      <c r="C817" s="16"/>
      <c r="D817" s="16"/>
      <c r="E817" s="16"/>
      <c r="F817" s="16"/>
      <c r="G817" s="38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row>
    <row r="818" spans="1:87" ht="15">
      <c r="A818" s="16"/>
      <c r="B818" s="16"/>
      <c r="C818" s="16"/>
      <c r="D818" s="16"/>
      <c r="E818" s="16"/>
      <c r="F818" s="16"/>
      <c r="G818" s="38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row>
    <row r="819" spans="1:87" ht="15">
      <c r="A819" s="16"/>
      <c r="B819" s="16"/>
      <c r="C819" s="16"/>
      <c r="D819" s="16"/>
      <c r="E819" s="16"/>
      <c r="F819" s="16"/>
      <c r="G819" s="38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row>
    <row r="820" spans="1:87" ht="15">
      <c r="A820" s="16"/>
      <c r="B820" s="16"/>
      <c r="C820" s="16"/>
      <c r="D820" s="16"/>
      <c r="E820" s="16"/>
      <c r="F820" s="16"/>
      <c r="G820" s="38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row>
    <row r="821" spans="1:87" ht="15">
      <c r="A821" s="16"/>
      <c r="B821" s="16"/>
      <c r="C821" s="16"/>
      <c r="D821" s="16"/>
      <c r="E821" s="16"/>
      <c r="F821" s="16"/>
      <c r="G821" s="38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row>
    <row r="822" spans="1:87" ht="15">
      <c r="A822" s="16"/>
      <c r="B822" s="16"/>
      <c r="C822" s="16"/>
      <c r="D822" s="16"/>
      <c r="E822" s="16"/>
      <c r="F822" s="16"/>
      <c r="G822" s="38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row>
    <row r="823" spans="1:87" ht="15">
      <c r="A823" s="16"/>
      <c r="B823" s="16"/>
      <c r="C823" s="16"/>
      <c r="D823" s="16"/>
      <c r="E823" s="16"/>
      <c r="F823" s="16"/>
      <c r="G823" s="38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c r="CI823" s="16"/>
    </row>
    <row r="824" spans="1:87" ht="15">
      <c r="A824" s="16"/>
      <c r="B824" s="16"/>
      <c r="C824" s="16"/>
      <c r="D824" s="16"/>
      <c r="E824" s="16"/>
      <c r="F824" s="16"/>
      <c r="G824" s="38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c r="CI824" s="16"/>
    </row>
    <row r="825" spans="1:87" ht="15">
      <c r="A825" s="16"/>
      <c r="B825" s="16"/>
      <c r="C825" s="16"/>
      <c r="D825" s="16"/>
      <c r="E825" s="16"/>
      <c r="F825" s="16"/>
      <c r="G825" s="38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row>
    <row r="826" spans="1:87" ht="15">
      <c r="A826" s="16"/>
      <c r="B826" s="16"/>
      <c r="C826" s="16"/>
      <c r="D826" s="16"/>
      <c r="E826" s="16"/>
      <c r="F826" s="16"/>
      <c r="G826" s="38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row>
    <row r="827" spans="1:87" ht="15">
      <c r="A827" s="16"/>
      <c r="B827" s="16"/>
      <c r="C827" s="16"/>
      <c r="D827" s="16"/>
      <c r="E827" s="16"/>
      <c r="F827" s="16"/>
      <c r="G827" s="38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row>
    <row r="828" spans="1:87" ht="15">
      <c r="A828" s="16"/>
      <c r="B828" s="16"/>
      <c r="C828" s="16"/>
      <c r="D828" s="16"/>
      <c r="E828" s="16"/>
      <c r="F828" s="16"/>
      <c r="G828" s="38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row>
    <row r="829" spans="1:87" ht="15">
      <c r="A829" s="16"/>
      <c r="B829" s="16"/>
      <c r="C829" s="16"/>
      <c r="D829" s="16"/>
      <c r="E829" s="16"/>
      <c r="F829" s="16"/>
      <c r="G829" s="38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c r="CI829" s="16"/>
    </row>
    <row r="830" spans="1:87" ht="15">
      <c r="A830" s="16"/>
      <c r="B830" s="16"/>
      <c r="C830" s="16"/>
      <c r="D830" s="16"/>
      <c r="E830" s="16"/>
      <c r="F830" s="16"/>
      <c r="G830" s="38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row>
    <row r="831" spans="1:87" ht="15">
      <c r="A831" s="16"/>
      <c r="B831" s="16"/>
      <c r="C831" s="16"/>
      <c r="D831" s="16"/>
      <c r="E831" s="16"/>
      <c r="F831" s="16"/>
      <c r="G831" s="38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row>
    <row r="832" spans="1:87" ht="15">
      <c r="A832" s="16"/>
      <c r="B832" s="16"/>
      <c r="C832" s="16"/>
      <c r="D832" s="16"/>
      <c r="E832" s="16"/>
      <c r="F832" s="16"/>
      <c r="G832" s="38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row>
    <row r="833" spans="1:87" ht="15">
      <c r="A833" s="16"/>
      <c r="B833" s="16"/>
      <c r="C833" s="16"/>
      <c r="D833" s="16"/>
      <c r="E833" s="16"/>
      <c r="F833" s="16"/>
      <c r="G833" s="38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row>
    <row r="834" spans="1:87" ht="15">
      <c r="A834" s="16"/>
      <c r="B834" s="16"/>
      <c r="C834" s="16"/>
      <c r="D834" s="16"/>
      <c r="E834" s="16"/>
      <c r="F834" s="16"/>
      <c r="G834" s="38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row>
    <row r="835" spans="1:87" ht="15">
      <c r="A835" s="16"/>
      <c r="B835" s="16"/>
      <c r="C835" s="16"/>
      <c r="D835" s="16"/>
      <c r="E835" s="16"/>
      <c r="F835" s="16"/>
      <c r="G835" s="38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row>
    <row r="836" spans="1:87" ht="15">
      <c r="A836" s="16"/>
      <c r="B836" s="16"/>
      <c r="C836" s="16"/>
      <c r="D836" s="16"/>
      <c r="E836" s="16"/>
      <c r="F836" s="16"/>
      <c r="G836" s="38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row>
    <row r="837" spans="1:87" ht="15">
      <c r="A837" s="16"/>
      <c r="B837" s="16"/>
      <c r="C837" s="16"/>
      <c r="D837" s="16"/>
      <c r="E837" s="16"/>
      <c r="F837" s="16"/>
      <c r="G837" s="38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row>
    <row r="838" spans="1:87" ht="15">
      <c r="A838" s="16"/>
      <c r="B838" s="16"/>
      <c r="C838" s="16"/>
      <c r="D838" s="16"/>
      <c r="E838" s="16"/>
      <c r="F838" s="16"/>
      <c r="G838" s="38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row>
    <row r="839" spans="1:87" ht="15">
      <c r="A839" s="16"/>
      <c r="B839" s="16"/>
      <c r="C839" s="16"/>
      <c r="D839" s="16"/>
      <c r="E839" s="16"/>
      <c r="F839" s="16"/>
      <c r="G839" s="38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row>
    <row r="840" spans="1:87" ht="15">
      <c r="A840" s="16"/>
      <c r="B840" s="16"/>
      <c r="C840" s="16"/>
      <c r="D840" s="16"/>
      <c r="E840" s="16"/>
      <c r="F840" s="16"/>
      <c r="G840" s="38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row>
    <row r="841" spans="1:87" ht="15">
      <c r="A841" s="16"/>
      <c r="B841" s="16"/>
      <c r="C841" s="16"/>
      <c r="D841" s="16"/>
      <c r="E841" s="16"/>
      <c r="F841" s="16"/>
      <c r="G841" s="38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row>
    <row r="842" spans="1:87" ht="15">
      <c r="A842" s="16"/>
      <c r="B842" s="16"/>
      <c r="C842" s="16"/>
      <c r="D842" s="16"/>
      <c r="E842" s="16"/>
      <c r="F842" s="16"/>
      <c r="G842" s="38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row>
    <row r="843" spans="1:87" ht="15">
      <c r="A843" s="16"/>
      <c r="B843" s="16"/>
      <c r="C843" s="16"/>
      <c r="D843" s="16"/>
      <c r="E843" s="16"/>
      <c r="F843" s="16"/>
      <c r="G843" s="38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row>
    <row r="844" spans="1:87" ht="15">
      <c r="A844" s="16"/>
      <c r="B844" s="16"/>
      <c r="C844" s="16"/>
      <c r="D844" s="16"/>
      <c r="E844" s="16"/>
      <c r="F844" s="16"/>
      <c r="G844" s="38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row>
    <row r="845" spans="1:87" ht="15">
      <c r="A845" s="16"/>
      <c r="B845" s="16"/>
      <c r="C845" s="16"/>
      <c r="D845" s="16"/>
      <c r="E845" s="16"/>
      <c r="F845" s="16"/>
      <c r="G845" s="38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row>
    <row r="846" spans="1:87" ht="15">
      <c r="A846" s="16"/>
      <c r="B846" s="16"/>
      <c r="C846" s="16"/>
      <c r="D846" s="16"/>
      <c r="E846" s="16"/>
      <c r="F846" s="16"/>
      <c r="G846" s="38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row>
    <row r="847" spans="1:87" ht="15">
      <c r="A847" s="16"/>
      <c r="B847" s="16"/>
      <c r="C847" s="16"/>
      <c r="D847" s="16"/>
      <c r="E847" s="16"/>
      <c r="F847" s="16"/>
      <c r="G847" s="38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row>
    <row r="848" spans="1:87" ht="15">
      <c r="A848" s="16"/>
      <c r="B848" s="16"/>
      <c r="C848" s="16"/>
      <c r="D848" s="16"/>
      <c r="E848" s="16"/>
      <c r="F848" s="16"/>
      <c r="G848" s="38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row>
    <row r="849" spans="1:87" ht="15">
      <c r="A849" s="16"/>
      <c r="B849" s="16"/>
      <c r="C849" s="16"/>
      <c r="D849" s="16"/>
      <c r="E849" s="16"/>
      <c r="F849" s="16"/>
      <c r="G849" s="38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row>
    <row r="850" spans="1:87" ht="15">
      <c r="A850" s="16"/>
      <c r="B850" s="16"/>
      <c r="C850" s="16"/>
      <c r="D850" s="16"/>
      <c r="E850" s="16"/>
      <c r="F850" s="16"/>
      <c r="G850" s="38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row>
    <row r="851" spans="1:87" ht="15">
      <c r="A851" s="16"/>
      <c r="B851" s="16"/>
      <c r="C851" s="16"/>
      <c r="D851" s="16"/>
      <c r="E851" s="16"/>
      <c r="F851" s="16"/>
      <c r="G851" s="38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row>
    <row r="852" spans="1:87" ht="15">
      <c r="A852" s="16"/>
      <c r="B852" s="16"/>
      <c r="C852" s="16"/>
      <c r="D852" s="16"/>
      <c r="E852" s="16"/>
      <c r="F852" s="16"/>
      <c r="G852" s="38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row>
    <row r="853" spans="1:87" ht="15">
      <c r="A853" s="16"/>
      <c r="B853" s="16"/>
      <c r="C853" s="16"/>
      <c r="D853" s="16"/>
      <c r="E853" s="16"/>
      <c r="F853" s="16"/>
      <c r="G853" s="38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row>
    <row r="854" spans="1:87" ht="15">
      <c r="A854" s="16"/>
      <c r="B854" s="16"/>
      <c r="C854" s="16"/>
      <c r="D854" s="16"/>
      <c r="E854" s="16"/>
      <c r="F854" s="16"/>
      <c r="G854" s="38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row>
    <row r="855" spans="1:87" ht="15">
      <c r="A855" s="16"/>
      <c r="B855" s="16"/>
      <c r="C855" s="16"/>
      <c r="D855" s="16"/>
      <c r="E855" s="16"/>
      <c r="F855" s="16"/>
      <c r="G855" s="38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row>
    <row r="856" spans="1:87" ht="15">
      <c r="A856" s="16"/>
      <c r="B856" s="16"/>
      <c r="C856" s="16"/>
      <c r="D856" s="16"/>
      <c r="E856" s="16"/>
      <c r="F856" s="16"/>
      <c r="G856" s="38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row>
    <row r="857" spans="1:87" ht="15">
      <c r="A857" s="16"/>
      <c r="B857" s="16"/>
      <c r="C857" s="16"/>
      <c r="D857" s="16"/>
      <c r="E857" s="16"/>
      <c r="F857" s="16"/>
      <c r="G857" s="38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row>
    <row r="858" spans="1:87" ht="15">
      <c r="A858" s="16"/>
      <c r="B858" s="16"/>
      <c r="C858" s="16"/>
      <c r="D858" s="16"/>
      <c r="E858" s="16"/>
      <c r="F858" s="16"/>
      <c r="G858" s="38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row>
    <row r="859" spans="1:87" ht="15">
      <c r="A859" s="16"/>
      <c r="B859" s="16"/>
      <c r="C859" s="16"/>
      <c r="D859" s="16"/>
      <c r="E859" s="16"/>
      <c r="F859" s="16"/>
      <c r="G859" s="38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row>
    <row r="860" spans="1:87" ht="15">
      <c r="A860" s="16"/>
      <c r="B860" s="16"/>
      <c r="C860" s="16"/>
      <c r="D860" s="16"/>
      <c r="E860" s="16"/>
      <c r="F860" s="16"/>
      <c r="G860" s="38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row>
    <row r="861" spans="1:87" ht="15">
      <c r="A861" s="16"/>
      <c r="B861" s="16"/>
      <c r="C861" s="16"/>
      <c r="D861" s="16"/>
      <c r="E861" s="16"/>
      <c r="F861" s="16"/>
      <c r="G861" s="38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row>
    <row r="862" spans="1:87" ht="15">
      <c r="A862" s="16"/>
      <c r="B862" s="16"/>
      <c r="C862" s="16"/>
      <c r="D862" s="16"/>
      <c r="E862" s="16"/>
      <c r="F862" s="16"/>
      <c r="G862" s="38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row>
    <row r="863" spans="1:87" ht="15">
      <c r="A863" s="16"/>
      <c r="B863" s="16"/>
      <c r="C863" s="16"/>
      <c r="D863" s="16"/>
      <c r="E863" s="16"/>
      <c r="F863" s="16"/>
      <c r="G863" s="38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row>
    <row r="864" spans="1:87" ht="15">
      <c r="A864" s="16"/>
      <c r="B864" s="16"/>
      <c r="C864" s="16"/>
      <c r="D864" s="16"/>
      <c r="E864" s="16"/>
      <c r="F864" s="16"/>
      <c r="G864" s="38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row>
    <row r="865" spans="1:87" ht="15">
      <c r="A865" s="16"/>
      <c r="B865" s="16"/>
      <c r="C865" s="16"/>
      <c r="D865" s="16"/>
      <c r="E865" s="16"/>
      <c r="F865" s="16"/>
      <c r="G865" s="38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row>
    <row r="866" spans="1:87" ht="15">
      <c r="A866" s="16"/>
      <c r="B866" s="16"/>
      <c r="C866" s="16"/>
      <c r="D866" s="16"/>
      <c r="E866" s="16"/>
      <c r="F866" s="16"/>
      <c r="G866" s="38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row>
    <row r="867" spans="1:87" ht="15">
      <c r="A867" s="16"/>
      <c r="B867" s="16"/>
      <c r="C867" s="16"/>
      <c r="D867" s="16"/>
      <c r="E867" s="16"/>
      <c r="F867" s="16"/>
      <c r="G867" s="38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row>
    <row r="868" spans="1:87" ht="15">
      <c r="A868" s="16"/>
      <c r="B868" s="16"/>
      <c r="C868" s="16"/>
      <c r="D868" s="16"/>
      <c r="E868" s="16"/>
      <c r="F868" s="16"/>
      <c r="G868" s="38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row>
    <row r="869" spans="1:87" ht="15">
      <c r="A869" s="16"/>
      <c r="B869" s="16"/>
      <c r="C869" s="16"/>
      <c r="D869" s="16"/>
      <c r="E869" s="16"/>
      <c r="F869" s="16"/>
      <c r="G869" s="38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row>
    <row r="870" spans="1:87" ht="15">
      <c r="A870" s="16"/>
      <c r="B870" s="16"/>
      <c r="C870" s="16"/>
      <c r="D870" s="16"/>
      <c r="E870" s="16"/>
      <c r="F870" s="16"/>
      <c r="G870" s="38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c r="CI870" s="16"/>
    </row>
    <row r="871" spans="1:87" ht="15">
      <c r="A871" s="16"/>
      <c r="B871" s="16"/>
      <c r="C871" s="16"/>
      <c r="D871" s="16"/>
      <c r="E871" s="16"/>
      <c r="F871" s="16"/>
      <c r="G871" s="38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c r="CI871" s="16"/>
    </row>
    <row r="872" spans="1:87" ht="15">
      <c r="A872" s="16"/>
      <c r="B872" s="16"/>
      <c r="C872" s="16"/>
      <c r="D872" s="16"/>
      <c r="E872" s="16"/>
      <c r="F872" s="16"/>
      <c r="G872" s="38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c r="CI872" s="16"/>
    </row>
    <row r="873" spans="1:87" ht="15">
      <c r="A873" s="16"/>
      <c r="B873" s="16"/>
      <c r="C873" s="16"/>
      <c r="D873" s="16"/>
      <c r="E873" s="16"/>
      <c r="F873" s="16"/>
      <c r="G873" s="38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c r="CI873" s="16"/>
    </row>
    <row r="874" spans="1:87" ht="15">
      <c r="A874" s="16"/>
      <c r="B874" s="16"/>
      <c r="C874" s="16"/>
      <c r="D874" s="16"/>
      <c r="E874" s="16"/>
      <c r="F874" s="16"/>
      <c r="G874" s="38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c r="CI874" s="16"/>
    </row>
    <row r="875" spans="1:87" ht="15">
      <c r="A875" s="16"/>
      <c r="B875" s="16"/>
      <c r="C875" s="16"/>
      <c r="D875" s="16"/>
      <c r="E875" s="16"/>
      <c r="F875" s="16"/>
      <c r="G875" s="38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c r="CI875" s="16"/>
    </row>
    <row r="876" spans="1:87" ht="15">
      <c r="A876" s="16"/>
      <c r="B876" s="16"/>
      <c r="C876" s="16"/>
      <c r="D876" s="16"/>
      <c r="E876" s="16"/>
      <c r="F876" s="16"/>
      <c r="G876" s="38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c r="CI876" s="16"/>
    </row>
    <row r="877" spans="1:87" ht="15">
      <c r="A877" s="16"/>
      <c r="B877" s="16"/>
      <c r="C877" s="16"/>
      <c r="D877" s="16"/>
      <c r="E877" s="16"/>
      <c r="F877" s="16"/>
      <c r="G877" s="38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row>
    <row r="878" spans="1:87" ht="15">
      <c r="A878" s="16"/>
      <c r="B878" s="16"/>
      <c r="C878" s="16"/>
      <c r="D878" s="16"/>
      <c r="E878" s="16"/>
      <c r="F878" s="16"/>
      <c r="G878" s="38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row>
    <row r="879" spans="1:87" ht="15">
      <c r="A879" s="16"/>
      <c r="B879" s="16"/>
      <c r="C879" s="16"/>
      <c r="D879" s="16"/>
      <c r="E879" s="16"/>
      <c r="F879" s="16"/>
      <c r="G879" s="38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c r="CI879" s="16"/>
    </row>
    <row r="880" spans="1:87" ht="15">
      <c r="A880" s="16"/>
      <c r="B880" s="16"/>
      <c r="C880" s="16"/>
      <c r="D880" s="16"/>
      <c r="E880" s="16"/>
      <c r="F880" s="16"/>
      <c r="G880" s="38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row>
    <row r="881" spans="1:87" ht="15">
      <c r="A881" s="16"/>
      <c r="B881" s="16"/>
      <c r="C881" s="16"/>
      <c r="D881" s="16"/>
      <c r="E881" s="16"/>
      <c r="F881" s="16"/>
      <c r="G881" s="38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row>
    <row r="882" spans="1:87" ht="15">
      <c r="A882" s="16"/>
      <c r="B882" s="16"/>
      <c r="C882" s="16"/>
      <c r="D882" s="16"/>
      <c r="E882" s="16"/>
      <c r="F882" s="16"/>
      <c r="G882" s="38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row>
    <row r="883" spans="1:87" ht="15">
      <c r="A883" s="16"/>
      <c r="B883" s="16"/>
      <c r="C883" s="16"/>
      <c r="D883" s="16"/>
      <c r="E883" s="16"/>
      <c r="F883" s="16"/>
      <c r="G883" s="38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row>
    <row r="884" spans="1:87" ht="15">
      <c r="A884" s="16"/>
      <c r="B884" s="16"/>
      <c r="C884" s="16"/>
      <c r="D884" s="16"/>
      <c r="E884" s="16"/>
      <c r="F884" s="16"/>
      <c r="G884" s="38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row>
    <row r="885" spans="1:87" ht="15">
      <c r="A885" s="16"/>
      <c r="B885" s="16"/>
      <c r="C885" s="16"/>
      <c r="D885" s="16"/>
      <c r="E885" s="16"/>
      <c r="F885" s="16"/>
      <c r="G885" s="38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row>
    <row r="886" spans="1:87" ht="15">
      <c r="A886" s="16"/>
      <c r="B886" s="16"/>
      <c r="C886" s="16"/>
      <c r="D886" s="16"/>
      <c r="E886" s="16"/>
      <c r="F886" s="16"/>
      <c r="G886" s="38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row>
    <row r="887" spans="1:87" ht="15">
      <c r="A887" s="16"/>
      <c r="B887" s="16"/>
      <c r="C887" s="16"/>
      <c r="D887" s="16"/>
      <c r="E887" s="16"/>
      <c r="F887" s="16"/>
      <c r="G887" s="38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row>
    <row r="888" spans="1:87" ht="15">
      <c r="A888" s="16"/>
      <c r="B888" s="16"/>
      <c r="C888" s="16"/>
      <c r="D888" s="16"/>
      <c r="E888" s="16"/>
      <c r="F888" s="16"/>
      <c r="G888" s="38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row>
    <row r="889" spans="1:87" ht="15">
      <c r="A889" s="16"/>
      <c r="B889" s="16"/>
      <c r="C889" s="16"/>
      <c r="D889" s="16"/>
      <c r="E889" s="16"/>
      <c r="F889" s="16"/>
      <c r="G889" s="38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row>
    <row r="890" spans="1:87" ht="15">
      <c r="A890" s="16"/>
      <c r="B890" s="16"/>
      <c r="C890" s="16"/>
      <c r="D890" s="16"/>
      <c r="E890" s="16"/>
      <c r="F890" s="16"/>
      <c r="G890" s="38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row>
    <row r="891" spans="1:87" ht="15">
      <c r="A891" s="16"/>
      <c r="B891" s="16"/>
      <c r="C891" s="16"/>
      <c r="D891" s="16"/>
      <c r="E891" s="16"/>
      <c r="F891" s="16"/>
      <c r="G891" s="38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row>
    <row r="892" spans="1:87" ht="15">
      <c r="A892" s="16"/>
      <c r="B892" s="16"/>
      <c r="C892" s="16"/>
      <c r="D892" s="16"/>
      <c r="E892" s="16"/>
      <c r="F892" s="16"/>
      <c r="G892" s="38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row>
    <row r="893" spans="1:87" ht="15">
      <c r="A893" s="16"/>
      <c r="B893" s="16"/>
      <c r="C893" s="16"/>
      <c r="D893" s="16"/>
      <c r="E893" s="16"/>
      <c r="F893" s="16"/>
      <c r="G893" s="38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row>
    <row r="894" spans="1:87" ht="15">
      <c r="A894" s="16"/>
      <c r="B894" s="16"/>
      <c r="C894" s="16"/>
      <c r="D894" s="16"/>
      <c r="E894" s="16"/>
      <c r="F894" s="16"/>
      <c r="G894" s="38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row>
    <row r="895" spans="1:87" ht="15">
      <c r="A895" s="16"/>
      <c r="B895" s="16"/>
      <c r="C895" s="16"/>
      <c r="D895" s="16"/>
      <c r="E895" s="16"/>
      <c r="F895" s="16"/>
      <c r="G895" s="38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row>
    <row r="896" spans="1:87" ht="15">
      <c r="A896" s="16"/>
      <c r="B896" s="16"/>
      <c r="C896" s="16"/>
      <c r="D896" s="16"/>
      <c r="E896" s="16"/>
      <c r="F896" s="16"/>
      <c r="G896" s="38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c r="CI896" s="16"/>
    </row>
    <row r="897" spans="1:87" ht="15">
      <c r="A897" s="16"/>
      <c r="B897" s="16"/>
      <c r="C897" s="16"/>
      <c r="D897" s="16"/>
      <c r="E897" s="16"/>
      <c r="F897" s="16"/>
      <c r="G897" s="38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c r="CI897" s="16"/>
    </row>
    <row r="898" spans="1:87" ht="15">
      <c r="A898" s="16"/>
      <c r="B898" s="16"/>
      <c r="C898" s="16"/>
      <c r="D898" s="16"/>
      <c r="E898" s="16"/>
      <c r="F898" s="16"/>
      <c r="G898" s="38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row>
    <row r="899" spans="1:87" ht="15">
      <c r="A899" s="16"/>
      <c r="B899" s="16"/>
      <c r="C899" s="16"/>
      <c r="D899" s="16"/>
      <c r="E899" s="16"/>
      <c r="F899" s="16"/>
      <c r="G899" s="38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row>
    <row r="900" spans="1:87" ht="15">
      <c r="A900" s="16"/>
      <c r="B900" s="16"/>
      <c r="C900" s="16"/>
      <c r="D900" s="16"/>
      <c r="E900" s="16"/>
      <c r="F900" s="16"/>
      <c r="G900" s="38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row>
    <row r="901" spans="1:87" ht="15">
      <c r="A901" s="16"/>
      <c r="B901" s="16"/>
      <c r="C901" s="16"/>
      <c r="D901" s="16"/>
      <c r="E901" s="16"/>
      <c r="F901" s="16"/>
      <c r="G901" s="38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c r="CI901" s="16"/>
    </row>
    <row r="902" spans="1:87" ht="15">
      <c r="A902" s="16"/>
      <c r="B902" s="16"/>
      <c r="C902" s="16"/>
      <c r="D902" s="16"/>
      <c r="E902" s="16"/>
      <c r="F902" s="16"/>
      <c r="G902" s="38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row>
    <row r="903" spans="1:87" ht="15">
      <c r="A903" s="16"/>
      <c r="B903" s="16"/>
      <c r="C903" s="16"/>
      <c r="D903" s="16"/>
      <c r="E903" s="16"/>
      <c r="F903" s="16"/>
      <c r="G903" s="38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c r="CI903" s="16"/>
    </row>
    <row r="904" spans="1:87" ht="15">
      <c r="A904" s="16"/>
      <c r="B904" s="16"/>
      <c r="C904" s="16"/>
      <c r="D904" s="16"/>
      <c r="E904" s="16"/>
      <c r="F904" s="16"/>
      <c r="G904" s="38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c r="CI904" s="16"/>
    </row>
    <row r="905" spans="1:87" ht="15">
      <c r="A905" s="16"/>
      <c r="B905" s="16"/>
      <c r="C905" s="16"/>
      <c r="D905" s="16"/>
      <c r="E905" s="16"/>
      <c r="F905" s="16"/>
      <c r="G905" s="38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c r="CI905" s="16"/>
    </row>
    <row r="906" spans="1:87" ht="15">
      <c r="A906" s="16"/>
      <c r="B906" s="16"/>
      <c r="C906" s="16"/>
      <c r="D906" s="16"/>
      <c r="E906" s="16"/>
      <c r="F906" s="16"/>
      <c r="G906" s="38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c r="CI906" s="16"/>
    </row>
    <row r="907" spans="1:87" ht="15">
      <c r="A907" s="16"/>
      <c r="B907" s="16"/>
      <c r="C907" s="16"/>
      <c r="D907" s="16"/>
      <c r="E907" s="16"/>
      <c r="F907" s="16"/>
      <c r="G907" s="38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c r="CI907" s="16"/>
    </row>
    <row r="908" spans="1:87" ht="15">
      <c r="A908" s="16"/>
      <c r="B908" s="16"/>
      <c r="C908" s="16"/>
      <c r="D908" s="16"/>
      <c r="E908" s="16"/>
      <c r="F908" s="16"/>
      <c r="G908" s="38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row>
    <row r="909" spans="1:87" ht="15">
      <c r="A909" s="16"/>
      <c r="B909" s="16"/>
      <c r="C909" s="16"/>
      <c r="D909" s="16"/>
      <c r="E909" s="16"/>
      <c r="F909" s="16"/>
      <c r="G909" s="38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c r="CI909" s="16"/>
    </row>
    <row r="910" spans="1:87" ht="15">
      <c r="A910" s="16"/>
      <c r="B910" s="16"/>
      <c r="C910" s="16"/>
      <c r="D910" s="16"/>
      <c r="E910" s="16"/>
      <c r="F910" s="16"/>
      <c r="G910" s="38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row>
    <row r="911" spans="1:87" ht="15">
      <c r="A911" s="16"/>
      <c r="B911" s="16"/>
      <c r="C911" s="16"/>
      <c r="D911" s="16"/>
      <c r="E911" s="16"/>
      <c r="F911" s="16"/>
      <c r="G911" s="38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c r="CI911" s="16"/>
    </row>
    <row r="912" spans="1:87" ht="15">
      <c r="A912" s="16"/>
      <c r="B912" s="16"/>
      <c r="C912" s="16"/>
      <c r="D912" s="16"/>
      <c r="E912" s="16"/>
      <c r="F912" s="16"/>
      <c r="G912" s="38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c r="CI912" s="16"/>
    </row>
    <row r="913" spans="1:87" ht="15">
      <c r="A913" s="16"/>
      <c r="B913" s="16"/>
      <c r="C913" s="16"/>
      <c r="D913" s="16"/>
      <c r="E913" s="16"/>
      <c r="F913" s="16"/>
      <c r="G913" s="38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c r="CI913" s="16"/>
    </row>
    <row r="914" spans="1:87" ht="15">
      <c r="A914" s="16"/>
      <c r="B914" s="16"/>
      <c r="C914" s="16"/>
      <c r="D914" s="16"/>
      <c r="E914" s="16"/>
      <c r="F914" s="16"/>
      <c r="G914" s="38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c r="CI914" s="16"/>
    </row>
    <row r="915" spans="1:87" ht="15">
      <c r="A915" s="16"/>
      <c r="B915" s="16"/>
      <c r="C915" s="16"/>
      <c r="D915" s="16"/>
      <c r="E915" s="16"/>
      <c r="F915" s="16"/>
      <c r="G915" s="38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c r="CI915" s="16"/>
    </row>
    <row r="916" spans="1:87" ht="15">
      <c r="A916" s="16"/>
      <c r="B916" s="16"/>
      <c r="C916" s="16"/>
      <c r="D916" s="16"/>
      <c r="E916" s="16"/>
      <c r="F916" s="16"/>
      <c r="G916" s="38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row>
    <row r="917" spans="1:87" ht="15">
      <c r="A917" s="16"/>
      <c r="B917" s="16"/>
      <c r="C917" s="16"/>
      <c r="D917" s="16"/>
      <c r="E917" s="16"/>
      <c r="F917" s="16"/>
      <c r="G917" s="38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c r="CI917" s="16"/>
    </row>
    <row r="918" spans="1:87" ht="15">
      <c r="A918" s="16"/>
      <c r="B918" s="16"/>
      <c r="C918" s="16"/>
      <c r="D918" s="16"/>
      <c r="E918" s="16"/>
      <c r="F918" s="16"/>
      <c r="G918" s="38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c r="CI918" s="16"/>
    </row>
    <row r="919" spans="1:87" ht="15">
      <c r="A919" s="16"/>
      <c r="B919" s="16"/>
      <c r="C919" s="16"/>
      <c r="D919" s="16"/>
      <c r="E919" s="16"/>
      <c r="F919" s="16"/>
      <c r="G919" s="38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c r="CI919" s="16"/>
    </row>
    <row r="920" spans="1:87" ht="15">
      <c r="A920" s="16"/>
      <c r="B920" s="16"/>
      <c r="C920" s="16"/>
      <c r="D920" s="16"/>
      <c r="E920" s="16"/>
      <c r="F920" s="16"/>
      <c r="G920" s="38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c r="CI920" s="16"/>
    </row>
    <row r="921" spans="1:87" ht="15">
      <c r="A921" s="16"/>
      <c r="B921" s="16"/>
      <c r="C921" s="16"/>
      <c r="D921" s="16"/>
      <c r="E921" s="16"/>
      <c r="F921" s="16"/>
      <c r="G921" s="38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c r="CI921" s="16"/>
    </row>
    <row r="922" spans="1:87" ht="15">
      <c r="A922" s="16"/>
      <c r="B922" s="16"/>
      <c r="C922" s="16"/>
      <c r="D922" s="16"/>
      <c r="E922" s="16"/>
      <c r="F922" s="16"/>
      <c r="G922" s="38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c r="CI922" s="16"/>
    </row>
    <row r="923" spans="1:87" ht="15">
      <c r="A923" s="16"/>
      <c r="B923" s="16"/>
      <c r="C923" s="16"/>
      <c r="D923" s="16"/>
      <c r="E923" s="16"/>
      <c r="F923" s="16"/>
      <c r="G923" s="38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c r="CI923" s="16"/>
    </row>
    <row r="924" spans="1:87" ht="15">
      <c r="A924" s="16"/>
      <c r="B924" s="16"/>
      <c r="C924" s="16"/>
      <c r="D924" s="16"/>
      <c r="E924" s="16"/>
      <c r="F924" s="16"/>
      <c r="G924" s="38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c r="CI924" s="16"/>
    </row>
    <row r="925" spans="1:87" ht="15">
      <c r="A925" s="16"/>
      <c r="B925" s="16"/>
      <c r="C925" s="16"/>
      <c r="D925" s="16"/>
      <c r="E925" s="16"/>
      <c r="F925" s="16"/>
      <c r="G925" s="38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c r="CI925" s="16"/>
    </row>
    <row r="926" spans="1:87" ht="15">
      <c r="A926" s="16"/>
      <c r="B926" s="16"/>
      <c r="C926" s="16"/>
      <c r="D926" s="16"/>
      <c r="E926" s="16"/>
      <c r="F926" s="16"/>
      <c r="G926" s="38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c r="CI926" s="16"/>
    </row>
    <row r="927" spans="1:87" ht="15">
      <c r="A927" s="16"/>
      <c r="B927" s="16"/>
      <c r="C927" s="16"/>
      <c r="D927" s="16"/>
      <c r="E927" s="16"/>
      <c r="F927" s="16"/>
      <c r="G927" s="38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c r="CI927" s="16"/>
    </row>
    <row r="928" spans="1:87" ht="15">
      <c r="A928" s="16"/>
      <c r="B928" s="16"/>
      <c r="C928" s="16"/>
      <c r="D928" s="16"/>
      <c r="E928" s="16"/>
      <c r="F928" s="16"/>
      <c r="G928" s="38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c r="CI928" s="16"/>
    </row>
    <row r="929" spans="1:87" ht="15">
      <c r="A929" s="16"/>
      <c r="B929" s="16"/>
      <c r="C929" s="16"/>
      <c r="D929" s="16"/>
      <c r="E929" s="16"/>
      <c r="F929" s="16"/>
      <c r="G929" s="38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c r="CI929" s="16"/>
    </row>
    <row r="930" spans="1:87" ht="15">
      <c r="A930" s="16"/>
      <c r="B930" s="16"/>
      <c r="C930" s="16"/>
      <c r="D930" s="16"/>
      <c r="E930" s="16"/>
      <c r="F930" s="16"/>
      <c r="G930" s="38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c r="CI930" s="16"/>
    </row>
    <row r="931" spans="1:87" ht="15">
      <c r="A931" s="16"/>
      <c r="B931" s="16"/>
      <c r="C931" s="16"/>
      <c r="D931" s="16"/>
      <c r="E931" s="16"/>
      <c r="F931" s="16"/>
      <c r="G931" s="38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c r="CI931" s="16"/>
    </row>
    <row r="932" spans="1:87" ht="15">
      <c r="A932" s="16"/>
      <c r="B932" s="16"/>
      <c r="C932" s="16"/>
      <c r="D932" s="16"/>
      <c r="E932" s="16"/>
      <c r="F932" s="16"/>
      <c r="G932" s="38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row>
    <row r="933" spans="1:87" ht="15">
      <c r="A933" s="16"/>
      <c r="B933" s="16"/>
      <c r="C933" s="16"/>
      <c r="D933" s="16"/>
      <c r="E933" s="16"/>
      <c r="F933" s="16"/>
      <c r="G933" s="38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c r="CI933" s="16"/>
    </row>
    <row r="934" spans="1:87" ht="15">
      <c r="A934" s="16"/>
      <c r="B934" s="16"/>
      <c r="C934" s="16"/>
      <c r="D934" s="16"/>
      <c r="E934" s="16"/>
      <c r="F934" s="16"/>
      <c r="G934" s="38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row>
    <row r="935" spans="1:87" ht="15">
      <c r="A935" s="16"/>
      <c r="B935" s="16"/>
      <c r="C935" s="16"/>
      <c r="D935" s="16"/>
      <c r="E935" s="16"/>
      <c r="F935" s="16"/>
      <c r="G935" s="38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row>
    <row r="936" spans="1:87" ht="15">
      <c r="A936" s="16"/>
      <c r="B936" s="16"/>
      <c r="C936" s="16"/>
      <c r="D936" s="16"/>
      <c r="E936" s="16"/>
      <c r="F936" s="16"/>
      <c r="G936" s="38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row>
    <row r="937" spans="1:87" ht="15">
      <c r="A937" s="16"/>
      <c r="B937" s="16"/>
      <c r="C937" s="16"/>
      <c r="D937" s="16"/>
      <c r="E937" s="16"/>
      <c r="F937" s="16"/>
      <c r="G937" s="38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row>
    <row r="938" spans="1:87" ht="15">
      <c r="A938" s="16"/>
      <c r="B938" s="16"/>
      <c r="C938" s="16"/>
      <c r="D938" s="16"/>
      <c r="E938" s="16"/>
      <c r="F938" s="16"/>
      <c r="G938" s="38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row>
    <row r="939" spans="1:87" ht="15">
      <c r="A939" s="16"/>
      <c r="B939" s="16"/>
      <c r="C939" s="16"/>
      <c r="D939" s="16"/>
      <c r="E939" s="16"/>
      <c r="F939" s="16"/>
      <c r="G939" s="38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row>
    <row r="940" spans="1:87" ht="15">
      <c r="A940" s="16"/>
      <c r="B940" s="16"/>
      <c r="C940" s="16"/>
      <c r="D940" s="16"/>
      <c r="E940" s="16"/>
      <c r="F940" s="16"/>
      <c r="G940" s="38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row>
    <row r="941" spans="1:87" ht="15">
      <c r="A941" s="16"/>
      <c r="B941" s="16"/>
      <c r="C941" s="16"/>
      <c r="D941" s="16"/>
      <c r="E941" s="16"/>
      <c r="F941" s="16"/>
      <c r="G941" s="38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row>
    <row r="942" spans="1:87" ht="15">
      <c r="A942" s="16"/>
      <c r="B942" s="16"/>
      <c r="C942" s="16"/>
      <c r="D942" s="16"/>
      <c r="E942" s="16"/>
      <c r="F942" s="16"/>
      <c r="G942" s="38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row>
    <row r="943" spans="1:87" ht="15">
      <c r="A943" s="16"/>
      <c r="B943" s="16"/>
      <c r="C943" s="16"/>
      <c r="D943" s="16"/>
      <c r="E943" s="16"/>
      <c r="F943" s="16"/>
      <c r="G943" s="38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row>
    <row r="944" spans="1:87" ht="15">
      <c r="A944" s="16"/>
      <c r="B944" s="16"/>
      <c r="C944" s="16"/>
      <c r="D944" s="16"/>
      <c r="E944" s="16"/>
      <c r="F944" s="16"/>
      <c r="G944" s="38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row>
    <row r="945" spans="1:87" ht="15">
      <c r="A945" s="16"/>
      <c r="B945" s="16"/>
      <c r="C945" s="16"/>
      <c r="D945" s="16"/>
      <c r="E945" s="16"/>
      <c r="F945" s="16"/>
      <c r="G945" s="38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row>
    <row r="946" spans="1:87" ht="15">
      <c r="A946" s="16"/>
      <c r="B946" s="16"/>
      <c r="C946" s="16"/>
      <c r="D946" s="16"/>
      <c r="E946" s="16"/>
      <c r="F946" s="16"/>
      <c r="G946" s="38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row>
    <row r="947" spans="1:87" ht="15">
      <c r="A947" s="16"/>
      <c r="B947" s="16"/>
      <c r="C947" s="16"/>
      <c r="D947" s="16"/>
      <c r="E947" s="16"/>
      <c r="F947" s="16"/>
      <c r="G947" s="38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row>
    <row r="948" spans="1:87" ht="15">
      <c r="A948" s="16"/>
      <c r="B948" s="16"/>
      <c r="C948" s="16"/>
      <c r="D948" s="16"/>
      <c r="E948" s="16"/>
      <c r="F948" s="16"/>
      <c r="G948" s="38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c r="CI948" s="16"/>
    </row>
    <row r="949" spans="1:87" ht="15">
      <c r="A949" s="16"/>
      <c r="B949" s="16"/>
      <c r="C949" s="16"/>
      <c r="D949" s="16"/>
      <c r="E949" s="16"/>
      <c r="F949" s="16"/>
      <c r="G949" s="38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c r="CI949" s="16"/>
    </row>
    <row r="950" spans="1:87" ht="15">
      <c r="A950" s="16"/>
      <c r="B950" s="16"/>
      <c r="C950" s="16"/>
      <c r="D950" s="16"/>
      <c r="E950" s="16"/>
      <c r="F950" s="16"/>
      <c r="G950" s="38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c r="CI950" s="16"/>
    </row>
    <row r="951" spans="1:87" ht="15">
      <c r="A951" s="16"/>
      <c r="B951" s="16"/>
      <c r="C951" s="16"/>
      <c r="D951" s="16"/>
      <c r="E951" s="16"/>
      <c r="F951" s="16"/>
      <c r="G951" s="38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c r="CI951" s="16"/>
    </row>
    <row r="952" spans="1:87" ht="15">
      <c r="A952" s="16"/>
      <c r="B952" s="16"/>
      <c r="C952" s="16"/>
      <c r="D952" s="16"/>
      <c r="E952" s="16"/>
      <c r="F952" s="16"/>
      <c r="G952" s="38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c r="CI952" s="16"/>
    </row>
    <row r="953" spans="1:87" ht="15">
      <c r="A953" s="16"/>
      <c r="B953" s="16"/>
      <c r="C953" s="16"/>
      <c r="D953" s="16"/>
      <c r="E953" s="16"/>
      <c r="F953" s="16"/>
      <c r="G953" s="38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c r="CI953" s="16"/>
    </row>
    <row r="954" spans="1:87" ht="15">
      <c r="A954" s="16"/>
      <c r="B954" s="16"/>
      <c r="C954" s="16"/>
      <c r="D954" s="16"/>
      <c r="E954" s="16"/>
      <c r="F954" s="16"/>
      <c r="G954" s="38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c r="CI954" s="16"/>
    </row>
    <row r="955" spans="1:87" ht="15">
      <c r="A955" s="16"/>
      <c r="B955" s="16"/>
      <c r="C955" s="16"/>
      <c r="D955" s="16"/>
      <c r="E955" s="16"/>
      <c r="F955" s="16"/>
      <c r="G955" s="38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c r="CI955" s="16"/>
    </row>
    <row r="956" spans="1:87" ht="15">
      <c r="A956" s="16"/>
      <c r="B956" s="16"/>
      <c r="C956" s="16"/>
      <c r="D956" s="16"/>
      <c r="E956" s="16"/>
      <c r="F956" s="16"/>
      <c r="G956" s="38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c r="CI956" s="16"/>
    </row>
    <row r="957" spans="1:87" ht="15">
      <c r="A957" s="16"/>
      <c r="B957" s="16"/>
      <c r="C957" s="16"/>
      <c r="D957" s="16"/>
      <c r="E957" s="16"/>
      <c r="F957" s="16"/>
      <c r="G957" s="38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c r="CI957" s="16"/>
    </row>
    <row r="958" spans="1:87" ht="15">
      <c r="A958" s="16"/>
      <c r="B958" s="16"/>
      <c r="C958" s="16"/>
      <c r="D958" s="16"/>
      <c r="E958" s="16"/>
      <c r="F958" s="16"/>
      <c r="G958" s="38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c r="CI958" s="16"/>
    </row>
    <row r="959" spans="1:87" ht="15">
      <c r="A959" s="16"/>
      <c r="B959" s="16"/>
      <c r="C959" s="16"/>
      <c r="D959" s="16"/>
      <c r="E959" s="16"/>
      <c r="F959" s="16"/>
      <c r="G959" s="38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c r="CI959" s="16"/>
    </row>
    <row r="960" spans="1:87" ht="15">
      <c r="A960" s="16"/>
      <c r="B960" s="16"/>
      <c r="C960" s="16"/>
      <c r="D960" s="16"/>
      <c r="E960" s="16"/>
      <c r="F960" s="16"/>
      <c r="G960" s="38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c r="CI960" s="16"/>
    </row>
    <row r="961" spans="1:87" ht="15">
      <c r="A961" s="16"/>
      <c r="B961" s="16"/>
      <c r="C961" s="16"/>
      <c r="D961" s="16"/>
      <c r="E961" s="16"/>
      <c r="F961" s="16"/>
      <c r="G961" s="38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c r="CI961" s="16"/>
    </row>
    <row r="962" spans="1:87" ht="15">
      <c r="A962" s="16"/>
      <c r="B962" s="16"/>
      <c r="C962" s="16"/>
      <c r="D962" s="16"/>
      <c r="E962" s="16"/>
      <c r="F962" s="16"/>
      <c r="G962" s="38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c r="CI962" s="16"/>
    </row>
    <row r="963" spans="1:87" ht="15">
      <c r="A963" s="16"/>
      <c r="B963" s="16"/>
      <c r="C963" s="16"/>
      <c r="D963" s="16"/>
      <c r="E963" s="16"/>
      <c r="F963" s="16"/>
      <c r="G963" s="38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c r="CI963" s="16"/>
    </row>
    <row r="964" spans="1:87" ht="15">
      <c r="A964" s="16"/>
      <c r="B964" s="16"/>
      <c r="C964" s="16"/>
      <c r="D964" s="16"/>
      <c r="E964" s="16"/>
      <c r="F964" s="16"/>
      <c r="G964" s="38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c r="CI964" s="16"/>
    </row>
    <row r="965" spans="1:87" ht="15">
      <c r="A965" s="16"/>
      <c r="B965" s="16"/>
      <c r="C965" s="16"/>
      <c r="D965" s="16"/>
      <c r="E965" s="16"/>
      <c r="F965" s="16"/>
      <c r="G965" s="38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c r="CI965" s="16"/>
    </row>
    <row r="966" spans="1:87" ht="15">
      <c r="A966" s="16"/>
      <c r="B966" s="16"/>
      <c r="C966" s="16"/>
      <c r="D966" s="16"/>
      <c r="E966" s="16"/>
      <c r="F966" s="16"/>
      <c r="G966" s="38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c r="CI966" s="16"/>
    </row>
    <row r="967" spans="1:87" ht="15">
      <c r="A967" s="16"/>
      <c r="B967" s="16"/>
      <c r="C967" s="16"/>
      <c r="D967" s="16"/>
      <c r="E967" s="16"/>
      <c r="F967" s="16"/>
      <c r="G967" s="38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c r="CI967" s="16"/>
    </row>
    <row r="968" spans="1:87" ht="15">
      <c r="A968" s="16"/>
      <c r="B968" s="16"/>
      <c r="C968" s="16"/>
      <c r="D968" s="16"/>
      <c r="E968" s="16"/>
      <c r="F968" s="16"/>
      <c r="G968" s="38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c r="CI968" s="16"/>
    </row>
    <row r="969" spans="1:87" ht="15">
      <c r="A969" s="16"/>
      <c r="B969" s="16"/>
      <c r="C969" s="16"/>
      <c r="D969" s="16"/>
      <c r="E969" s="16"/>
      <c r="F969" s="16"/>
      <c r="G969" s="38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row>
    <row r="970" spans="1:87" ht="15">
      <c r="A970" s="16"/>
      <c r="B970" s="16"/>
      <c r="C970" s="16"/>
      <c r="D970" s="16"/>
      <c r="E970" s="16"/>
      <c r="F970" s="16"/>
      <c r="G970" s="38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row>
    <row r="971" spans="1:87" ht="15">
      <c r="A971" s="16"/>
      <c r="B971" s="16"/>
      <c r="C971" s="16"/>
      <c r="D971" s="16"/>
      <c r="E971" s="16"/>
      <c r="F971" s="16"/>
      <c r="G971" s="38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row>
    <row r="972" spans="1:87" ht="15">
      <c r="A972" s="16"/>
      <c r="B972" s="16"/>
      <c r="C972" s="16"/>
      <c r="D972" s="16"/>
      <c r="E972" s="16"/>
      <c r="F972" s="16"/>
      <c r="G972" s="38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row>
    <row r="973" spans="1:87" ht="15">
      <c r="A973" s="16"/>
      <c r="B973" s="16"/>
      <c r="C973" s="16"/>
      <c r="D973" s="16"/>
      <c r="E973" s="16"/>
      <c r="F973" s="16"/>
      <c r="G973" s="38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row>
    <row r="974" spans="1:87" ht="15">
      <c r="A974" s="16"/>
      <c r="B974" s="16"/>
      <c r="C974" s="16"/>
      <c r="D974" s="16"/>
      <c r="E974" s="16"/>
      <c r="F974" s="16"/>
      <c r="G974" s="38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row>
  </sheetData>
  <customSheetViews>
    <customSheetView guid="{E4B6CD70-6F71-4930-8D93-E959514A309A}" filter="1" showAutoFilter="1">
      <pageMargins left="0.7" right="0.7" top="0.75" bottom="0.75" header="0.3" footer="0.3"/>
      <autoFilter ref="A1:BR161" xr:uid="{194816FC-F924-435D-A324-64E5B2DB9D81}"/>
    </customSheetView>
    <customSheetView guid="{A4698AFA-486A-415A-8D19-820587C948A9}" filter="1" showAutoFilter="1">
      <pageMargins left="0.7" right="0.7" top="0.75" bottom="0.75" header="0.3" footer="0.3"/>
      <autoFilter ref="F1:F974" xr:uid="{330598A4-29F3-44C7-9E4E-29AC92670322}">
        <filterColumn colId="0">
          <filters>
            <filter val="Soft Skills"/>
            <filter val="math"/>
          </filters>
        </filterColumn>
      </autoFilter>
    </customSheetView>
  </customSheetViews>
  <conditionalFormatting sqref="C1:C6 E2:E88 D3:D6 C8:D25 C27:D27 C29:D29 C35:D35 C58:D59 B66:D66 C75:D75 D78 G83:G85 C84:D84 C86:D86 C88:D88 G88 C90:D90 E90:E97 C93:C95 D93:D96 E132 E136:E148">
    <cfRule type="cellIs" dxfId="15" priority="28" operator="equal">
      <formula>"Працює"</formula>
    </cfRule>
    <cfRule type="cellIs" dxfId="14" priority="29" operator="equal">
      <formula>"Навчання"</formula>
    </cfRule>
    <cfRule type="cellIs" dxfId="13" priority="30" operator="equal">
      <formula>"Резерв"</formula>
    </cfRule>
  </conditionalFormatting>
  <conditionalFormatting sqref="E2:E88 G83:G85 E90:E97 E132 E136:E148">
    <cfRule type="containsText" dxfId="12" priority="31" operator="containsText" text="Звільнено">
      <formula>NOT(ISERROR(SEARCH(("Звільнено"),(E2))))</formula>
    </cfRule>
  </conditionalFormatting>
  <conditionalFormatting sqref="Q1:Q6 Q8:Q11 R12:R24">
    <cfRule type="colorScale" priority="32">
      <colorScale>
        <cfvo type="formula" val="45"/>
        <cfvo type="percentile" val="60"/>
        <cfvo type="formula" val="75"/>
        <color rgb="FFEA9999"/>
        <color rgb="FFFFE599"/>
        <color rgb="FF93C47D"/>
      </colorScale>
    </cfRule>
  </conditionalFormatting>
  <conditionalFormatting sqref="R25:S27 R29:S29 T32:U35 V35 R66:X66 T83:AD84">
    <cfRule type="colorScale" priority="24">
      <colorScale>
        <cfvo type="formula" val="35"/>
        <cfvo type="formula" val="50"/>
        <cfvo type="formula" val="100"/>
        <color rgb="FFE06666"/>
        <color rgb="FFFFE599"/>
        <color rgb="FF93C47D"/>
      </colorScale>
    </cfRule>
  </conditionalFormatting>
  <conditionalFormatting sqref="T147 U149 U180">
    <cfRule type="cellIs" dxfId="11" priority="4" operator="equal">
      <formula>"ААА"</formula>
    </cfRule>
  </conditionalFormatting>
  <conditionalFormatting sqref="V180">
    <cfRule type="notContainsBlanks" dxfId="10" priority="1">
      <formula>LEN(TRIM(V180))&gt;0</formula>
    </cfRule>
  </conditionalFormatting>
  <conditionalFormatting sqref="W147:Z147 U147 V149 X149:AA149 V180 X180 Z180 AB180:AE180">
    <cfRule type="colorScale" priority="3">
      <colorScale>
        <cfvo type="min"/>
        <cfvo type="formula" val="50"/>
        <cfvo type="max"/>
        <color rgb="FFE06666"/>
        <color rgb="FFFFD666"/>
        <color rgb="FF6AA84F"/>
      </colorScale>
    </cfRule>
  </conditionalFormatting>
  <conditionalFormatting sqref="X3">
    <cfRule type="colorScale" priority="27">
      <colorScale>
        <cfvo type="formula" val="1"/>
        <cfvo type="formula" val="3"/>
        <cfvo type="formula" val="5"/>
        <color rgb="FFE06666"/>
        <color rgb="FFFFE599"/>
        <color rgb="FF93C47D"/>
      </colorScale>
    </cfRule>
  </conditionalFormatting>
  <conditionalFormatting sqref="X4:X6 W3 X8:X11 Y12:Y24 Z25:Z27 AA29 AC32:AC34 AD35 AH66">
    <cfRule type="colorScale" priority="26">
      <colorScale>
        <cfvo type="formula" val="1"/>
        <cfvo type="formula" val="3"/>
        <cfvo type="formula" val="5"/>
        <color rgb="FFE06666"/>
        <color rgb="FFFFE599"/>
        <color rgb="FF93C47D"/>
      </colorScale>
    </cfRule>
  </conditionalFormatting>
  <conditionalFormatting sqref="X25">
    <cfRule type="colorScale" priority="25">
      <colorScale>
        <cfvo type="formula" val="1"/>
        <cfvo type="formula" val="5"/>
        <cfvo type="formula" val="10"/>
        <color rgb="FFE67C73"/>
        <color rgb="FFFFE599"/>
        <color rgb="FF93C47D"/>
      </colorScale>
    </cfRule>
  </conditionalFormatting>
  <conditionalFormatting sqref="X26:X27 Y29 AA32:AA34 AB35 AD66:AF66">
    <cfRule type="colorScale" priority="23">
      <colorScale>
        <cfvo type="formula" val="35"/>
        <cfvo type="formula" val="50"/>
        <cfvo type="formula" val="100"/>
        <color rgb="FFE67C73"/>
        <color rgb="FFFFE599"/>
        <color rgb="FF93C47D"/>
      </colorScale>
    </cfRule>
  </conditionalFormatting>
  <conditionalFormatting sqref="X32:X34 V29 Y35">
    <cfRule type="colorScale" priority="21">
      <colorScale>
        <cfvo type="percent" val="0"/>
        <cfvo type="percent" val="30"/>
        <cfvo type="max"/>
        <color rgb="FF6AA84F"/>
        <color rgb="FFFFD666"/>
        <color rgb="FFE06666"/>
      </colorScale>
    </cfRule>
  </conditionalFormatting>
  <conditionalFormatting sqref="Y32:Y34 W29 Z35 AB66">
    <cfRule type="colorScale" priority="22">
      <colorScale>
        <cfvo type="min"/>
        <cfvo type="formula" val="70"/>
        <cfvo type="max"/>
        <color rgb="FFEA9999"/>
        <color rgb="FFFFD666"/>
        <color rgb="FF6AA84F"/>
      </colorScale>
    </cfRule>
  </conditionalFormatting>
  <conditionalFormatting sqref="AA66">
    <cfRule type="colorScale" priority="13">
      <colorScale>
        <cfvo type="min"/>
        <cfvo type="percentile" val="20"/>
        <cfvo type="max"/>
        <color rgb="FF6AA84F"/>
        <color rgb="FFFFE599"/>
        <color rgb="FFE06666"/>
      </colorScale>
    </cfRule>
  </conditionalFormatting>
  <conditionalFormatting sqref="AD32:AD34 AB29 AE35 AI66">
    <cfRule type="colorScale" priority="14">
      <colorScale>
        <cfvo type="formula" val="0"/>
        <cfvo type="percent" val="50"/>
        <cfvo type="max"/>
        <color rgb="FF93C47D"/>
        <color rgb="FFFFE599"/>
        <color rgb="FFE67C73"/>
      </colorScale>
    </cfRule>
  </conditionalFormatting>
  <conditionalFormatting sqref="AE83:AE84 AK147 AL149 AP180">
    <cfRule type="colorScale" priority="6">
      <colorScale>
        <cfvo type="min"/>
        <cfvo type="formula" val="50%"/>
        <cfvo type="formula" val="80%"/>
        <color rgb="FFE06666"/>
        <color rgb="FFFFE599"/>
        <color rgb="FF6AA84F"/>
      </colorScale>
    </cfRule>
  </conditionalFormatting>
  <conditionalFormatting sqref="AF29 S32:S35 Q66 S83:S84 T147 U149 U180">
    <cfRule type="cellIs" dxfId="9" priority="16" operator="equal">
      <formula>"A"</formula>
    </cfRule>
    <cfRule type="cellIs" dxfId="8" priority="17" operator="equal">
      <formula>"B"</formula>
    </cfRule>
    <cfRule type="cellIs" dxfId="7" priority="18" operator="equal">
      <formula>"C"</formula>
    </cfRule>
    <cfRule type="containsText" dxfId="6" priority="19" operator="containsText" text="Critical">
      <formula>NOT(ISERROR(SEARCH(("Critical"),(AF29))))</formula>
    </cfRule>
    <cfRule type="cellIs" dxfId="5" priority="20" operator="equal">
      <formula>"D"</formula>
    </cfRule>
  </conditionalFormatting>
  <conditionalFormatting sqref="AF83:AF84 AL147 AM149 AQ180">
    <cfRule type="colorScale" priority="8">
      <colorScale>
        <cfvo type="min"/>
        <cfvo type="formula" val="50"/>
        <cfvo type="formula" val="80"/>
        <color rgb="FFE06666"/>
        <color rgb="FFFFE599"/>
        <color rgb="FF6AA84F"/>
      </colorScale>
    </cfRule>
  </conditionalFormatting>
  <conditionalFormatting sqref="AG83:AG84">
    <cfRule type="colorScale" priority="7">
      <colorScale>
        <cfvo type="min"/>
        <cfvo type="percent" val="70"/>
        <cfvo type="max"/>
        <color rgb="FF6AA84F"/>
        <color rgb="FFFFE599"/>
        <color rgb="FFE06666"/>
      </colorScale>
    </cfRule>
  </conditionalFormatting>
  <conditionalFormatting sqref="AH83:AH84 AN147 AO149 AS180">
    <cfRule type="colorScale" priority="5">
      <colorScale>
        <cfvo type="min"/>
        <cfvo type="formula" val="80"/>
        <cfvo type="formula" val="105"/>
        <color rgb="FFEA9999"/>
        <color rgb="FFFFD666"/>
        <color rgb="FF93C47D"/>
      </colorScale>
    </cfRule>
  </conditionalFormatting>
  <conditionalFormatting sqref="AM83:AM84 AS147 AT149 AX180">
    <cfRule type="colorScale" priority="9">
      <colorScale>
        <cfvo type="min"/>
        <cfvo type="formula" val="30"/>
        <cfvo type="max"/>
        <color rgb="FFE06666"/>
        <color rgb="FFFFD666"/>
        <color rgb="FF93C47D"/>
      </colorScale>
    </cfRule>
  </conditionalFormatting>
  <conditionalFormatting sqref="AP83:AP84 AV147 AW149 BA180">
    <cfRule type="colorScale" priority="10">
      <colorScale>
        <cfvo type="formula" val="1"/>
        <cfvo type="percent" val="50"/>
        <cfvo type="max"/>
        <color rgb="FFEA9999"/>
        <color rgb="FFFFD666"/>
        <color rgb="FF93C47D"/>
      </colorScale>
    </cfRule>
  </conditionalFormatting>
  <conditionalFormatting sqref="AP29:CI29 AP32:AQ34 AR32:CI35 AV66:CI66">
    <cfRule type="notContainsBlanks" dxfId="4" priority="15">
      <formula>LEN(TRIM(AP29))&gt;0</formula>
    </cfRule>
  </conditionalFormatting>
  <conditionalFormatting sqref="AQ83:AQ84 AW147 AX149 BB180">
    <cfRule type="colorScale" priority="11">
      <colorScale>
        <cfvo type="formula" val="1"/>
        <cfvo type="percent" val="50"/>
        <cfvo type="max"/>
        <color rgb="FFE06666"/>
        <color rgb="FFFFD666"/>
        <color rgb="FF93C47D"/>
      </colorScale>
    </cfRule>
  </conditionalFormatting>
  <conditionalFormatting sqref="AR83:AR84 AX147 AY149 BC180">
    <cfRule type="colorScale" priority="12">
      <colorScale>
        <cfvo type="min"/>
        <cfvo type="percentile" val="50"/>
        <cfvo type="max"/>
        <color rgb="FF93C47D"/>
        <color rgb="FFFFD666"/>
        <color rgb="FFE06666"/>
      </colorScale>
    </cfRule>
  </conditionalFormatting>
  <dataValidations count="6">
    <dataValidation type="list" allowBlank="1" sqref="A2:A974" xr:uid="{00000000-0002-0000-0300-000000000000}">
      <formula1>"Викладач,КХМ"</formula1>
    </dataValidation>
    <dataValidation type="list" allowBlank="1" sqref="E2:E84 E86:E87 E132 E139 E141 E144" xr:uid="{00000000-0002-0000-0300-000001000000}">
      <formula1>"Працює,Резерв,Навчання,Звільнено"</formula1>
    </dataValidation>
    <dataValidation type="list" allowBlank="1" sqref="AB6 AB9:AB10 AC23 AE27 AH32 AJ35 AN66" xr:uid="{00000000-0002-0000-0300-000002000000}">
      <formula1>"Так,Ні"</formula1>
    </dataValidation>
    <dataValidation type="list" allowBlank="1" showErrorMessage="1" sqref="E129:E130 E149:E217" xr:uid="{00000000-0002-0000-0300-000003000000}">
      <formula1>"Працює,Звільнено,Резерв"</formula1>
    </dataValidation>
    <dataValidation type="list" allowBlank="1" sqref="F137" xr:uid="{00000000-0002-0000-0300-000004000000}">
      <formula1>"Scratch,Minecraft,Design Junior,FrontEnd Junior,Roblox,Digital Design,Python,FrontEnd,GameDev,Soft Skills,Math"</formula1>
    </dataValidation>
    <dataValidation type="list" allowBlank="1" sqref="F2:F136 F138:F974" xr:uid="{00000000-0002-0000-0300-000005000000}">
      <formula1>"Scratch,Minecraft,Design Junior,FrontEnd Junior,Roblox,Digital Design,Python,FrontEnd,GameDev,Soft Skills,ART"</formula1>
    </dataValidation>
  </dataValidations>
  <hyperlinks>
    <hyperlink ref="D2" r:id="rId1" xr:uid="{00000000-0004-0000-0300-000000000000}"/>
    <hyperlink ref="D45" r:id="rId2" xr:uid="{00000000-0004-0000-0300-000001000000}"/>
    <hyperlink ref="D49" r:id="rId3" xr:uid="{00000000-0004-0000-0300-000002000000}"/>
    <hyperlink ref="C57" r:id="rId4" xr:uid="{00000000-0004-0000-0300-000003000000}"/>
    <hyperlink ref="C63" r:id="rId5" xr:uid="{00000000-0004-0000-0300-000004000000}"/>
    <hyperlink ref="C65" r:id="rId6" xr:uid="{00000000-0004-0000-0300-000005000000}"/>
    <hyperlink ref="C69" r:id="rId7" xr:uid="{00000000-0004-0000-0300-000006000000}"/>
    <hyperlink ref="H71" r:id="rId8" xr:uid="{00000000-0004-0000-0300-000007000000}"/>
    <hyperlink ref="D92" r:id="rId9" xr:uid="{00000000-0004-0000-0300-000008000000}"/>
    <hyperlink ref="D95" r:id="rId10" xr:uid="{00000000-0004-0000-0300-000009000000}"/>
    <hyperlink ref="C106" r:id="rId11" xr:uid="{00000000-0004-0000-0300-00000A000000}"/>
    <hyperlink ref="BP149" r:id="rId12" xr:uid="{00000000-0004-0000-0300-00000B000000}"/>
    <hyperlink ref="BV180" r:id="rId13" xr:uid="{00000000-0004-0000-0300-00000C000000}"/>
  </hyperlinks>
  <pageMargins left="0.7" right="0.7" top="0.75" bottom="0.75" header="0.3" footer="0.3"/>
  <legacy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
  <sheetViews>
    <sheetView workbookViewId="0"/>
  </sheetViews>
  <sheetFormatPr defaultColWidth="12.5703125" defaultRowHeight="15.75" customHeight="1"/>
  <cols>
    <col min="1" max="1" width="16.42578125" customWidth="1"/>
    <col min="2" max="2" width="20.140625" customWidth="1"/>
    <col min="3" max="3" width="17.5703125" customWidth="1"/>
  </cols>
  <sheetData>
    <row r="1" spans="1:26">
      <c r="A1" s="446" t="s">
        <v>3371</v>
      </c>
      <c r="B1" s="446" t="s">
        <v>5869</v>
      </c>
      <c r="C1" s="446" t="s">
        <v>3370</v>
      </c>
      <c r="D1" s="446"/>
      <c r="E1" s="446"/>
      <c r="F1" s="446"/>
      <c r="G1" s="446"/>
      <c r="H1" s="446"/>
      <c r="I1" s="446"/>
      <c r="J1" s="446"/>
      <c r="K1" s="446"/>
      <c r="L1" s="446"/>
      <c r="M1" s="446"/>
      <c r="N1" s="446"/>
      <c r="O1" s="446"/>
      <c r="P1" s="446"/>
      <c r="Q1" s="446"/>
      <c r="R1" s="446"/>
      <c r="S1" s="446"/>
      <c r="T1" s="446"/>
      <c r="U1" s="446"/>
      <c r="V1" s="446"/>
      <c r="W1" s="446"/>
      <c r="X1" s="446"/>
      <c r="Y1" s="446"/>
      <c r="Z1" s="446"/>
    </row>
    <row r="2" spans="1:26">
      <c r="A2" s="342" t="s">
        <v>11</v>
      </c>
      <c r="B2" s="36" t="s">
        <v>433</v>
      </c>
      <c r="C2" s="185" t="s">
        <v>434</v>
      </c>
    </row>
    <row r="3" spans="1:26">
      <c r="A3" s="342" t="s">
        <v>10</v>
      </c>
      <c r="B3" s="36" t="s">
        <v>5870</v>
      </c>
      <c r="C3" s="185"/>
    </row>
    <row r="4" spans="1:26">
      <c r="A4" s="342" t="s">
        <v>13</v>
      </c>
      <c r="B4" s="36" t="s">
        <v>5871</v>
      </c>
      <c r="C4" s="116" t="s">
        <v>665</v>
      </c>
    </row>
    <row r="5" spans="1:26">
      <c r="A5" s="342" t="s">
        <v>12</v>
      </c>
      <c r="B5" s="36" t="s">
        <v>5872</v>
      </c>
      <c r="C5" s="187" t="s">
        <v>287</v>
      </c>
    </row>
    <row r="6" spans="1:26">
      <c r="A6" s="342" t="s">
        <v>5873</v>
      </c>
      <c r="B6" s="36" t="s">
        <v>5874</v>
      </c>
      <c r="C6" s="38">
        <v>380991180007</v>
      </c>
    </row>
    <row r="7" spans="1:26">
      <c r="A7" s="342" t="s">
        <v>18</v>
      </c>
      <c r="B7" s="36" t="s">
        <v>5875</v>
      </c>
      <c r="C7" s="447"/>
    </row>
    <row r="8" spans="1:26">
      <c r="A8" s="342" t="s">
        <v>3383</v>
      </c>
      <c r="B8" s="36" t="s">
        <v>5876</v>
      </c>
      <c r="C8" s="36" t="s">
        <v>5877</v>
      </c>
    </row>
    <row r="9" spans="1:26">
      <c r="A9" s="342" t="s">
        <v>5878</v>
      </c>
      <c r="B9" s="36" t="s">
        <v>718</v>
      </c>
      <c r="C9" s="36" t="s">
        <v>719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423"/>
  <sheetViews>
    <sheetView workbookViewId="0">
      <pane ySplit="1" topLeftCell="A2" activePane="bottomLeft" state="frozen"/>
      <selection pane="bottomLeft" activeCell="B3" sqref="B3"/>
    </sheetView>
  </sheetViews>
  <sheetFormatPr defaultColWidth="12.5703125" defaultRowHeight="15.75" customHeight="1"/>
  <cols>
    <col min="1" max="1" width="13.7109375" customWidth="1"/>
    <col min="2" max="3" width="18.85546875" customWidth="1"/>
    <col min="4" max="4" width="9.42578125" customWidth="1"/>
    <col min="5" max="6" width="18.85546875" customWidth="1"/>
    <col min="7" max="7" width="17" customWidth="1"/>
    <col min="8" max="8" width="17.42578125" customWidth="1"/>
    <col min="9" max="9" width="6" customWidth="1"/>
    <col min="10" max="10" width="11.140625" customWidth="1"/>
    <col min="11" max="11" width="35.28515625" customWidth="1"/>
    <col min="12" max="17" width="18.85546875" customWidth="1"/>
  </cols>
  <sheetData>
    <row r="1" spans="1:13" ht="12.75">
      <c r="A1" s="36" t="s">
        <v>5879</v>
      </c>
      <c r="B1" s="36" t="s">
        <v>5880</v>
      </c>
      <c r="C1" s="36" t="s">
        <v>5881</v>
      </c>
      <c r="D1" s="36" t="s">
        <v>5882</v>
      </c>
      <c r="E1" s="36" t="s">
        <v>5883</v>
      </c>
      <c r="F1" s="36" t="s">
        <v>5884</v>
      </c>
      <c r="G1" s="36" t="s">
        <v>5885</v>
      </c>
      <c r="H1" s="36" t="s">
        <v>5886</v>
      </c>
      <c r="I1" s="36" t="s">
        <v>5887</v>
      </c>
      <c r="J1" s="36" t="s">
        <v>5888</v>
      </c>
      <c r="K1" s="36" t="s">
        <v>5889</v>
      </c>
      <c r="L1" s="36" t="s">
        <v>5890</v>
      </c>
      <c r="M1" s="36" t="s">
        <v>5891</v>
      </c>
    </row>
    <row r="2" spans="1:13" ht="12.75" hidden="1">
      <c r="A2" s="448">
        <v>45008.540561180555</v>
      </c>
      <c r="B2" s="449">
        <v>45009</v>
      </c>
      <c r="C2" s="36" t="s">
        <v>3388</v>
      </c>
      <c r="D2" s="450">
        <v>0.77083333333575865</v>
      </c>
      <c r="E2" s="36" t="s">
        <v>5892</v>
      </c>
      <c r="F2" s="36" t="s">
        <v>5893</v>
      </c>
      <c r="G2" s="36" t="s">
        <v>1116</v>
      </c>
      <c r="H2" s="36" t="s">
        <v>5894</v>
      </c>
      <c r="I2" s="36">
        <v>1</v>
      </c>
      <c r="J2" s="36" t="s">
        <v>5895</v>
      </c>
      <c r="K2" s="36" t="s">
        <v>5896</v>
      </c>
      <c r="L2" s="36" t="b">
        <v>1</v>
      </c>
    </row>
    <row r="3" spans="1:13" ht="12.75" hidden="1">
      <c r="A3" s="448">
        <v>45008.544064918984</v>
      </c>
      <c r="B3" s="449">
        <v>45010</v>
      </c>
      <c r="C3" s="36" t="s">
        <v>3388</v>
      </c>
      <c r="D3" s="450">
        <v>0.41666666666424135</v>
      </c>
      <c r="E3" s="36" t="s">
        <v>5897</v>
      </c>
      <c r="F3" s="36" t="s">
        <v>5898</v>
      </c>
      <c r="G3" s="36" t="s">
        <v>1116</v>
      </c>
      <c r="H3" s="36" t="s">
        <v>517</v>
      </c>
      <c r="I3" s="36">
        <v>2</v>
      </c>
      <c r="J3" s="36" t="s">
        <v>5895</v>
      </c>
      <c r="K3" s="36" t="s">
        <v>5896</v>
      </c>
      <c r="L3" s="36" t="b">
        <v>1</v>
      </c>
    </row>
    <row r="4" spans="1:13" ht="12.75" hidden="1">
      <c r="A4" s="448">
        <v>45008.545550613431</v>
      </c>
      <c r="B4" s="449">
        <v>45010</v>
      </c>
      <c r="C4" s="36" t="s">
        <v>3388</v>
      </c>
      <c r="D4" s="450">
        <v>0.5</v>
      </c>
      <c r="E4" s="36" t="s">
        <v>5899</v>
      </c>
      <c r="F4" s="36" t="s">
        <v>5900</v>
      </c>
      <c r="G4" s="36" t="s">
        <v>1116</v>
      </c>
      <c r="H4" s="36" t="s">
        <v>517</v>
      </c>
      <c r="I4" s="36">
        <v>3</v>
      </c>
      <c r="J4" s="36" t="s">
        <v>5895</v>
      </c>
      <c r="K4" s="36" t="s">
        <v>5896</v>
      </c>
      <c r="L4" s="36" t="b">
        <v>1</v>
      </c>
    </row>
    <row r="5" spans="1:13" ht="12.75" hidden="1">
      <c r="A5" s="448">
        <v>45008.547324733794</v>
      </c>
      <c r="B5" s="449">
        <v>45011</v>
      </c>
      <c r="C5" s="36" t="s">
        <v>3388</v>
      </c>
      <c r="D5" s="450">
        <v>0.41666666666424135</v>
      </c>
      <c r="E5" s="36" t="s">
        <v>5901</v>
      </c>
      <c r="F5" s="36" t="s">
        <v>5902</v>
      </c>
      <c r="G5" s="36" t="s">
        <v>1116</v>
      </c>
      <c r="H5" s="36" t="s">
        <v>1415</v>
      </c>
      <c r="I5" s="36">
        <v>4</v>
      </c>
      <c r="J5" s="36" t="s">
        <v>5895</v>
      </c>
      <c r="K5" s="36" t="s">
        <v>5896</v>
      </c>
      <c r="L5" s="36" t="b">
        <v>1</v>
      </c>
    </row>
    <row r="6" spans="1:13" ht="12.75" hidden="1">
      <c r="A6" s="448">
        <v>45008.697352233794</v>
      </c>
      <c r="B6" s="449">
        <v>45008</v>
      </c>
      <c r="C6" s="36" t="s">
        <v>3388</v>
      </c>
      <c r="D6" s="450">
        <v>0.75</v>
      </c>
      <c r="E6" s="36" t="s">
        <v>5903</v>
      </c>
      <c r="F6" s="36" t="s">
        <v>5904</v>
      </c>
      <c r="G6" s="36" t="s">
        <v>5905</v>
      </c>
      <c r="H6" s="36" t="s">
        <v>5906</v>
      </c>
      <c r="I6" s="36">
        <v>3</v>
      </c>
      <c r="J6" s="36" t="s">
        <v>5895</v>
      </c>
      <c r="K6" s="36" t="s">
        <v>5907</v>
      </c>
      <c r="L6" s="36" t="b">
        <v>1</v>
      </c>
    </row>
    <row r="7" spans="1:13" ht="12.75" hidden="1">
      <c r="A7" s="448">
        <v>45009.429302696764</v>
      </c>
      <c r="B7" s="449">
        <v>45010</v>
      </c>
      <c r="C7" s="36" t="s">
        <v>18</v>
      </c>
      <c r="D7" s="450">
        <v>0</v>
      </c>
      <c r="E7" s="36" t="s">
        <v>5908</v>
      </c>
      <c r="F7" s="36" t="s">
        <v>5909</v>
      </c>
      <c r="G7" s="36" t="s">
        <v>295</v>
      </c>
      <c r="H7" s="36" t="s">
        <v>5910</v>
      </c>
      <c r="I7" s="36">
        <v>1</v>
      </c>
      <c r="J7" s="36" t="s">
        <v>5895</v>
      </c>
      <c r="K7" s="36" t="s">
        <v>5911</v>
      </c>
      <c r="L7" s="36" t="b">
        <v>0</v>
      </c>
    </row>
    <row r="8" spans="1:13" ht="12.75" hidden="1">
      <c r="A8" s="448">
        <v>45009.443277141203</v>
      </c>
      <c r="B8" s="449">
        <v>45010</v>
      </c>
      <c r="C8" s="36" t="s">
        <v>12</v>
      </c>
      <c r="D8" s="450">
        <v>0.48611111110949423</v>
      </c>
      <c r="E8" s="36" t="s">
        <v>5912</v>
      </c>
      <c r="F8" s="36" t="s">
        <v>5913</v>
      </c>
      <c r="G8" s="36" t="s">
        <v>5914</v>
      </c>
      <c r="H8" s="36" t="s">
        <v>5915</v>
      </c>
      <c r="I8" s="36">
        <v>1</v>
      </c>
      <c r="J8" s="36" t="s">
        <v>5895</v>
      </c>
      <c r="K8" s="36" t="s">
        <v>5916</v>
      </c>
      <c r="L8" s="36" t="b">
        <v>0</v>
      </c>
    </row>
    <row r="9" spans="1:13" ht="12.75" hidden="1">
      <c r="A9" s="448">
        <v>45010.50039627315</v>
      </c>
      <c r="B9" s="449">
        <v>45011</v>
      </c>
      <c r="C9" s="36" t="s">
        <v>12</v>
      </c>
      <c r="D9" s="450">
        <v>0.41666666666424135</v>
      </c>
      <c r="E9" s="36" t="s">
        <v>5917</v>
      </c>
      <c r="F9" s="36" t="s">
        <v>5918</v>
      </c>
      <c r="G9" s="36" t="s">
        <v>1497</v>
      </c>
      <c r="H9" s="36" t="s">
        <v>87</v>
      </c>
      <c r="I9" s="36">
        <v>1</v>
      </c>
      <c r="J9" s="36" t="s">
        <v>5895</v>
      </c>
      <c r="K9" s="36" t="s">
        <v>5919</v>
      </c>
      <c r="L9" s="36" t="b">
        <v>0</v>
      </c>
    </row>
    <row r="10" spans="1:13" ht="12.75" hidden="1">
      <c r="A10" s="448">
        <v>45011.405708587961</v>
      </c>
      <c r="B10" s="449">
        <v>45011</v>
      </c>
      <c r="C10" s="36" t="s">
        <v>3383</v>
      </c>
      <c r="D10" s="450">
        <v>0.54861111110949423</v>
      </c>
      <c r="E10" s="36" t="s">
        <v>5920</v>
      </c>
      <c r="F10" s="36" t="s">
        <v>5921</v>
      </c>
      <c r="G10" s="36" t="s">
        <v>756</v>
      </c>
      <c r="H10" s="36" t="s">
        <v>5922</v>
      </c>
      <c r="I10" s="36">
        <v>1</v>
      </c>
      <c r="J10" s="36" t="s">
        <v>5895</v>
      </c>
      <c r="K10" s="36" t="s">
        <v>5923</v>
      </c>
      <c r="L10" s="36" t="b">
        <v>1</v>
      </c>
    </row>
    <row r="11" spans="1:13" ht="12.75" hidden="1">
      <c r="A11" s="448">
        <v>45012.604176944442</v>
      </c>
      <c r="B11" s="449">
        <v>45013</v>
      </c>
      <c r="C11" s="36" t="s">
        <v>3388</v>
      </c>
      <c r="D11" s="450">
        <v>0.75</v>
      </c>
      <c r="E11" s="36" t="s">
        <v>5924</v>
      </c>
      <c r="F11" s="36" t="s">
        <v>5925</v>
      </c>
      <c r="G11" s="36" t="s">
        <v>1422</v>
      </c>
      <c r="H11" s="36" t="s">
        <v>1113</v>
      </c>
      <c r="I11" s="36">
        <v>2</v>
      </c>
      <c r="J11" s="36" t="s">
        <v>5895</v>
      </c>
      <c r="K11" s="36" t="s">
        <v>5926</v>
      </c>
      <c r="L11" s="36" t="b">
        <v>1</v>
      </c>
    </row>
    <row r="12" spans="1:13" ht="12.75" hidden="1">
      <c r="A12" s="448">
        <v>45012.756004571755</v>
      </c>
      <c r="B12" s="449">
        <v>45013</v>
      </c>
      <c r="C12" s="36" t="s">
        <v>3388</v>
      </c>
      <c r="D12" s="450">
        <v>0.75</v>
      </c>
      <c r="E12" s="36" t="s">
        <v>5927</v>
      </c>
      <c r="F12" s="36" t="s">
        <v>5928</v>
      </c>
      <c r="G12" s="36" t="s">
        <v>5929</v>
      </c>
      <c r="H12" s="36" t="s">
        <v>1450</v>
      </c>
      <c r="I12" s="36">
        <v>2</v>
      </c>
      <c r="J12" s="36" t="s">
        <v>5895</v>
      </c>
      <c r="K12" s="36" t="s">
        <v>5930</v>
      </c>
      <c r="L12" s="36" t="b">
        <v>1</v>
      </c>
    </row>
    <row r="13" spans="1:13" ht="12.75" hidden="1">
      <c r="A13" s="448">
        <v>45012.757685567129</v>
      </c>
      <c r="B13" s="449" t="s">
        <v>5931</v>
      </c>
      <c r="C13" s="36" t="s">
        <v>3388</v>
      </c>
      <c r="D13" s="450">
        <v>0.79166666666424135</v>
      </c>
      <c r="E13" s="36" t="s">
        <v>5932</v>
      </c>
      <c r="F13" s="36" t="s">
        <v>5933</v>
      </c>
      <c r="G13" s="36" t="s">
        <v>5929</v>
      </c>
      <c r="H13" s="36" t="s">
        <v>5934</v>
      </c>
      <c r="I13" s="36">
        <v>2</v>
      </c>
      <c r="J13" s="36" t="s">
        <v>5895</v>
      </c>
      <c r="K13" s="36" t="s">
        <v>5930</v>
      </c>
      <c r="L13" s="36" t="b">
        <v>1</v>
      </c>
    </row>
    <row r="14" spans="1:13" ht="12.75" hidden="1">
      <c r="A14" s="448">
        <v>45012.794319652778</v>
      </c>
      <c r="B14" s="449">
        <v>45014</v>
      </c>
      <c r="C14" s="36" t="s">
        <v>3388</v>
      </c>
      <c r="D14" s="450">
        <v>0.75</v>
      </c>
      <c r="E14" s="36" t="s">
        <v>5935</v>
      </c>
      <c r="F14" s="36" t="s">
        <v>5936</v>
      </c>
      <c r="G14" s="36" t="s">
        <v>576</v>
      </c>
      <c r="H14" s="36" t="s">
        <v>5937</v>
      </c>
      <c r="I14" s="36">
        <v>2</v>
      </c>
      <c r="J14" s="36" t="s">
        <v>5895</v>
      </c>
      <c r="K14" s="36" t="s">
        <v>5938</v>
      </c>
      <c r="L14" s="36" t="b">
        <v>1</v>
      </c>
    </row>
    <row r="15" spans="1:13" ht="12.75" hidden="1">
      <c r="A15" s="448">
        <v>45012.866769398148</v>
      </c>
      <c r="B15" s="449">
        <v>45011</v>
      </c>
      <c r="C15" s="36" t="s">
        <v>3388</v>
      </c>
      <c r="D15" s="450">
        <v>0.66666666666424135</v>
      </c>
      <c r="E15" s="36" t="s">
        <v>5939</v>
      </c>
      <c r="F15" s="36" t="s">
        <v>5940</v>
      </c>
      <c r="G15" s="36" t="s">
        <v>715</v>
      </c>
      <c r="H15" s="36" t="s">
        <v>5941</v>
      </c>
      <c r="I15" s="36">
        <v>1</v>
      </c>
      <c r="J15" s="36" t="s">
        <v>5942</v>
      </c>
      <c r="K15" s="36" t="s">
        <v>5943</v>
      </c>
      <c r="L15" s="36" t="b">
        <v>1</v>
      </c>
    </row>
    <row r="16" spans="1:13" ht="12.75" hidden="1">
      <c r="A16" s="448">
        <v>45012.867875277778</v>
      </c>
      <c r="B16" s="449">
        <v>45011</v>
      </c>
      <c r="C16" s="36" t="s">
        <v>3388</v>
      </c>
      <c r="D16" s="450">
        <v>0.75</v>
      </c>
      <c r="E16" s="36" t="s">
        <v>5944</v>
      </c>
      <c r="F16" s="36" t="s">
        <v>5945</v>
      </c>
      <c r="G16" s="36" t="s">
        <v>715</v>
      </c>
      <c r="H16" s="36" t="s">
        <v>5946</v>
      </c>
      <c r="I16" s="36">
        <v>1</v>
      </c>
      <c r="J16" s="36" t="s">
        <v>5942</v>
      </c>
      <c r="K16" s="36" t="s">
        <v>5943</v>
      </c>
      <c r="L16" s="36" t="b">
        <v>1</v>
      </c>
    </row>
    <row r="17" spans="1:12" ht="12.75" hidden="1">
      <c r="A17" s="448">
        <v>45013.54896</v>
      </c>
      <c r="B17" s="449">
        <v>45013</v>
      </c>
      <c r="C17" s="36" t="s">
        <v>3388</v>
      </c>
      <c r="D17" s="450">
        <v>0.75</v>
      </c>
      <c r="E17" s="36" t="s">
        <v>5947</v>
      </c>
      <c r="F17" s="36" t="s">
        <v>5948</v>
      </c>
      <c r="G17" s="36" t="s">
        <v>5949</v>
      </c>
      <c r="H17" s="36" t="s">
        <v>5950</v>
      </c>
      <c r="I17" s="36">
        <v>1</v>
      </c>
      <c r="J17" s="36" t="s">
        <v>5895</v>
      </c>
      <c r="K17" s="36" t="s">
        <v>5951</v>
      </c>
      <c r="L17" s="36" t="b">
        <v>1</v>
      </c>
    </row>
    <row r="18" spans="1:12" ht="12.75" hidden="1">
      <c r="A18" s="448">
        <v>45013.751291284723</v>
      </c>
      <c r="B18" s="449">
        <v>45013</v>
      </c>
      <c r="C18" s="36" t="s">
        <v>3388</v>
      </c>
      <c r="D18" s="450">
        <v>0.77083333333575865</v>
      </c>
      <c r="E18" s="36" t="s">
        <v>5952</v>
      </c>
      <c r="F18" s="36" t="s">
        <v>5953</v>
      </c>
      <c r="G18" s="36" t="s">
        <v>5954</v>
      </c>
      <c r="H18" s="36" t="s">
        <v>5955</v>
      </c>
      <c r="I18" s="36">
        <v>2</v>
      </c>
      <c r="J18" s="36" t="s">
        <v>5895</v>
      </c>
      <c r="K18" s="36" t="s">
        <v>5943</v>
      </c>
      <c r="L18" s="36" t="b">
        <v>1</v>
      </c>
    </row>
    <row r="19" spans="1:12" ht="12.75" hidden="1">
      <c r="A19" s="448">
        <v>45014.504100219907</v>
      </c>
      <c r="B19" s="449">
        <v>45014</v>
      </c>
      <c r="C19" s="36" t="s">
        <v>11</v>
      </c>
      <c r="D19" s="450">
        <v>0.75</v>
      </c>
      <c r="E19" s="36" t="s">
        <v>5956</v>
      </c>
      <c r="F19" s="36" t="s">
        <v>5957</v>
      </c>
      <c r="G19" s="36" t="s">
        <v>1353</v>
      </c>
      <c r="H19" s="36" t="s">
        <v>5958</v>
      </c>
      <c r="I19" s="36">
        <v>1</v>
      </c>
      <c r="J19" s="36" t="s">
        <v>5895</v>
      </c>
      <c r="K19" s="36" t="s">
        <v>5959</v>
      </c>
      <c r="L19" s="36" t="b">
        <v>1</v>
      </c>
    </row>
    <row r="20" spans="1:12" ht="12.75" hidden="1">
      <c r="A20" s="448">
        <v>45014.632322928243</v>
      </c>
      <c r="B20" s="449">
        <v>45013</v>
      </c>
      <c r="C20" s="36" t="s">
        <v>3388</v>
      </c>
      <c r="D20" s="450">
        <v>0.75</v>
      </c>
      <c r="E20" s="36" t="s">
        <v>5960</v>
      </c>
      <c r="F20" s="36" t="s">
        <v>5961</v>
      </c>
      <c r="G20" s="36" t="s">
        <v>5962</v>
      </c>
      <c r="H20" s="36" t="s">
        <v>517</v>
      </c>
      <c r="I20" s="36">
        <v>3</v>
      </c>
      <c r="J20" s="36" t="s">
        <v>5895</v>
      </c>
      <c r="K20" s="36" t="s">
        <v>5963</v>
      </c>
      <c r="L20" s="36" t="b">
        <v>1</v>
      </c>
    </row>
    <row r="21" spans="1:12" ht="12.75" hidden="1">
      <c r="A21" s="448">
        <v>45014.657290601855</v>
      </c>
      <c r="B21" s="449">
        <v>45015</v>
      </c>
      <c r="C21" s="36" t="s">
        <v>12</v>
      </c>
      <c r="D21" s="450">
        <v>0.77083333333575865</v>
      </c>
      <c r="E21" s="36" t="s">
        <v>5964</v>
      </c>
      <c r="F21" s="36" t="s">
        <v>5965</v>
      </c>
      <c r="G21" s="36" t="s">
        <v>5966</v>
      </c>
      <c r="H21" s="36" t="s">
        <v>1497</v>
      </c>
      <c r="I21" s="36">
        <v>1</v>
      </c>
      <c r="J21" s="36" t="s">
        <v>5895</v>
      </c>
      <c r="K21" s="36" t="s">
        <v>5967</v>
      </c>
      <c r="L21" s="36" t="b">
        <v>0</v>
      </c>
    </row>
    <row r="22" spans="1:12" ht="12.75" hidden="1">
      <c r="A22" s="448">
        <v>45015.59799707176</v>
      </c>
      <c r="B22" s="449">
        <v>45015</v>
      </c>
      <c r="C22" s="36" t="s">
        <v>12</v>
      </c>
      <c r="D22" s="450">
        <v>0.79166666666424135</v>
      </c>
      <c r="E22" s="36" t="s">
        <v>5968</v>
      </c>
      <c r="F22" s="36" t="s">
        <v>5969</v>
      </c>
      <c r="G22" s="36" t="s">
        <v>5970</v>
      </c>
      <c r="H22" s="36" t="s">
        <v>934</v>
      </c>
      <c r="I22" s="36">
        <v>1</v>
      </c>
      <c r="J22" s="36" t="s">
        <v>5895</v>
      </c>
      <c r="K22" s="36" t="s">
        <v>5971</v>
      </c>
      <c r="L22" s="36" t="b">
        <v>0</v>
      </c>
    </row>
    <row r="23" spans="1:12" ht="12.75" hidden="1">
      <c r="A23" s="448">
        <v>45015.776577384255</v>
      </c>
      <c r="B23" s="449">
        <v>45015</v>
      </c>
      <c r="C23" s="36" t="s">
        <v>10</v>
      </c>
      <c r="D23" s="450">
        <v>6.25E-2</v>
      </c>
      <c r="E23" s="36" t="s">
        <v>5952</v>
      </c>
      <c r="F23" s="36" t="s">
        <v>5972</v>
      </c>
      <c r="G23" s="36" t="s">
        <v>226</v>
      </c>
      <c r="H23" s="36" t="s">
        <v>478</v>
      </c>
      <c r="I23" s="36">
        <v>1</v>
      </c>
      <c r="J23" s="36" t="s">
        <v>5895</v>
      </c>
      <c r="K23" s="36" t="s">
        <v>5973</v>
      </c>
      <c r="L23" s="36" t="b">
        <v>0</v>
      </c>
    </row>
    <row r="24" spans="1:12" ht="12.75" hidden="1">
      <c r="A24" s="448">
        <v>45016.523450185181</v>
      </c>
      <c r="B24" s="449" t="s">
        <v>5974</v>
      </c>
      <c r="C24" s="36" t="s">
        <v>3388</v>
      </c>
      <c r="D24" s="450">
        <v>0.8125</v>
      </c>
      <c r="E24" s="36" t="s">
        <v>5975</v>
      </c>
      <c r="F24" s="36" t="s">
        <v>5976</v>
      </c>
      <c r="G24" s="36" t="s">
        <v>1452</v>
      </c>
      <c r="H24" s="36" t="s">
        <v>5977</v>
      </c>
      <c r="I24" s="36">
        <v>1</v>
      </c>
      <c r="J24" s="36" t="s">
        <v>5895</v>
      </c>
      <c r="K24" s="36" t="s">
        <v>5978</v>
      </c>
      <c r="L24" s="36" t="b">
        <v>1</v>
      </c>
    </row>
    <row r="25" spans="1:12" ht="12.75" hidden="1">
      <c r="A25" s="448">
        <v>45016.663507361111</v>
      </c>
      <c r="B25" s="449">
        <v>45015</v>
      </c>
      <c r="C25" s="36" t="s">
        <v>3388</v>
      </c>
      <c r="D25" s="450">
        <v>0.41666666666424135</v>
      </c>
      <c r="E25" s="36" t="s">
        <v>5979</v>
      </c>
      <c r="F25" s="36" t="s">
        <v>5980</v>
      </c>
      <c r="G25" s="36" t="s">
        <v>5981</v>
      </c>
      <c r="H25" s="36" t="s">
        <v>5982</v>
      </c>
      <c r="I25" s="36">
        <v>2</v>
      </c>
      <c r="J25" s="36" t="s">
        <v>5895</v>
      </c>
      <c r="K25" s="36" t="s">
        <v>5983</v>
      </c>
      <c r="L25" s="36" t="b">
        <v>1</v>
      </c>
    </row>
    <row r="26" spans="1:12" ht="12.75" hidden="1">
      <c r="A26" s="448">
        <v>45016.728735034718</v>
      </c>
      <c r="B26" s="449">
        <v>45016</v>
      </c>
      <c r="C26" s="36" t="s">
        <v>3388</v>
      </c>
      <c r="D26" s="450">
        <v>0.75</v>
      </c>
      <c r="E26" s="36" t="s">
        <v>5984</v>
      </c>
      <c r="F26" s="36" t="s">
        <v>5985</v>
      </c>
      <c r="G26" s="36" t="s">
        <v>5962</v>
      </c>
      <c r="H26" s="36" t="s">
        <v>3470</v>
      </c>
      <c r="I26" s="36">
        <v>5</v>
      </c>
      <c r="J26" s="36" t="s">
        <v>5895</v>
      </c>
      <c r="K26" s="36" t="s">
        <v>5986</v>
      </c>
      <c r="L26" s="36" t="b">
        <v>1</v>
      </c>
    </row>
    <row r="27" spans="1:12" ht="12.75" hidden="1">
      <c r="A27" s="448">
        <v>45016.758307233795</v>
      </c>
      <c r="B27" s="449">
        <v>45015</v>
      </c>
      <c r="C27" s="36" t="s">
        <v>12</v>
      </c>
      <c r="D27" s="450">
        <v>4.1666666664241347E-2</v>
      </c>
      <c r="E27" s="36" t="s">
        <v>5987</v>
      </c>
      <c r="F27" s="36" t="s">
        <v>5988</v>
      </c>
      <c r="G27" s="36" t="s">
        <v>5989</v>
      </c>
      <c r="H27" s="36" t="s">
        <v>879</v>
      </c>
      <c r="I27" s="36">
        <v>1</v>
      </c>
      <c r="J27" s="36" t="s">
        <v>5895</v>
      </c>
      <c r="K27" s="36" t="s">
        <v>5990</v>
      </c>
      <c r="L27" s="36" t="b">
        <v>0</v>
      </c>
    </row>
    <row r="28" spans="1:12" ht="12.75" hidden="1">
      <c r="A28" s="448">
        <v>45016.758994039352</v>
      </c>
      <c r="B28" s="449">
        <v>45015</v>
      </c>
      <c r="C28" s="36" t="s">
        <v>12</v>
      </c>
      <c r="D28" s="450">
        <v>6.25E-2</v>
      </c>
      <c r="E28" s="36" t="s">
        <v>5991</v>
      </c>
      <c r="F28" s="36" t="s">
        <v>5992</v>
      </c>
      <c r="G28" s="36" t="s">
        <v>5993</v>
      </c>
      <c r="H28" s="36" t="s">
        <v>839</v>
      </c>
      <c r="I28" s="36">
        <v>2</v>
      </c>
      <c r="J28" s="36" t="s">
        <v>5895</v>
      </c>
      <c r="K28" s="36" t="s">
        <v>5990</v>
      </c>
      <c r="L28" s="36" t="b">
        <v>0</v>
      </c>
    </row>
    <row r="29" spans="1:12" ht="12.75" hidden="1">
      <c r="A29" s="448">
        <v>45017.780468587967</v>
      </c>
      <c r="B29" s="449">
        <v>45018</v>
      </c>
      <c r="C29" s="36" t="s">
        <v>3388</v>
      </c>
      <c r="D29" s="450">
        <v>0.66666666666424135</v>
      </c>
      <c r="E29" s="36" t="s">
        <v>5994</v>
      </c>
      <c r="F29" s="36" t="s">
        <v>5995</v>
      </c>
      <c r="G29" s="36" t="s">
        <v>1449</v>
      </c>
      <c r="H29" s="36" t="s">
        <v>5996</v>
      </c>
      <c r="I29" s="36">
        <v>1</v>
      </c>
      <c r="J29" s="36" t="s">
        <v>5942</v>
      </c>
      <c r="K29" s="36" t="s">
        <v>5997</v>
      </c>
      <c r="L29" s="36" t="b">
        <v>1</v>
      </c>
    </row>
    <row r="30" spans="1:12" ht="12.75" hidden="1">
      <c r="A30" s="448">
        <v>45019.513007071757</v>
      </c>
      <c r="B30" s="449">
        <v>45020</v>
      </c>
      <c r="C30" s="36" t="s">
        <v>3383</v>
      </c>
      <c r="D30" s="450">
        <v>0.79166666666424135</v>
      </c>
      <c r="E30" s="36" t="s">
        <v>5998</v>
      </c>
      <c r="F30" s="36" t="s">
        <v>5999</v>
      </c>
      <c r="G30" s="36" t="s">
        <v>966</v>
      </c>
      <c r="H30" s="36" t="s">
        <v>3501</v>
      </c>
      <c r="I30" s="36">
        <v>1</v>
      </c>
      <c r="J30" s="36" t="s">
        <v>5895</v>
      </c>
      <c r="K30" s="36" t="s">
        <v>6000</v>
      </c>
      <c r="L30" s="36" t="b">
        <v>1</v>
      </c>
    </row>
    <row r="31" spans="1:12" ht="12.75" hidden="1">
      <c r="A31" s="448">
        <v>45019.75058850694</v>
      </c>
      <c r="B31" s="449">
        <v>45019</v>
      </c>
      <c r="C31" s="36" t="s">
        <v>3388</v>
      </c>
      <c r="D31" s="450">
        <v>0.75</v>
      </c>
      <c r="E31" s="36" t="s">
        <v>6001</v>
      </c>
      <c r="F31" s="36" t="s">
        <v>6002</v>
      </c>
      <c r="G31" s="36" t="s">
        <v>533</v>
      </c>
      <c r="H31" s="36" t="s">
        <v>1052</v>
      </c>
      <c r="I31" s="36">
        <v>1</v>
      </c>
      <c r="J31" s="36" t="s">
        <v>5895</v>
      </c>
      <c r="K31" s="36" t="s">
        <v>6003</v>
      </c>
      <c r="L31" s="36" t="b">
        <v>1</v>
      </c>
    </row>
    <row r="32" spans="1:12" ht="12.75" hidden="1">
      <c r="A32" s="448">
        <v>45020.519980393517</v>
      </c>
      <c r="B32" s="449">
        <v>45017</v>
      </c>
      <c r="C32" s="36" t="s">
        <v>3388</v>
      </c>
      <c r="D32" s="450">
        <v>0.56944444444525288</v>
      </c>
      <c r="E32" s="36" t="s">
        <v>6004</v>
      </c>
      <c r="F32" s="36" t="s">
        <v>6005</v>
      </c>
      <c r="G32" s="36" t="s">
        <v>5955</v>
      </c>
      <c r="H32" s="36" t="s">
        <v>6006</v>
      </c>
      <c r="I32" s="36">
        <v>1</v>
      </c>
      <c r="J32" s="36" t="s">
        <v>5895</v>
      </c>
      <c r="K32" s="36" t="s">
        <v>6007</v>
      </c>
      <c r="L32" s="36" t="b">
        <v>1</v>
      </c>
    </row>
    <row r="33" spans="1:13" ht="12.75" hidden="1">
      <c r="A33" s="448">
        <v>45020.746875219906</v>
      </c>
      <c r="B33" s="449">
        <v>45020</v>
      </c>
      <c r="C33" s="36" t="s">
        <v>3388</v>
      </c>
      <c r="D33" s="450">
        <v>0.75</v>
      </c>
      <c r="E33" s="36" t="s">
        <v>6008</v>
      </c>
      <c r="F33" s="36" t="s">
        <v>6009</v>
      </c>
      <c r="G33" s="36" t="s">
        <v>2214</v>
      </c>
      <c r="H33" s="36" t="s">
        <v>1972</v>
      </c>
      <c r="I33" s="36">
        <v>1</v>
      </c>
      <c r="J33" s="36" t="s">
        <v>5895</v>
      </c>
      <c r="K33" s="36" t="s">
        <v>6010</v>
      </c>
      <c r="L33" s="36" t="b">
        <v>1</v>
      </c>
    </row>
    <row r="34" spans="1:13" ht="12.75" hidden="1">
      <c r="A34" s="448">
        <v>45021.450097997687</v>
      </c>
      <c r="B34" s="449">
        <v>45112</v>
      </c>
      <c r="C34" s="36" t="s">
        <v>3383</v>
      </c>
      <c r="D34" s="450">
        <v>0.66666666666424135</v>
      </c>
      <c r="E34" s="36" t="s">
        <v>6011</v>
      </c>
      <c r="F34" s="36" t="s">
        <v>6012</v>
      </c>
      <c r="G34" s="36" t="s">
        <v>3710</v>
      </c>
      <c r="H34" s="36" t="s">
        <v>6013</v>
      </c>
      <c r="I34" s="36">
        <v>1</v>
      </c>
      <c r="J34" s="36" t="s">
        <v>5895</v>
      </c>
      <c r="K34" s="36" t="s">
        <v>6014</v>
      </c>
      <c r="L34" s="36" t="b">
        <v>1</v>
      </c>
    </row>
    <row r="35" spans="1:13" ht="12.75" hidden="1">
      <c r="A35" s="448">
        <v>45021.539651296298</v>
      </c>
      <c r="B35" s="449">
        <v>45021</v>
      </c>
      <c r="C35" s="36" t="s">
        <v>3388</v>
      </c>
      <c r="D35" s="450">
        <v>0.75</v>
      </c>
      <c r="E35" s="36" t="s">
        <v>6015</v>
      </c>
      <c r="F35" s="36" t="s">
        <v>6016</v>
      </c>
      <c r="G35" s="36" t="s">
        <v>5949</v>
      </c>
      <c r="H35" s="36" t="s">
        <v>6017</v>
      </c>
      <c r="I35" s="36">
        <v>1</v>
      </c>
      <c r="J35" s="36" t="s">
        <v>5895</v>
      </c>
      <c r="K35" s="36" t="s">
        <v>6018</v>
      </c>
      <c r="L35" s="36" t="b">
        <v>1</v>
      </c>
    </row>
    <row r="36" spans="1:13" ht="12.75" hidden="1">
      <c r="A36" s="448">
        <v>45021.653923831022</v>
      </c>
      <c r="B36" s="449">
        <v>45021</v>
      </c>
      <c r="C36" s="36" t="s">
        <v>10</v>
      </c>
      <c r="D36" s="450">
        <v>0.79166666666424135</v>
      </c>
      <c r="E36" s="36" t="s">
        <v>6019</v>
      </c>
      <c r="F36" s="36" t="s">
        <v>6020</v>
      </c>
      <c r="G36" s="36" t="s">
        <v>6021</v>
      </c>
      <c r="H36" s="36" t="s">
        <v>6022</v>
      </c>
      <c r="I36" s="36">
        <v>1</v>
      </c>
      <c r="J36" s="36" t="s">
        <v>5895</v>
      </c>
      <c r="K36" s="36" t="s">
        <v>6023</v>
      </c>
      <c r="L36" s="36" t="b">
        <v>0</v>
      </c>
    </row>
    <row r="37" spans="1:13" ht="12.75" hidden="1">
      <c r="A37" s="448">
        <v>45021.725426423611</v>
      </c>
      <c r="B37" s="449">
        <v>45021</v>
      </c>
      <c r="C37" s="36" t="s">
        <v>10</v>
      </c>
      <c r="D37" s="450">
        <v>0.79166666666424135</v>
      </c>
      <c r="E37" s="36" t="s">
        <v>6024</v>
      </c>
      <c r="F37" s="36" t="s">
        <v>5893</v>
      </c>
      <c r="G37" s="36" t="s">
        <v>1429</v>
      </c>
      <c r="H37" s="36" t="s">
        <v>5477</v>
      </c>
      <c r="I37" s="36">
        <v>1</v>
      </c>
      <c r="J37" s="36" t="s">
        <v>5895</v>
      </c>
      <c r="K37" s="36" t="s">
        <v>6025</v>
      </c>
      <c r="L37" s="36" t="b">
        <v>0</v>
      </c>
    </row>
    <row r="38" spans="1:13" ht="12.75" hidden="1">
      <c r="A38" s="448">
        <v>45022.815118449071</v>
      </c>
      <c r="B38" s="449">
        <v>45023</v>
      </c>
      <c r="C38" s="36" t="s">
        <v>3388</v>
      </c>
      <c r="D38" s="450">
        <v>0.8125</v>
      </c>
      <c r="E38" s="36" t="s">
        <v>6026</v>
      </c>
      <c r="F38" s="36" t="s">
        <v>6027</v>
      </c>
      <c r="G38" s="36" t="s">
        <v>1524</v>
      </c>
      <c r="H38" s="36" t="s">
        <v>6028</v>
      </c>
      <c r="I38" s="36">
        <v>1</v>
      </c>
      <c r="J38" s="36" t="s">
        <v>5895</v>
      </c>
      <c r="K38" s="36" t="s">
        <v>6029</v>
      </c>
      <c r="L38" s="36" t="b">
        <v>1</v>
      </c>
    </row>
    <row r="39" spans="1:13" ht="12.75" hidden="1">
      <c r="A39" s="448">
        <v>45023.558188206021</v>
      </c>
      <c r="B39" s="449">
        <v>45023</v>
      </c>
      <c r="C39" s="36" t="s">
        <v>12</v>
      </c>
      <c r="D39" s="450">
        <v>0.77083333333575865</v>
      </c>
      <c r="E39" s="36" t="s">
        <v>6030</v>
      </c>
      <c r="F39" s="36" t="s">
        <v>6031</v>
      </c>
      <c r="G39" s="36" t="s">
        <v>6032</v>
      </c>
      <c r="H39" s="36" t="s">
        <v>6033</v>
      </c>
      <c r="I39" s="36">
        <v>1</v>
      </c>
      <c r="J39" s="36" t="s">
        <v>5895</v>
      </c>
      <c r="K39" s="36" t="s">
        <v>6034</v>
      </c>
      <c r="L39" s="36" t="b">
        <v>1</v>
      </c>
    </row>
    <row r="40" spans="1:13" ht="12.75" hidden="1">
      <c r="A40" s="448">
        <v>45023.567899571761</v>
      </c>
      <c r="B40" s="449">
        <v>45024</v>
      </c>
      <c r="C40" s="36" t="s">
        <v>18</v>
      </c>
      <c r="D40" s="450">
        <v>0.41666666666424135</v>
      </c>
      <c r="E40" s="36" t="s">
        <v>6035</v>
      </c>
      <c r="F40" s="36" t="s">
        <v>6036</v>
      </c>
      <c r="G40" s="36" t="s">
        <v>394</v>
      </c>
      <c r="H40" s="36" t="s">
        <v>744</v>
      </c>
      <c r="I40" s="36">
        <v>1</v>
      </c>
      <c r="J40" s="36" t="s">
        <v>5895</v>
      </c>
      <c r="K40" s="36" t="s">
        <v>6037</v>
      </c>
      <c r="L40" s="36" t="b">
        <v>1</v>
      </c>
    </row>
    <row r="41" spans="1:13" ht="12.75" hidden="1">
      <c r="A41" s="448">
        <v>45023.578473379632</v>
      </c>
      <c r="B41" s="449">
        <v>45023</v>
      </c>
      <c r="C41" s="36" t="s">
        <v>3383</v>
      </c>
      <c r="D41" s="450">
        <v>0.75</v>
      </c>
      <c r="E41" s="36" t="s">
        <v>6038</v>
      </c>
      <c r="F41" s="36" t="s">
        <v>6039</v>
      </c>
      <c r="G41" s="36" t="s">
        <v>175</v>
      </c>
      <c r="H41" s="36" t="s">
        <v>78</v>
      </c>
      <c r="I41" s="36">
        <v>1</v>
      </c>
      <c r="J41" s="36" t="s">
        <v>5895</v>
      </c>
      <c r="K41" s="36" t="s">
        <v>6040</v>
      </c>
      <c r="L41" s="36" t="b">
        <v>0</v>
      </c>
      <c r="M41" s="36" t="s">
        <v>6041</v>
      </c>
    </row>
    <row r="42" spans="1:13" ht="12.75" hidden="1">
      <c r="A42" s="448">
        <v>45023.637125243054</v>
      </c>
      <c r="B42" s="449">
        <v>45022</v>
      </c>
      <c r="C42" s="36" t="s">
        <v>18</v>
      </c>
      <c r="D42" s="450">
        <v>0.81944444444525288</v>
      </c>
      <c r="E42" s="36" t="s">
        <v>6042</v>
      </c>
      <c r="F42" s="36" t="s">
        <v>6043</v>
      </c>
      <c r="G42" s="36" t="s">
        <v>182</v>
      </c>
      <c r="H42" s="36" t="s">
        <v>295</v>
      </c>
      <c r="I42" s="36">
        <v>1</v>
      </c>
      <c r="J42" s="36" t="s">
        <v>5895</v>
      </c>
      <c r="K42" s="36" t="s">
        <v>6029</v>
      </c>
      <c r="L42" s="36" t="b">
        <v>1</v>
      </c>
    </row>
    <row r="43" spans="1:13" ht="12.75" hidden="1">
      <c r="A43" s="448">
        <v>45023.649701562499</v>
      </c>
      <c r="B43" s="449">
        <v>45024</v>
      </c>
      <c r="C43" s="36" t="s">
        <v>3388</v>
      </c>
      <c r="D43" s="450">
        <v>0.41666666666424135</v>
      </c>
      <c r="E43" s="36" t="s">
        <v>6044</v>
      </c>
      <c r="F43" s="36" t="s">
        <v>6045</v>
      </c>
      <c r="G43" s="36" t="s">
        <v>2214</v>
      </c>
      <c r="H43" s="36" t="s">
        <v>5906</v>
      </c>
      <c r="I43" s="36">
        <v>2</v>
      </c>
      <c r="J43" s="36" t="s">
        <v>5895</v>
      </c>
      <c r="K43" s="36" t="s">
        <v>6046</v>
      </c>
      <c r="L43" s="36" t="b">
        <v>1</v>
      </c>
    </row>
    <row r="44" spans="1:13" ht="12.75" hidden="1">
      <c r="A44" s="448">
        <v>45023.650507777777</v>
      </c>
      <c r="B44" s="449">
        <v>45024</v>
      </c>
      <c r="C44" s="36" t="s">
        <v>3388</v>
      </c>
      <c r="D44" s="450">
        <v>0.45833333333575865</v>
      </c>
      <c r="E44" s="36" t="s">
        <v>6047</v>
      </c>
      <c r="F44" s="36" t="s">
        <v>6048</v>
      </c>
      <c r="G44" s="36" t="s">
        <v>2214</v>
      </c>
      <c r="H44" s="36" t="s">
        <v>1422</v>
      </c>
      <c r="I44" s="36">
        <v>3</v>
      </c>
      <c r="J44" s="36" t="s">
        <v>5895</v>
      </c>
      <c r="K44" s="36" t="s">
        <v>6049</v>
      </c>
      <c r="L44" s="36" t="b">
        <v>1</v>
      </c>
    </row>
    <row r="45" spans="1:13" ht="12.75" hidden="1">
      <c r="A45" s="448">
        <v>45023.826905775466</v>
      </c>
      <c r="B45" s="449">
        <v>45024</v>
      </c>
      <c r="C45" s="36" t="s">
        <v>3388</v>
      </c>
      <c r="D45" s="450">
        <v>0.41666666666424135</v>
      </c>
      <c r="E45" s="36" t="s">
        <v>6050</v>
      </c>
      <c r="F45" s="36" t="s">
        <v>6051</v>
      </c>
      <c r="G45" s="36" t="s">
        <v>6052</v>
      </c>
      <c r="H45" s="36" t="s">
        <v>6053</v>
      </c>
      <c r="I45" s="36">
        <v>1</v>
      </c>
      <c r="J45" s="36" t="s">
        <v>5895</v>
      </c>
      <c r="K45" s="36" t="s">
        <v>6054</v>
      </c>
      <c r="L45" s="36" t="b">
        <v>1</v>
      </c>
    </row>
    <row r="46" spans="1:13" ht="12.75" hidden="1">
      <c r="A46" s="448">
        <v>45023.829241446758</v>
      </c>
      <c r="B46" s="449">
        <v>45024</v>
      </c>
      <c r="C46" s="36" t="s">
        <v>3388</v>
      </c>
      <c r="D46" s="450">
        <v>0.45833333333575865</v>
      </c>
      <c r="E46" s="36" t="s">
        <v>6055</v>
      </c>
      <c r="F46" s="36" t="s">
        <v>6056</v>
      </c>
      <c r="G46" s="36" t="s">
        <v>6052</v>
      </c>
      <c r="H46" s="36" t="s">
        <v>3473</v>
      </c>
      <c r="I46" s="36">
        <v>2</v>
      </c>
      <c r="J46" s="36" t="s">
        <v>5895</v>
      </c>
      <c r="K46" s="36" t="s">
        <v>6054</v>
      </c>
      <c r="L46" s="36" t="b">
        <v>1</v>
      </c>
    </row>
    <row r="47" spans="1:13" ht="12.75" hidden="1">
      <c r="A47" s="448">
        <v>45023.955971701391</v>
      </c>
      <c r="B47" s="449">
        <v>45023</v>
      </c>
      <c r="C47" s="36" t="s">
        <v>3388</v>
      </c>
      <c r="D47" s="450">
        <v>0.75</v>
      </c>
      <c r="E47" s="36" t="s">
        <v>6057</v>
      </c>
      <c r="F47" s="36" t="s">
        <v>6058</v>
      </c>
      <c r="G47" s="36" t="s">
        <v>3547</v>
      </c>
      <c r="H47" s="36" t="s">
        <v>5894</v>
      </c>
      <c r="I47" s="36">
        <v>1</v>
      </c>
      <c r="J47" s="36" t="s">
        <v>5895</v>
      </c>
      <c r="K47" s="36" t="s">
        <v>6059</v>
      </c>
      <c r="L47" s="36" t="b">
        <v>1</v>
      </c>
    </row>
    <row r="48" spans="1:13" ht="12.75" hidden="1">
      <c r="A48" s="448">
        <v>45024.373028692135</v>
      </c>
      <c r="B48" s="449">
        <v>45024</v>
      </c>
      <c r="C48" s="36" t="s">
        <v>3388</v>
      </c>
      <c r="D48" s="450">
        <v>8.3333333335758653E-2</v>
      </c>
      <c r="E48" s="36" t="s">
        <v>6060</v>
      </c>
      <c r="F48" s="36" t="s">
        <v>6061</v>
      </c>
      <c r="G48" s="36" t="s">
        <v>1474</v>
      </c>
      <c r="H48" s="36" t="s">
        <v>741</v>
      </c>
      <c r="I48" s="36">
        <v>1</v>
      </c>
      <c r="J48" s="36" t="s">
        <v>5895</v>
      </c>
      <c r="K48" s="36" t="s">
        <v>6062</v>
      </c>
      <c r="L48" s="36" t="b">
        <v>1</v>
      </c>
    </row>
    <row r="49" spans="1:12" ht="12.75" hidden="1">
      <c r="A49" s="448">
        <v>45024.640069120374</v>
      </c>
      <c r="B49" s="449">
        <v>45024</v>
      </c>
      <c r="C49" s="36" t="s">
        <v>3388</v>
      </c>
      <c r="D49" s="450">
        <v>0.54166666666424135</v>
      </c>
      <c r="E49" s="36" t="s">
        <v>6063</v>
      </c>
      <c r="F49" s="36" t="s">
        <v>6064</v>
      </c>
      <c r="G49" s="36" t="s">
        <v>533</v>
      </c>
      <c r="H49" s="36" t="s">
        <v>1415</v>
      </c>
      <c r="I49" s="36">
        <v>1</v>
      </c>
      <c r="J49" s="36" t="s">
        <v>5895</v>
      </c>
      <c r="K49" s="36" t="s">
        <v>6065</v>
      </c>
      <c r="L49" s="36" t="b">
        <v>1</v>
      </c>
    </row>
    <row r="50" spans="1:12" ht="12.75" hidden="1">
      <c r="A50" s="448">
        <v>45025.705003506941</v>
      </c>
      <c r="B50" s="449">
        <v>45022</v>
      </c>
      <c r="C50" s="36" t="s">
        <v>10</v>
      </c>
      <c r="D50" s="450">
        <v>6.25E-2</v>
      </c>
      <c r="E50" s="36" t="s">
        <v>5952</v>
      </c>
      <c r="F50" s="36" t="s">
        <v>6066</v>
      </c>
      <c r="G50" s="36" t="s">
        <v>226</v>
      </c>
      <c r="H50" s="36" t="s">
        <v>478</v>
      </c>
      <c r="I50" s="36">
        <v>2</v>
      </c>
      <c r="J50" s="36" t="s">
        <v>5895</v>
      </c>
      <c r="K50" s="36" t="s">
        <v>6067</v>
      </c>
      <c r="L50" s="36" t="b">
        <v>0</v>
      </c>
    </row>
    <row r="51" spans="1:12" ht="12.75" hidden="1">
      <c r="A51" s="448">
        <v>45026.573384502313</v>
      </c>
      <c r="B51" s="449">
        <v>45027</v>
      </c>
      <c r="C51" s="36" t="s">
        <v>3388</v>
      </c>
      <c r="D51" s="450">
        <v>0.75</v>
      </c>
      <c r="E51" s="36" t="s">
        <v>6068</v>
      </c>
      <c r="F51" s="36" t="s">
        <v>6069</v>
      </c>
      <c r="G51" s="36" t="s">
        <v>887</v>
      </c>
      <c r="H51" s="36" t="s">
        <v>5477</v>
      </c>
      <c r="I51" s="36">
        <v>1</v>
      </c>
      <c r="J51" s="36" t="s">
        <v>5895</v>
      </c>
      <c r="K51" s="36" t="s">
        <v>6070</v>
      </c>
      <c r="L51" s="36" t="b">
        <v>1</v>
      </c>
    </row>
    <row r="52" spans="1:12" ht="12.75" hidden="1">
      <c r="A52" s="448">
        <v>45026.57498917824</v>
      </c>
      <c r="B52" s="449">
        <v>45028</v>
      </c>
      <c r="C52" s="36" t="s">
        <v>3388</v>
      </c>
      <c r="D52" s="450">
        <v>0.75</v>
      </c>
      <c r="E52" s="36" t="s">
        <v>6071</v>
      </c>
      <c r="F52" s="36" t="s">
        <v>6072</v>
      </c>
      <c r="G52" s="36" t="s">
        <v>887</v>
      </c>
      <c r="H52" s="36" t="s">
        <v>5477</v>
      </c>
      <c r="I52" s="36">
        <v>1</v>
      </c>
      <c r="J52" s="36" t="s">
        <v>5895</v>
      </c>
      <c r="K52" s="36" t="s">
        <v>6073</v>
      </c>
      <c r="L52" s="36" t="b">
        <v>1</v>
      </c>
    </row>
    <row r="53" spans="1:12" ht="12.75" hidden="1">
      <c r="A53" s="448">
        <v>45026.673239548611</v>
      </c>
      <c r="B53" s="449">
        <v>45027</v>
      </c>
      <c r="C53" s="36" t="s">
        <v>12</v>
      </c>
      <c r="D53" s="450">
        <v>0.75</v>
      </c>
      <c r="E53" s="36" t="s">
        <v>6074</v>
      </c>
      <c r="F53" s="36" t="s">
        <v>6075</v>
      </c>
      <c r="G53" s="36" t="s">
        <v>6076</v>
      </c>
      <c r="H53" s="36" t="s">
        <v>485</v>
      </c>
      <c r="I53" s="36">
        <v>1</v>
      </c>
      <c r="J53" s="36" t="s">
        <v>5895</v>
      </c>
      <c r="K53" s="36" t="s">
        <v>6077</v>
      </c>
      <c r="L53" s="36" t="b">
        <v>1</v>
      </c>
    </row>
    <row r="54" spans="1:12" ht="12.75" hidden="1">
      <c r="A54" s="448">
        <v>45026.740587650464</v>
      </c>
      <c r="B54" s="449">
        <v>45026</v>
      </c>
      <c r="C54" s="36" t="s">
        <v>3388</v>
      </c>
      <c r="D54" s="450">
        <v>0.75</v>
      </c>
      <c r="E54" s="36" t="s">
        <v>6078</v>
      </c>
      <c r="F54" s="36" t="s">
        <v>6079</v>
      </c>
      <c r="G54" s="36" t="s">
        <v>6080</v>
      </c>
      <c r="H54" s="36" t="s">
        <v>6081</v>
      </c>
      <c r="I54" s="36">
        <v>1</v>
      </c>
      <c r="J54" s="36" t="s">
        <v>5895</v>
      </c>
      <c r="K54" s="36" t="s">
        <v>6082</v>
      </c>
      <c r="L54" s="36" t="b">
        <v>1</v>
      </c>
    </row>
    <row r="55" spans="1:12" ht="12.75" hidden="1">
      <c r="A55" s="448">
        <v>45027.50635487269</v>
      </c>
      <c r="B55" s="449">
        <v>45027</v>
      </c>
      <c r="C55" s="36" t="s">
        <v>3388</v>
      </c>
      <c r="D55" s="450">
        <v>0.79166666666424135</v>
      </c>
      <c r="E55" s="36" t="s">
        <v>5932</v>
      </c>
      <c r="F55" s="36" t="s">
        <v>6083</v>
      </c>
      <c r="G55" s="36" t="s">
        <v>6084</v>
      </c>
      <c r="H55" s="36" t="s">
        <v>1117</v>
      </c>
      <c r="I55" s="36">
        <v>1</v>
      </c>
      <c r="J55" s="36" t="s">
        <v>5895</v>
      </c>
      <c r="K55" s="36" t="s">
        <v>6085</v>
      </c>
      <c r="L55" s="36" t="b">
        <v>1</v>
      </c>
    </row>
    <row r="56" spans="1:12" ht="12.75" hidden="1">
      <c r="A56" s="448">
        <v>45027.821461481479</v>
      </c>
      <c r="B56" s="449">
        <v>45030</v>
      </c>
      <c r="C56" s="36" t="s">
        <v>12</v>
      </c>
      <c r="D56" s="450">
        <v>0.79166666666424135</v>
      </c>
      <c r="E56" s="36" t="s">
        <v>6086</v>
      </c>
      <c r="F56" s="36" t="s">
        <v>6087</v>
      </c>
      <c r="G56" s="36" t="s">
        <v>6088</v>
      </c>
      <c r="H56" s="36" t="s">
        <v>6089</v>
      </c>
      <c r="I56" s="36">
        <v>1</v>
      </c>
      <c r="J56" s="36" t="s">
        <v>5895</v>
      </c>
      <c r="K56" s="36" t="s">
        <v>6090</v>
      </c>
      <c r="L56" s="36" t="b">
        <v>0</v>
      </c>
    </row>
    <row r="57" spans="1:12" ht="12.75" hidden="1">
      <c r="A57" s="448">
        <v>45028.50783195602</v>
      </c>
      <c r="B57" s="449">
        <v>45030</v>
      </c>
      <c r="C57" s="36" t="s">
        <v>3388</v>
      </c>
      <c r="D57" s="450">
        <v>0.75</v>
      </c>
      <c r="E57" s="36" t="s">
        <v>6091</v>
      </c>
      <c r="F57" s="36" t="s">
        <v>6092</v>
      </c>
      <c r="G57" s="36" t="s">
        <v>579</v>
      </c>
      <c r="H57" s="36" t="s">
        <v>78</v>
      </c>
      <c r="I57" s="36">
        <v>1</v>
      </c>
      <c r="J57" s="36" t="s">
        <v>6093</v>
      </c>
      <c r="K57" s="36" t="s">
        <v>6094</v>
      </c>
      <c r="L57" s="36" t="b">
        <v>1</v>
      </c>
    </row>
    <row r="58" spans="1:12" ht="12.75" hidden="1">
      <c r="A58" s="448">
        <v>45028.598242129628</v>
      </c>
      <c r="B58" s="449">
        <v>36262</v>
      </c>
      <c r="C58" s="36" t="s">
        <v>12</v>
      </c>
      <c r="D58" s="450">
        <v>0.75</v>
      </c>
      <c r="E58" s="36" t="s">
        <v>6095</v>
      </c>
      <c r="F58" s="36">
        <v>1</v>
      </c>
      <c r="G58" s="36" t="s">
        <v>6096</v>
      </c>
      <c r="H58" s="36" t="s">
        <v>83</v>
      </c>
      <c r="I58" s="36">
        <v>1</v>
      </c>
      <c r="J58" s="36" t="s">
        <v>5895</v>
      </c>
      <c r="K58" s="36" t="s">
        <v>5943</v>
      </c>
      <c r="L58" s="36" t="b">
        <v>0</v>
      </c>
    </row>
    <row r="59" spans="1:12" ht="12.75" hidden="1">
      <c r="A59" s="448">
        <v>45028.620373078702</v>
      </c>
      <c r="B59" s="449">
        <v>45025</v>
      </c>
      <c r="C59" s="36" t="s">
        <v>3383</v>
      </c>
      <c r="D59" s="450">
        <v>0.41666666666424135</v>
      </c>
      <c r="E59" s="36" t="s">
        <v>6097</v>
      </c>
      <c r="F59" s="36" t="s">
        <v>6098</v>
      </c>
      <c r="G59" s="36" t="s">
        <v>6099</v>
      </c>
      <c r="H59" s="36" t="s">
        <v>6100</v>
      </c>
      <c r="I59" s="36">
        <v>1</v>
      </c>
      <c r="J59" s="36" t="s">
        <v>5895</v>
      </c>
      <c r="K59" s="36" t="s">
        <v>6101</v>
      </c>
      <c r="L59" s="36" t="b">
        <v>1</v>
      </c>
    </row>
    <row r="60" spans="1:12" ht="12.75" hidden="1">
      <c r="A60" s="448">
        <v>45028.621194826388</v>
      </c>
      <c r="B60" s="449">
        <v>45026</v>
      </c>
      <c r="C60" s="36" t="s">
        <v>3383</v>
      </c>
      <c r="D60" s="450">
        <v>0.75</v>
      </c>
      <c r="E60" s="36" t="s">
        <v>6102</v>
      </c>
      <c r="F60" s="36" t="s">
        <v>6103</v>
      </c>
      <c r="G60" s="36" t="s">
        <v>6099</v>
      </c>
      <c r="H60" s="36" t="s">
        <v>6104</v>
      </c>
      <c r="I60" s="36">
        <v>2</v>
      </c>
      <c r="J60" s="36" t="s">
        <v>5895</v>
      </c>
      <c r="K60" s="36" t="s">
        <v>6101</v>
      </c>
      <c r="L60" s="36" t="b">
        <v>1</v>
      </c>
    </row>
    <row r="61" spans="1:12" ht="12.75" hidden="1">
      <c r="A61" s="448">
        <v>45028.622166064815</v>
      </c>
      <c r="B61" s="449">
        <v>45027</v>
      </c>
      <c r="C61" s="36" t="s">
        <v>3383</v>
      </c>
      <c r="D61" s="450">
        <v>0.75</v>
      </c>
      <c r="E61" s="36" t="s">
        <v>6105</v>
      </c>
      <c r="F61" s="36" t="s">
        <v>6098</v>
      </c>
      <c r="G61" s="36" t="s">
        <v>6099</v>
      </c>
      <c r="H61" s="36" t="s">
        <v>1361</v>
      </c>
      <c r="I61" s="36">
        <v>3</v>
      </c>
      <c r="J61" s="36" t="s">
        <v>5895</v>
      </c>
      <c r="K61" s="36" t="s">
        <v>6101</v>
      </c>
      <c r="L61" s="36" t="b">
        <v>1</v>
      </c>
    </row>
    <row r="62" spans="1:12" ht="12.75" hidden="1">
      <c r="A62" s="448">
        <v>45028.625650729169</v>
      </c>
      <c r="B62" s="449">
        <v>45027</v>
      </c>
      <c r="C62" s="36" t="s">
        <v>3383</v>
      </c>
      <c r="D62" s="450">
        <v>0.79166666666424135</v>
      </c>
      <c r="E62" s="36" t="s">
        <v>6106</v>
      </c>
      <c r="F62" s="36" t="s">
        <v>6107</v>
      </c>
      <c r="G62" s="36" t="s">
        <v>6108</v>
      </c>
      <c r="H62" s="36" t="s">
        <v>6109</v>
      </c>
      <c r="I62" s="36">
        <v>1</v>
      </c>
      <c r="J62" s="36" t="s">
        <v>5895</v>
      </c>
      <c r="K62" s="36" t="s">
        <v>6110</v>
      </c>
      <c r="L62" s="36" t="b">
        <v>1</v>
      </c>
    </row>
    <row r="63" spans="1:12" ht="12.75" hidden="1">
      <c r="A63" s="448">
        <v>45028.666882916667</v>
      </c>
      <c r="B63" s="449">
        <v>45027</v>
      </c>
      <c r="C63" s="36" t="s">
        <v>3383</v>
      </c>
      <c r="D63" s="450">
        <v>0.83333333333575865</v>
      </c>
      <c r="E63" s="36" t="s">
        <v>6111</v>
      </c>
      <c r="F63" s="36" t="s">
        <v>6112</v>
      </c>
      <c r="G63" s="36" t="s">
        <v>6108</v>
      </c>
      <c r="H63" s="36" t="s">
        <v>6113</v>
      </c>
      <c r="I63" s="36">
        <v>2</v>
      </c>
      <c r="J63" s="36" t="s">
        <v>5895</v>
      </c>
      <c r="K63" s="36" t="s">
        <v>6110</v>
      </c>
      <c r="L63" s="36" t="b">
        <v>1</v>
      </c>
    </row>
    <row r="64" spans="1:12" ht="12.75" hidden="1">
      <c r="A64" s="448">
        <v>45029.555205115743</v>
      </c>
      <c r="B64" s="449">
        <v>45029</v>
      </c>
      <c r="C64" s="36" t="s">
        <v>3383</v>
      </c>
      <c r="D64" s="450">
        <v>0.70833333333575865</v>
      </c>
      <c r="E64" s="36" t="s">
        <v>6114</v>
      </c>
      <c r="F64" s="36" t="s">
        <v>6115</v>
      </c>
      <c r="G64" s="36" t="s">
        <v>462</v>
      </c>
      <c r="H64" s="36" t="s">
        <v>588</v>
      </c>
      <c r="I64" s="36">
        <v>1</v>
      </c>
      <c r="J64" s="36" t="s">
        <v>5895</v>
      </c>
      <c r="K64" s="36" t="s">
        <v>6116</v>
      </c>
      <c r="L64" s="36" t="b">
        <v>0</v>
      </c>
    </row>
    <row r="65" spans="1:12" ht="12.75" hidden="1">
      <c r="A65" s="448">
        <v>45029.565891967592</v>
      </c>
      <c r="B65" s="449">
        <v>45031</v>
      </c>
      <c r="C65" s="36" t="s">
        <v>3388</v>
      </c>
      <c r="D65" s="450">
        <v>0.41666666666424135</v>
      </c>
      <c r="E65" s="36" t="s">
        <v>6117</v>
      </c>
      <c r="F65" s="36" t="s">
        <v>6118</v>
      </c>
      <c r="G65" s="36" t="s">
        <v>1113</v>
      </c>
      <c r="H65" s="36" t="s">
        <v>5906</v>
      </c>
      <c r="I65" s="36">
        <v>1</v>
      </c>
      <c r="J65" s="36" t="s">
        <v>5895</v>
      </c>
      <c r="K65" s="36" t="s">
        <v>6070</v>
      </c>
      <c r="L65" s="36" t="b">
        <v>1</v>
      </c>
    </row>
    <row r="66" spans="1:12" ht="12.75" hidden="1">
      <c r="A66" s="448">
        <v>45029.855078912035</v>
      </c>
      <c r="B66" s="449">
        <v>45031</v>
      </c>
      <c r="C66" s="36" t="s">
        <v>12</v>
      </c>
      <c r="D66" s="450">
        <v>0.45833333333575865</v>
      </c>
      <c r="E66" s="36" t="s">
        <v>6119</v>
      </c>
      <c r="F66" s="36" t="s">
        <v>6120</v>
      </c>
      <c r="G66" s="36" t="s">
        <v>1058</v>
      </c>
      <c r="H66" s="36" t="s">
        <v>6121</v>
      </c>
      <c r="I66" s="36">
        <v>1</v>
      </c>
      <c r="J66" s="36" t="s">
        <v>5895</v>
      </c>
      <c r="K66" s="36" t="s">
        <v>6122</v>
      </c>
      <c r="L66" s="36" t="b">
        <v>1</v>
      </c>
    </row>
    <row r="67" spans="1:12" ht="12.75" hidden="1">
      <c r="A67" s="448">
        <v>45029.857121701389</v>
      </c>
      <c r="B67" s="449">
        <v>45029</v>
      </c>
      <c r="C67" s="36" t="s">
        <v>12</v>
      </c>
      <c r="D67" s="450">
        <v>0.71527777778101154</v>
      </c>
      <c r="E67" s="36" t="s">
        <v>5991</v>
      </c>
      <c r="F67" s="36" t="s">
        <v>6123</v>
      </c>
      <c r="G67" s="36" t="s">
        <v>6124</v>
      </c>
      <c r="H67" s="36" t="s">
        <v>6125</v>
      </c>
      <c r="I67" s="36">
        <v>1</v>
      </c>
      <c r="J67" s="36" t="s">
        <v>5895</v>
      </c>
      <c r="K67" s="36" t="s">
        <v>6126</v>
      </c>
      <c r="L67" s="36" t="b">
        <v>0</v>
      </c>
    </row>
    <row r="68" spans="1:12" ht="12.75" hidden="1">
      <c r="A68" s="448">
        <v>45030.434230659725</v>
      </c>
      <c r="B68" s="449">
        <v>45031</v>
      </c>
      <c r="C68" s="36" t="s">
        <v>3388</v>
      </c>
      <c r="D68" s="450">
        <v>0.41666666666424135</v>
      </c>
      <c r="E68" s="36" t="s">
        <v>6127</v>
      </c>
      <c r="F68" s="36">
        <v>8</v>
      </c>
      <c r="G68" s="36" t="s">
        <v>6128</v>
      </c>
      <c r="H68" s="36" t="s">
        <v>3386</v>
      </c>
      <c r="I68" s="36">
        <v>1</v>
      </c>
      <c r="J68" s="36" t="s">
        <v>5895</v>
      </c>
      <c r="K68" s="36" t="s">
        <v>6129</v>
      </c>
      <c r="L68" s="36" t="b">
        <v>1</v>
      </c>
    </row>
    <row r="69" spans="1:12" ht="12.75" hidden="1">
      <c r="A69" s="448">
        <v>45030.552623136573</v>
      </c>
      <c r="B69" s="449">
        <v>45030</v>
      </c>
      <c r="C69" s="36" t="s">
        <v>12</v>
      </c>
      <c r="D69" s="450">
        <v>0.79166666666424135</v>
      </c>
      <c r="E69" s="36" t="s">
        <v>6130</v>
      </c>
      <c r="F69" s="36" t="s">
        <v>6131</v>
      </c>
      <c r="G69" s="36" t="s">
        <v>6132</v>
      </c>
      <c r="H69" s="36" t="s">
        <v>811</v>
      </c>
      <c r="I69" s="36">
        <v>1</v>
      </c>
      <c r="J69" s="36" t="s">
        <v>5895</v>
      </c>
      <c r="K69" s="36" t="s">
        <v>6133</v>
      </c>
      <c r="L69" s="36" t="b">
        <v>1</v>
      </c>
    </row>
    <row r="70" spans="1:12" ht="12.75" hidden="1">
      <c r="A70" s="448">
        <v>45030.690495937495</v>
      </c>
      <c r="B70" s="449">
        <v>45030</v>
      </c>
      <c r="C70" s="36" t="s">
        <v>20</v>
      </c>
      <c r="D70" s="450">
        <v>0.77083333333575865</v>
      </c>
      <c r="E70" s="36" t="s">
        <v>6134</v>
      </c>
      <c r="F70" s="36" t="s">
        <v>6135</v>
      </c>
      <c r="G70" s="36" t="s">
        <v>273</v>
      </c>
      <c r="H70" s="36" t="s">
        <v>492</v>
      </c>
      <c r="I70" s="36">
        <v>1</v>
      </c>
      <c r="J70" s="36" t="s">
        <v>5895</v>
      </c>
      <c r="K70" s="36" t="s">
        <v>6136</v>
      </c>
      <c r="L70" s="36" t="b">
        <v>0</v>
      </c>
    </row>
    <row r="71" spans="1:12" ht="12.75" hidden="1">
      <c r="A71" s="448">
        <v>45030.86448877315</v>
      </c>
      <c r="B71" s="449">
        <v>45031</v>
      </c>
      <c r="C71" s="36" t="s">
        <v>12</v>
      </c>
      <c r="D71" s="450">
        <v>0.54166666666424135</v>
      </c>
      <c r="E71" s="36" t="s">
        <v>6137</v>
      </c>
      <c r="F71" s="36" t="s">
        <v>6138</v>
      </c>
      <c r="G71" s="36" t="s">
        <v>6139</v>
      </c>
      <c r="H71" s="36" t="s">
        <v>6140</v>
      </c>
      <c r="I71" s="36">
        <v>2</v>
      </c>
      <c r="J71" s="36" t="s">
        <v>5895</v>
      </c>
      <c r="K71" s="36" t="s">
        <v>6122</v>
      </c>
      <c r="L71" s="36" t="b">
        <v>1</v>
      </c>
    </row>
    <row r="72" spans="1:12" ht="12.75" hidden="1">
      <c r="A72" s="448">
        <v>45030.892785115742</v>
      </c>
      <c r="B72" s="449" t="s">
        <v>6141</v>
      </c>
      <c r="C72" s="36" t="s">
        <v>3388</v>
      </c>
      <c r="D72" s="450">
        <v>0.41666666666424135</v>
      </c>
      <c r="E72" s="36" t="s">
        <v>6142</v>
      </c>
      <c r="F72" s="36" t="s">
        <v>6143</v>
      </c>
      <c r="G72" s="36" t="s">
        <v>1452</v>
      </c>
      <c r="H72" s="36" t="s">
        <v>6144</v>
      </c>
      <c r="I72" s="36">
        <v>2</v>
      </c>
      <c r="J72" s="36" t="s">
        <v>5895</v>
      </c>
      <c r="K72" s="36" t="s">
        <v>6145</v>
      </c>
      <c r="L72" s="36" t="b">
        <v>1</v>
      </c>
    </row>
    <row r="73" spans="1:12" ht="12.75" hidden="1">
      <c r="A73" s="448">
        <v>45030.954922129633</v>
      </c>
      <c r="B73" s="449">
        <v>45031</v>
      </c>
      <c r="C73" s="36" t="s">
        <v>3383</v>
      </c>
      <c r="D73" s="450">
        <v>0.41666666666424135</v>
      </c>
      <c r="E73" s="36" t="s">
        <v>6146</v>
      </c>
      <c r="F73" s="36" t="s">
        <v>6147</v>
      </c>
      <c r="G73" s="36" t="s">
        <v>3504</v>
      </c>
      <c r="H73" s="36" t="s">
        <v>708</v>
      </c>
      <c r="I73" s="36">
        <v>1</v>
      </c>
      <c r="J73" s="36" t="s">
        <v>5895</v>
      </c>
      <c r="K73" s="36" t="s">
        <v>6148</v>
      </c>
      <c r="L73" s="36" t="b">
        <v>1</v>
      </c>
    </row>
    <row r="74" spans="1:12" ht="12.75" hidden="1">
      <c r="A74" s="448">
        <v>45032.610904490743</v>
      </c>
      <c r="B74" s="449">
        <v>45032</v>
      </c>
      <c r="C74" s="36" t="s">
        <v>3388</v>
      </c>
      <c r="D74" s="450">
        <v>0.41666666666424135</v>
      </c>
      <c r="E74" s="36" t="s">
        <v>6149</v>
      </c>
      <c r="F74" s="36" t="s">
        <v>6150</v>
      </c>
      <c r="G74" s="36" t="s">
        <v>5949</v>
      </c>
      <c r="H74" s="36" t="s">
        <v>3941</v>
      </c>
      <c r="I74" s="36">
        <v>1</v>
      </c>
      <c r="J74" s="36" t="s">
        <v>5895</v>
      </c>
      <c r="K74" s="36" t="s">
        <v>6151</v>
      </c>
      <c r="L74" s="36" t="b">
        <v>1</v>
      </c>
    </row>
    <row r="75" spans="1:12" ht="12.75" hidden="1">
      <c r="A75" s="448">
        <v>45032.612403865744</v>
      </c>
      <c r="B75" s="449">
        <v>45032</v>
      </c>
      <c r="C75" s="36" t="s">
        <v>3388</v>
      </c>
      <c r="D75" s="450">
        <v>0.45833333333575865</v>
      </c>
      <c r="E75" s="36" t="s">
        <v>6152</v>
      </c>
      <c r="F75" s="36" t="s">
        <v>6153</v>
      </c>
      <c r="G75" s="36" t="s">
        <v>5949</v>
      </c>
      <c r="H75" s="36" t="s">
        <v>6154</v>
      </c>
      <c r="I75" s="36">
        <v>2</v>
      </c>
      <c r="J75" s="36" t="s">
        <v>5895</v>
      </c>
      <c r="K75" s="36" t="s">
        <v>6151</v>
      </c>
      <c r="L75" s="36" t="b">
        <v>1</v>
      </c>
    </row>
    <row r="76" spans="1:12" ht="12.75" hidden="1">
      <c r="A76" s="448">
        <v>45033.409292766199</v>
      </c>
      <c r="B76" s="449">
        <v>45035</v>
      </c>
      <c r="C76" s="36" t="s">
        <v>3388</v>
      </c>
      <c r="D76" s="450">
        <v>0.79166666666424135</v>
      </c>
      <c r="E76" s="36" t="s">
        <v>6155</v>
      </c>
      <c r="F76" s="36" t="s">
        <v>6156</v>
      </c>
      <c r="G76" s="36" t="s">
        <v>766</v>
      </c>
      <c r="H76" s="36" t="s">
        <v>6157</v>
      </c>
      <c r="I76" s="36">
        <v>1</v>
      </c>
      <c r="J76" s="36" t="s">
        <v>5895</v>
      </c>
      <c r="K76" s="36" t="s">
        <v>6158</v>
      </c>
      <c r="L76" s="36" t="b">
        <v>1</v>
      </c>
    </row>
    <row r="77" spans="1:12" ht="12.75" hidden="1">
      <c r="A77" s="448">
        <v>45033.410886458332</v>
      </c>
      <c r="B77" s="449">
        <v>45042</v>
      </c>
      <c r="C77" s="36" t="s">
        <v>3388</v>
      </c>
      <c r="D77" s="450">
        <v>0.79166666666424135</v>
      </c>
      <c r="E77" s="36" t="s">
        <v>6155</v>
      </c>
      <c r="F77" s="36" t="s">
        <v>6159</v>
      </c>
      <c r="G77" s="36" t="s">
        <v>766</v>
      </c>
      <c r="H77" s="36" t="s">
        <v>6157</v>
      </c>
      <c r="I77" s="36">
        <v>2</v>
      </c>
      <c r="J77" s="36" t="s">
        <v>5895</v>
      </c>
      <c r="K77" s="36" t="s">
        <v>6158</v>
      </c>
      <c r="L77" s="36" t="b">
        <v>1</v>
      </c>
    </row>
    <row r="78" spans="1:12" ht="12.75" hidden="1">
      <c r="A78" s="448">
        <v>45033.421218622687</v>
      </c>
      <c r="B78" s="449">
        <v>45034</v>
      </c>
      <c r="C78" s="36" t="s">
        <v>3388</v>
      </c>
      <c r="D78" s="450">
        <v>0.75</v>
      </c>
      <c r="E78" s="36" t="s">
        <v>6160</v>
      </c>
      <c r="F78" s="36" t="s">
        <v>6161</v>
      </c>
      <c r="G78" s="36" t="s">
        <v>766</v>
      </c>
      <c r="H78" s="36" t="s">
        <v>6162</v>
      </c>
      <c r="I78" s="36">
        <v>3</v>
      </c>
      <c r="J78" s="36" t="s">
        <v>5895</v>
      </c>
      <c r="K78" s="36" t="s">
        <v>6163</v>
      </c>
      <c r="L78" s="36" t="b">
        <v>1</v>
      </c>
    </row>
    <row r="79" spans="1:12" ht="12.75" hidden="1">
      <c r="A79" s="448">
        <v>45033.423267638893</v>
      </c>
      <c r="B79" s="449">
        <v>45041</v>
      </c>
      <c r="C79" s="36" t="s">
        <v>3388</v>
      </c>
      <c r="D79" s="450">
        <v>0.75</v>
      </c>
      <c r="E79" s="36" t="s">
        <v>6160</v>
      </c>
      <c r="F79" s="36" t="s">
        <v>6164</v>
      </c>
      <c r="G79" s="36" t="s">
        <v>766</v>
      </c>
      <c r="H79" s="36" t="s">
        <v>6162</v>
      </c>
      <c r="I79" s="36">
        <v>4</v>
      </c>
      <c r="J79" s="36" t="s">
        <v>5895</v>
      </c>
      <c r="K79" s="36" t="s">
        <v>6158</v>
      </c>
      <c r="L79" s="36" t="b">
        <v>1</v>
      </c>
    </row>
    <row r="80" spans="1:12" ht="12.75" hidden="1">
      <c r="A80" s="448">
        <v>45033.437912638889</v>
      </c>
      <c r="B80" s="449">
        <v>45033</v>
      </c>
      <c r="C80" s="36" t="s">
        <v>12</v>
      </c>
      <c r="D80" s="450">
        <v>0.77083333333575865</v>
      </c>
      <c r="E80" s="36" t="s">
        <v>6165</v>
      </c>
      <c r="F80" s="36" t="s">
        <v>6166</v>
      </c>
      <c r="G80" s="36" t="s">
        <v>6167</v>
      </c>
      <c r="H80" s="36" t="s">
        <v>6168</v>
      </c>
      <c r="I80" s="36">
        <v>1</v>
      </c>
      <c r="J80" s="36" t="s">
        <v>5895</v>
      </c>
      <c r="K80" s="36" t="s">
        <v>5943</v>
      </c>
      <c r="L80" s="36" t="b">
        <v>1</v>
      </c>
    </row>
    <row r="81" spans="1:12" ht="12.75" hidden="1">
      <c r="A81" s="448">
        <v>45033.508080659725</v>
      </c>
      <c r="B81" s="449">
        <v>45037</v>
      </c>
      <c r="C81" s="36" t="s">
        <v>3383</v>
      </c>
      <c r="D81" s="450">
        <v>0.75</v>
      </c>
      <c r="E81" s="36" t="s">
        <v>6169</v>
      </c>
      <c r="F81" s="36" t="s">
        <v>6170</v>
      </c>
      <c r="G81" s="36" t="s">
        <v>341</v>
      </c>
      <c r="H81" s="36" t="s">
        <v>6171</v>
      </c>
      <c r="I81" s="36">
        <v>1</v>
      </c>
      <c r="J81" s="36" t="s">
        <v>5895</v>
      </c>
      <c r="K81" s="36" t="s">
        <v>6172</v>
      </c>
      <c r="L81" s="36" t="b">
        <v>1</v>
      </c>
    </row>
    <row r="82" spans="1:12" ht="12.75" hidden="1">
      <c r="A82" s="448">
        <v>45033.555442928242</v>
      </c>
      <c r="B82" s="449">
        <v>45032</v>
      </c>
      <c r="C82" s="36" t="s">
        <v>3388</v>
      </c>
      <c r="D82" s="450">
        <v>0.45833333333575865</v>
      </c>
      <c r="E82" s="36" t="s">
        <v>6173</v>
      </c>
      <c r="F82" s="36" t="s">
        <v>6174</v>
      </c>
      <c r="G82" s="36" t="s">
        <v>3547</v>
      </c>
      <c r="H82" s="36" t="s">
        <v>1222</v>
      </c>
      <c r="I82" s="36">
        <v>2</v>
      </c>
      <c r="J82" s="36" t="s">
        <v>5895</v>
      </c>
      <c r="K82" s="36" t="s">
        <v>6175</v>
      </c>
      <c r="L82" s="36" t="b">
        <v>1</v>
      </c>
    </row>
    <row r="83" spans="1:12" ht="12.75" hidden="1">
      <c r="A83" s="448">
        <v>45033.556280347228</v>
      </c>
      <c r="B83" s="449">
        <v>45032</v>
      </c>
      <c r="C83" s="36" t="s">
        <v>3388</v>
      </c>
      <c r="D83" s="450">
        <v>0.54166666666424135</v>
      </c>
      <c r="E83" s="36" t="s">
        <v>6176</v>
      </c>
      <c r="F83" s="36" t="s">
        <v>6174</v>
      </c>
      <c r="G83" s="36" t="s">
        <v>3547</v>
      </c>
      <c r="H83" s="36" t="s">
        <v>1222</v>
      </c>
      <c r="I83" s="36">
        <v>3</v>
      </c>
      <c r="J83" s="36" t="s">
        <v>5895</v>
      </c>
      <c r="K83" s="36" t="s">
        <v>6175</v>
      </c>
      <c r="L83" s="36" t="b">
        <v>1</v>
      </c>
    </row>
    <row r="84" spans="1:12" ht="12.75" hidden="1">
      <c r="A84" s="448">
        <v>45033.603993229168</v>
      </c>
      <c r="B84" s="449">
        <v>45036</v>
      </c>
      <c r="C84" s="36" t="s">
        <v>13</v>
      </c>
      <c r="D84" s="450">
        <v>0.70833333333575865</v>
      </c>
      <c r="E84" s="36" t="s">
        <v>6177</v>
      </c>
      <c r="F84" s="36" t="s">
        <v>6178</v>
      </c>
      <c r="G84" s="36" t="s">
        <v>387</v>
      </c>
      <c r="H84" s="36" t="s">
        <v>646</v>
      </c>
      <c r="I84" s="36">
        <v>1</v>
      </c>
      <c r="J84" s="36" t="s">
        <v>5895</v>
      </c>
      <c r="K84" s="36" t="s">
        <v>6179</v>
      </c>
      <c r="L84" s="36" t="b">
        <v>0</v>
      </c>
    </row>
    <row r="85" spans="1:12" ht="12.75" hidden="1">
      <c r="A85" s="448">
        <v>45033.700066481484</v>
      </c>
      <c r="B85" s="449">
        <v>45033</v>
      </c>
      <c r="C85" s="36" t="s">
        <v>20</v>
      </c>
      <c r="D85" s="450">
        <v>0.77083333333575865</v>
      </c>
      <c r="E85" s="36" t="s">
        <v>6180</v>
      </c>
      <c r="F85" s="36" t="s">
        <v>6181</v>
      </c>
      <c r="G85" s="36" t="s">
        <v>6182</v>
      </c>
      <c r="H85" s="36" t="s">
        <v>3486</v>
      </c>
      <c r="I85" s="36">
        <v>1</v>
      </c>
      <c r="J85" s="36" t="s">
        <v>5895</v>
      </c>
      <c r="K85" s="36" t="s">
        <v>6183</v>
      </c>
      <c r="L85" s="36" t="b">
        <v>0</v>
      </c>
    </row>
    <row r="86" spans="1:12" ht="12.75" hidden="1">
      <c r="A86" s="448">
        <v>45033.742545972222</v>
      </c>
      <c r="B86" s="449">
        <v>45028</v>
      </c>
      <c r="C86" s="36" t="s">
        <v>3388</v>
      </c>
      <c r="D86" s="450">
        <v>0.8125</v>
      </c>
      <c r="E86" s="36" t="s">
        <v>6184</v>
      </c>
      <c r="F86" s="36" t="s">
        <v>6185</v>
      </c>
      <c r="G86" s="36" t="s">
        <v>1483</v>
      </c>
      <c r="H86" s="36" t="s">
        <v>3386</v>
      </c>
      <c r="I86" s="36">
        <v>1</v>
      </c>
      <c r="J86" s="36" t="s">
        <v>5895</v>
      </c>
      <c r="K86" s="36" t="s">
        <v>6186</v>
      </c>
      <c r="L86" s="36" t="b">
        <v>1</v>
      </c>
    </row>
    <row r="87" spans="1:12" ht="12.75" hidden="1">
      <c r="A87" s="448">
        <v>45033.744023541665</v>
      </c>
      <c r="B87" s="449">
        <v>45029</v>
      </c>
      <c r="C87" s="36" t="s">
        <v>3388</v>
      </c>
      <c r="D87" s="450">
        <v>0.75</v>
      </c>
      <c r="E87" s="36" t="s">
        <v>6187</v>
      </c>
      <c r="F87" s="36" t="s">
        <v>6188</v>
      </c>
      <c r="G87" s="36" t="s">
        <v>1483</v>
      </c>
      <c r="H87" s="36" t="s">
        <v>5477</v>
      </c>
      <c r="I87" s="36">
        <v>2</v>
      </c>
      <c r="J87" s="36" t="s">
        <v>5895</v>
      </c>
      <c r="K87" s="36" t="s">
        <v>6186</v>
      </c>
      <c r="L87" s="36" t="b">
        <v>1</v>
      </c>
    </row>
    <row r="88" spans="1:12" ht="12.75" hidden="1">
      <c r="A88" s="448">
        <v>45034.582192928239</v>
      </c>
      <c r="B88" s="449">
        <v>45037</v>
      </c>
      <c r="C88" s="36" t="s">
        <v>3388</v>
      </c>
      <c r="D88" s="450">
        <v>0.70833333333575865</v>
      </c>
      <c r="E88" s="36" t="s">
        <v>6189</v>
      </c>
      <c r="F88" s="36" t="s">
        <v>6190</v>
      </c>
      <c r="G88" s="36" t="s">
        <v>756</v>
      </c>
      <c r="H88" s="36" t="s">
        <v>5894</v>
      </c>
      <c r="I88" s="36">
        <v>1</v>
      </c>
      <c r="J88" s="36" t="s">
        <v>5895</v>
      </c>
      <c r="K88" s="36" t="s">
        <v>6191</v>
      </c>
      <c r="L88" s="36" t="b">
        <v>1</v>
      </c>
    </row>
    <row r="89" spans="1:12" ht="12.75" hidden="1">
      <c r="A89" s="448">
        <v>45034.883019039349</v>
      </c>
      <c r="B89" s="449">
        <v>45035</v>
      </c>
      <c r="C89" s="36" t="s">
        <v>3388</v>
      </c>
      <c r="D89" s="450">
        <v>0.75</v>
      </c>
      <c r="E89" s="36" t="s">
        <v>6192</v>
      </c>
      <c r="F89" s="36" t="s">
        <v>6193</v>
      </c>
      <c r="G89" s="36" t="s">
        <v>741</v>
      </c>
      <c r="H89" s="36" t="s">
        <v>6194</v>
      </c>
      <c r="I89" s="36">
        <v>1</v>
      </c>
      <c r="J89" s="36" t="s">
        <v>5895</v>
      </c>
      <c r="K89" s="36" t="s">
        <v>6122</v>
      </c>
      <c r="L89" s="36" t="b">
        <v>1</v>
      </c>
    </row>
    <row r="90" spans="1:12" ht="12.75" hidden="1">
      <c r="A90" s="448">
        <v>45034.88589262731</v>
      </c>
      <c r="B90" s="449">
        <v>45036</v>
      </c>
      <c r="C90" s="36" t="s">
        <v>3388</v>
      </c>
      <c r="D90" s="450">
        <v>0.75</v>
      </c>
      <c r="E90" s="36" t="s">
        <v>6195</v>
      </c>
      <c r="F90" s="36" t="s">
        <v>6196</v>
      </c>
      <c r="G90" s="36" t="s">
        <v>741</v>
      </c>
      <c r="H90" s="36" t="s">
        <v>1222</v>
      </c>
      <c r="I90" s="36">
        <v>2</v>
      </c>
      <c r="J90" s="36" t="s">
        <v>5895</v>
      </c>
      <c r="K90" s="36" t="s">
        <v>6122</v>
      </c>
      <c r="L90" s="36" t="b">
        <v>1</v>
      </c>
    </row>
    <row r="91" spans="1:12" ht="12.75" hidden="1">
      <c r="A91" s="448">
        <v>45034.887756087963</v>
      </c>
      <c r="B91" s="449">
        <v>45037</v>
      </c>
      <c r="C91" s="36" t="s">
        <v>3388</v>
      </c>
      <c r="D91" s="450">
        <v>0.75</v>
      </c>
      <c r="E91" s="36" t="s">
        <v>6019</v>
      </c>
      <c r="F91" s="36" t="s">
        <v>6197</v>
      </c>
      <c r="G91" s="36" t="s">
        <v>741</v>
      </c>
      <c r="H91" s="36" t="s">
        <v>6198</v>
      </c>
      <c r="I91" s="36">
        <v>3</v>
      </c>
      <c r="J91" s="36" t="s">
        <v>5895</v>
      </c>
      <c r="K91" s="36" t="s">
        <v>6122</v>
      </c>
      <c r="L91" s="36" t="b">
        <v>1</v>
      </c>
    </row>
    <row r="92" spans="1:12" ht="12.75" hidden="1">
      <c r="A92" s="448">
        <v>45034.890588796297</v>
      </c>
      <c r="B92" s="449">
        <v>45039</v>
      </c>
      <c r="C92" s="36" t="s">
        <v>3388</v>
      </c>
      <c r="D92" s="450">
        <v>0.41666666666424135</v>
      </c>
      <c r="E92" s="36" t="s">
        <v>6199</v>
      </c>
      <c r="F92" s="36" t="s">
        <v>6200</v>
      </c>
      <c r="G92" s="36" t="s">
        <v>741</v>
      </c>
      <c r="H92" s="36" t="s">
        <v>6081</v>
      </c>
      <c r="I92" s="36">
        <v>4</v>
      </c>
      <c r="J92" s="36" t="s">
        <v>5895</v>
      </c>
      <c r="K92" s="36" t="s">
        <v>6122</v>
      </c>
      <c r="L92" s="36" t="b">
        <v>1</v>
      </c>
    </row>
    <row r="93" spans="1:12" ht="12.75" hidden="1">
      <c r="A93" s="448">
        <v>45034.892223298608</v>
      </c>
      <c r="B93" s="449">
        <v>45039</v>
      </c>
      <c r="C93" s="36" t="s">
        <v>3388</v>
      </c>
      <c r="D93" s="450">
        <v>0.54166666666424135</v>
      </c>
      <c r="E93" s="36" t="s">
        <v>6201</v>
      </c>
      <c r="F93" s="36" t="s">
        <v>6202</v>
      </c>
      <c r="G93" s="36" t="s">
        <v>741</v>
      </c>
      <c r="H93" s="36" t="s">
        <v>1222</v>
      </c>
      <c r="I93" s="36">
        <v>5</v>
      </c>
      <c r="J93" s="36" t="s">
        <v>5895</v>
      </c>
      <c r="K93" s="36" t="s">
        <v>6122</v>
      </c>
      <c r="L93" s="36" t="b">
        <v>1</v>
      </c>
    </row>
    <row r="94" spans="1:12" ht="12.75" hidden="1">
      <c r="A94" s="448">
        <v>45035.692830925924</v>
      </c>
      <c r="B94" s="449">
        <v>45035</v>
      </c>
      <c r="C94" s="36" t="s">
        <v>20</v>
      </c>
      <c r="D94" s="450">
        <v>0.77083333333575865</v>
      </c>
      <c r="E94" s="36" t="s">
        <v>6203</v>
      </c>
      <c r="F94" s="36" t="s">
        <v>6204</v>
      </c>
      <c r="G94" s="36" t="s">
        <v>6205</v>
      </c>
      <c r="H94" s="36" t="s">
        <v>6206</v>
      </c>
      <c r="I94" s="36">
        <v>1</v>
      </c>
      <c r="J94" s="36" t="s">
        <v>5895</v>
      </c>
      <c r="K94" s="36" t="s">
        <v>6207</v>
      </c>
      <c r="L94" s="36" t="b">
        <v>0</v>
      </c>
    </row>
    <row r="95" spans="1:12" ht="12.75" hidden="1">
      <c r="A95" s="448">
        <v>45036.540356655096</v>
      </c>
      <c r="B95" s="449">
        <v>45036</v>
      </c>
      <c r="C95" s="36" t="s">
        <v>3388</v>
      </c>
      <c r="D95" s="450">
        <v>0.75</v>
      </c>
      <c r="E95" s="36" t="s">
        <v>6208</v>
      </c>
      <c r="F95" s="36" t="s">
        <v>6209</v>
      </c>
      <c r="G95" s="36" t="s">
        <v>1288</v>
      </c>
      <c r="H95" s="36" t="s">
        <v>5894</v>
      </c>
      <c r="I95" s="36">
        <v>2</v>
      </c>
      <c r="J95" s="36" t="s">
        <v>5895</v>
      </c>
      <c r="K95" s="36" t="s">
        <v>6210</v>
      </c>
      <c r="L95" s="36" t="b">
        <v>1</v>
      </c>
    </row>
    <row r="96" spans="1:12" ht="12.75" hidden="1">
      <c r="A96" s="448">
        <v>45036.661245185183</v>
      </c>
      <c r="B96" s="449">
        <v>45046</v>
      </c>
      <c r="C96" s="36" t="s">
        <v>3383</v>
      </c>
      <c r="D96" s="450">
        <v>0.54861111110949423</v>
      </c>
      <c r="E96" s="36" t="s">
        <v>5920</v>
      </c>
      <c r="F96" s="36" t="s">
        <v>6211</v>
      </c>
      <c r="G96" s="36" t="s">
        <v>756</v>
      </c>
      <c r="H96" s="36" t="s">
        <v>5922</v>
      </c>
      <c r="I96" s="36">
        <v>1</v>
      </c>
      <c r="J96" s="36" t="s">
        <v>5895</v>
      </c>
      <c r="K96" s="36" t="s">
        <v>6212</v>
      </c>
      <c r="L96" s="36" t="b">
        <v>1</v>
      </c>
    </row>
    <row r="97" spans="1:12" ht="12.75" hidden="1">
      <c r="A97" s="448">
        <v>45036.795317465279</v>
      </c>
      <c r="B97" s="449">
        <v>45038</v>
      </c>
      <c r="C97" s="36" t="s">
        <v>18</v>
      </c>
      <c r="D97" s="450">
        <v>0.41666666666424135</v>
      </c>
      <c r="E97" s="36" t="s">
        <v>6035</v>
      </c>
      <c r="F97" s="36" t="s">
        <v>6213</v>
      </c>
      <c r="G97" s="36" t="s">
        <v>394</v>
      </c>
      <c r="H97" s="36" t="s">
        <v>744</v>
      </c>
      <c r="I97" s="36">
        <v>2</v>
      </c>
      <c r="J97" s="36" t="s">
        <v>5895</v>
      </c>
      <c r="K97" s="36" t="s">
        <v>6214</v>
      </c>
      <c r="L97" s="36" t="b">
        <v>1</v>
      </c>
    </row>
    <row r="98" spans="1:12" ht="12.75" hidden="1">
      <c r="A98" s="448">
        <v>45036.969375925924</v>
      </c>
      <c r="B98" s="449">
        <v>45039</v>
      </c>
      <c r="C98" s="36" t="s">
        <v>3388</v>
      </c>
      <c r="D98" s="450">
        <v>0.45833333333575865</v>
      </c>
      <c r="E98" s="36" t="s">
        <v>6215</v>
      </c>
      <c r="F98" s="36" t="s">
        <v>6216</v>
      </c>
      <c r="G98" s="36" t="s">
        <v>6217</v>
      </c>
      <c r="H98" s="36" t="s">
        <v>6052</v>
      </c>
      <c r="I98" s="36">
        <v>1</v>
      </c>
      <c r="J98" s="36" t="s">
        <v>5895</v>
      </c>
      <c r="K98" s="36" t="s">
        <v>6218</v>
      </c>
      <c r="L98" s="36" t="b">
        <v>1</v>
      </c>
    </row>
    <row r="99" spans="1:12" ht="12.75" hidden="1">
      <c r="A99" s="448">
        <v>45037.476138692131</v>
      </c>
      <c r="B99" s="449">
        <v>44673</v>
      </c>
      <c r="C99" s="36" t="s">
        <v>20</v>
      </c>
      <c r="D99" s="450">
        <v>0.41666666666424135</v>
      </c>
      <c r="E99" s="36" t="s">
        <v>6219</v>
      </c>
      <c r="F99" s="36" t="s">
        <v>6220</v>
      </c>
      <c r="G99" s="36" t="s">
        <v>6221</v>
      </c>
      <c r="H99" s="36" t="s">
        <v>6222</v>
      </c>
      <c r="I99" s="36">
        <v>1</v>
      </c>
      <c r="J99" s="36" t="s">
        <v>5895</v>
      </c>
      <c r="K99" s="36" t="s">
        <v>6223</v>
      </c>
      <c r="L99" s="36" t="b">
        <v>0</v>
      </c>
    </row>
    <row r="100" spans="1:12" ht="12.75" hidden="1">
      <c r="A100" s="448">
        <v>45037.491571828708</v>
      </c>
      <c r="B100" s="449">
        <v>45039</v>
      </c>
      <c r="C100" s="36" t="s">
        <v>3388</v>
      </c>
      <c r="D100" s="450">
        <v>0.41666666666424135</v>
      </c>
      <c r="E100" s="36" t="s">
        <v>6224</v>
      </c>
      <c r="F100" s="36" t="s">
        <v>6225</v>
      </c>
      <c r="G100" s="36" t="s">
        <v>6226</v>
      </c>
      <c r="H100" s="36" t="s">
        <v>4000</v>
      </c>
      <c r="I100" s="36">
        <v>2</v>
      </c>
      <c r="J100" s="36" t="s">
        <v>5895</v>
      </c>
      <c r="K100" s="36" t="s">
        <v>6218</v>
      </c>
      <c r="L100" s="36" t="b">
        <v>1</v>
      </c>
    </row>
    <row r="101" spans="1:12" ht="12.75" hidden="1">
      <c r="A101" s="448">
        <v>45037.49366305556</v>
      </c>
      <c r="B101" s="449">
        <v>45041</v>
      </c>
      <c r="C101" s="36" t="s">
        <v>3388</v>
      </c>
      <c r="D101" s="450">
        <v>0.75</v>
      </c>
      <c r="E101" s="36" t="s">
        <v>6227</v>
      </c>
      <c r="F101" s="36" t="s">
        <v>6228</v>
      </c>
      <c r="G101" s="36" t="s">
        <v>6229</v>
      </c>
      <c r="H101" s="36" t="s">
        <v>996</v>
      </c>
      <c r="I101" s="36">
        <v>1</v>
      </c>
      <c r="J101" s="36" t="s">
        <v>5895</v>
      </c>
      <c r="K101" s="36" t="s">
        <v>6230</v>
      </c>
      <c r="L101" s="36" t="b">
        <v>1</v>
      </c>
    </row>
    <row r="102" spans="1:12" ht="12.75" hidden="1">
      <c r="A102" s="448">
        <v>45037.594901828706</v>
      </c>
      <c r="B102" s="449">
        <v>45037</v>
      </c>
      <c r="C102" s="36" t="s">
        <v>3388</v>
      </c>
      <c r="D102" s="450">
        <v>0.75</v>
      </c>
      <c r="E102" s="36" t="s">
        <v>6231</v>
      </c>
      <c r="F102" s="36" t="s">
        <v>5953</v>
      </c>
      <c r="G102" s="36" t="s">
        <v>6232</v>
      </c>
      <c r="H102" s="36" t="s">
        <v>6233</v>
      </c>
      <c r="I102" s="36">
        <v>3</v>
      </c>
      <c r="J102" s="36" t="s">
        <v>5895</v>
      </c>
      <c r="K102" s="36" t="s">
        <v>6210</v>
      </c>
      <c r="L102" s="36" t="b">
        <v>1</v>
      </c>
    </row>
    <row r="103" spans="1:12" ht="12.75" hidden="1">
      <c r="A103" s="448">
        <v>45037.917278703702</v>
      </c>
      <c r="B103" s="449">
        <v>45038</v>
      </c>
      <c r="C103" s="36" t="s">
        <v>12</v>
      </c>
      <c r="D103" s="450">
        <v>0.6875</v>
      </c>
      <c r="E103" s="36" t="s">
        <v>6234</v>
      </c>
      <c r="F103" s="36">
        <v>7</v>
      </c>
      <c r="G103" s="36" t="s">
        <v>83</v>
      </c>
      <c r="H103" s="36" t="s">
        <v>6235</v>
      </c>
      <c r="I103" s="36">
        <v>1</v>
      </c>
      <c r="J103" s="36" t="s">
        <v>5895</v>
      </c>
      <c r="K103" s="36" t="s">
        <v>6236</v>
      </c>
      <c r="L103" s="36" t="b">
        <v>1</v>
      </c>
    </row>
    <row r="104" spans="1:12" ht="12.75" hidden="1">
      <c r="A104" s="448">
        <v>45039.547699953706</v>
      </c>
      <c r="B104" s="449">
        <v>45039</v>
      </c>
      <c r="C104" s="36" t="s">
        <v>3383</v>
      </c>
      <c r="D104" s="450">
        <v>0.625</v>
      </c>
      <c r="E104" s="36" t="s">
        <v>6237</v>
      </c>
      <c r="F104" s="36" t="s">
        <v>6238</v>
      </c>
      <c r="G104" s="36" t="s">
        <v>462</v>
      </c>
      <c r="H104" s="36" t="s">
        <v>6104</v>
      </c>
      <c r="I104" s="36">
        <v>1</v>
      </c>
      <c r="J104" s="36" t="s">
        <v>5895</v>
      </c>
      <c r="K104" s="36" t="s">
        <v>6116</v>
      </c>
      <c r="L104" s="36" t="b">
        <v>1</v>
      </c>
    </row>
    <row r="105" spans="1:12" ht="12.75" hidden="1">
      <c r="A105" s="448">
        <v>45040.5642534375</v>
      </c>
      <c r="B105" s="449">
        <v>45040</v>
      </c>
      <c r="C105" s="36" t="s">
        <v>12</v>
      </c>
      <c r="D105" s="450">
        <v>0.77083333333575865</v>
      </c>
      <c r="E105" s="36" t="s">
        <v>6239</v>
      </c>
      <c r="F105" s="36" t="s">
        <v>6240</v>
      </c>
      <c r="G105" s="36" t="s">
        <v>6032</v>
      </c>
      <c r="H105" s="36" t="s">
        <v>6241</v>
      </c>
      <c r="I105" s="36">
        <v>2</v>
      </c>
      <c r="J105" s="36" t="s">
        <v>5895</v>
      </c>
      <c r="K105" s="36" t="s">
        <v>6242</v>
      </c>
      <c r="L105" s="36" t="b">
        <v>1</v>
      </c>
    </row>
    <row r="106" spans="1:12" ht="12.75" hidden="1">
      <c r="A106" s="448">
        <v>45040.72808833333</v>
      </c>
      <c r="B106" s="449">
        <v>45040</v>
      </c>
      <c r="C106" s="36" t="s">
        <v>3383</v>
      </c>
      <c r="D106" s="450">
        <v>0.75</v>
      </c>
      <c r="E106" s="36" t="s">
        <v>6243</v>
      </c>
      <c r="F106" s="36" t="s">
        <v>6244</v>
      </c>
      <c r="G106" s="36" t="s">
        <v>413</v>
      </c>
      <c r="H106" s="36" t="s">
        <v>573</v>
      </c>
      <c r="I106" s="36">
        <v>1</v>
      </c>
      <c r="J106" s="36" t="s">
        <v>5895</v>
      </c>
      <c r="K106" s="36" t="s">
        <v>6245</v>
      </c>
      <c r="L106" s="36" t="b">
        <v>1</v>
      </c>
    </row>
    <row r="107" spans="1:12" ht="12.75" hidden="1">
      <c r="A107" s="448">
        <v>45041.598189814817</v>
      </c>
      <c r="B107" s="449">
        <v>45041</v>
      </c>
      <c r="C107" s="36" t="s">
        <v>18</v>
      </c>
      <c r="D107" s="450">
        <v>0.79166666666424135</v>
      </c>
      <c r="E107" s="36" t="s">
        <v>6246</v>
      </c>
      <c r="F107" s="36" t="s">
        <v>6247</v>
      </c>
      <c r="G107" s="36" t="s">
        <v>182</v>
      </c>
      <c r="H107" s="36" t="s">
        <v>6248</v>
      </c>
      <c r="I107" s="36">
        <v>2</v>
      </c>
      <c r="J107" s="36" t="s">
        <v>5895</v>
      </c>
      <c r="K107" s="36" t="s">
        <v>6249</v>
      </c>
      <c r="L107" s="36" t="b">
        <v>1</v>
      </c>
    </row>
    <row r="108" spans="1:12" ht="12.75" hidden="1">
      <c r="A108" s="448">
        <v>45041.609432916666</v>
      </c>
      <c r="B108" s="449">
        <v>45045</v>
      </c>
      <c r="C108" s="36" t="s">
        <v>18</v>
      </c>
      <c r="D108" s="450">
        <v>0.46527777778101154</v>
      </c>
      <c r="E108" s="36" t="s">
        <v>6250</v>
      </c>
      <c r="F108" s="36" t="s">
        <v>6251</v>
      </c>
      <c r="G108" s="36" t="s">
        <v>2230</v>
      </c>
      <c r="H108" s="36" t="s">
        <v>2151</v>
      </c>
      <c r="I108" s="36">
        <v>2</v>
      </c>
      <c r="J108" s="36" t="s">
        <v>5895</v>
      </c>
      <c r="K108" s="36" t="s">
        <v>6252</v>
      </c>
      <c r="L108" s="36" t="b">
        <v>0</v>
      </c>
    </row>
    <row r="109" spans="1:12" ht="12.75" hidden="1">
      <c r="A109" s="448">
        <v>45041.699234930551</v>
      </c>
      <c r="B109" s="449">
        <v>45041</v>
      </c>
      <c r="C109" s="36" t="s">
        <v>10</v>
      </c>
      <c r="D109" s="450">
        <v>0.79861111110949423</v>
      </c>
      <c r="E109" s="36" t="s">
        <v>6253</v>
      </c>
      <c r="F109" s="36" t="s">
        <v>6254</v>
      </c>
      <c r="G109" s="36" t="s">
        <v>91</v>
      </c>
      <c r="H109" s="36" t="s">
        <v>2039</v>
      </c>
      <c r="I109" s="36">
        <v>1</v>
      </c>
      <c r="J109" s="36" t="s">
        <v>5895</v>
      </c>
      <c r="K109" s="36" t="s">
        <v>6255</v>
      </c>
      <c r="L109" s="36" t="b">
        <v>0</v>
      </c>
    </row>
    <row r="110" spans="1:12" ht="12.75" hidden="1">
      <c r="A110" s="448">
        <v>45042.586514097224</v>
      </c>
      <c r="B110" s="449">
        <v>45044</v>
      </c>
      <c r="C110" s="36" t="s">
        <v>3388</v>
      </c>
      <c r="D110" s="450">
        <v>0.75</v>
      </c>
      <c r="E110" s="36" t="s">
        <v>6256</v>
      </c>
      <c r="F110" s="36" t="s">
        <v>6257</v>
      </c>
      <c r="G110" s="36" t="s">
        <v>178</v>
      </c>
      <c r="H110" s="36" t="s">
        <v>1052</v>
      </c>
      <c r="I110" s="36">
        <v>1</v>
      </c>
      <c r="J110" s="36" t="s">
        <v>5895</v>
      </c>
      <c r="K110" s="36" t="s">
        <v>6258</v>
      </c>
      <c r="L110" s="36" t="b">
        <v>1</v>
      </c>
    </row>
    <row r="111" spans="1:12" ht="12.75" hidden="1">
      <c r="A111" s="448">
        <v>45042.687975439811</v>
      </c>
      <c r="B111" s="449">
        <v>45043</v>
      </c>
      <c r="C111" s="36" t="s">
        <v>18</v>
      </c>
      <c r="D111" s="450">
        <v>0.81944444444525288</v>
      </c>
      <c r="E111" s="36" t="s">
        <v>6259</v>
      </c>
      <c r="F111" s="36" t="s">
        <v>6260</v>
      </c>
      <c r="G111" s="36" t="s">
        <v>1302</v>
      </c>
      <c r="H111" s="36" t="s">
        <v>6261</v>
      </c>
      <c r="I111" s="36">
        <v>1</v>
      </c>
      <c r="J111" s="36" t="s">
        <v>5895</v>
      </c>
      <c r="K111" s="36" t="s">
        <v>6262</v>
      </c>
      <c r="L111" s="36" t="b">
        <v>1</v>
      </c>
    </row>
    <row r="112" spans="1:12" ht="12.75" hidden="1">
      <c r="A112" s="448">
        <v>45042.846458692133</v>
      </c>
      <c r="B112" s="449">
        <v>45042</v>
      </c>
      <c r="C112" s="36" t="s">
        <v>13</v>
      </c>
      <c r="D112" s="450">
        <v>0.75</v>
      </c>
      <c r="E112" s="36" t="s">
        <v>6263</v>
      </c>
      <c r="F112" s="36" t="s">
        <v>6264</v>
      </c>
      <c r="G112" s="36" t="s">
        <v>6265</v>
      </c>
      <c r="H112" s="36" t="s">
        <v>6266</v>
      </c>
      <c r="I112" s="36">
        <v>1</v>
      </c>
      <c r="J112" s="36" t="s">
        <v>5895</v>
      </c>
      <c r="K112" s="36" t="s">
        <v>6267</v>
      </c>
      <c r="L112" s="36" t="b">
        <v>1</v>
      </c>
    </row>
    <row r="113" spans="1:12" ht="12.75" hidden="1">
      <c r="A113" s="448">
        <v>45042.850379432872</v>
      </c>
      <c r="B113" s="449">
        <v>45042</v>
      </c>
      <c r="C113" s="36" t="s">
        <v>12</v>
      </c>
      <c r="D113" s="450">
        <v>0.75</v>
      </c>
      <c r="E113" s="36" t="s">
        <v>6268</v>
      </c>
      <c r="F113" s="36" t="s">
        <v>6269</v>
      </c>
      <c r="G113" s="36" t="s">
        <v>6270</v>
      </c>
      <c r="H113" s="36" t="s">
        <v>1063</v>
      </c>
      <c r="I113" s="36">
        <v>1</v>
      </c>
      <c r="J113" s="36" t="s">
        <v>5895</v>
      </c>
      <c r="K113" s="36" t="s">
        <v>6271</v>
      </c>
      <c r="L113" s="36" t="b">
        <v>0</v>
      </c>
    </row>
    <row r="114" spans="1:12" ht="12.75" hidden="1">
      <c r="A114" s="448">
        <v>45043.472319583336</v>
      </c>
      <c r="B114" s="449">
        <v>45043</v>
      </c>
      <c r="C114" s="36" t="s">
        <v>13</v>
      </c>
      <c r="D114" s="450">
        <v>0.70833333333575865</v>
      </c>
      <c r="E114" s="36" t="s">
        <v>6177</v>
      </c>
      <c r="F114" s="36" t="s">
        <v>6272</v>
      </c>
      <c r="G114" s="36" t="s">
        <v>387</v>
      </c>
      <c r="H114" s="36" t="s">
        <v>646</v>
      </c>
      <c r="I114" s="36">
        <v>2</v>
      </c>
      <c r="J114" s="36" t="s">
        <v>5895</v>
      </c>
      <c r="K114" s="36" t="s">
        <v>5896</v>
      </c>
      <c r="L114" s="36" t="b">
        <v>0</v>
      </c>
    </row>
    <row r="115" spans="1:12" ht="12.75" hidden="1">
      <c r="A115" s="448">
        <v>45043.805042118052</v>
      </c>
      <c r="B115" s="449">
        <v>45043</v>
      </c>
      <c r="C115" s="36" t="s">
        <v>12</v>
      </c>
      <c r="D115" s="450">
        <v>0.79166666666424135</v>
      </c>
      <c r="E115" s="36" t="s">
        <v>6273</v>
      </c>
      <c r="F115" s="36">
        <v>8</v>
      </c>
      <c r="G115" s="36" t="s">
        <v>811</v>
      </c>
      <c r="H115" s="36" t="s">
        <v>6274</v>
      </c>
      <c r="I115" s="36">
        <v>1</v>
      </c>
      <c r="J115" s="36" t="s">
        <v>5895</v>
      </c>
      <c r="K115" s="36" t="s">
        <v>6275</v>
      </c>
      <c r="L115" s="36" t="b">
        <v>0</v>
      </c>
    </row>
    <row r="116" spans="1:12" ht="12.75" hidden="1">
      <c r="A116" s="448">
        <v>45044.615929618056</v>
      </c>
      <c r="B116" s="449">
        <v>45045</v>
      </c>
      <c r="C116" s="36" t="s">
        <v>12</v>
      </c>
      <c r="D116" s="450">
        <v>0.41666666666424135</v>
      </c>
      <c r="E116" s="36" t="s">
        <v>5917</v>
      </c>
      <c r="F116" s="36" t="s">
        <v>6276</v>
      </c>
      <c r="G116" s="36" t="s">
        <v>1497</v>
      </c>
      <c r="H116" s="36" t="s">
        <v>6277</v>
      </c>
      <c r="I116" s="36">
        <v>1</v>
      </c>
      <c r="J116" s="36" t="s">
        <v>5895</v>
      </c>
      <c r="K116" s="36" t="s">
        <v>6278</v>
      </c>
      <c r="L116" s="36" t="b">
        <v>0</v>
      </c>
    </row>
    <row r="117" spans="1:12" ht="12.75" hidden="1">
      <c r="A117" s="448">
        <v>45045.63097888889</v>
      </c>
      <c r="B117" s="449">
        <v>45043</v>
      </c>
      <c r="C117" s="36" t="s">
        <v>3383</v>
      </c>
      <c r="D117" s="450">
        <v>0.77083333333575865</v>
      </c>
      <c r="E117" s="36" t="s">
        <v>6279</v>
      </c>
      <c r="F117" s="36" t="s">
        <v>6280</v>
      </c>
      <c r="G117" s="36" t="s">
        <v>953</v>
      </c>
      <c r="H117" s="36" t="s">
        <v>6281</v>
      </c>
      <c r="I117" s="36">
        <v>1</v>
      </c>
      <c r="J117" s="36" t="s">
        <v>5895</v>
      </c>
      <c r="K117" s="36" t="s">
        <v>6210</v>
      </c>
      <c r="L117" s="36" t="b">
        <v>1</v>
      </c>
    </row>
    <row r="118" spans="1:12" ht="12.75" hidden="1">
      <c r="A118" s="448">
        <v>45045.631925856476</v>
      </c>
      <c r="B118" s="449">
        <v>45044</v>
      </c>
      <c r="C118" s="36" t="s">
        <v>3383</v>
      </c>
      <c r="D118" s="450">
        <v>0.75</v>
      </c>
      <c r="E118" s="36" t="s">
        <v>6282</v>
      </c>
      <c r="F118" s="36" t="s">
        <v>6283</v>
      </c>
      <c r="G118" s="36" t="s">
        <v>953</v>
      </c>
      <c r="H118" s="36" t="s">
        <v>6284</v>
      </c>
      <c r="I118" s="36">
        <v>2</v>
      </c>
      <c r="J118" s="36" t="s">
        <v>5895</v>
      </c>
      <c r="K118" s="36" t="s">
        <v>6210</v>
      </c>
      <c r="L118" s="36" t="b">
        <v>1</v>
      </c>
    </row>
    <row r="119" spans="1:12" ht="12.75" hidden="1">
      <c r="A119" s="448">
        <v>45046.498296192134</v>
      </c>
      <c r="B119" s="449">
        <v>45046</v>
      </c>
      <c r="C119" s="36" t="s">
        <v>3383</v>
      </c>
      <c r="D119" s="450">
        <v>0.71527777778101154</v>
      </c>
      <c r="E119" s="36" t="s">
        <v>6285</v>
      </c>
      <c r="F119" s="36" t="s">
        <v>6286</v>
      </c>
      <c r="G119" s="36" t="s">
        <v>462</v>
      </c>
      <c r="H119" s="36" t="s">
        <v>6287</v>
      </c>
      <c r="I119" s="36">
        <v>2</v>
      </c>
      <c r="J119" s="36" t="s">
        <v>5895</v>
      </c>
      <c r="K119" s="36" t="s">
        <v>6288</v>
      </c>
      <c r="L119" s="36" t="b">
        <v>0</v>
      </c>
    </row>
    <row r="120" spans="1:12" ht="12.75" hidden="1">
      <c r="A120" s="448">
        <v>45046.553432673609</v>
      </c>
      <c r="B120" s="449">
        <v>45045</v>
      </c>
      <c r="C120" s="36" t="s">
        <v>12</v>
      </c>
      <c r="D120" s="450">
        <v>0.45833333333575865</v>
      </c>
      <c r="E120" s="36" t="s">
        <v>6289</v>
      </c>
      <c r="F120" s="36" t="s">
        <v>6290</v>
      </c>
      <c r="G120" s="36" t="s">
        <v>6291</v>
      </c>
      <c r="H120" s="36" t="s">
        <v>821</v>
      </c>
      <c r="I120" s="36">
        <v>1</v>
      </c>
      <c r="J120" s="36" t="s">
        <v>5895</v>
      </c>
      <c r="K120" s="36" t="s">
        <v>6292</v>
      </c>
      <c r="L120" s="36" t="b">
        <v>1</v>
      </c>
    </row>
    <row r="121" spans="1:12" ht="12.75" hidden="1">
      <c r="A121" s="448">
        <v>45046.739253981483</v>
      </c>
      <c r="B121" s="449">
        <v>45045</v>
      </c>
      <c r="C121" s="36" t="s">
        <v>12</v>
      </c>
      <c r="D121" s="450">
        <v>0.63194444444525288</v>
      </c>
      <c r="E121" s="36" t="s">
        <v>6293</v>
      </c>
      <c r="F121" s="36" t="s">
        <v>6294</v>
      </c>
      <c r="G121" s="36" t="s">
        <v>6291</v>
      </c>
      <c r="H121" s="36" t="s">
        <v>6295</v>
      </c>
      <c r="I121" s="36">
        <v>2</v>
      </c>
      <c r="J121" s="36" t="s">
        <v>5895</v>
      </c>
      <c r="K121" s="36" t="s">
        <v>6296</v>
      </c>
      <c r="L121" s="36" t="b">
        <v>1</v>
      </c>
    </row>
    <row r="122" spans="1:12" ht="12.75" hidden="1">
      <c r="A122" s="448">
        <v>45046.768712337958</v>
      </c>
      <c r="B122" s="449">
        <v>45041</v>
      </c>
      <c r="C122" s="36" t="s">
        <v>3388</v>
      </c>
      <c r="D122" s="450">
        <v>0.75</v>
      </c>
      <c r="E122" s="36" t="s">
        <v>6297</v>
      </c>
      <c r="F122" s="36" t="s">
        <v>6298</v>
      </c>
      <c r="G122" s="36" t="s">
        <v>1422</v>
      </c>
      <c r="H122" s="36" t="s">
        <v>6299</v>
      </c>
      <c r="I122" s="36">
        <v>2</v>
      </c>
      <c r="J122" s="36" t="s">
        <v>5895</v>
      </c>
      <c r="K122" s="36" t="s">
        <v>6300</v>
      </c>
      <c r="L122" s="36" t="b">
        <v>1</v>
      </c>
    </row>
    <row r="123" spans="1:12" ht="12.75" hidden="1">
      <c r="A123" s="448">
        <v>45046.769607592592</v>
      </c>
      <c r="B123" s="449">
        <v>45041</v>
      </c>
      <c r="C123" s="36" t="s">
        <v>3388</v>
      </c>
      <c r="D123" s="450">
        <v>0.79166666666424135</v>
      </c>
      <c r="E123" s="36" t="s">
        <v>6301</v>
      </c>
      <c r="F123" s="36" t="s">
        <v>6302</v>
      </c>
      <c r="G123" s="36" t="s">
        <v>1422</v>
      </c>
      <c r="H123" s="36" t="s">
        <v>6299</v>
      </c>
      <c r="I123" s="36">
        <v>3</v>
      </c>
      <c r="J123" s="36" t="s">
        <v>5895</v>
      </c>
      <c r="K123" s="36" t="s">
        <v>6300</v>
      </c>
      <c r="L123" s="36" t="b">
        <v>1</v>
      </c>
    </row>
    <row r="124" spans="1:12" ht="12.75" hidden="1">
      <c r="A124" s="448">
        <v>45046.770544479165</v>
      </c>
      <c r="B124" s="449">
        <v>45042</v>
      </c>
      <c r="C124" s="36" t="s">
        <v>3388</v>
      </c>
      <c r="D124" s="450">
        <v>0.79166666666424135</v>
      </c>
      <c r="E124" s="36" t="s">
        <v>6303</v>
      </c>
      <c r="F124" s="36" t="s">
        <v>6304</v>
      </c>
      <c r="G124" s="36" t="s">
        <v>1422</v>
      </c>
      <c r="H124" s="36" t="s">
        <v>5906</v>
      </c>
      <c r="I124" s="36">
        <v>4</v>
      </c>
      <c r="J124" s="36" t="s">
        <v>5895</v>
      </c>
      <c r="K124" s="36" t="s">
        <v>6300</v>
      </c>
      <c r="L124" s="36" t="b">
        <v>1</v>
      </c>
    </row>
    <row r="125" spans="1:12" ht="12.75" hidden="1">
      <c r="A125" s="448">
        <v>45046.771457303243</v>
      </c>
      <c r="B125" s="449">
        <v>45044</v>
      </c>
      <c r="C125" s="36" t="s">
        <v>3388</v>
      </c>
      <c r="D125" s="450">
        <v>0.75</v>
      </c>
      <c r="E125" s="36" t="s">
        <v>6305</v>
      </c>
      <c r="F125" s="36" t="s">
        <v>6306</v>
      </c>
      <c r="G125" s="36" t="s">
        <v>1422</v>
      </c>
      <c r="H125" s="36" t="s">
        <v>6307</v>
      </c>
      <c r="I125" s="36">
        <v>5</v>
      </c>
      <c r="J125" s="36" t="s">
        <v>5895</v>
      </c>
      <c r="K125" s="36" t="s">
        <v>6300</v>
      </c>
      <c r="L125" s="36" t="b">
        <v>1</v>
      </c>
    </row>
    <row r="126" spans="1:12" ht="12.75" hidden="1">
      <c r="A126" s="448">
        <v>45046.772202905093</v>
      </c>
      <c r="B126" s="449">
        <v>45045</v>
      </c>
      <c r="C126" s="36" t="s">
        <v>3388</v>
      </c>
      <c r="D126" s="450">
        <v>0.41666666666424135</v>
      </c>
      <c r="E126" s="36" t="s">
        <v>6308</v>
      </c>
      <c r="F126" s="36" t="s">
        <v>6309</v>
      </c>
      <c r="G126" s="36" t="s">
        <v>1422</v>
      </c>
      <c r="H126" s="36" t="s">
        <v>6310</v>
      </c>
      <c r="I126" s="36">
        <v>6</v>
      </c>
      <c r="J126" s="36" t="s">
        <v>5895</v>
      </c>
      <c r="K126" s="36" t="s">
        <v>6300</v>
      </c>
      <c r="L126" s="36" t="b">
        <v>1</v>
      </c>
    </row>
    <row r="127" spans="1:12" ht="12.75" hidden="1">
      <c r="A127" s="448">
        <v>45046.772841469909</v>
      </c>
      <c r="B127" s="449">
        <v>45046</v>
      </c>
      <c r="C127" s="36" t="s">
        <v>3388</v>
      </c>
      <c r="D127" s="450">
        <v>0.41666666666424135</v>
      </c>
      <c r="E127" s="36" t="s">
        <v>6311</v>
      </c>
      <c r="F127" s="36" t="s">
        <v>6312</v>
      </c>
      <c r="G127" s="36" t="s">
        <v>1422</v>
      </c>
      <c r="H127" s="36" t="s">
        <v>6310</v>
      </c>
      <c r="I127" s="36">
        <v>7</v>
      </c>
      <c r="J127" s="36" t="s">
        <v>5895</v>
      </c>
      <c r="K127" s="36" t="s">
        <v>6300</v>
      </c>
      <c r="L127" s="36" t="b">
        <v>1</v>
      </c>
    </row>
    <row r="128" spans="1:12" ht="12.75" hidden="1">
      <c r="A128" s="448">
        <v>45046.773707650464</v>
      </c>
      <c r="B128" s="449">
        <v>45046</v>
      </c>
      <c r="C128" s="36" t="s">
        <v>3388</v>
      </c>
      <c r="D128" s="450">
        <v>0.45833333333575865</v>
      </c>
      <c r="E128" s="36" t="s">
        <v>6313</v>
      </c>
      <c r="F128" s="36" t="s">
        <v>6314</v>
      </c>
      <c r="G128" s="36" t="s">
        <v>1422</v>
      </c>
      <c r="H128" s="36" t="s">
        <v>6315</v>
      </c>
      <c r="I128" s="36">
        <v>8</v>
      </c>
      <c r="J128" s="36" t="s">
        <v>5895</v>
      </c>
      <c r="K128" s="36" t="s">
        <v>6300</v>
      </c>
      <c r="L128" s="36" t="b">
        <v>1</v>
      </c>
    </row>
    <row r="129" spans="1:12" ht="12.75" hidden="1">
      <c r="A129" s="448">
        <v>45046.774676724541</v>
      </c>
      <c r="B129" s="449">
        <v>45046</v>
      </c>
      <c r="C129" s="36" t="s">
        <v>3388</v>
      </c>
      <c r="D129" s="450">
        <v>0.5</v>
      </c>
      <c r="E129" s="36" t="s">
        <v>6316</v>
      </c>
      <c r="F129" s="36" t="s">
        <v>6317</v>
      </c>
      <c r="G129" s="36" t="s">
        <v>1422</v>
      </c>
      <c r="H129" s="36" t="s">
        <v>6318</v>
      </c>
      <c r="I129" s="36">
        <v>9</v>
      </c>
      <c r="J129" s="36" t="s">
        <v>5895</v>
      </c>
      <c r="K129" s="36" t="s">
        <v>6300</v>
      </c>
      <c r="L129" s="36" t="b">
        <v>1</v>
      </c>
    </row>
    <row r="130" spans="1:12" ht="12.75" hidden="1">
      <c r="A130" s="448">
        <v>45047.451796655092</v>
      </c>
      <c r="B130" s="449">
        <v>45047</v>
      </c>
      <c r="C130" s="36" t="s">
        <v>3383</v>
      </c>
      <c r="D130" s="450">
        <v>0.75</v>
      </c>
      <c r="E130" s="36" t="s">
        <v>6319</v>
      </c>
      <c r="F130" s="36" t="s">
        <v>6320</v>
      </c>
      <c r="G130" s="36" t="s">
        <v>756</v>
      </c>
      <c r="H130" s="36" t="s">
        <v>6321</v>
      </c>
      <c r="I130" s="36">
        <v>1</v>
      </c>
      <c r="J130" s="36" t="s">
        <v>5895</v>
      </c>
      <c r="K130" s="36" t="s">
        <v>6322</v>
      </c>
      <c r="L130" s="36" t="b">
        <v>1</v>
      </c>
    </row>
    <row r="131" spans="1:12" ht="12.75" hidden="1">
      <c r="A131" s="448">
        <v>45048.422408101847</v>
      </c>
      <c r="B131" s="449">
        <v>45050</v>
      </c>
      <c r="C131" s="36" t="s">
        <v>3388</v>
      </c>
      <c r="D131" s="450">
        <v>0.8125</v>
      </c>
      <c r="E131" s="36" t="s">
        <v>6323</v>
      </c>
      <c r="F131" s="36" t="s">
        <v>6324</v>
      </c>
      <c r="G131" s="36" t="s">
        <v>511</v>
      </c>
      <c r="H131" s="36" t="s">
        <v>6307</v>
      </c>
      <c r="I131" s="36">
        <v>1</v>
      </c>
      <c r="J131" s="36" t="s">
        <v>6093</v>
      </c>
      <c r="K131" s="36" t="s">
        <v>6325</v>
      </c>
      <c r="L131" s="36" t="b">
        <v>1</v>
      </c>
    </row>
    <row r="132" spans="1:12" ht="12.75" hidden="1">
      <c r="A132" s="448">
        <v>45048.660031388892</v>
      </c>
      <c r="B132" s="449">
        <v>45048</v>
      </c>
      <c r="C132" s="36" t="s">
        <v>3383</v>
      </c>
      <c r="D132" s="450">
        <v>0.75</v>
      </c>
      <c r="E132" s="36" t="s">
        <v>6326</v>
      </c>
      <c r="F132" s="36" t="s">
        <v>6327</v>
      </c>
      <c r="G132" s="36" t="s">
        <v>1361</v>
      </c>
      <c r="H132" s="36" t="s">
        <v>6328</v>
      </c>
      <c r="I132" s="36">
        <v>1</v>
      </c>
      <c r="J132" s="36" t="s">
        <v>5895</v>
      </c>
      <c r="K132" s="36" t="s">
        <v>6329</v>
      </c>
      <c r="L132" s="36" t="b">
        <v>1</v>
      </c>
    </row>
    <row r="133" spans="1:12" ht="12.75" hidden="1">
      <c r="A133" s="448">
        <v>45048.795963993056</v>
      </c>
      <c r="B133" s="449">
        <v>45049</v>
      </c>
      <c r="C133" s="36" t="s">
        <v>12</v>
      </c>
      <c r="D133" s="450">
        <v>0.75</v>
      </c>
      <c r="E133" s="36" t="s">
        <v>6330</v>
      </c>
      <c r="F133" s="36" t="s">
        <v>6331</v>
      </c>
      <c r="G133" s="36" t="s">
        <v>100</v>
      </c>
      <c r="H133" s="36" t="s">
        <v>6332</v>
      </c>
      <c r="I133" s="36">
        <v>1</v>
      </c>
      <c r="J133" s="36" t="s">
        <v>5895</v>
      </c>
      <c r="K133" s="36" t="s">
        <v>6333</v>
      </c>
      <c r="L133" s="36" t="b">
        <v>1</v>
      </c>
    </row>
    <row r="134" spans="1:12" ht="12.75" hidden="1">
      <c r="A134" s="448">
        <v>45048.932062164356</v>
      </c>
      <c r="B134" s="449">
        <v>45048</v>
      </c>
      <c r="C134" s="36" t="s">
        <v>3388</v>
      </c>
      <c r="D134" s="450">
        <v>0.75</v>
      </c>
      <c r="E134" s="36" t="s">
        <v>6334</v>
      </c>
      <c r="F134" s="36">
        <v>16</v>
      </c>
      <c r="G134" s="36" t="s">
        <v>6154</v>
      </c>
      <c r="H134" s="36" t="s">
        <v>6335</v>
      </c>
      <c r="I134" s="36">
        <v>1</v>
      </c>
      <c r="J134" s="36" t="s">
        <v>5895</v>
      </c>
      <c r="K134" s="36" t="s">
        <v>6336</v>
      </c>
      <c r="L134" s="36" t="b">
        <v>1</v>
      </c>
    </row>
    <row r="135" spans="1:12" ht="12.75" hidden="1">
      <c r="A135" s="448">
        <v>45048.932970555557</v>
      </c>
      <c r="B135" s="449">
        <v>45048</v>
      </c>
      <c r="C135" s="36" t="s">
        <v>3388</v>
      </c>
      <c r="D135" s="450">
        <v>0.79166666666424135</v>
      </c>
      <c r="E135" s="36" t="s">
        <v>6337</v>
      </c>
      <c r="F135" s="36" t="s">
        <v>6338</v>
      </c>
      <c r="G135" s="36" t="s">
        <v>6154</v>
      </c>
      <c r="H135" s="36" t="s">
        <v>6339</v>
      </c>
      <c r="I135" s="36">
        <v>2</v>
      </c>
      <c r="J135" s="36" t="s">
        <v>5895</v>
      </c>
      <c r="K135" s="36" t="s">
        <v>6336</v>
      </c>
      <c r="L135" s="36" t="b">
        <v>1</v>
      </c>
    </row>
    <row r="136" spans="1:12" ht="12.75" hidden="1">
      <c r="A136" s="448">
        <v>45049.712983761579</v>
      </c>
      <c r="B136" s="449">
        <v>45052</v>
      </c>
      <c r="C136" s="36" t="s">
        <v>18</v>
      </c>
      <c r="D136" s="450">
        <v>0.45833333333575865</v>
      </c>
      <c r="E136" s="36" t="s">
        <v>6250</v>
      </c>
      <c r="F136" s="36" t="s">
        <v>6340</v>
      </c>
      <c r="G136" s="36" t="s">
        <v>2230</v>
      </c>
      <c r="H136" s="36" t="s">
        <v>2151</v>
      </c>
      <c r="I136" s="36">
        <v>2</v>
      </c>
      <c r="J136" s="36" t="s">
        <v>5895</v>
      </c>
      <c r="K136" s="36" t="s">
        <v>6341</v>
      </c>
      <c r="L136" s="36" t="b">
        <v>0</v>
      </c>
    </row>
    <row r="137" spans="1:12" ht="12.75" hidden="1">
      <c r="A137" s="448">
        <v>45050.407778136578</v>
      </c>
      <c r="B137" s="449">
        <v>45051</v>
      </c>
      <c r="C137" s="36" t="s">
        <v>12</v>
      </c>
      <c r="D137" s="450">
        <v>0.79166666666424135</v>
      </c>
      <c r="E137" s="36" t="s">
        <v>6342</v>
      </c>
      <c r="F137" s="36" t="s">
        <v>6343</v>
      </c>
      <c r="G137" s="36" t="s">
        <v>6344</v>
      </c>
      <c r="H137" s="36" t="s">
        <v>6345</v>
      </c>
      <c r="I137" s="36">
        <v>1</v>
      </c>
      <c r="J137" s="36" t="s">
        <v>5895</v>
      </c>
      <c r="K137" s="36" t="s">
        <v>6346</v>
      </c>
      <c r="L137" s="36" t="b">
        <v>1</v>
      </c>
    </row>
    <row r="138" spans="1:12" ht="12.75" hidden="1">
      <c r="A138" s="448">
        <v>45050.499822083337</v>
      </c>
      <c r="B138" s="449">
        <v>45052</v>
      </c>
      <c r="C138" s="36" t="s">
        <v>12</v>
      </c>
      <c r="D138" s="450">
        <v>0.41666666666424135</v>
      </c>
      <c r="E138" s="36" t="s">
        <v>6347</v>
      </c>
      <c r="F138" s="36" t="s">
        <v>6348</v>
      </c>
      <c r="G138" s="36" t="s">
        <v>6349</v>
      </c>
      <c r="H138" s="36" t="s">
        <v>6350</v>
      </c>
      <c r="I138" s="36">
        <v>2</v>
      </c>
      <c r="J138" s="36" t="s">
        <v>5895</v>
      </c>
      <c r="K138" s="36" t="s">
        <v>6351</v>
      </c>
      <c r="L138" s="36" t="b">
        <v>1</v>
      </c>
    </row>
    <row r="139" spans="1:12" ht="12.75" hidden="1">
      <c r="A139" s="448">
        <v>45050.501901030089</v>
      </c>
      <c r="B139" s="449">
        <v>45053</v>
      </c>
      <c r="C139" s="36" t="s">
        <v>12</v>
      </c>
      <c r="D139" s="450">
        <v>0.42430555555620231</v>
      </c>
      <c r="E139" s="36" t="s">
        <v>6347</v>
      </c>
      <c r="F139" s="36" t="s">
        <v>6352</v>
      </c>
      <c r="G139" s="36" t="s">
        <v>6344</v>
      </c>
      <c r="H139" s="36" t="s">
        <v>6350</v>
      </c>
      <c r="I139" s="36">
        <v>3</v>
      </c>
      <c r="J139" s="36" t="s">
        <v>5895</v>
      </c>
      <c r="K139" s="36" t="s">
        <v>6351</v>
      </c>
      <c r="L139" s="36" t="b">
        <v>1</v>
      </c>
    </row>
    <row r="140" spans="1:12" ht="12.75" hidden="1">
      <c r="A140" s="448">
        <v>45050.641433657409</v>
      </c>
      <c r="B140" s="449">
        <v>45050</v>
      </c>
      <c r="C140" s="36" t="s">
        <v>18</v>
      </c>
      <c r="D140" s="450">
        <v>0.81944444444525288</v>
      </c>
      <c r="E140" s="36" t="s">
        <v>6353</v>
      </c>
      <c r="F140" s="36" t="s">
        <v>6354</v>
      </c>
      <c r="G140" s="36" t="s">
        <v>6355</v>
      </c>
      <c r="H140" s="36" t="s">
        <v>6356</v>
      </c>
      <c r="I140" s="36">
        <v>1</v>
      </c>
      <c r="J140" s="36" t="s">
        <v>5895</v>
      </c>
      <c r="K140" s="36" t="s">
        <v>6249</v>
      </c>
      <c r="L140" s="36" t="b">
        <v>1</v>
      </c>
    </row>
    <row r="141" spans="1:12" ht="12.75" hidden="1">
      <c r="A141" s="448">
        <v>45051.857018900468</v>
      </c>
      <c r="B141" s="449">
        <v>45052</v>
      </c>
      <c r="C141" s="36" t="s">
        <v>18</v>
      </c>
      <c r="D141" s="450">
        <v>0.45833333333575865</v>
      </c>
      <c r="E141" s="36" t="s">
        <v>6357</v>
      </c>
      <c r="F141" s="36" t="s">
        <v>6358</v>
      </c>
      <c r="G141" s="36" t="s">
        <v>266</v>
      </c>
      <c r="H141" s="36" t="s">
        <v>1401</v>
      </c>
      <c r="I141" s="36">
        <v>1</v>
      </c>
      <c r="J141" s="36" t="s">
        <v>5895</v>
      </c>
      <c r="K141" s="36" t="s">
        <v>6359</v>
      </c>
      <c r="L141" s="36" t="b">
        <v>1</v>
      </c>
    </row>
    <row r="142" spans="1:12" ht="12.75" hidden="1">
      <c r="A142" s="448">
        <v>45051.898424293977</v>
      </c>
      <c r="B142" s="449">
        <v>45050</v>
      </c>
      <c r="C142" s="36" t="s">
        <v>3388</v>
      </c>
      <c r="D142" s="450">
        <v>0.6875</v>
      </c>
      <c r="E142" s="36" t="s">
        <v>6360</v>
      </c>
      <c r="F142" s="36" t="s">
        <v>6361</v>
      </c>
      <c r="G142" s="36" t="s">
        <v>6362</v>
      </c>
      <c r="H142" s="36" t="s">
        <v>6363</v>
      </c>
      <c r="I142" s="36">
        <v>1</v>
      </c>
      <c r="J142" s="36" t="s">
        <v>5895</v>
      </c>
      <c r="K142" s="36" t="s">
        <v>5943</v>
      </c>
      <c r="L142" s="36" t="b">
        <v>1</v>
      </c>
    </row>
    <row r="143" spans="1:12" ht="12.75" hidden="1">
      <c r="A143" s="448">
        <v>45052.896277627311</v>
      </c>
      <c r="B143" s="449">
        <v>45053</v>
      </c>
      <c r="C143" s="36" t="s">
        <v>3388</v>
      </c>
      <c r="D143" s="450">
        <v>0.45833333333575865</v>
      </c>
      <c r="E143" s="36" t="s">
        <v>6364</v>
      </c>
      <c r="F143" s="36" t="s">
        <v>6365</v>
      </c>
      <c r="G143" s="36" t="s">
        <v>1251</v>
      </c>
      <c r="H143" s="36" t="s">
        <v>6366</v>
      </c>
      <c r="I143" s="36">
        <v>1</v>
      </c>
      <c r="J143" s="36" t="s">
        <v>5895</v>
      </c>
      <c r="K143" s="36" t="s">
        <v>6367</v>
      </c>
      <c r="L143" s="36" t="b">
        <v>1</v>
      </c>
    </row>
    <row r="144" spans="1:12" ht="12.75" hidden="1">
      <c r="A144" s="448">
        <v>45053.500978067124</v>
      </c>
      <c r="B144" s="449">
        <v>45053</v>
      </c>
      <c r="C144" s="36" t="s">
        <v>12</v>
      </c>
      <c r="D144" s="450">
        <v>0.70833333333575865</v>
      </c>
      <c r="E144" s="36" t="s">
        <v>6368</v>
      </c>
      <c r="F144" s="36" t="s">
        <v>6369</v>
      </c>
      <c r="G144" s="36" t="s">
        <v>214</v>
      </c>
      <c r="H144" s="36" t="s">
        <v>6295</v>
      </c>
      <c r="I144" s="36">
        <v>1</v>
      </c>
      <c r="J144" s="36" t="s">
        <v>5895</v>
      </c>
      <c r="K144" s="36" t="s">
        <v>6370</v>
      </c>
      <c r="L144" s="36" t="b">
        <v>0</v>
      </c>
    </row>
    <row r="145" spans="1:12" ht="12.75" hidden="1">
      <c r="A145" s="448">
        <v>45053.565751469912</v>
      </c>
      <c r="B145" s="449">
        <v>45053</v>
      </c>
      <c r="C145" s="36" t="s">
        <v>13</v>
      </c>
      <c r="D145" s="450">
        <v>0.66666666666424135</v>
      </c>
      <c r="E145" s="36" t="s">
        <v>6371</v>
      </c>
      <c r="F145" s="36" t="s">
        <v>6372</v>
      </c>
      <c r="G145" s="36" t="s">
        <v>6373</v>
      </c>
      <c r="H145" s="36" t="s">
        <v>6266</v>
      </c>
      <c r="I145" s="36">
        <v>1</v>
      </c>
      <c r="J145" s="36" t="s">
        <v>5895</v>
      </c>
      <c r="K145" s="36" t="s">
        <v>6374</v>
      </c>
      <c r="L145" s="36" t="b">
        <v>1</v>
      </c>
    </row>
    <row r="146" spans="1:12" ht="12.75" hidden="1">
      <c r="A146" s="448">
        <v>45053.839536377316</v>
      </c>
      <c r="B146" s="449">
        <v>45053</v>
      </c>
      <c r="C146" s="36" t="s">
        <v>3383</v>
      </c>
      <c r="D146" s="450">
        <v>0.71527777778101154</v>
      </c>
      <c r="E146" s="36" t="s">
        <v>6375</v>
      </c>
      <c r="F146" s="36" t="s">
        <v>6376</v>
      </c>
      <c r="G146" s="36" t="s">
        <v>6377</v>
      </c>
      <c r="H146" s="36" t="s">
        <v>6099</v>
      </c>
      <c r="I146" s="36">
        <v>1</v>
      </c>
      <c r="J146" s="36" t="s">
        <v>5895</v>
      </c>
      <c r="K146" s="36" t="s">
        <v>6378</v>
      </c>
      <c r="L146" s="36" t="b">
        <v>0</v>
      </c>
    </row>
    <row r="147" spans="1:12" ht="12.75" hidden="1">
      <c r="A147" s="448">
        <v>45053.999438692132</v>
      </c>
      <c r="B147" s="449">
        <v>45053</v>
      </c>
      <c r="C147" s="36" t="s">
        <v>3388</v>
      </c>
      <c r="D147" s="450">
        <v>0.81944444444525288</v>
      </c>
      <c r="E147" s="36" t="s">
        <v>6379</v>
      </c>
      <c r="F147" s="36" t="s">
        <v>6380</v>
      </c>
      <c r="G147" s="36" t="s">
        <v>6154</v>
      </c>
      <c r="H147" s="36" t="s">
        <v>5477</v>
      </c>
      <c r="I147" s="36">
        <v>3</v>
      </c>
      <c r="J147" s="36" t="s">
        <v>5895</v>
      </c>
      <c r="K147" s="36" t="s">
        <v>6381</v>
      </c>
      <c r="L147" s="36" t="b">
        <v>1</v>
      </c>
    </row>
    <row r="148" spans="1:12" ht="12.75" hidden="1">
      <c r="A148" s="448">
        <v>45054.398342962959</v>
      </c>
      <c r="B148" s="449">
        <v>45053</v>
      </c>
      <c r="C148" s="36" t="s">
        <v>3383</v>
      </c>
      <c r="D148" s="450">
        <v>0.58333333333575865</v>
      </c>
      <c r="E148" s="36" t="s">
        <v>6382</v>
      </c>
      <c r="F148" s="36" t="s">
        <v>6383</v>
      </c>
      <c r="G148" s="36" t="s">
        <v>6384</v>
      </c>
      <c r="H148" s="36" t="s">
        <v>6385</v>
      </c>
      <c r="I148" s="36">
        <v>1</v>
      </c>
      <c r="J148" s="36" t="s">
        <v>5895</v>
      </c>
      <c r="K148" s="36" t="s">
        <v>6386</v>
      </c>
      <c r="L148" s="36" t="b">
        <v>1</v>
      </c>
    </row>
    <row r="149" spans="1:12" ht="12.75" hidden="1">
      <c r="A149" s="448">
        <v>45054.427324085649</v>
      </c>
      <c r="B149" s="449">
        <v>45057</v>
      </c>
      <c r="C149" s="36" t="s">
        <v>20</v>
      </c>
      <c r="D149" s="450">
        <v>0.75</v>
      </c>
      <c r="E149" s="36" t="s">
        <v>6387</v>
      </c>
      <c r="F149" s="36" t="s">
        <v>6388</v>
      </c>
      <c r="G149" s="36" t="s">
        <v>6221</v>
      </c>
      <c r="H149" s="36" t="s">
        <v>6389</v>
      </c>
      <c r="I149" s="36">
        <v>1</v>
      </c>
      <c r="J149" s="36" t="s">
        <v>5895</v>
      </c>
      <c r="K149" s="36" t="s">
        <v>6390</v>
      </c>
      <c r="L149" s="36" t="b">
        <v>0</v>
      </c>
    </row>
    <row r="150" spans="1:12" ht="12.75" hidden="1">
      <c r="A150" s="448">
        <v>45054.520151168981</v>
      </c>
      <c r="B150" s="449">
        <v>45054</v>
      </c>
      <c r="C150" s="36" t="s">
        <v>11</v>
      </c>
      <c r="D150" s="450">
        <v>0.79166666666424135</v>
      </c>
      <c r="E150" s="36" t="s">
        <v>6391</v>
      </c>
      <c r="F150" s="36" t="s">
        <v>6392</v>
      </c>
      <c r="G150" s="36" t="s">
        <v>514</v>
      </c>
      <c r="H150" s="36" t="s">
        <v>6393</v>
      </c>
      <c r="I150" s="36">
        <v>1</v>
      </c>
      <c r="J150" s="36" t="s">
        <v>5895</v>
      </c>
      <c r="K150" s="36" t="s">
        <v>6394</v>
      </c>
      <c r="L150" s="36" t="b">
        <v>1</v>
      </c>
    </row>
    <row r="151" spans="1:12" ht="12.75" hidden="1">
      <c r="A151" s="448">
        <v>45054.565836099537</v>
      </c>
      <c r="B151" s="449">
        <v>45054</v>
      </c>
      <c r="C151" s="36" t="s">
        <v>11</v>
      </c>
      <c r="D151" s="450">
        <v>0.79166666666424135</v>
      </c>
      <c r="E151" s="36" t="s">
        <v>6395</v>
      </c>
      <c r="F151" s="36" t="s">
        <v>6396</v>
      </c>
      <c r="G151" s="36" t="s">
        <v>6397</v>
      </c>
      <c r="H151" s="36" t="s">
        <v>6398</v>
      </c>
      <c r="I151" s="36">
        <v>1</v>
      </c>
      <c r="J151" s="36" t="s">
        <v>5895</v>
      </c>
      <c r="K151" s="36" t="s">
        <v>6399</v>
      </c>
      <c r="L151" s="36" t="b">
        <v>1</v>
      </c>
    </row>
    <row r="152" spans="1:12" ht="12.75" hidden="1">
      <c r="A152" s="448">
        <v>45054.775306365744</v>
      </c>
      <c r="B152" s="449">
        <v>45055</v>
      </c>
      <c r="C152" s="36" t="s">
        <v>12</v>
      </c>
      <c r="D152" s="450">
        <v>0.75</v>
      </c>
      <c r="E152" s="36" t="s">
        <v>6400</v>
      </c>
      <c r="F152" s="36" t="s">
        <v>6401</v>
      </c>
      <c r="G152" s="36" t="s">
        <v>214</v>
      </c>
      <c r="H152" s="36" t="s">
        <v>6402</v>
      </c>
      <c r="I152" s="36">
        <v>2</v>
      </c>
      <c r="J152" s="36" t="s">
        <v>5895</v>
      </c>
      <c r="K152" s="36" t="s">
        <v>6403</v>
      </c>
      <c r="L152" s="36" t="b">
        <v>0</v>
      </c>
    </row>
    <row r="153" spans="1:12" ht="12.75" hidden="1">
      <c r="A153" s="448">
        <v>45055.462659976853</v>
      </c>
      <c r="B153" s="449">
        <v>45057</v>
      </c>
      <c r="C153" s="36" t="s">
        <v>3383</v>
      </c>
      <c r="D153" s="450">
        <v>0.77083333333575865</v>
      </c>
      <c r="E153" s="36" t="s">
        <v>6404</v>
      </c>
      <c r="F153" s="36" t="s">
        <v>6405</v>
      </c>
      <c r="G153" s="36" t="s">
        <v>756</v>
      </c>
      <c r="H153" s="36" t="s">
        <v>1361</v>
      </c>
      <c r="I153" s="36">
        <v>2</v>
      </c>
      <c r="J153" s="36" t="s">
        <v>5895</v>
      </c>
      <c r="K153" s="36" t="s">
        <v>6406</v>
      </c>
      <c r="L153" s="36" t="b">
        <v>1</v>
      </c>
    </row>
    <row r="154" spans="1:12" ht="12.75" hidden="1">
      <c r="A154" s="448">
        <v>45055.581329745371</v>
      </c>
      <c r="B154" s="449">
        <v>45061</v>
      </c>
      <c r="C154" s="36" t="s">
        <v>12</v>
      </c>
      <c r="D154" s="450">
        <v>0.79166666666424135</v>
      </c>
      <c r="E154" s="36" t="s">
        <v>6407</v>
      </c>
      <c r="F154" s="36" t="s">
        <v>6408</v>
      </c>
      <c r="G154" s="36" t="s">
        <v>6409</v>
      </c>
      <c r="H154" s="36" t="s">
        <v>549</v>
      </c>
      <c r="I154" s="36">
        <v>1</v>
      </c>
      <c r="J154" s="36" t="s">
        <v>5895</v>
      </c>
      <c r="K154" s="36" t="s">
        <v>6410</v>
      </c>
      <c r="L154" s="36" t="b">
        <v>1</v>
      </c>
    </row>
    <row r="155" spans="1:12" ht="12.75" hidden="1">
      <c r="A155" s="448">
        <v>45055.770783680557</v>
      </c>
      <c r="B155" s="449">
        <v>45056</v>
      </c>
      <c r="C155" s="36" t="s">
        <v>18</v>
      </c>
      <c r="D155" s="450">
        <v>0.8125</v>
      </c>
      <c r="E155" s="36" t="s">
        <v>6411</v>
      </c>
      <c r="F155" s="36" t="s">
        <v>6412</v>
      </c>
      <c r="G155" s="36" t="s">
        <v>1096</v>
      </c>
      <c r="H155" s="36" t="s">
        <v>3431</v>
      </c>
      <c r="I155" s="36">
        <v>1</v>
      </c>
      <c r="J155" s="36" t="s">
        <v>5895</v>
      </c>
      <c r="K155" s="36" t="s">
        <v>6413</v>
      </c>
      <c r="L155" s="36" t="b">
        <v>1</v>
      </c>
    </row>
    <row r="156" spans="1:12" ht="12.75" hidden="1">
      <c r="A156" s="448">
        <v>45055.774576134259</v>
      </c>
      <c r="B156" s="449">
        <v>45058</v>
      </c>
      <c r="C156" s="36" t="s">
        <v>18</v>
      </c>
      <c r="D156" s="450">
        <v>0.8125</v>
      </c>
      <c r="E156" s="36" t="s">
        <v>6411</v>
      </c>
      <c r="F156" s="36" t="s">
        <v>6414</v>
      </c>
      <c r="G156" s="36" t="s">
        <v>1096</v>
      </c>
      <c r="H156" s="36" t="s">
        <v>3431</v>
      </c>
      <c r="I156" s="36">
        <v>2</v>
      </c>
      <c r="J156" s="36" t="s">
        <v>5895</v>
      </c>
      <c r="K156" s="36" t="s">
        <v>6413</v>
      </c>
      <c r="L156" s="36" t="b">
        <v>1</v>
      </c>
    </row>
    <row r="157" spans="1:12" ht="12.75" hidden="1">
      <c r="A157" s="448">
        <v>45055.832472337963</v>
      </c>
      <c r="B157" s="449">
        <v>45056</v>
      </c>
      <c r="C157" s="36" t="s">
        <v>12</v>
      </c>
      <c r="D157" s="450">
        <v>0.79166666666424135</v>
      </c>
      <c r="E157" s="36" t="s">
        <v>6415</v>
      </c>
      <c r="F157" s="36" t="s">
        <v>6416</v>
      </c>
      <c r="G157" s="36" t="s">
        <v>6417</v>
      </c>
      <c r="H157" s="36" t="s">
        <v>6418</v>
      </c>
      <c r="I157" s="36">
        <v>1</v>
      </c>
      <c r="J157" s="36" t="s">
        <v>5895</v>
      </c>
      <c r="K157" s="36" t="s">
        <v>6419</v>
      </c>
      <c r="L157" s="36" t="b">
        <v>0</v>
      </c>
    </row>
    <row r="158" spans="1:12" ht="12.75" hidden="1">
      <c r="A158" s="448">
        <v>45056.254690150468</v>
      </c>
      <c r="B158" s="449">
        <v>45056</v>
      </c>
      <c r="C158" s="36" t="s">
        <v>20</v>
      </c>
      <c r="D158" s="450">
        <v>0.70833333333575865</v>
      </c>
      <c r="E158" s="36" t="s">
        <v>6420</v>
      </c>
      <c r="F158" s="36" t="s">
        <v>6421</v>
      </c>
      <c r="G158" s="36" t="s">
        <v>273</v>
      </c>
      <c r="H158" s="36" t="s">
        <v>6422</v>
      </c>
      <c r="I158" s="36">
        <v>1</v>
      </c>
      <c r="J158" s="36" t="s">
        <v>5895</v>
      </c>
      <c r="K158" s="36" t="s">
        <v>6423</v>
      </c>
      <c r="L158" s="36" t="b">
        <v>0</v>
      </c>
    </row>
    <row r="159" spans="1:12" ht="12.75" hidden="1">
      <c r="A159" s="448">
        <v>45057.454140648144</v>
      </c>
      <c r="B159" s="449">
        <v>45060</v>
      </c>
      <c r="C159" s="36" t="s">
        <v>12</v>
      </c>
      <c r="D159" s="450">
        <v>0.41666666666424135</v>
      </c>
      <c r="E159" s="36" t="s">
        <v>6424</v>
      </c>
      <c r="F159" s="36" t="s">
        <v>6425</v>
      </c>
      <c r="G159" s="36" t="s">
        <v>6032</v>
      </c>
      <c r="H159" s="36" t="s">
        <v>6426</v>
      </c>
      <c r="I159" s="36">
        <v>1</v>
      </c>
      <c r="J159" s="36" t="s">
        <v>5895</v>
      </c>
      <c r="K159" s="36" t="s">
        <v>6427</v>
      </c>
      <c r="L159" s="36" t="b">
        <v>1</v>
      </c>
    </row>
    <row r="160" spans="1:12" ht="12.75" hidden="1">
      <c r="A160" s="448">
        <v>45057.466378263889</v>
      </c>
      <c r="B160" s="449">
        <v>45057</v>
      </c>
      <c r="C160" s="36" t="s">
        <v>3388</v>
      </c>
      <c r="D160" s="450">
        <v>0.75</v>
      </c>
      <c r="E160" s="36" t="s">
        <v>6428</v>
      </c>
      <c r="F160" s="36" t="s">
        <v>6429</v>
      </c>
      <c r="G160" s="36" t="s">
        <v>4000</v>
      </c>
      <c r="H160" s="36" t="s">
        <v>3547</v>
      </c>
      <c r="I160" s="36">
        <v>1</v>
      </c>
      <c r="J160" s="36" t="s">
        <v>5895</v>
      </c>
      <c r="K160" s="36" t="s">
        <v>6430</v>
      </c>
      <c r="L160" s="36" t="b">
        <v>1</v>
      </c>
    </row>
    <row r="161" spans="1:13" ht="12.75" hidden="1">
      <c r="A161" s="448">
        <v>45057.477965370374</v>
      </c>
      <c r="B161" s="449">
        <v>45058</v>
      </c>
      <c r="C161" s="36" t="s">
        <v>3388</v>
      </c>
      <c r="D161" s="450">
        <v>0.75</v>
      </c>
      <c r="E161" s="36" t="s">
        <v>6431</v>
      </c>
      <c r="F161" s="36" t="s">
        <v>6432</v>
      </c>
      <c r="G161" s="36" t="s">
        <v>6433</v>
      </c>
      <c r="H161" s="36" t="s">
        <v>1052</v>
      </c>
      <c r="I161" s="36">
        <v>1</v>
      </c>
      <c r="J161" s="36" t="s">
        <v>5895</v>
      </c>
      <c r="K161" s="36" t="s">
        <v>6434</v>
      </c>
      <c r="L161" s="36" t="b">
        <v>1</v>
      </c>
    </row>
    <row r="162" spans="1:13" ht="12.75" hidden="1">
      <c r="A162" s="448">
        <v>45057.596170891207</v>
      </c>
      <c r="B162" s="449">
        <v>45052</v>
      </c>
      <c r="C162" s="36" t="s">
        <v>12</v>
      </c>
      <c r="D162" s="450">
        <v>0.41666666666424135</v>
      </c>
      <c r="E162" s="36" t="s">
        <v>6435</v>
      </c>
      <c r="F162" s="36" t="s">
        <v>6436</v>
      </c>
      <c r="G162" s="36" t="s">
        <v>361</v>
      </c>
      <c r="H162" s="36" t="s">
        <v>286</v>
      </c>
      <c r="I162" s="36">
        <v>1</v>
      </c>
      <c r="J162" s="36" t="s">
        <v>6093</v>
      </c>
      <c r="K162" s="36" t="s">
        <v>6437</v>
      </c>
      <c r="L162" s="36" t="b">
        <v>1</v>
      </c>
    </row>
    <row r="163" spans="1:13" ht="12.75" hidden="1">
      <c r="A163" s="448">
        <v>45057.601192164351</v>
      </c>
      <c r="B163" s="449">
        <v>45054</v>
      </c>
      <c r="C163" s="36" t="s">
        <v>12</v>
      </c>
      <c r="D163" s="450">
        <v>0.79166666666424135</v>
      </c>
      <c r="E163" s="36" t="s">
        <v>6438</v>
      </c>
      <c r="F163" s="36" t="s">
        <v>6439</v>
      </c>
      <c r="G163" s="36" t="s">
        <v>361</v>
      </c>
      <c r="H163" s="36" t="s">
        <v>280</v>
      </c>
      <c r="I163" s="36">
        <v>1</v>
      </c>
      <c r="J163" s="36" t="s">
        <v>6093</v>
      </c>
      <c r="K163" s="36" t="s">
        <v>6437</v>
      </c>
      <c r="L163" s="36" t="b">
        <v>1</v>
      </c>
    </row>
    <row r="164" spans="1:13" ht="12.75" hidden="1">
      <c r="A164" s="448">
        <v>45057.603369537042</v>
      </c>
      <c r="B164" s="449">
        <v>45056</v>
      </c>
      <c r="C164" s="36" t="s">
        <v>12</v>
      </c>
      <c r="D164" s="450">
        <v>0.79166666666424135</v>
      </c>
      <c r="E164" s="36" t="s">
        <v>6440</v>
      </c>
      <c r="F164" s="36" t="s">
        <v>6441</v>
      </c>
      <c r="G164" s="36" t="s">
        <v>361</v>
      </c>
      <c r="H164" s="36" t="s">
        <v>123</v>
      </c>
      <c r="I164" s="36">
        <v>1</v>
      </c>
      <c r="J164" s="36" t="s">
        <v>6093</v>
      </c>
      <c r="K164" s="36" t="s">
        <v>6437</v>
      </c>
      <c r="L164" s="36" t="b">
        <v>1</v>
      </c>
    </row>
    <row r="165" spans="1:13" ht="12.75" hidden="1">
      <c r="A165" s="448">
        <v>45057.719229629627</v>
      </c>
      <c r="B165" s="449">
        <v>45057</v>
      </c>
      <c r="C165" s="36" t="s">
        <v>3388</v>
      </c>
      <c r="D165" s="450">
        <v>0.75</v>
      </c>
      <c r="E165" s="36" t="s">
        <v>6442</v>
      </c>
      <c r="F165" s="36" t="s">
        <v>6443</v>
      </c>
      <c r="G165" s="36" t="s">
        <v>1305</v>
      </c>
      <c r="H165" s="36" t="s">
        <v>6444</v>
      </c>
      <c r="I165" s="36">
        <v>1</v>
      </c>
      <c r="J165" s="36" t="s">
        <v>5895</v>
      </c>
      <c r="K165" s="36" t="s">
        <v>6445</v>
      </c>
      <c r="L165" s="36" t="b">
        <v>1</v>
      </c>
    </row>
    <row r="166" spans="1:13" ht="12.75" hidden="1">
      <c r="A166" s="448">
        <v>45058.569695659724</v>
      </c>
      <c r="B166" s="449">
        <v>45059</v>
      </c>
      <c r="C166" s="36" t="s">
        <v>11</v>
      </c>
      <c r="D166" s="450">
        <v>0.41666666666424135</v>
      </c>
      <c r="E166" s="36" t="s">
        <v>6446</v>
      </c>
      <c r="F166" s="36" t="s">
        <v>6447</v>
      </c>
      <c r="G166" s="36" t="s">
        <v>6448</v>
      </c>
      <c r="H166" s="36" t="s">
        <v>6449</v>
      </c>
      <c r="I166" s="36">
        <v>1</v>
      </c>
      <c r="J166" s="36" t="s">
        <v>5895</v>
      </c>
      <c r="K166" s="36" t="s">
        <v>6450</v>
      </c>
      <c r="L166" s="36" t="b">
        <v>1</v>
      </c>
    </row>
    <row r="167" spans="1:13" ht="12.75" hidden="1">
      <c r="A167" s="448">
        <v>45058.641639525464</v>
      </c>
      <c r="B167" s="449">
        <v>45060</v>
      </c>
      <c r="C167" s="36" t="s">
        <v>3388</v>
      </c>
      <c r="D167" s="450">
        <v>0.41666666666424135</v>
      </c>
      <c r="E167" s="36" t="s">
        <v>6451</v>
      </c>
      <c r="F167" s="36" t="s">
        <v>6452</v>
      </c>
      <c r="G167" s="36" t="s">
        <v>6433</v>
      </c>
      <c r="H167" s="36" t="s">
        <v>2136</v>
      </c>
      <c r="I167" s="36">
        <v>2</v>
      </c>
      <c r="J167" s="36" t="s">
        <v>5895</v>
      </c>
      <c r="K167" s="36" t="s">
        <v>6453</v>
      </c>
      <c r="L167" s="36" t="b">
        <v>1</v>
      </c>
    </row>
    <row r="168" spans="1:13" ht="12.75" hidden="1">
      <c r="A168" s="448">
        <v>45059.014802476857</v>
      </c>
      <c r="B168" s="449">
        <v>45057</v>
      </c>
      <c r="C168" s="36" t="s">
        <v>3388</v>
      </c>
      <c r="D168" s="450">
        <v>0.75</v>
      </c>
      <c r="E168" s="36" t="s">
        <v>6187</v>
      </c>
      <c r="F168" s="36" t="s">
        <v>6454</v>
      </c>
      <c r="G168" s="36" t="s">
        <v>1483</v>
      </c>
      <c r="H168" s="36" t="s">
        <v>5906</v>
      </c>
      <c r="I168" s="36">
        <v>1</v>
      </c>
      <c r="J168" s="36" t="s">
        <v>5895</v>
      </c>
      <c r="K168" s="36" t="s">
        <v>6255</v>
      </c>
      <c r="L168" s="36" t="b">
        <v>1</v>
      </c>
    </row>
    <row r="169" spans="1:13" ht="12.75" hidden="1">
      <c r="A169" s="448">
        <v>45059.34242173611</v>
      </c>
      <c r="B169" s="449">
        <v>45059</v>
      </c>
      <c r="C169" s="36" t="s">
        <v>3383</v>
      </c>
      <c r="D169" s="450">
        <v>0.41666666666424135</v>
      </c>
      <c r="E169" s="36" t="s">
        <v>6455</v>
      </c>
      <c r="F169" s="36" t="s">
        <v>6456</v>
      </c>
      <c r="G169" s="36" t="s">
        <v>3504</v>
      </c>
      <c r="H169" s="36" t="s">
        <v>462</v>
      </c>
      <c r="I169" s="36">
        <v>2</v>
      </c>
      <c r="J169" s="36" t="s">
        <v>5895</v>
      </c>
      <c r="K169" s="36" t="s">
        <v>6457</v>
      </c>
      <c r="L169" s="36" t="b">
        <v>1</v>
      </c>
    </row>
    <row r="170" spans="1:13" ht="12.75" hidden="1">
      <c r="A170" s="448">
        <v>45059.556394872685</v>
      </c>
      <c r="B170" s="449">
        <v>45059</v>
      </c>
      <c r="C170" s="36" t="s">
        <v>12</v>
      </c>
      <c r="D170" s="450">
        <v>0.625</v>
      </c>
      <c r="E170" s="36" t="s">
        <v>6458</v>
      </c>
      <c r="F170" s="36" t="s">
        <v>6459</v>
      </c>
      <c r="G170" s="36" t="s">
        <v>6460</v>
      </c>
      <c r="H170" s="36" t="s">
        <v>83</v>
      </c>
      <c r="I170" s="36">
        <v>1</v>
      </c>
      <c r="J170" s="36" t="s">
        <v>5895</v>
      </c>
      <c r="K170" s="36" t="s">
        <v>6122</v>
      </c>
      <c r="L170" s="36" t="b">
        <v>1</v>
      </c>
    </row>
    <row r="171" spans="1:13" ht="12.75" hidden="1">
      <c r="A171" s="448">
        <v>45059.934166192128</v>
      </c>
      <c r="B171" s="449">
        <v>45058</v>
      </c>
      <c r="C171" s="36" t="s">
        <v>3388</v>
      </c>
      <c r="D171" s="450">
        <v>0.75</v>
      </c>
      <c r="E171" s="36" t="s">
        <v>6461</v>
      </c>
      <c r="F171" s="36" t="s">
        <v>6462</v>
      </c>
      <c r="G171" s="36" t="s">
        <v>320</v>
      </c>
      <c r="H171" s="36" t="s">
        <v>6463</v>
      </c>
      <c r="I171" s="36">
        <v>2</v>
      </c>
      <c r="J171" s="36" t="s">
        <v>5895</v>
      </c>
      <c r="K171" s="36" t="s">
        <v>6464</v>
      </c>
      <c r="L171" s="36" t="b">
        <v>1</v>
      </c>
    </row>
    <row r="172" spans="1:13" ht="12.75" hidden="1">
      <c r="A172" s="448">
        <v>45060.050371053236</v>
      </c>
      <c r="B172" s="449">
        <v>45065</v>
      </c>
      <c r="C172" s="36" t="s">
        <v>13</v>
      </c>
      <c r="D172" s="450">
        <v>0.75</v>
      </c>
      <c r="E172" s="36" t="s">
        <v>6465</v>
      </c>
      <c r="F172" s="36" t="s">
        <v>6466</v>
      </c>
      <c r="G172" s="36" t="s">
        <v>86</v>
      </c>
      <c r="H172" s="36" t="s">
        <v>646</v>
      </c>
      <c r="I172" s="36">
        <v>1</v>
      </c>
      <c r="J172" s="36" t="s">
        <v>5895</v>
      </c>
      <c r="K172" s="36" t="s">
        <v>6467</v>
      </c>
      <c r="L172" s="36" t="b">
        <v>0</v>
      </c>
    </row>
    <row r="173" spans="1:13" ht="12.75" hidden="1">
      <c r="A173" s="448">
        <v>45060.411234340281</v>
      </c>
      <c r="B173" s="449">
        <v>45060</v>
      </c>
      <c r="C173" s="36" t="s">
        <v>3383</v>
      </c>
      <c r="D173" s="450">
        <v>0.41666666666424135</v>
      </c>
      <c r="E173" s="36" t="s">
        <v>6468</v>
      </c>
      <c r="F173" s="36" t="s">
        <v>6469</v>
      </c>
      <c r="G173" s="36" t="s">
        <v>708</v>
      </c>
      <c r="H173" s="36" t="s">
        <v>6470</v>
      </c>
      <c r="I173" s="36">
        <v>1</v>
      </c>
      <c r="J173" s="36" t="s">
        <v>5895</v>
      </c>
      <c r="K173" s="36" t="s">
        <v>6471</v>
      </c>
      <c r="L173" s="36" t="b">
        <v>1</v>
      </c>
    </row>
    <row r="174" spans="1:13" ht="12.75" hidden="1">
      <c r="A174" s="448">
        <v>45060.741297847228</v>
      </c>
      <c r="B174" s="449">
        <v>45060</v>
      </c>
      <c r="C174" s="36" t="s">
        <v>3388</v>
      </c>
      <c r="D174" s="450">
        <v>0.41666666666424135</v>
      </c>
      <c r="E174" s="36" t="s">
        <v>6342</v>
      </c>
      <c r="F174" s="36" t="s">
        <v>6472</v>
      </c>
      <c r="G174" s="36" t="s">
        <v>1061</v>
      </c>
      <c r="H174" s="36" t="s">
        <v>3941</v>
      </c>
      <c r="I174" s="36">
        <v>1</v>
      </c>
      <c r="J174" s="36" t="s">
        <v>5895</v>
      </c>
      <c r="K174" s="36" t="s">
        <v>6473</v>
      </c>
      <c r="L174" s="36" t="b">
        <v>1</v>
      </c>
      <c r="M174" s="36" t="s">
        <v>6474</v>
      </c>
    </row>
    <row r="175" spans="1:13" ht="12.75" hidden="1">
      <c r="A175" s="448">
        <v>45061.013317523146</v>
      </c>
      <c r="B175" s="449">
        <v>45066</v>
      </c>
      <c r="C175" s="36" t="s">
        <v>18</v>
      </c>
      <c r="D175" s="450">
        <v>0.375</v>
      </c>
      <c r="E175" s="36" t="s">
        <v>6475</v>
      </c>
      <c r="F175" s="36" t="s">
        <v>6476</v>
      </c>
      <c r="G175" s="36" t="s">
        <v>6261</v>
      </c>
      <c r="H175" s="36" t="s">
        <v>78</v>
      </c>
      <c r="I175" s="36">
        <v>1</v>
      </c>
      <c r="J175" s="36" t="s">
        <v>5895</v>
      </c>
      <c r="K175" s="36" t="s">
        <v>6477</v>
      </c>
      <c r="L175" s="36" t="b">
        <v>0</v>
      </c>
    </row>
    <row r="176" spans="1:13" ht="12.75" hidden="1">
      <c r="A176" s="448">
        <v>45061.013810960649</v>
      </c>
      <c r="B176" s="449">
        <v>45067</v>
      </c>
      <c r="C176" s="36" t="s">
        <v>18</v>
      </c>
      <c r="D176" s="450">
        <v>0.375</v>
      </c>
      <c r="E176" s="36" t="s">
        <v>6475</v>
      </c>
      <c r="F176" s="36" t="s">
        <v>6478</v>
      </c>
      <c r="G176" s="36" t="s">
        <v>6261</v>
      </c>
      <c r="H176" s="36" t="s">
        <v>78</v>
      </c>
      <c r="I176" s="36">
        <v>2</v>
      </c>
      <c r="J176" s="36" t="s">
        <v>5895</v>
      </c>
      <c r="K176" s="36" t="s">
        <v>6477</v>
      </c>
      <c r="L176" s="36" t="b">
        <v>0</v>
      </c>
    </row>
    <row r="177" spans="1:13" ht="12.75" hidden="1">
      <c r="A177" s="448">
        <v>45062.442733761578</v>
      </c>
      <c r="B177" s="449">
        <v>45062</v>
      </c>
      <c r="C177" s="36" t="s">
        <v>3388</v>
      </c>
      <c r="D177" s="450">
        <v>0.79166666666424135</v>
      </c>
      <c r="E177" s="36" t="s">
        <v>6479</v>
      </c>
      <c r="F177" s="36" t="s">
        <v>6480</v>
      </c>
      <c r="G177" s="36" t="s">
        <v>5929</v>
      </c>
      <c r="H177" s="36" t="s">
        <v>1117</v>
      </c>
      <c r="I177" s="36">
        <v>1</v>
      </c>
      <c r="J177" s="36" t="s">
        <v>5895</v>
      </c>
      <c r="K177" s="36" t="s">
        <v>6481</v>
      </c>
      <c r="L177" s="36" t="b">
        <v>1</v>
      </c>
    </row>
    <row r="178" spans="1:13" ht="12.75" hidden="1">
      <c r="A178" s="448">
        <v>45062.634449074074</v>
      </c>
      <c r="B178" s="449">
        <v>45062</v>
      </c>
      <c r="C178" s="36" t="s">
        <v>3383</v>
      </c>
      <c r="D178" s="450">
        <v>0.83333333333575865</v>
      </c>
      <c r="E178" s="36" t="s">
        <v>6482</v>
      </c>
      <c r="F178" s="36" t="s">
        <v>6483</v>
      </c>
      <c r="G178" s="36" t="s">
        <v>6484</v>
      </c>
      <c r="H178" s="36" t="s">
        <v>6485</v>
      </c>
      <c r="I178" s="36">
        <v>1</v>
      </c>
      <c r="J178" s="36" t="s">
        <v>5895</v>
      </c>
      <c r="K178" s="36" t="s">
        <v>6242</v>
      </c>
      <c r="L178" s="36" t="b">
        <v>1</v>
      </c>
    </row>
    <row r="179" spans="1:13" ht="12.75" hidden="1">
      <c r="A179" s="448">
        <v>45062.908165960645</v>
      </c>
      <c r="B179" s="449">
        <v>45062</v>
      </c>
      <c r="C179" s="36" t="s">
        <v>11</v>
      </c>
      <c r="D179" s="450">
        <v>0.77083333333575865</v>
      </c>
      <c r="E179" s="36" t="s">
        <v>6486</v>
      </c>
      <c r="F179" s="36" t="s">
        <v>6392</v>
      </c>
      <c r="G179" s="36" t="s">
        <v>6487</v>
      </c>
      <c r="H179" s="36" t="s">
        <v>6488</v>
      </c>
      <c r="I179" s="36">
        <v>2</v>
      </c>
      <c r="J179" s="36" t="s">
        <v>5895</v>
      </c>
      <c r="K179" s="36" t="s">
        <v>6489</v>
      </c>
      <c r="L179" s="36" t="b">
        <v>1</v>
      </c>
    </row>
    <row r="180" spans="1:13" ht="12.75" hidden="1">
      <c r="A180" s="448">
        <v>45063.038288611111</v>
      </c>
      <c r="B180" s="449">
        <v>45057</v>
      </c>
      <c r="C180" s="36" t="s">
        <v>3388</v>
      </c>
      <c r="D180" s="450">
        <v>0.79166666666424135</v>
      </c>
      <c r="E180" s="36" t="s">
        <v>6490</v>
      </c>
      <c r="F180" s="36" t="s">
        <v>6491</v>
      </c>
      <c r="G180" s="36" t="s">
        <v>4000</v>
      </c>
      <c r="H180" s="36" t="s">
        <v>6492</v>
      </c>
      <c r="I180" s="36">
        <v>2</v>
      </c>
      <c r="J180" s="36" t="s">
        <v>5895</v>
      </c>
      <c r="K180" s="36" t="s">
        <v>6493</v>
      </c>
      <c r="L180" s="36" t="b">
        <v>1</v>
      </c>
      <c r="M180" s="36" t="s">
        <v>6494</v>
      </c>
    </row>
    <row r="181" spans="1:13" ht="12.75" hidden="1">
      <c r="A181" s="448">
        <v>45063.48169443287</v>
      </c>
      <c r="B181" s="449">
        <v>45061</v>
      </c>
      <c r="C181" s="36" t="s">
        <v>3383</v>
      </c>
      <c r="D181" s="450">
        <v>0.75</v>
      </c>
      <c r="E181" s="36" t="s">
        <v>6495</v>
      </c>
      <c r="F181" s="36" t="s">
        <v>6496</v>
      </c>
      <c r="G181" s="36" t="s">
        <v>6497</v>
      </c>
      <c r="H181" s="36" t="s">
        <v>718</v>
      </c>
      <c r="I181" s="36">
        <v>1</v>
      </c>
      <c r="J181" s="36" t="s">
        <v>5895</v>
      </c>
      <c r="K181" s="36" t="s">
        <v>6498</v>
      </c>
      <c r="L181" s="36" t="b">
        <v>1</v>
      </c>
    </row>
    <row r="182" spans="1:13" ht="12.75" hidden="1">
      <c r="A182" s="448">
        <v>45063.699695787036</v>
      </c>
      <c r="B182" s="449">
        <v>45063</v>
      </c>
      <c r="C182" s="36" t="s">
        <v>3388</v>
      </c>
      <c r="D182" s="450">
        <v>0.75</v>
      </c>
      <c r="E182" s="36" t="s">
        <v>6499</v>
      </c>
      <c r="F182" s="36">
        <v>9</v>
      </c>
      <c r="G182" s="36" t="s">
        <v>6492</v>
      </c>
      <c r="H182" s="36" t="s">
        <v>6500</v>
      </c>
      <c r="I182" s="36">
        <v>1</v>
      </c>
      <c r="J182" s="36" t="s">
        <v>5895</v>
      </c>
      <c r="K182" s="36" t="s">
        <v>6501</v>
      </c>
      <c r="L182" s="36" t="b">
        <v>1</v>
      </c>
      <c r="M182" s="36" t="s">
        <v>6494</v>
      </c>
    </row>
    <row r="183" spans="1:13" ht="12.75" hidden="1">
      <c r="A183" s="448">
        <v>45063.707303530093</v>
      </c>
      <c r="B183" s="449">
        <v>45066</v>
      </c>
      <c r="C183" s="36" t="s">
        <v>3388</v>
      </c>
      <c r="D183" s="450">
        <v>0.41666666666424135</v>
      </c>
      <c r="E183" s="36" t="s">
        <v>6357</v>
      </c>
      <c r="F183" s="36" t="s">
        <v>6502</v>
      </c>
      <c r="G183" s="36" t="s">
        <v>1158</v>
      </c>
      <c r="H183" s="36" t="s">
        <v>996</v>
      </c>
      <c r="I183" s="36">
        <v>1</v>
      </c>
      <c r="J183" s="36" t="s">
        <v>5895</v>
      </c>
      <c r="K183" s="36" t="s">
        <v>6242</v>
      </c>
      <c r="L183" s="36" t="b">
        <v>1</v>
      </c>
    </row>
    <row r="184" spans="1:13" ht="12.75" hidden="1">
      <c r="A184" s="448">
        <v>45064.590475428238</v>
      </c>
      <c r="B184" s="449">
        <v>45064</v>
      </c>
      <c r="C184" s="36" t="s">
        <v>3383</v>
      </c>
      <c r="D184" s="450">
        <v>0.75</v>
      </c>
      <c r="E184" s="36" t="s">
        <v>6503</v>
      </c>
      <c r="F184" s="36" t="s">
        <v>6504</v>
      </c>
      <c r="G184" s="36" t="s">
        <v>631</v>
      </c>
      <c r="H184" s="36" t="s">
        <v>6104</v>
      </c>
      <c r="I184" s="36">
        <v>1</v>
      </c>
      <c r="J184" s="36" t="s">
        <v>5895</v>
      </c>
      <c r="K184" s="36" t="s">
        <v>6505</v>
      </c>
      <c r="L184" s="36" t="b">
        <v>1</v>
      </c>
    </row>
    <row r="185" spans="1:13" ht="12.75" hidden="1">
      <c r="A185" s="448">
        <v>45065.844338136572</v>
      </c>
      <c r="B185" s="449">
        <v>45066</v>
      </c>
      <c r="C185" s="36" t="s">
        <v>13</v>
      </c>
      <c r="D185" s="450">
        <v>0.45833333333575865</v>
      </c>
      <c r="E185" s="36" t="s">
        <v>6506</v>
      </c>
      <c r="F185" s="36" t="s">
        <v>6507</v>
      </c>
      <c r="G185" s="36" t="s">
        <v>4141</v>
      </c>
      <c r="H185" s="36" t="s">
        <v>841</v>
      </c>
      <c r="I185" s="36">
        <v>1</v>
      </c>
      <c r="J185" s="36" t="s">
        <v>5895</v>
      </c>
      <c r="K185" s="36" t="s">
        <v>6508</v>
      </c>
      <c r="L185" s="36" t="b">
        <v>0</v>
      </c>
    </row>
    <row r="186" spans="1:13" ht="12.75" hidden="1">
      <c r="A186" s="448">
        <v>45065.933749317133</v>
      </c>
      <c r="B186" s="449">
        <v>45066</v>
      </c>
      <c r="C186" s="36" t="s">
        <v>12</v>
      </c>
      <c r="D186" s="450">
        <v>0.41666666666424135</v>
      </c>
      <c r="E186" s="36" t="s">
        <v>6509</v>
      </c>
      <c r="F186" s="36" t="s">
        <v>6510</v>
      </c>
      <c r="G186" s="36" t="s">
        <v>1446</v>
      </c>
      <c r="H186" s="36" t="s">
        <v>6511</v>
      </c>
      <c r="I186" s="36">
        <v>1</v>
      </c>
      <c r="J186" s="36" t="s">
        <v>5895</v>
      </c>
      <c r="K186" s="36" t="s">
        <v>6512</v>
      </c>
      <c r="L186" s="36" t="b">
        <v>1</v>
      </c>
    </row>
    <row r="187" spans="1:13" ht="12.75" hidden="1">
      <c r="A187" s="448">
        <v>45066.082535370369</v>
      </c>
      <c r="B187" s="449">
        <v>45063</v>
      </c>
      <c r="C187" s="36" t="s">
        <v>3388</v>
      </c>
      <c r="D187" s="450">
        <v>0.75</v>
      </c>
      <c r="E187" s="36" t="s">
        <v>6513</v>
      </c>
      <c r="F187" s="36" t="s">
        <v>6514</v>
      </c>
      <c r="G187" s="36" t="s">
        <v>6154</v>
      </c>
      <c r="H187" s="36" t="s">
        <v>6335</v>
      </c>
      <c r="I187" s="36">
        <v>5</v>
      </c>
      <c r="J187" s="36" t="s">
        <v>5895</v>
      </c>
      <c r="K187" s="36" t="s">
        <v>6515</v>
      </c>
      <c r="L187" s="36" t="b">
        <v>1</v>
      </c>
    </row>
    <row r="188" spans="1:13" ht="12.75" hidden="1">
      <c r="A188" s="448">
        <v>45066.083370775465</v>
      </c>
      <c r="B188" s="449">
        <v>45063</v>
      </c>
      <c r="C188" s="36" t="s">
        <v>3388</v>
      </c>
      <c r="D188" s="450">
        <v>0.8125</v>
      </c>
      <c r="E188" s="36" t="s">
        <v>6516</v>
      </c>
      <c r="F188" s="36" t="s">
        <v>6517</v>
      </c>
      <c r="G188" s="36" t="s">
        <v>6154</v>
      </c>
      <c r="H188" s="36" t="s">
        <v>6335</v>
      </c>
      <c r="I188" s="36">
        <v>6</v>
      </c>
      <c r="J188" s="36" t="s">
        <v>5895</v>
      </c>
      <c r="K188" s="36" t="s">
        <v>6515</v>
      </c>
      <c r="L188" s="36" t="b">
        <v>1</v>
      </c>
      <c r="M188" s="36" t="s">
        <v>6518</v>
      </c>
    </row>
    <row r="189" spans="1:13" ht="12.75" hidden="1">
      <c r="A189" s="448">
        <v>45066.56026726852</v>
      </c>
      <c r="B189" s="449">
        <v>45067</v>
      </c>
      <c r="C189" s="36" t="s">
        <v>12</v>
      </c>
      <c r="D189" s="450">
        <v>0.45833333333575865</v>
      </c>
      <c r="E189" s="36" t="s">
        <v>6519</v>
      </c>
      <c r="F189" s="36">
        <v>14</v>
      </c>
      <c r="G189" s="36" t="s">
        <v>311</v>
      </c>
      <c r="H189" s="36" t="s">
        <v>734</v>
      </c>
      <c r="I189" s="36">
        <v>1</v>
      </c>
      <c r="J189" s="36" t="s">
        <v>5895</v>
      </c>
      <c r="K189" s="36" t="s">
        <v>6520</v>
      </c>
      <c r="L189" s="36" t="b">
        <v>1</v>
      </c>
    </row>
    <row r="190" spans="1:13" ht="12.75" hidden="1">
      <c r="A190" s="448">
        <v>45067.711435092591</v>
      </c>
      <c r="B190" s="449">
        <v>45067</v>
      </c>
      <c r="C190" s="36" t="s">
        <v>3388</v>
      </c>
      <c r="D190" s="450">
        <v>0.75</v>
      </c>
      <c r="E190" s="36" t="s">
        <v>6521</v>
      </c>
      <c r="F190" s="36" t="s">
        <v>6522</v>
      </c>
      <c r="G190" s="36" t="s">
        <v>4000</v>
      </c>
      <c r="H190" s="36" t="s">
        <v>6523</v>
      </c>
      <c r="I190" s="36">
        <v>4</v>
      </c>
      <c r="J190" s="36" t="s">
        <v>5895</v>
      </c>
      <c r="K190" s="36" t="s">
        <v>6524</v>
      </c>
      <c r="L190" s="36" t="b">
        <v>1</v>
      </c>
    </row>
    <row r="191" spans="1:13" ht="12.75" hidden="1">
      <c r="A191" s="448">
        <v>45067.742570057875</v>
      </c>
      <c r="B191" s="449">
        <v>45065</v>
      </c>
      <c r="C191" s="36" t="s">
        <v>3388</v>
      </c>
      <c r="D191" s="450">
        <v>0.75</v>
      </c>
      <c r="E191" s="36" t="s">
        <v>6525</v>
      </c>
      <c r="F191" s="36" t="s">
        <v>6526</v>
      </c>
      <c r="G191" s="36" t="s">
        <v>4000</v>
      </c>
      <c r="H191" s="36" t="s">
        <v>6527</v>
      </c>
      <c r="I191" s="36">
        <v>3</v>
      </c>
      <c r="J191" s="36" t="s">
        <v>5895</v>
      </c>
      <c r="K191" s="36" t="s">
        <v>6524</v>
      </c>
      <c r="L191" s="36" t="b">
        <v>1</v>
      </c>
    </row>
    <row r="192" spans="1:13" ht="12.75" hidden="1">
      <c r="A192" s="448">
        <v>45069.369257754632</v>
      </c>
      <c r="B192" s="449">
        <v>45073</v>
      </c>
      <c r="C192" s="36" t="s">
        <v>13</v>
      </c>
      <c r="D192" s="450">
        <v>0.45833333333575865</v>
      </c>
      <c r="E192" s="36" t="s">
        <v>6528</v>
      </c>
      <c r="F192" s="36" t="s">
        <v>6529</v>
      </c>
      <c r="G192" s="36" t="s">
        <v>6530</v>
      </c>
      <c r="H192" s="36" t="s">
        <v>6531</v>
      </c>
      <c r="I192" s="36">
        <v>1</v>
      </c>
      <c r="J192" s="36" t="s">
        <v>5895</v>
      </c>
      <c r="K192" s="36" t="s">
        <v>6394</v>
      </c>
      <c r="L192" s="36" t="b">
        <v>0</v>
      </c>
    </row>
    <row r="193" spans="1:12" ht="12.75" hidden="1">
      <c r="A193" s="448">
        <v>45069.521158101852</v>
      </c>
      <c r="B193" s="449">
        <v>45069</v>
      </c>
      <c r="C193" s="36" t="s">
        <v>3388</v>
      </c>
      <c r="D193" s="450">
        <v>0.75</v>
      </c>
      <c r="E193" s="36" t="s">
        <v>6532</v>
      </c>
      <c r="F193" s="36" t="s">
        <v>6533</v>
      </c>
      <c r="G193" s="36" t="s">
        <v>494</v>
      </c>
      <c r="H193" s="36" t="s">
        <v>6299</v>
      </c>
      <c r="I193" s="36">
        <v>1</v>
      </c>
      <c r="J193" s="36" t="s">
        <v>5895</v>
      </c>
      <c r="K193" s="36" t="s">
        <v>6534</v>
      </c>
      <c r="L193" s="36" t="b">
        <v>1</v>
      </c>
    </row>
    <row r="194" spans="1:12" ht="12.75" hidden="1">
      <c r="A194" s="448">
        <v>45069.695636620367</v>
      </c>
      <c r="B194" s="449">
        <v>45069</v>
      </c>
      <c r="C194" s="36" t="s">
        <v>3383</v>
      </c>
      <c r="D194" s="450">
        <v>0.75</v>
      </c>
      <c r="E194" s="36" t="s">
        <v>6535</v>
      </c>
      <c r="F194" s="36" t="s">
        <v>6536</v>
      </c>
      <c r="G194" s="36" t="s">
        <v>6537</v>
      </c>
      <c r="H194" s="36" t="s">
        <v>6538</v>
      </c>
      <c r="I194" s="36">
        <v>1</v>
      </c>
      <c r="J194" s="36" t="s">
        <v>5895</v>
      </c>
      <c r="K194" s="36" t="s">
        <v>6539</v>
      </c>
      <c r="L194" s="36" t="b">
        <v>1</v>
      </c>
    </row>
    <row r="195" spans="1:12" ht="12.75" hidden="1">
      <c r="A195" s="448">
        <v>45070.541279432873</v>
      </c>
      <c r="B195" s="449">
        <v>45074</v>
      </c>
      <c r="C195" s="36" t="s">
        <v>3388</v>
      </c>
      <c r="D195" s="450">
        <v>0.41666666666424135</v>
      </c>
      <c r="E195" s="36" t="s">
        <v>6540</v>
      </c>
      <c r="F195" s="36" t="s">
        <v>6541</v>
      </c>
      <c r="G195" s="36" t="s">
        <v>6542</v>
      </c>
      <c r="H195" s="36" t="s">
        <v>6543</v>
      </c>
      <c r="I195" s="36">
        <v>1</v>
      </c>
      <c r="J195" s="36" t="s">
        <v>5895</v>
      </c>
      <c r="K195" s="36" t="s">
        <v>6544</v>
      </c>
      <c r="L195" s="36" t="b">
        <v>1</v>
      </c>
    </row>
    <row r="196" spans="1:12" ht="12.75" hidden="1">
      <c r="A196" s="448">
        <v>45070.57305958333</v>
      </c>
      <c r="B196" s="449">
        <v>45070</v>
      </c>
      <c r="C196" s="36" t="s">
        <v>3383</v>
      </c>
      <c r="D196" s="450">
        <v>0.75</v>
      </c>
      <c r="E196" s="36" t="s">
        <v>6516</v>
      </c>
      <c r="F196" s="36" t="s">
        <v>6545</v>
      </c>
      <c r="G196" s="36" t="s">
        <v>426</v>
      </c>
      <c r="H196" s="36" t="s">
        <v>6546</v>
      </c>
      <c r="I196" s="36">
        <v>1</v>
      </c>
      <c r="J196" s="36" t="s">
        <v>6093</v>
      </c>
      <c r="K196" s="36" t="s">
        <v>6547</v>
      </c>
      <c r="L196" s="36" t="b">
        <v>1</v>
      </c>
    </row>
    <row r="197" spans="1:12" ht="12.75" hidden="1">
      <c r="A197" s="448">
        <v>45072.632152418984</v>
      </c>
      <c r="B197" s="449">
        <v>45073</v>
      </c>
      <c r="C197" s="36" t="s">
        <v>3388</v>
      </c>
      <c r="D197" s="450">
        <v>0.41666666666424135</v>
      </c>
      <c r="E197" s="36" t="s">
        <v>6548</v>
      </c>
      <c r="F197" s="36" t="s">
        <v>6549</v>
      </c>
      <c r="G197" s="36" t="s">
        <v>6550</v>
      </c>
      <c r="H197" s="36" t="s">
        <v>6551</v>
      </c>
      <c r="I197" s="36">
        <v>1</v>
      </c>
      <c r="J197" s="36" t="s">
        <v>5895</v>
      </c>
      <c r="K197" s="36" t="s">
        <v>6552</v>
      </c>
      <c r="L197" s="36" t="b">
        <v>1</v>
      </c>
    </row>
    <row r="198" spans="1:12" ht="12.75" hidden="1">
      <c r="A198" s="448">
        <v>45072.633438379635</v>
      </c>
      <c r="B198" s="449">
        <v>45073</v>
      </c>
      <c r="C198" s="36" t="s">
        <v>3388</v>
      </c>
      <c r="D198" s="450">
        <v>0.5</v>
      </c>
      <c r="E198" s="36" t="s">
        <v>6553</v>
      </c>
      <c r="F198" s="36" t="s">
        <v>6554</v>
      </c>
      <c r="G198" s="36" t="s">
        <v>6555</v>
      </c>
      <c r="H198" s="36" t="s">
        <v>6556</v>
      </c>
      <c r="I198" s="36">
        <v>2</v>
      </c>
      <c r="J198" s="36" t="s">
        <v>5895</v>
      </c>
      <c r="K198" s="36" t="s">
        <v>6552</v>
      </c>
      <c r="L198" s="36" t="b">
        <v>1</v>
      </c>
    </row>
    <row r="199" spans="1:12" ht="12.75" hidden="1">
      <c r="A199" s="448">
        <v>45072.781396747683</v>
      </c>
      <c r="B199" s="449">
        <v>45072</v>
      </c>
      <c r="C199" s="36" t="s">
        <v>3383</v>
      </c>
      <c r="D199" s="450">
        <v>0.75</v>
      </c>
      <c r="E199" s="36" t="s">
        <v>6557</v>
      </c>
      <c r="F199" s="36" t="s">
        <v>6558</v>
      </c>
      <c r="G199" s="36" t="s">
        <v>413</v>
      </c>
      <c r="H199" s="36" t="s">
        <v>364</v>
      </c>
      <c r="I199" s="36">
        <v>2</v>
      </c>
      <c r="J199" s="36" t="s">
        <v>5895</v>
      </c>
      <c r="K199" s="36" t="s">
        <v>6559</v>
      </c>
      <c r="L199" s="36" t="b">
        <v>1</v>
      </c>
    </row>
    <row r="200" spans="1:12" ht="12.75" hidden="1">
      <c r="A200" s="448">
        <v>45073.590322488424</v>
      </c>
      <c r="B200" s="449">
        <v>45073</v>
      </c>
      <c r="C200" s="36" t="s">
        <v>12</v>
      </c>
      <c r="D200" s="450">
        <v>6.25E-2</v>
      </c>
      <c r="E200" s="36" t="s">
        <v>6560</v>
      </c>
      <c r="F200" s="36" t="s">
        <v>6561</v>
      </c>
      <c r="G200" s="36" t="s">
        <v>83</v>
      </c>
      <c r="H200" s="36" t="s">
        <v>6562</v>
      </c>
      <c r="I200" s="36">
        <v>1</v>
      </c>
      <c r="J200" s="36" t="s">
        <v>5895</v>
      </c>
      <c r="K200" s="36" t="s">
        <v>6563</v>
      </c>
      <c r="L200" s="36" t="b">
        <v>1</v>
      </c>
    </row>
    <row r="201" spans="1:12" ht="12.75" hidden="1">
      <c r="A201" s="448">
        <v>45073.839692546295</v>
      </c>
      <c r="B201" s="449">
        <v>45074</v>
      </c>
      <c r="C201" s="36" t="s">
        <v>18</v>
      </c>
      <c r="D201" s="450">
        <v>0.41666666666424135</v>
      </c>
      <c r="E201" s="36" t="s">
        <v>6564</v>
      </c>
      <c r="F201" s="36" t="s">
        <v>6565</v>
      </c>
      <c r="G201" s="36" t="s">
        <v>6566</v>
      </c>
      <c r="H201" s="36" t="s">
        <v>78</v>
      </c>
      <c r="I201" s="36">
        <v>1</v>
      </c>
      <c r="J201" s="36" t="s">
        <v>5895</v>
      </c>
      <c r="K201" s="36" t="s">
        <v>6567</v>
      </c>
      <c r="L201" s="36" t="b">
        <v>0</v>
      </c>
    </row>
    <row r="202" spans="1:12" ht="12.75" hidden="1">
      <c r="A202" s="448">
        <v>45074.666994178246</v>
      </c>
      <c r="B202" s="449">
        <v>45075</v>
      </c>
      <c r="C202" s="36" t="s">
        <v>12</v>
      </c>
      <c r="D202" s="450">
        <v>0.75</v>
      </c>
      <c r="E202" s="36" t="s">
        <v>6568</v>
      </c>
      <c r="F202" s="36" t="s">
        <v>6569</v>
      </c>
      <c r="G202" s="36" t="s">
        <v>423</v>
      </c>
      <c r="H202" s="36" t="s">
        <v>6570</v>
      </c>
      <c r="I202" s="36">
        <v>1</v>
      </c>
      <c r="J202" s="36" t="s">
        <v>5895</v>
      </c>
      <c r="K202" s="36" t="s">
        <v>6571</v>
      </c>
      <c r="L202" s="36" t="b">
        <v>0</v>
      </c>
    </row>
    <row r="203" spans="1:12" ht="12.75" hidden="1">
      <c r="A203" s="448">
        <v>45074.995416469908</v>
      </c>
      <c r="B203" s="449">
        <v>45074</v>
      </c>
      <c r="C203" s="36" t="s">
        <v>3388</v>
      </c>
      <c r="D203" s="450">
        <v>0.41666666666424135</v>
      </c>
      <c r="E203" s="36" t="s">
        <v>6311</v>
      </c>
      <c r="F203" s="36" t="s">
        <v>6572</v>
      </c>
      <c r="G203" s="36" t="s">
        <v>1422</v>
      </c>
      <c r="H203" s="36" t="s">
        <v>3426</v>
      </c>
      <c r="I203" s="36">
        <v>1</v>
      </c>
      <c r="J203" s="36" t="s">
        <v>5895</v>
      </c>
      <c r="K203" s="36" t="s">
        <v>6573</v>
      </c>
      <c r="L203" s="36" t="b">
        <v>1</v>
      </c>
    </row>
    <row r="204" spans="1:12" ht="12.75" hidden="1">
      <c r="A204" s="448">
        <v>45074.9960674537</v>
      </c>
      <c r="B204" s="449">
        <v>45074</v>
      </c>
      <c r="C204" s="36" t="s">
        <v>3388</v>
      </c>
      <c r="D204" s="450">
        <v>0.45833333333575865</v>
      </c>
      <c r="E204" s="36" t="s">
        <v>6574</v>
      </c>
      <c r="F204" s="36" t="s">
        <v>6575</v>
      </c>
      <c r="G204" s="36" t="s">
        <v>1422</v>
      </c>
      <c r="H204" s="36" t="s">
        <v>5906</v>
      </c>
      <c r="I204" s="36">
        <v>2</v>
      </c>
      <c r="J204" s="36" t="s">
        <v>5895</v>
      </c>
      <c r="K204" s="36" t="s">
        <v>6573</v>
      </c>
      <c r="L204" s="36" t="b">
        <v>1</v>
      </c>
    </row>
    <row r="205" spans="1:12" ht="12.75" hidden="1">
      <c r="A205" s="448">
        <v>45074.996660729172</v>
      </c>
      <c r="B205" s="449">
        <v>45074</v>
      </c>
      <c r="C205" s="36" t="s">
        <v>3388</v>
      </c>
      <c r="D205" s="450">
        <v>0.5</v>
      </c>
      <c r="E205" s="36" t="s">
        <v>6576</v>
      </c>
      <c r="F205" s="36" t="s">
        <v>6577</v>
      </c>
      <c r="G205" s="36" t="s">
        <v>1422</v>
      </c>
      <c r="H205" s="36" t="s">
        <v>6578</v>
      </c>
      <c r="I205" s="36">
        <v>3</v>
      </c>
      <c r="J205" s="36" t="s">
        <v>5895</v>
      </c>
      <c r="K205" s="36" t="s">
        <v>454</v>
      </c>
      <c r="L205" s="36" t="b">
        <v>1</v>
      </c>
    </row>
    <row r="206" spans="1:12" ht="12.75" hidden="1">
      <c r="A206" s="448">
        <v>45075.004278402776</v>
      </c>
      <c r="B206" s="449">
        <v>45072</v>
      </c>
      <c r="C206" s="36" t="s">
        <v>3388</v>
      </c>
      <c r="D206" s="450">
        <v>0.75</v>
      </c>
      <c r="E206" s="36" t="s">
        <v>6579</v>
      </c>
      <c r="F206" s="36" t="s">
        <v>6580</v>
      </c>
      <c r="G206" s="36" t="s">
        <v>320</v>
      </c>
      <c r="H206" s="36" t="s">
        <v>3941</v>
      </c>
      <c r="I206" s="36">
        <v>2</v>
      </c>
      <c r="J206" s="36" t="s">
        <v>5895</v>
      </c>
      <c r="K206" s="36" t="s">
        <v>6581</v>
      </c>
      <c r="L206" s="36" t="b">
        <v>1</v>
      </c>
    </row>
    <row r="207" spans="1:12" ht="12.75" hidden="1">
      <c r="A207" s="448">
        <v>45075.477165138887</v>
      </c>
      <c r="B207" s="449">
        <v>45076</v>
      </c>
      <c r="C207" s="36" t="s">
        <v>18</v>
      </c>
      <c r="D207" s="450">
        <v>0.79861111110949423</v>
      </c>
      <c r="E207" s="36" t="s">
        <v>6582</v>
      </c>
      <c r="F207" s="36" t="s">
        <v>6583</v>
      </c>
      <c r="G207" s="36" t="s">
        <v>744</v>
      </c>
      <c r="H207" s="36" t="s">
        <v>78</v>
      </c>
      <c r="I207" s="36">
        <v>1</v>
      </c>
      <c r="J207" s="36" t="s">
        <v>5895</v>
      </c>
      <c r="K207" s="36" t="s">
        <v>6584</v>
      </c>
      <c r="L207" s="36" t="b">
        <v>0</v>
      </c>
    </row>
    <row r="208" spans="1:12" ht="12.75" hidden="1">
      <c r="A208" s="448">
        <v>45075.51100489583</v>
      </c>
      <c r="B208" s="449">
        <v>45081</v>
      </c>
      <c r="C208" s="36" t="s">
        <v>3388</v>
      </c>
      <c r="D208" s="450">
        <v>0.66666666666424135</v>
      </c>
      <c r="E208" s="36" t="s">
        <v>6585</v>
      </c>
      <c r="F208" s="36" t="s">
        <v>6586</v>
      </c>
      <c r="G208" s="36" t="s">
        <v>6052</v>
      </c>
      <c r="H208" s="36" t="s">
        <v>6587</v>
      </c>
      <c r="I208" s="36">
        <v>3</v>
      </c>
      <c r="J208" s="36" t="s">
        <v>6093</v>
      </c>
      <c r="K208" s="36" t="s">
        <v>6588</v>
      </c>
      <c r="L208" s="36" t="b">
        <v>1</v>
      </c>
    </row>
    <row r="209" spans="1:13" ht="12.75" hidden="1">
      <c r="A209" s="448">
        <v>45075.671801412042</v>
      </c>
      <c r="B209" s="449">
        <v>45080</v>
      </c>
      <c r="C209" s="36" t="s">
        <v>18</v>
      </c>
      <c r="D209" s="450">
        <v>0.46527777778101154</v>
      </c>
      <c r="E209" s="36" t="s">
        <v>6250</v>
      </c>
      <c r="F209" s="36" t="s">
        <v>6589</v>
      </c>
      <c r="G209" s="36" t="s">
        <v>6590</v>
      </c>
      <c r="H209" s="36" t="s">
        <v>2151</v>
      </c>
      <c r="I209" s="36">
        <v>1</v>
      </c>
      <c r="J209" s="36" t="s">
        <v>5895</v>
      </c>
      <c r="K209" s="36" t="s">
        <v>6591</v>
      </c>
      <c r="L209" s="36" t="b">
        <v>0</v>
      </c>
    </row>
    <row r="210" spans="1:13" ht="12.75" hidden="1">
      <c r="A210" s="448">
        <v>45075.714026550922</v>
      </c>
      <c r="B210" s="449">
        <v>45080</v>
      </c>
      <c r="C210" s="36" t="s">
        <v>3388</v>
      </c>
      <c r="D210" s="450">
        <v>0.41666666666424135</v>
      </c>
      <c r="E210" s="36" t="s">
        <v>6592</v>
      </c>
      <c r="F210" s="36" t="s">
        <v>6593</v>
      </c>
      <c r="G210" s="36" t="s">
        <v>6594</v>
      </c>
      <c r="H210" s="36" t="s">
        <v>6595</v>
      </c>
      <c r="I210" s="36">
        <v>2</v>
      </c>
      <c r="J210" s="36" t="s">
        <v>6093</v>
      </c>
      <c r="K210" s="36" t="s">
        <v>6596</v>
      </c>
      <c r="L210" s="36" t="b">
        <v>1</v>
      </c>
    </row>
    <row r="211" spans="1:13" ht="12.75" hidden="1">
      <c r="A211" s="448">
        <v>45075.843130324072</v>
      </c>
      <c r="B211" s="449">
        <v>45066</v>
      </c>
      <c r="C211" s="36" t="s">
        <v>3383</v>
      </c>
      <c r="D211" s="450">
        <v>0.41666666666424135</v>
      </c>
      <c r="E211" s="36" t="s">
        <v>6597</v>
      </c>
      <c r="F211" s="36" t="s">
        <v>6598</v>
      </c>
      <c r="G211" s="36" t="s">
        <v>6599</v>
      </c>
      <c r="H211" s="36" t="s">
        <v>6600</v>
      </c>
      <c r="I211" s="36">
        <v>1</v>
      </c>
      <c r="J211" s="36" t="s">
        <v>5895</v>
      </c>
      <c r="K211" s="36" t="s">
        <v>6501</v>
      </c>
      <c r="L211" s="36" t="b">
        <v>1</v>
      </c>
    </row>
    <row r="212" spans="1:13" ht="12.75" hidden="1">
      <c r="A212" s="448">
        <v>45076.578891365745</v>
      </c>
      <c r="B212" s="449">
        <v>45076</v>
      </c>
      <c r="C212" s="36" t="s">
        <v>20</v>
      </c>
      <c r="D212" s="450">
        <v>0.77083333333575865</v>
      </c>
      <c r="E212" s="36" t="s">
        <v>6601</v>
      </c>
      <c r="F212" s="36" t="s">
        <v>6602</v>
      </c>
      <c r="G212" s="36" t="s">
        <v>273</v>
      </c>
      <c r="H212" s="36" t="s">
        <v>6222</v>
      </c>
      <c r="I212" s="36">
        <v>2</v>
      </c>
      <c r="J212" s="36" t="s">
        <v>5895</v>
      </c>
      <c r="K212" s="36" t="s">
        <v>6271</v>
      </c>
      <c r="L212" s="36" t="b">
        <v>0</v>
      </c>
    </row>
    <row r="213" spans="1:13" ht="12.75" hidden="1">
      <c r="A213" s="448">
        <v>45076.714586759263</v>
      </c>
      <c r="B213" s="449">
        <v>45076</v>
      </c>
      <c r="C213" s="36" t="s">
        <v>3388</v>
      </c>
      <c r="D213" s="450">
        <v>0.75</v>
      </c>
      <c r="E213" s="36" t="s">
        <v>6603</v>
      </c>
      <c r="F213" s="36" t="s">
        <v>6604</v>
      </c>
      <c r="G213" s="36" t="s">
        <v>6605</v>
      </c>
      <c r="H213" s="36" t="s">
        <v>6606</v>
      </c>
      <c r="I213" s="36">
        <v>1</v>
      </c>
      <c r="J213" s="36" t="s">
        <v>5895</v>
      </c>
      <c r="K213" s="36" t="s">
        <v>6607</v>
      </c>
      <c r="L213" s="36" t="b">
        <v>1</v>
      </c>
    </row>
    <row r="214" spans="1:13" ht="12.75" hidden="1">
      <c r="A214" s="448">
        <v>45077.508169212961</v>
      </c>
      <c r="B214" s="449">
        <v>45085</v>
      </c>
      <c r="C214" s="36" t="s">
        <v>13</v>
      </c>
      <c r="D214" s="450">
        <v>0.70833333333575865</v>
      </c>
      <c r="E214" s="36" t="s">
        <v>6177</v>
      </c>
      <c r="F214" s="36">
        <v>17</v>
      </c>
      <c r="G214" s="36" t="s">
        <v>387</v>
      </c>
      <c r="H214" s="36" t="s">
        <v>857</v>
      </c>
      <c r="I214" s="36">
        <v>1</v>
      </c>
      <c r="J214" s="36" t="s">
        <v>5895</v>
      </c>
      <c r="K214" s="36" t="s">
        <v>6608</v>
      </c>
      <c r="L214" s="36" t="b">
        <v>0</v>
      </c>
    </row>
    <row r="215" spans="1:13" ht="12.75" hidden="1">
      <c r="A215" s="448">
        <v>45077.678592870376</v>
      </c>
      <c r="B215" s="449">
        <v>45077</v>
      </c>
      <c r="C215" s="36" t="s">
        <v>3388</v>
      </c>
      <c r="D215" s="450">
        <v>0.75</v>
      </c>
      <c r="E215" s="36" t="s">
        <v>6609</v>
      </c>
      <c r="F215" s="36" t="s">
        <v>6610</v>
      </c>
      <c r="G215" s="36" t="s">
        <v>5894</v>
      </c>
      <c r="H215" s="36" t="s">
        <v>6611</v>
      </c>
      <c r="I215" s="36">
        <v>1</v>
      </c>
      <c r="J215" s="36" t="s">
        <v>5895</v>
      </c>
      <c r="K215" s="36" t="s">
        <v>6612</v>
      </c>
      <c r="L215" s="36" t="b">
        <v>1</v>
      </c>
    </row>
    <row r="216" spans="1:13" ht="12.75" hidden="1">
      <c r="A216" s="448">
        <v>45077.679728657407</v>
      </c>
      <c r="B216" s="449">
        <v>45077</v>
      </c>
      <c r="C216" s="36" t="s">
        <v>3388</v>
      </c>
      <c r="D216" s="450">
        <v>0.8125</v>
      </c>
      <c r="E216" s="36" t="s">
        <v>6613</v>
      </c>
      <c r="F216" s="36" t="s">
        <v>6614</v>
      </c>
      <c r="G216" s="36" t="s">
        <v>5894</v>
      </c>
      <c r="H216" s="36" t="s">
        <v>6615</v>
      </c>
      <c r="I216" s="36">
        <v>2</v>
      </c>
      <c r="J216" s="36" t="s">
        <v>5895</v>
      </c>
      <c r="K216" s="36" t="s">
        <v>6612</v>
      </c>
      <c r="L216" s="36" t="b">
        <v>1</v>
      </c>
    </row>
    <row r="217" spans="1:13" ht="12.75" hidden="1">
      <c r="A217" s="448">
        <v>45077.779397905091</v>
      </c>
      <c r="B217" s="449">
        <v>45078</v>
      </c>
      <c r="C217" s="36" t="s">
        <v>3388</v>
      </c>
      <c r="D217" s="450">
        <v>0.79166666666424135</v>
      </c>
      <c r="E217" s="36" t="s">
        <v>6616</v>
      </c>
      <c r="F217" s="36" t="s">
        <v>6617</v>
      </c>
      <c r="G217" s="36" t="s">
        <v>6618</v>
      </c>
      <c r="H217" s="36" t="s">
        <v>6157</v>
      </c>
      <c r="I217" s="36">
        <v>1</v>
      </c>
      <c r="J217" s="36" t="s">
        <v>5895</v>
      </c>
      <c r="K217" s="36" t="s">
        <v>6619</v>
      </c>
      <c r="L217" s="36" t="b">
        <v>1</v>
      </c>
      <c r="M217" s="36" t="s">
        <v>6620</v>
      </c>
    </row>
    <row r="218" spans="1:13" ht="12.75" hidden="1">
      <c r="A218" s="448">
        <v>45077.939123946759</v>
      </c>
      <c r="B218" s="449">
        <v>45078</v>
      </c>
      <c r="C218" s="36" t="s">
        <v>3388</v>
      </c>
      <c r="D218" s="450">
        <v>0.8125</v>
      </c>
      <c r="E218" s="36" t="s">
        <v>6621</v>
      </c>
      <c r="F218" s="36" t="s">
        <v>6622</v>
      </c>
      <c r="G218" s="36" t="s">
        <v>6623</v>
      </c>
      <c r="H218" s="36" t="s">
        <v>6624</v>
      </c>
      <c r="I218" s="36">
        <v>3</v>
      </c>
      <c r="J218" s="36" t="s">
        <v>5895</v>
      </c>
      <c r="K218" s="36" t="s">
        <v>6625</v>
      </c>
      <c r="L218" s="36" t="b">
        <v>1</v>
      </c>
    </row>
    <row r="219" spans="1:13" ht="12.75" hidden="1">
      <c r="A219" s="448">
        <v>45078.367458321758</v>
      </c>
      <c r="B219" s="449">
        <v>45075</v>
      </c>
      <c r="C219" s="36" t="s">
        <v>3383</v>
      </c>
      <c r="D219" s="450">
        <v>0.75</v>
      </c>
      <c r="E219" s="36" t="s">
        <v>6557</v>
      </c>
      <c r="F219" s="36" t="s">
        <v>6626</v>
      </c>
      <c r="G219" s="36" t="s">
        <v>413</v>
      </c>
      <c r="H219" s="36" t="s">
        <v>364</v>
      </c>
      <c r="I219" s="36">
        <v>3</v>
      </c>
      <c r="J219" s="36" t="s">
        <v>5895</v>
      </c>
      <c r="K219" s="36" t="s">
        <v>6186</v>
      </c>
      <c r="L219" s="36" t="b">
        <v>0</v>
      </c>
    </row>
    <row r="220" spans="1:13" ht="12.75" hidden="1">
      <c r="A220" s="448">
        <v>45078.428310995369</v>
      </c>
      <c r="B220" s="449">
        <v>45056</v>
      </c>
      <c r="C220" s="36" t="s">
        <v>13</v>
      </c>
      <c r="D220" s="450">
        <v>0.41666666666424135</v>
      </c>
      <c r="E220" s="36" t="s">
        <v>6627</v>
      </c>
      <c r="F220" s="36" t="s">
        <v>6628</v>
      </c>
      <c r="G220" s="36" t="s">
        <v>387</v>
      </c>
      <c r="H220" s="36" t="s">
        <v>521</v>
      </c>
      <c r="I220" s="36">
        <v>2</v>
      </c>
      <c r="J220" s="36" t="s">
        <v>5895</v>
      </c>
      <c r="K220" s="36" t="s">
        <v>6629</v>
      </c>
      <c r="L220" s="36" t="b">
        <v>0</v>
      </c>
    </row>
    <row r="221" spans="1:13" ht="12.75" hidden="1">
      <c r="A221" s="448">
        <v>45078.566212650461</v>
      </c>
      <c r="B221" s="449">
        <v>45078</v>
      </c>
      <c r="C221" s="36" t="s">
        <v>3388</v>
      </c>
      <c r="D221" s="450">
        <v>0.75</v>
      </c>
      <c r="E221" s="36" t="s">
        <v>6630</v>
      </c>
      <c r="F221" s="36" t="s">
        <v>6174</v>
      </c>
      <c r="G221" s="36" t="s">
        <v>1717</v>
      </c>
      <c r="H221" s="36" t="s">
        <v>6631</v>
      </c>
      <c r="I221" s="36">
        <v>1</v>
      </c>
      <c r="J221" s="36" t="s">
        <v>5895</v>
      </c>
      <c r="K221" s="36" t="s">
        <v>5804</v>
      </c>
      <c r="L221" s="36" t="b">
        <v>1</v>
      </c>
    </row>
    <row r="222" spans="1:13" ht="12.75" hidden="1">
      <c r="A222" s="448">
        <v>45078.683821539351</v>
      </c>
      <c r="B222" s="449">
        <v>45079</v>
      </c>
      <c r="C222" s="36" t="s">
        <v>3388</v>
      </c>
      <c r="D222" s="450">
        <v>0.75</v>
      </c>
      <c r="E222" s="36" t="s">
        <v>6632</v>
      </c>
      <c r="F222" s="36" t="s">
        <v>6633</v>
      </c>
      <c r="G222" s="36" t="s">
        <v>6542</v>
      </c>
      <c r="H222" s="36" t="s">
        <v>6634</v>
      </c>
      <c r="I222" s="36">
        <v>2</v>
      </c>
      <c r="J222" s="36" t="s">
        <v>5895</v>
      </c>
      <c r="K222" s="36" t="s">
        <v>6635</v>
      </c>
      <c r="L222" s="36" t="b">
        <v>1</v>
      </c>
      <c r="M222" s="36" t="s">
        <v>6636</v>
      </c>
    </row>
    <row r="223" spans="1:13" ht="12.75" hidden="1">
      <c r="A223" s="448">
        <v>45078.723785752314</v>
      </c>
      <c r="B223" s="449">
        <v>45078</v>
      </c>
      <c r="C223" s="36" t="s">
        <v>3388</v>
      </c>
      <c r="D223" s="450">
        <v>0.77083333333575865</v>
      </c>
      <c r="E223" s="36" t="s">
        <v>6637</v>
      </c>
      <c r="F223" s="36" t="s">
        <v>6638</v>
      </c>
      <c r="G223" s="36" t="s">
        <v>6639</v>
      </c>
      <c r="H223" s="36" t="s">
        <v>6640</v>
      </c>
      <c r="I223" s="36">
        <v>1</v>
      </c>
      <c r="J223" s="36" t="s">
        <v>5895</v>
      </c>
      <c r="K223" s="36" t="s">
        <v>6481</v>
      </c>
      <c r="L223" s="36" t="b">
        <v>1</v>
      </c>
    </row>
    <row r="224" spans="1:13" ht="12.75" hidden="1">
      <c r="A224" s="448">
        <v>45080.87485821759</v>
      </c>
      <c r="B224" s="449">
        <v>45087</v>
      </c>
      <c r="C224" s="36" t="s">
        <v>11</v>
      </c>
      <c r="D224" s="450">
        <v>0.75</v>
      </c>
      <c r="E224" s="36" t="s">
        <v>6641</v>
      </c>
      <c r="F224" s="36" t="s">
        <v>6642</v>
      </c>
      <c r="G224" s="36" t="s">
        <v>731</v>
      </c>
      <c r="H224" s="36" t="s">
        <v>6643</v>
      </c>
      <c r="I224" s="36">
        <v>1</v>
      </c>
      <c r="J224" s="36" t="s">
        <v>5895</v>
      </c>
      <c r="K224" s="36" t="s">
        <v>6122</v>
      </c>
      <c r="L224" s="36" t="b">
        <v>1</v>
      </c>
    </row>
    <row r="225" spans="1:12" ht="12.75" hidden="1">
      <c r="A225" s="448">
        <v>45082.517157893519</v>
      </c>
      <c r="B225" s="449">
        <v>45049</v>
      </c>
      <c r="C225" s="36" t="s">
        <v>3383</v>
      </c>
      <c r="D225" s="450">
        <v>0.58333333333575865</v>
      </c>
      <c r="E225" s="36" t="s">
        <v>6644</v>
      </c>
      <c r="F225" s="36" t="s">
        <v>6645</v>
      </c>
      <c r="G225" s="36" t="s">
        <v>772</v>
      </c>
      <c r="H225" s="36" t="s">
        <v>6646</v>
      </c>
      <c r="I225" s="36">
        <v>1</v>
      </c>
      <c r="J225" s="36" t="s">
        <v>5895</v>
      </c>
      <c r="K225" s="36" t="s">
        <v>6242</v>
      </c>
      <c r="L225" s="36" t="b">
        <v>0</v>
      </c>
    </row>
    <row r="226" spans="1:12" ht="12.75" hidden="1">
      <c r="A226" s="448">
        <v>45082.777814548608</v>
      </c>
      <c r="B226" s="449">
        <v>45082</v>
      </c>
      <c r="C226" s="36" t="s">
        <v>3383</v>
      </c>
      <c r="D226" s="450">
        <v>0.70833333333575865</v>
      </c>
      <c r="E226" s="36" t="s">
        <v>6647</v>
      </c>
      <c r="F226" s="36" t="s">
        <v>6648</v>
      </c>
      <c r="G226" s="36" t="s">
        <v>6649</v>
      </c>
      <c r="H226" s="36" t="s">
        <v>6650</v>
      </c>
      <c r="I226" s="36">
        <v>1</v>
      </c>
      <c r="J226" s="36" t="s">
        <v>5895</v>
      </c>
      <c r="K226" s="36" t="s">
        <v>6651</v>
      </c>
      <c r="L226" s="36" t="b">
        <v>0</v>
      </c>
    </row>
    <row r="227" spans="1:12" ht="12.75" hidden="1">
      <c r="A227" s="448">
        <v>45082.861193749995</v>
      </c>
      <c r="B227" s="449">
        <v>45087</v>
      </c>
      <c r="C227" s="36" t="s">
        <v>12</v>
      </c>
      <c r="D227" s="450">
        <v>0.375</v>
      </c>
      <c r="E227" s="36" t="s">
        <v>6652</v>
      </c>
      <c r="F227" s="36" t="s">
        <v>6653</v>
      </c>
      <c r="G227" s="36" t="s">
        <v>760</v>
      </c>
      <c r="H227" s="36" t="s">
        <v>6654</v>
      </c>
      <c r="I227" s="36">
        <v>1</v>
      </c>
      <c r="J227" s="36" t="s">
        <v>5895</v>
      </c>
      <c r="K227" s="36" t="s">
        <v>5943</v>
      </c>
      <c r="L227" s="36" t="b">
        <v>0</v>
      </c>
    </row>
    <row r="228" spans="1:12" ht="12.75" hidden="1">
      <c r="A228" s="448">
        <v>45082.86262594907</v>
      </c>
      <c r="B228" s="449">
        <v>45087</v>
      </c>
      <c r="C228" s="36" t="s">
        <v>12</v>
      </c>
      <c r="D228" s="450">
        <v>0.48611111110949423</v>
      </c>
      <c r="E228" s="36" t="s">
        <v>6655</v>
      </c>
      <c r="F228" s="36" t="s">
        <v>6656</v>
      </c>
      <c r="G228" s="36" t="s">
        <v>6657</v>
      </c>
      <c r="H228" s="36" t="s">
        <v>6658</v>
      </c>
      <c r="I228" s="36">
        <v>2</v>
      </c>
      <c r="J228" s="36" t="s">
        <v>5895</v>
      </c>
      <c r="K228" s="36" t="s">
        <v>5943</v>
      </c>
      <c r="L228" s="36" t="b">
        <v>0</v>
      </c>
    </row>
    <row r="229" spans="1:12" ht="12.75" hidden="1">
      <c r="A229" s="448">
        <v>45082.86373258102</v>
      </c>
      <c r="B229" s="449">
        <v>45087</v>
      </c>
      <c r="C229" s="36" t="s">
        <v>12</v>
      </c>
      <c r="D229" s="450">
        <v>0.55208333333575865</v>
      </c>
      <c r="E229" s="36" t="s">
        <v>6659</v>
      </c>
      <c r="F229" s="36" t="s">
        <v>6660</v>
      </c>
      <c r="G229" s="36" t="s">
        <v>6657</v>
      </c>
      <c r="H229" s="36" t="s">
        <v>6654</v>
      </c>
      <c r="I229" s="36">
        <v>3</v>
      </c>
      <c r="J229" s="36" t="s">
        <v>5895</v>
      </c>
      <c r="K229" s="36" t="s">
        <v>5943</v>
      </c>
      <c r="L229" s="36" t="b">
        <v>0</v>
      </c>
    </row>
    <row r="230" spans="1:12" ht="12.75" hidden="1">
      <c r="A230" s="448">
        <v>45083.42896513889</v>
      </c>
      <c r="B230" s="449">
        <v>45086</v>
      </c>
      <c r="C230" s="36" t="s">
        <v>3388</v>
      </c>
      <c r="D230" s="450">
        <v>0.75</v>
      </c>
      <c r="E230" s="36" t="s">
        <v>6661</v>
      </c>
      <c r="F230" s="36" t="s">
        <v>6662</v>
      </c>
      <c r="G230" s="36" t="s">
        <v>1288</v>
      </c>
      <c r="H230" s="36" t="s">
        <v>6663</v>
      </c>
      <c r="I230" s="36">
        <v>1</v>
      </c>
      <c r="J230" s="36" t="s">
        <v>5895</v>
      </c>
      <c r="K230" s="36" t="s">
        <v>6664</v>
      </c>
      <c r="L230" s="36" t="b">
        <v>1</v>
      </c>
    </row>
    <row r="231" spans="1:12" ht="12.75" hidden="1">
      <c r="A231" s="448">
        <v>45083.55511587963</v>
      </c>
      <c r="B231" s="449">
        <v>45086</v>
      </c>
      <c r="C231" s="36" t="s">
        <v>3388</v>
      </c>
      <c r="D231" s="450">
        <v>0.75</v>
      </c>
      <c r="E231" s="36" t="s">
        <v>6665</v>
      </c>
      <c r="F231" s="36" t="s">
        <v>6666</v>
      </c>
      <c r="G231" s="36" t="s">
        <v>766</v>
      </c>
      <c r="H231" s="36" t="s">
        <v>6667</v>
      </c>
      <c r="I231" s="36">
        <v>1</v>
      </c>
      <c r="J231" s="36" t="s">
        <v>5895</v>
      </c>
      <c r="K231" s="36" t="s">
        <v>6668</v>
      </c>
      <c r="L231" s="36" t="b">
        <v>1</v>
      </c>
    </row>
    <row r="232" spans="1:12" ht="12.75" hidden="1">
      <c r="A232" s="448">
        <v>45083.569647789351</v>
      </c>
      <c r="B232" s="449">
        <v>45083</v>
      </c>
      <c r="C232" s="36" t="s">
        <v>11</v>
      </c>
      <c r="D232" s="450">
        <v>0.625</v>
      </c>
      <c r="E232" s="36" t="s">
        <v>6669</v>
      </c>
      <c r="F232" s="36" t="s">
        <v>6670</v>
      </c>
      <c r="G232" s="36" t="s">
        <v>2276</v>
      </c>
      <c r="H232" s="36" t="s">
        <v>6671</v>
      </c>
      <c r="I232" s="36">
        <v>1</v>
      </c>
      <c r="J232" s="36" t="s">
        <v>5895</v>
      </c>
      <c r="K232" s="36" t="s">
        <v>6672</v>
      </c>
      <c r="L232" s="36" t="b">
        <v>1</v>
      </c>
    </row>
    <row r="233" spans="1:12" ht="12.75" hidden="1">
      <c r="A233" s="448">
        <v>45084.690134247685</v>
      </c>
      <c r="B233" s="449">
        <v>45084</v>
      </c>
      <c r="C233" s="36" t="s">
        <v>11</v>
      </c>
      <c r="D233" s="450">
        <v>0.75</v>
      </c>
      <c r="E233" s="36" t="s">
        <v>6673</v>
      </c>
      <c r="F233" s="36" t="s">
        <v>6674</v>
      </c>
      <c r="G233" s="36" t="s">
        <v>1966</v>
      </c>
      <c r="H233" s="36" t="s">
        <v>1076</v>
      </c>
      <c r="I233" s="36">
        <v>1</v>
      </c>
      <c r="J233" s="36" t="s">
        <v>5895</v>
      </c>
      <c r="K233" s="36" t="s">
        <v>6675</v>
      </c>
      <c r="L233" s="36" t="b">
        <v>1</v>
      </c>
    </row>
    <row r="234" spans="1:12" ht="12.75" hidden="1">
      <c r="A234" s="448">
        <v>45084.832880567134</v>
      </c>
      <c r="B234" s="449">
        <v>45085</v>
      </c>
      <c r="C234" s="36" t="s">
        <v>13</v>
      </c>
      <c r="D234" s="450">
        <v>0.66666666666424135</v>
      </c>
      <c r="E234" s="36" t="s">
        <v>6676</v>
      </c>
      <c r="F234" s="36" t="s">
        <v>6677</v>
      </c>
      <c r="G234" s="36" t="s">
        <v>6678</v>
      </c>
      <c r="H234" s="36" t="s">
        <v>145</v>
      </c>
      <c r="I234" s="36">
        <v>1</v>
      </c>
      <c r="J234" s="36" t="s">
        <v>5895</v>
      </c>
      <c r="K234" s="36" t="s">
        <v>6679</v>
      </c>
      <c r="L234" s="36" t="b">
        <v>0</v>
      </c>
    </row>
    <row r="235" spans="1:12" ht="12.75" hidden="1">
      <c r="A235" s="448">
        <v>45084.955939803243</v>
      </c>
      <c r="B235" s="449">
        <v>45088</v>
      </c>
      <c r="C235" s="36" t="s">
        <v>13</v>
      </c>
      <c r="D235" s="450">
        <v>0.58333333333575865</v>
      </c>
      <c r="E235" s="36" t="s">
        <v>6680</v>
      </c>
      <c r="F235" s="36" t="s">
        <v>6681</v>
      </c>
      <c r="G235" s="36" t="s">
        <v>841</v>
      </c>
      <c r="H235" s="36" t="s">
        <v>6682</v>
      </c>
      <c r="I235" s="36">
        <v>1</v>
      </c>
      <c r="J235" s="36" t="s">
        <v>5895</v>
      </c>
      <c r="K235" s="36" t="s">
        <v>6683</v>
      </c>
      <c r="L235" s="36" t="b">
        <v>0</v>
      </c>
    </row>
    <row r="236" spans="1:12" ht="12.75" hidden="1">
      <c r="A236" s="448">
        <v>45084.973668773149</v>
      </c>
      <c r="B236" s="449">
        <v>45088</v>
      </c>
      <c r="C236" s="36" t="s">
        <v>13</v>
      </c>
      <c r="D236" s="450">
        <v>0.66666666666424135</v>
      </c>
      <c r="E236" s="36" t="s">
        <v>6684</v>
      </c>
      <c r="F236" s="36" t="s">
        <v>6685</v>
      </c>
      <c r="G236" s="36" t="s">
        <v>841</v>
      </c>
      <c r="H236" s="36" t="s">
        <v>6682</v>
      </c>
      <c r="I236" s="36">
        <v>2</v>
      </c>
      <c r="J236" s="36" t="s">
        <v>5895</v>
      </c>
      <c r="K236" s="36" t="s">
        <v>6683</v>
      </c>
      <c r="L236" s="36" t="b">
        <v>0</v>
      </c>
    </row>
    <row r="237" spans="1:12" ht="12.75" hidden="1">
      <c r="A237" s="448">
        <v>45084.979077673612</v>
      </c>
      <c r="B237" s="449">
        <v>45088</v>
      </c>
      <c r="C237" s="36" t="s">
        <v>13</v>
      </c>
      <c r="D237" s="450">
        <v>0.75</v>
      </c>
      <c r="E237" s="36" t="s">
        <v>6686</v>
      </c>
      <c r="F237" s="36" t="s">
        <v>6687</v>
      </c>
      <c r="G237" s="36" t="s">
        <v>841</v>
      </c>
      <c r="H237" s="36" t="s">
        <v>6682</v>
      </c>
      <c r="I237" s="36">
        <v>3</v>
      </c>
      <c r="J237" s="36" t="s">
        <v>5895</v>
      </c>
      <c r="K237" s="36" t="s">
        <v>6683</v>
      </c>
      <c r="L237" s="36" t="b">
        <v>0</v>
      </c>
    </row>
    <row r="238" spans="1:12" ht="12.75" hidden="1">
      <c r="A238" s="448">
        <v>45085.433215208337</v>
      </c>
      <c r="B238" s="449">
        <v>45090</v>
      </c>
      <c r="C238" s="36" t="s">
        <v>3388</v>
      </c>
      <c r="D238" s="450">
        <v>0.76319444444379769</v>
      </c>
      <c r="E238" s="36" t="s">
        <v>6688</v>
      </c>
      <c r="F238" s="36" t="s">
        <v>6689</v>
      </c>
      <c r="G238" s="36" t="s">
        <v>1486</v>
      </c>
      <c r="H238" s="36" t="s">
        <v>6690</v>
      </c>
      <c r="I238" s="36">
        <v>1</v>
      </c>
      <c r="J238" s="36" t="s">
        <v>5895</v>
      </c>
      <c r="K238" s="36" t="s">
        <v>6691</v>
      </c>
      <c r="L238" s="36" t="b">
        <v>1</v>
      </c>
    </row>
    <row r="239" spans="1:12" ht="12.75" hidden="1">
      <c r="A239" s="448">
        <v>45085.770131064812</v>
      </c>
      <c r="B239" s="449">
        <v>45087</v>
      </c>
      <c r="C239" s="36" t="s">
        <v>12</v>
      </c>
      <c r="D239" s="450">
        <v>0.42361111110949423</v>
      </c>
      <c r="E239" s="36" t="s">
        <v>6692</v>
      </c>
      <c r="F239" s="36" t="s">
        <v>6693</v>
      </c>
      <c r="G239" s="36" t="s">
        <v>6657</v>
      </c>
      <c r="H239" s="36" t="s">
        <v>6694</v>
      </c>
      <c r="I239" s="36">
        <v>4</v>
      </c>
      <c r="J239" s="36" t="s">
        <v>5895</v>
      </c>
      <c r="K239" s="36" t="s">
        <v>5943</v>
      </c>
      <c r="L239" s="36" t="b">
        <v>0</v>
      </c>
    </row>
    <row r="240" spans="1:12" ht="12.75" hidden="1">
      <c r="A240" s="448">
        <v>45085.910512407412</v>
      </c>
      <c r="B240" s="449">
        <v>45086</v>
      </c>
      <c r="C240" s="36" t="s">
        <v>13</v>
      </c>
      <c r="D240" s="450">
        <v>0.70833333333575865</v>
      </c>
      <c r="E240" s="36" t="s">
        <v>6695</v>
      </c>
      <c r="F240" s="36" t="s">
        <v>6696</v>
      </c>
      <c r="G240" s="36" t="s">
        <v>841</v>
      </c>
      <c r="H240" s="36" t="s">
        <v>6697</v>
      </c>
      <c r="I240" s="36">
        <v>4</v>
      </c>
      <c r="J240" s="36" t="s">
        <v>5895</v>
      </c>
      <c r="K240" s="36" t="s">
        <v>6698</v>
      </c>
      <c r="L240" s="36" t="b">
        <v>0</v>
      </c>
    </row>
    <row r="241" spans="1:12" ht="12.75" hidden="1">
      <c r="A241" s="448">
        <v>45085.918464803239</v>
      </c>
      <c r="B241" s="449">
        <v>45088</v>
      </c>
      <c r="C241" s="36" t="s">
        <v>13</v>
      </c>
      <c r="D241" s="450">
        <v>0.41666666666424135</v>
      </c>
      <c r="E241" s="36" t="s">
        <v>6699</v>
      </c>
      <c r="F241" s="36" t="s">
        <v>6700</v>
      </c>
      <c r="G241" s="36" t="s">
        <v>6701</v>
      </c>
      <c r="H241" s="36" t="s">
        <v>6702</v>
      </c>
      <c r="I241" s="36">
        <v>5</v>
      </c>
      <c r="J241" s="36" t="s">
        <v>5895</v>
      </c>
      <c r="K241" s="36" t="s">
        <v>6683</v>
      </c>
      <c r="L241" s="36" t="b">
        <v>0</v>
      </c>
    </row>
    <row r="242" spans="1:12" ht="12.75" hidden="1">
      <c r="A242" s="448">
        <v>45085.970957800921</v>
      </c>
      <c r="B242" s="449">
        <v>45084</v>
      </c>
      <c r="C242" s="36" t="s">
        <v>3388</v>
      </c>
      <c r="D242" s="450">
        <v>0.75</v>
      </c>
      <c r="E242" s="36" t="s">
        <v>6703</v>
      </c>
      <c r="F242" s="36" t="s">
        <v>6472</v>
      </c>
      <c r="G242" s="36" t="s">
        <v>1251</v>
      </c>
      <c r="H242" s="36" t="s">
        <v>6543</v>
      </c>
      <c r="I242" s="36" t="s">
        <v>6704</v>
      </c>
      <c r="J242" s="36" t="s">
        <v>5895</v>
      </c>
      <c r="K242" s="36" t="s">
        <v>6705</v>
      </c>
      <c r="L242" s="36" t="b">
        <v>1</v>
      </c>
    </row>
    <row r="243" spans="1:12" ht="12.75" hidden="1">
      <c r="A243" s="448">
        <v>45086.521672488423</v>
      </c>
      <c r="B243" s="449">
        <v>45087</v>
      </c>
      <c r="C243" s="36" t="s">
        <v>18</v>
      </c>
      <c r="D243" s="450">
        <v>0.41666666666424135</v>
      </c>
      <c r="E243" s="36" t="s">
        <v>6706</v>
      </c>
      <c r="F243" s="36" t="s">
        <v>6707</v>
      </c>
      <c r="G243" s="36" t="s">
        <v>394</v>
      </c>
      <c r="H243" s="36" t="s">
        <v>78</v>
      </c>
      <c r="I243" s="36">
        <v>1</v>
      </c>
      <c r="J243" s="36" t="s">
        <v>5895</v>
      </c>
      <c r="K243" s="36" t="s">
        <v>6708</v>
      </c>
      <c r="L243" s="36" t="b">
        <v>0</v>
      </c>
    </row>
    <row r="244" spans="1:12" ht="12.75" hidden="1">
      <c r="A244" s="448">
        <v>45086.847356053244</v>
      </c>
      <c r="B244" s="449">
        <v>45085</v>
      </c>
      <c r="C244" s="36" t="s">
        <v>12</v>
      </c>
      <c r="D244" s="450">
        <v>0.79166666666424135</v>
      </c>
      <c r="E244" s="36" t="s">
        <v>6709</v>
      </c>
      <c r="F244" s="36">
        <v>25</v>
      </c>
      <c r="G244" s="36" t="s">
        <v>6124</v>
      </c>
      <c r="H244" s="36" t="s">
        <v>6710</v>
      </c>
      <c r="I244" s="36">
        <v>1</v>
      </c>
      <c r="J244" s="36" t="s">
        <v>5895</v>
      </c>
      <c r="K244" s="36" t="s">
        <v>6271</v>
      </c>
      <c r="L244" s="36" t="b">
        <v>0</v>
      </c>
    </row>
    <row r="245" spans="1:12" ht="12.75" hidden="1">
      <c r="A245" s="448">
        <v>45087.414294166665</v>
      </c>
      <c r="B245" s="449">
        <v>45088</v>
      </c>
      <c r="C245" s="36" t="s">
        <v>20</v>
      </c>
      <c r="D245" s="450">
        <v>0.4375</v>
      </c>
      <c r="E245" s="36" t="s">
        <v>6711</v>
      </c>
      <c r="F245" s="36" t="s">
        <v>6712</v>
      </c>
      <c r="G245" s="36" t="s">
        <v>699</v>
      </c>
      <c r="H245" s="36" t="s">
        <v>6713</v>
      </c>
      <c r="I245" s="36">
        <v>1</v>
      </c>
      <c r="J245" s="36" t="s">
        <v>5895</v>
      </c>
      <c r="K245" s="36" t="s">
        <v>6714</v>
      </c>
      <c r="L245" s="36" t="b">
        <v>0</v>
      </c>
    </row>
    <row r="246" spans="1:12" ht="12.75" hidden="1">
      <c r="A246" s="448">
        <v>45087.475115300927</v>
      </c>
      <c r="B246" s="449">
        <v>45088</v>
      </c>
      <c r="C246" s="36" t="s">
        <v>12</v>
      </c>
      <c r="D246" s="450">
        <v>0.41666666666424135</v>
      </c>
      <c r="E246" s="36" t="s">
        <v>6715</v>
      </c>
      <c r="F246" s="36">
        <v>30</v>
      </c>
      <c r="G246" s="36" t="s">
        <v>1497</v>
      </c>
      <c r="H246" s="36" t="s">
        <v>6716</v>
      </c>
      <c r="I246" s="36">
        <v>1</v>
      </c>
      <c r="J246" s="36" t="s">
        <v>5895</v>
      </c>
      <c r="K246" s="36" t="s">
        <v>6717</v>
      </c>
      <c r="L246" s="36" t="b">
        <v>0</v>
      </c>
    </row>
    <row r="247" spans="1:12" ht="12.75" hidden="1">
      <c r="A247" s="448">
        <v>45087.633126168977</v>
      </c>
      <c r="B247" s="449">
        <v>45088</v>
      </c>
      <c r="C247" s="36" t="s">
        <v>20</v>
      </c>
      <c r="D247" s="450">
        <v>0.54166666666424135</v>
      </c>
      <c r="E247" s="36" t="s">
        <v>6718</v>
      </c>
      <c r="F247" s="36" t="s">
        <v>6719</v>
      </c>
      <c r="G247" s="36" t="s">
        <v>1368</v>
      </c>
      <c r="H247" s="36" t="s">
        <v>6222</v>
      </c>
      <c r="I247" s="36">
        <v>1</v>
      </c>
      <c r="J247" s="36" t="s">
        <v>5895</v>
      </c>
      <c r="K247" s="36" t="s">
        <v>6720</v>
      </c>
      <c r="L247" s="36" t="b">
        <v>0</v>
      </c>
    </row>
    <row r="248" spans="1:12" ht="12.75" hidden="1">
      <c r="A248" s="448">
        <v>45087.753333437504</v>
      </c>
      <c r="B248" s="449">
        <v>45088</v>
      </c>
      <c r="C248" s="36" t="s">
        <v>11</v>
      </c>
      <c r="D248" s="450">
        <v>0.45833333333575865</v>
      </c>
      <c r="E248" s="36" t="s">
        <v>6721</v>
      </c>
      <c r="F248" s="36" t="s">
        <v>6722</v>
      </c>
      <c r="G248" s="36" t="s">
        <v>1904</v>
      </c>
      <c r="H248" s="36" t="s">
        <v>734</v>
      </c>
      <c r="I248" s="36">
        <v>1</v>
      </c>
      <c r="J248" s="36" t="s">
        <v>5895</v>
      </c>
      <c r="K248" s="36" t="s">
        <v>5943</v>
      </c>
      <c r="L248" s="36" t="b">
        <v>1</v>
      </c>
    </row>
    <row r="249" spans="1:12" ht="12.75" hidden="1">
      <c r="A249" s="448">
        <v>45089.627313402772</v>
      </c>
      <c r="B249" s="449">
        <v>45091</v>
      </c>
      <c r="C249" s="36" t="s">
        <v>3388</v>
      </c>
      <c r="D249" s="450">
        <v>0.75</v>
      </c>
      <c r="E249" s="36" t="s">
        <v>6723</v>
      </c>
      <c r="F249" s="36" t="s">
        <v>6724</v>
      </c>
      <c r="G249" s="36" t="s">
        <v>127</v>
      </c>
      <c r="H249" s="36" t="s">
        <v>6725</v>
      </c>
      <c r="I249" s="36">
        <v>1</v>
      </c>
      <c r="J249" s="36" t="s">
        <v>5895</v>
      </c>
      <c r="K249" s="36" t="s">
        <v>6726</v>
      </c>
      <c r="L249" s="36" t="b">
        <v>1</v>
      </c>
    </row>
    <row r="250" spans="1:12" ht="12.75" hidden="1">
      <c r="A250" s="448">
        <v>45090.657792951388</v>
      </c>
      <c r="B250" s="449">
        <v>45094</v>
      </c>
      <c r="C250" s="36" t="s">
        <v>12</v>
      </c>
      <c r="D250" s="450">
        <v>0.6875</v>
      </c>
      <c r="E250" s="36" t="s">
        <v>6727</v>
      </c>
      <c r="F250" s="36" t="s">
        <v>6728</v>
      </c>
      <c r="G250" s="36" t="s">
        <v>690</v>
      </c>
      <c r="H250" s="36" t="s">
        <v>736</v>
      </c>
      <c r="I250" s="36">
        <v>1</v>
      </c>
      <c r="J250" s="36" t="s">
        <v>5895</v>
      </c>
      <c r="K250" s="36" t="s">
        <v>5943</v>
      </c>
      <c r="L250" s="36" t="b">
        <v>1</v>
      </c>
    </row>
    <row r="251" spans="1:12" ht="12.75" hidden="1">
      <c r="A251" s="448">
        <v>45091.598709143524</v>
      </c>
      <c r="B251" s="449">
        <v>45092</v>
      </c>
      <c r="C251" s="36" t="s">
        <v>13</v>
      </c>
      <c r="D251" s="450">
        <v>0.66666666666424135</v>
      </c>
      <c r="E251" s="36" t="s">
        <v>6676</v>
      </c>
      <c r="F251" s="36" t="s">
        <v>6729</v>
      </c>
      <c r="G251" s="36" t="s">
        <v>6678</v>
      </c>
      <c r="H251" s="36" t="s">
        <v>6730</v>
      </c>
      <c r="I251" s="36">
        <v>2</v>
      </c>
      <c r="J251" s="36" t="s">
        <v>5895</v>
      </c>
      <c r="K251" s="36" t="s">
        <v>6731</v>
      </c>
      <c r="L251" s="36" t="b">
        <v>0</v>
      </c>
    </row>
    <row r="252" spans="1:12" ht="12.75" hidden="1">
      <c r="A252" s="448">
        <v>45091.698905740741</v>
      </c>
      <c r="B252" s="449">
        <v>45091</v>
      </c>
      <c r="C252" s="36" t="s">
        <v>12</v>
      </c>
      <c r="D252" s="450">
        <v>0.75</v>
      </c>
      <c r="E252" s="36" t="s">
        <v>6732</v>
      </c>
      <c r="F252" s="36" t="s">
        <v>6733</v>
      </c>
      <c r="G252" s="36" t="s">
        <v>485</v>
      </c>
      <c r="H252" s="36" t="s">
        <v>6734</v>
      </c>
      <c r="I252" s="36">
        <v>1</v>
      </c>
      <c r="J252" s="36" t="s">
        <v>5895</v>
      </c>
      <c r="K252" s="36" t="s">
        <v>5923</v>
      </c>
      <c r="L252" s="36" t="b">
        <v>1</v>
      </c>
    </row>
    <row r="253" spans="1:12" ht="12.75" hidden="1">
      <c r="A253" s="448">
        <v>45092.424474050931</v>
      </c>
      <c r="B253" s="449">
        <v>45092</v>
      </c>
      <c r="C253" s="36" t="s">
        <v>20</v>
      </c>
      <c r="D253" s="450">
        <v>0.75</v>
      </c>
      <c r="E253" s="36" t="s">
        <v>6735</v>
      </c>
      <c r="F253" s="36" t="s">
        <v>6736</v>
      </c>
      <c r="G253" s="36" t="s">
        <v>893</v>
      </c>
      <c r="H253" s="36" t="s">
        <v>6737</v>
      </c>
      <c r="I253" s="36">
        <v>1</v>
      </c>
      <c r="J253" s="36" t="s">
        <v>5895</v>
      </c>
      <c r="K253" s="36" t="s">
        <v>6183</v>
      </c>
      <c r="L253" s="36" t="b">
        <v>0</v>
      </c>
    </row>
    <row r="254" spans="1:12" ht="12.75" hidden="1">
      <c r="A254" s="448">
        <v>45092.740122499999</v>
      </c>
      <c r="B254" s="449">
        <v>45092</v>
      </c>
      <c r="C254" s="36" t="s">
        <v>12</v>
      </c>
      <c r="D254" s="450">
        <v>0.77083333333575865</v>
      </c>
      <c r="E254" s="36" t="s">
        <v>6738</v>
      </c>
      <c r="F254" s="36" t="s">
        <v>6739</v>
      </c>
      <c r="G254" s="36" t="s">
        <v>6139</v>
      </c>
      <c r="H254" s="36" t="s">
        <v>6734</v>
      </c>
      <c r="I254" s="36">
        <v>1</v>
      </c>
      <c r="J254" s="36" t="s">
        <v>5895</v>
      </c>
      <c r="K254" s="36" t="s">
        <v>6740</v>
      </c>
      <c r="L254" s="36" t="b">
        <v>1</v>
      </c>
    </row>
    <row r="255" spans="1:12" ht="12.75" hidden="1">
      <c r="A255" s="448">
        <v>45093.51232976852</v>
      </c>
      <c r="B255" s="449">
        <v>45093</v>
      </c>
      <c r="C255" s="36" t="s">
        <v>12</v>
      </c>
      <c r="D255" s="450">
        <v>0.70833333333575865</v>
      </c>
      <c r="E255" s="36" t="s">
        <v>6741</v>
      </c>
      <c r="F255" s="36">
        <v>15</v>
      </c>
      <c r="G255" s="36" t="s">
        <v>52</v>
      </c>
      <c r="H255" s="36" t="s">
        <v>6742</v>
      </c>
      <c r="I255" s="36">
        <v>1</v>
      </c>
      <c r="J255" s="36" t="s">
        <v>5895</v>
      </c>
      <c r="K255" s="36" t="s">
        <v>6743</v>
      </c>
      <c r="L255" s="36" t="b">
        <v>0</v>
      </c>
    </row>
    <row r="256" spans="1:12" ht="12.75" hidden="1">
      <c r="A256" s="448">
        <v>45093.518379988425</v>
      </c>
      <c r="B256" s="449">
        <v>45093</v>
      </c>
      <c r="C256" s="36" t="s">
        <v>3388</v>
      </c>
      <c r="D256" s="450">
        <v>0.75</v>
      </c>
      <c r="E256" s="36" t="s">
        <v>6431</v>
      </c>
      <c r="F256" s="36" t="s">
        <v>6744</v>
      </c>
      <c r="G256" s="36" t="s">
        <v>1248</v>
      </c>
      <c r="H256" s="36" t="s">
        <v>6725</v>
      </c>
      <c r="I256" s="36">
        <v>1</v>
      </c>
      <c r="J256" s="36" t="s">
        <v>5895</v>
      </c>
      <c r="K256" s="36" t="s">
        <v>6745</v>
      </c>
      <c r="L256" s="36" t="b">
        <v>0</v>
      </c>
    </row>
    <row r="257" spans="1:12" ht="12.75" hidden="1">
      <c r="A257" s="448">
        <v>45093.597375115743</v>
      </c>
      <c r="B257" s="449">
        <v>45094</v>
      </c>
      <c r="C257" s="36" t="s">
        <v>12</v>
      </c>
      <c r="D257" s="450">
        <v>0.41666666666424135</v>
      </c>
      <c r="E257" s="36" t="s">
        <v>6746</v>
      </c>
      <c r="F257" s="36" t="s">
        <v>6747</v>
      </c>
      <c r="G257" s="36" t="s">
        <v>5966</v>
      </c>
      <c r="H257" s="36" t="s">
        <v>1341</v>
      </c>
      <c r="I257" s="36">
        <v>1</v>
      </c>
      <c r="J257" s="36" t="s">
        <v>5895</v>
      </c>
      <c r="K257" s="36" t="s">
        <v>6748</v>
      </c>
      <c r="L257" s="36" t="b">
        <v>1</v>
      </c>
    </row>
    <row r="258" spans="1:12" ht="12.75" hidden="1">
      <c r="A258" s="448">
        <v>45093.642562685185</v>
      </c>
      <c r="B258" s="449">
        <v>45093</v>
      </c>
      <c r="C258" s="36" t="s">
        <v>3388</v>
      </c>
      <c r="D258" s="450">
        <v>0.79166666666424135</v>
      </c>
      <c r="E258" s="36" t="s">
        <v>6749</v>
      </c>
      <c r="F258" s="36" t="s">
        <v>6750</v>
      </c>
      <c r="G258" s="36" t="s">
        <v>1248</v>
      </c>
      <c r="H258" s="36" t="s">
        <v>1395</v>
      </c>
      <c r="I258" s="36">
        <v>2</v>
      </c>
      <c r="J258" s="36" t="s">
        <v>5895</v>
      </c>
      <c r="K258" s="36" t="s">
        <v>6751</v>
      </c>
      <c r="L258" s="36" t="b">
        <v>0</v>
      </c>
    </row>
    <row r="259" spans="1:12" ht="12.75" hidden="1">
      <c r="A259" s="448">
        <v>45093.685120567126</v>
      </c>
      <c r="B259" s="449">
        <v>45093</v>
      </c>
      <c r="C259" s="36" t="s">
        <v>12</v>
      </c>
      <c r="D259" s="450">
        <v>0.75</v>
      </c>
      <c r="E259" s="36" t="s">
        <v>6752</v>
      </c>
      <c r="F259" s="36" t="s">
        <v>6753</v>
      </c>
      <c r="G259" s="36" t="s">
        <v>377</v>
      </c>
      <c r="H259" s="36" t="s">
        <v>6754</v>
      </c>
      <c r="I259" s="36">
        <v>1</v>
      </c>
      <c r="J259" s="36" t="s">
        <v>5895</v>
      </c>
      <c r="K259" s="36" t="s">
        <v>6755</v>
      </c>
      <c r="L259" s="36" t="b">
        <v>0</v>
      </c>
    </row>
    <row r="260" spans="1:12" ht="12.75" hidden="1">
      <c r="A260" s="448">
        <v>45093.709552048611</v>
      </c>
      <c r="B260" s="449">
        <v>45094</v>
      </c>
      <c r="C260" s="36" t="s">
        <v>3388</v>
      </c>
      <c r="D260" s="450">
        <v>0.41666666666424135</v>
      </c>
      <c r="E260" s="36" t="s">
        <v>6756</v>
      </c>
      <c r="F260" s="36" t="s">
        <v>6757</v>
      </c>
      <c r="G260" s="36" t="s">
        <v>863</v>
      </c>
      <c r="H260" s="36" t="s">
        <v>3941</v>
      </c>
      <c r="I260" s="36">
        <v>1</v>
      </c>
      <c r="J260" s="36" t="s">
        <v>5895</v>
      </c>
      <c r="K260" s="36" t="s">
        <v>6758</v>
      </c>
      <c r="L260" s="36" t="b">
        <v>0</v>
      </c>
    </row>
    <row r="261" spans="1:12" ht="12.75" hidden="1">
      <c r="A261" s="448">
        <v>45093.765976921291</v>
      </c>
      <c r="B261" s="449">
        <v>45094</v>
      </c>
      <c r="C261" s="36" t="s">
        <v>11</v>
      </c>
      <c r="D261" s="450">
        <v>0.41666666666424135</v>
      </c>
      <c r="E261" s="36" t="s">
        <v>6759</v>
      </c>
      <c r="F261" s="36" t="s">
        <v>6760</v>
      </c>
      <c r="G261" s="36" t="s">
        <v>1179</v>
      </c>
      <c r="H261" s="36" t="s">
        <v>244</v>
      </c>
      <c r="I261" s="36">
        <v>2</v>
      </c>
      <c r="J261" s="36" t="s">
        <v>5895</v>
      </c>
      <c r="K261" s="36" t="s">
        <v>6761</v>
      </c>
      <c r="L261" s="36" t="b">
        <v>1</v>
      </c>
    </row>
    <row r="262" spans="1:12" ht="12.75" hidden="1">
      <c r="A262" s="448">
        <v>45094.225487951393</v>
      </c>
      <c r="B262" s="449">
        <v>45094</v>
      </c>
      <c r="C262" s="36" t="s">
        <v>3388</v>
      </c>
      <c r="D262" s="450">
        <v>0.41666666666424135</v>
      </c>
      <c r="E262" s="36" t="s">
        <v>6762</v>
      </c>
      <c r="F262" s="36" t="s">
        <v>6763</v>
      </c>
      <c r="G262" s="36" t="s">
        <v>6764</v>
      </c>
      <c r="H262" s="36" t="s">
        <v>6765</v>
      </c>
      <c r="I262" s="36">
        <v>1</v>
      </c>
      <c r="J262" s="36" t="s">
        <v>5895</v>
      </c>
      <c r="K262" s="36" t="s">
        <v>6210</v>
      </c>
      <c r="L262" s="36" t="b">
        <v>1</v>
      </c>
    </row>
    <row r="263" spans="1:12" ht="12.75" hidden="1">
      <c r="A263" s="448">
        <v>45094.699484016208</v>
      </c>
      <c r="B263" s="449">
        <v>45095</v>
      </c>
      <c r="C263" s="36" t="s">
        <v>3383</v>
      </c>
      <c r="D263" s="450">
        <v>0.4375</v>
      </c>
      <c r="E263" s="36" t="s">
        <v>6766</v>
      </c>
      <c r="F263" s="36" t="s">
        <v>6767</v>
      </c>
      <c r="G263" s="36" t="s">
        <v>6768</v>
      </c>
      <c r="H263" s="36" t="s">
        <v>756</v>
      </c>
      <c r="I263" s="36">
        <v>1</v>
      </c>
      <c r="J263" s="36" t="s">
        <v>5895</v>
      </c>
      <c r="K263" s="36" t="s">
        <v>6070</v>
      </c>
      <c r="L263" s="36" t="b">
        <v>0</v>
      </c>
    </row>
    <row r="264" spans="1:12" ht="12.75" hidden="1">
      <c r="A264" s="448">
        <v>45094.76811527778</v>
      </c>
      <c r="B264" s="449">
        <v>45094</v>
      </c>
      <c r="C264" s="36" t="s">
        <v>11</v>
      </c>
      <c r="D264" s="450">
        <v>0.5</v>
      </c>
      <c r="E264" s="36" t="s">
        <v>6769</v>
      </c>
      <c r="F264" s="36">
        <v>5</v>
      </c>
      <c r="G264" s="36" t="s">
        <v>6770</v>
      </c>
      <c r="H264" s="36" t="s">
        <v>6448</v>
      </c>
      <c r="I264" s="36">
        <v>1</v>
      </c>
      <c r="J264" s="36" t="s">
        <v>5895</v>
      </c>
      <c r="K264" s="36" t="s">
        <v>6771</v>
      </c>
      <c r="L264" s="36" t="b">
        <v>1</v>
      </c>
    </row>
    <row r="265" spans="1:12" ht="12.75" hidden="1">
      <c r="A265" s="448">
        <v>45095.589789849539</v>
      </c>
      <c r="B265" s="449">
        <v>45093</v>
      </c>
      <c r="C265" s="36" t="s">
        <v>3388</v>
      </c>
      <c r="D265" s="450">
        <v>0.70833333333575865</v>
      </c>
      <c r="E265" s="36" t="s">
        <v>6772</v>
      </c>
      <c r="F265" s="36" t="s">
        <v>6773</v>
      </c>
      <c r="G265" s="36" t="s">
        <v>517</v>
      </c>
      <c r="H265" s="36" t="s">
        <v>6611</v>
      </c>
      <c r="I265" s="36">
        <v>1</v>
      </c>
      <c r="J265" s="36" t="s">
        <v>5895</v>
      </c>
      <c r="K265" s="36" t="s">
        <v>6774</v>
      </c>
      <c r="L265" s="36" t="b">
        <v>1</v>
      </c>
    </row>
    <row r="266" spans="1:12" ht="12.75" hidden="1">
      <c r="A266" s="448">
        <v>45095.591044953704</v>
      </c>
      <c r="B266" s="449">
        <v>45093</v>
      </c>
      <c r="C266" s="36" t="s">
        <v>3388</v>
      </c>
      <c r="D266" s="450">
        <v>0.75</v>
      </c>
      <c r="E266" s="36" t="s">
        <v>6775</v>
      </c>
      <c r="F266" s="36" t="s">
        <v>6776</v>
      </c>
      <c r="G266" s="36" t="s">
        <v>6777</v>
      </c>
      <c r="H266" s="36" t="s">
        <v>3941</v>
      </c>
      <c r="I266" s="36">
        <v>2</v>
      </c>
      <c r="J266" s="36" t="s">
        <v>5895</v>
      </c>
      <c r="K266" s="36" t="s">
        <v>6778</v>
      </c>
      <c r="L266" s="36" t="b">
        <v>1</v>
      </c>
    </row>
    <row r="267" spans="1:12" ht="12.75" hidden="1">
      <c r="A267" s="448">
        <v>45095.645287291671</v>
      </c>
      <c r="B267" s="449">
        <v>45096</v>
      </c>
      <c r="C267" s="36" t="s">
        <v>11</v>
      </c>
      <c r="D267" s="450">
        <v>0.79166666666424135</v>
      </c>
      <c r="E267" s="36" t="s">
        <v>6779</v>
      </c>
      <c r="F267" s="36" t="s">
        <v>6780</v>
      </c>
      <c r="G267" s="36" t="s">
        <v>1179</v>
      </c>
      <c r="H267" s="36" t="s">
        <v>1225</v>
      </c>
      <c r="I267" s="36">
        <v>3</v>
      </c>
      <c r="J267" s="36" t="s">
        <v>5895</v>
      </c>
      <c r="K267" s="36" t="s">
        <v>6761</v>
      </c>
      <c r="L267" s="36" t="b">
        <v>1</v>
      </c>
    </row>
    <row r="268" spans="1:12" ht="12.75" hidden="1">
      <c r="A268" s="448">
        <v>45096.940246331018</v>
      </c>
      <c r="B268" s="449">
        <v>45095</v>
      </c>
      <c r="C268" s="36" t="s">
        <v>20</v>
      </c>
      <c r="D268" s="450">
        <v>0.5</v>
      </c>
      <c r="E268" s="36" t="s">
        <v>6781</v>
      </c>
      <c r="F268" s="36" t="s">
        <v>6782</v>
      </c>
      <c r="G268" s="36" t="s">
        <v>273</v>
      </c>
      <c r="H268" s="36" t="s">
        <v>6222</v>
      </c>
      <c r="I268" s="36">
        <v>1</v>
      </c>
      <c r="J268" s="36" t="s">
        <v>5895</v>
      </c>
      <c r="K268" s="36" t="s">
        <v>6783</v>
      </c>
      <c r="L268" s="36" t="b">
        <v>0</v>
      </c>
    </row>
    <row r="269" spans="1:12" ht="12.75" hidden="1">
      <c r="A269" s="448">
        <v>45097.427974108796</v>
      </c>
      <c r="B269" s="449">
        <v>45097</v>
      </c>
      <c r="C269" s="36" t="s">
        <v>3383</v>
      </c>
      <c r="D269" s="450">
        <v>0.5</v>
      </c>
      <c r="E269" s="36" t="s">
        <v>6784</v>
      </c>
      <c r="F269" s="36" t="s">
        <v>6785</v>
      </c>
      <c r="G269" s="36" t="s">
        <v>756</v>
      </c>
      <c r="H269" s="36" t="s">
        <v>304</v>
      </c>
      <c r="I269" s="36">
        <v>1</v>
      </c>
      <c r="J269" s="36" t="s">
        <v>5895</v>
      </c>
      <c r="K269" s="36" t="s">
        <v>6786</v>
      </c>
      <c r="L269" s="36" t="b">
        <v>0</v>
      </c>
    </row>
    <row r="270" spans="1:12" ht="12.75" hidden="1">
      <c r="A270" s="448">
        <v>45097.539267905093</v>
      </c>
      <c r="B270" s="449">
        <v>45097</v>
      </c>
      <c r="C270" s="36" t="s">
        <v>12</v>
      </c>
      <c r="D270" s="450">
        <v>0.77083333333575865</v>
      </c>
      <c r="E270" s="36" t="s">
        <v>6787</v>
      </c>
      <c r="F270" s="36" t="s">
        <v>6788</v>
      </c>
      <c r="G270" s="36" t="s">
        <v>1058</v>
      </c>
      <c r="H270" s="36" t="s">
        <v>821</v>
      </c>
      <c r="I270" s="36">
        <v>2</v>
      </c>
      <c r="J270" s="36" t="s">
        <v>5895</v>
      </c>
      <c r="K270" s="36" t="s">
        <v>6789</v>
      </c>
      <c r="L270" s="36" t="b">
        <v>1</v>
      </c>
    </row>
    <row r="271" spans="1:12" ht="12.75" hidden="1">
      <c r="A271" s="448">
        <v>45097.633866053242</v>
      </c>
      <c r="B271" s="449">
        <v>45097</v>
      </c>
      <c r="C271" s="36" t="s">
        <v>3388</v>
      </c>
      <c r="D271" s="450">
        <v>0.75</v>
      </c>
      <c r="E271" s="36" t="s">
        <v>6790</v>
      </c>
      <c r="F271" s="36" t="s">
        <v>6791</v>
      </c>
      <c r="G271" s="36" t="s">
        <v>6639</v>
      </c>
      <c r="H271" s="36" t="s">
        <v>1043</v>
      </c>
      <c r="I271" s="36">
        <v>1</v>
      </c>
      <c r="J271" s="36" t="s">
        <v>5895</v>
      </c>
      <c r="K271" s="36" t="s">
        <v>6242</v>
      </c>
      <c r="L271" s="36" t="b">
        <v>1</v>
      </c>
    </row>
    <row r="272" spans="1:12" ht="12.75" hidden="1">
      <c r="A272" s="448">
        <v>45097.950054016204</v>
      </c>
      <c r="B272" s="449">
        <v>45097</v>
      </c>
      <c r="C272" s="36" t="s">
        <v>12</v>
      </c>
      <c r="D272" s="450">
        <v>0.75</v>
      </c>
      <c r="E272" s="36" t="s">
        <v>6792</v>
      </c>
      <c r="F272" s="36">
        <v>2</v>
      </c>
      <c r="G272" s="36" t="s">
        <v>6793</v>
      </c>
      <c r="H272" s="36" t="s">
        <v>6734</v>
      </c>
      <c r="I272" s="36">
        <v>1</v>
      </c>
      <c r="J272" s="36" t="s">
        <v>5895</v>
      </c>
      <c r="K272" s="36" t="s">
        <v>6794</v>
      </c>
      <c r="L272" s="36" t="b">
        <v>1</v>
      </c>
    </row>
    <row r="273" spans="1:12" ht="12.75" hidden="1">
      <c r="A273" s="448">
        <v>45098.556895555557</v>
      </c>
      <c r="B273" s="449">
        <v>45099</v>
      </c>
      <c r="C273" s="36" t="s">
        <v>3388</v>
      </c>
      <c r="D273" s="450">
        <v>0.79166666666424135</v>
      </c>
      <c r="E273" s="36" t="s">
        <v>6795</v>
      </c>
      <c r="F273" s="36" t="s">
        <v>6796</v>
      </c>
      <c r="G273" s="36" t="s">
        <v>1483</v>
      </c>
      <c r="H273" s="36" t="s">
        <v>6797</v>
      </c>
      <c r="I273" s="36">
        <v>1</v>
      </c>
      <c r="J273" s="36" t="s">
        <v>6093</v>
      </c>
      <c r="K273" s="36" t="s">
        <v>6798</v>
      </c>
      <c r="L273" s="36" t="b">
        <v>1</v>
      </c>
    </row>
    <row r="274" spans="1:12" ht="12.75" hidden="1">
      <c r="A274" s="448">
        <v>45099.668915196758</v>
      </c>
      <c r="B274" s="449">
        <v>45100</v>
      </c>
      <c r="C274" s="36" t="s">
        <v>12</v>
      </c>
      <c r="D274" s="450">
        <v>0.79166666666424135</v>
      </c>
      <c r="E274" s="36" t="s">
        <v>6799</v>
      </c>
      <c r="F274" s="36" t="s">
        <v>6800</v>
      </c>
      <c r="G274" s="36" t="s">
        <v>6801</v>
      </c>
      <c r="H274" s="36" t="s">
        <v>1340</v>
      </c>
      <c r="I274" s="36">
        <v>1</v>
      </c>
      <c r="J274" s="36" t="s">
        <v>5895</v>
      </c>
      <c r="K274" s="36" t="s">
        <v>6802</v>
      </c>
      <c r="L274" s="36" t="b">
        <v>1</v>
      </c>
    </row>
    <row r="275" spans="1:12" ht="12.75" hidden="1">
      <c r="A275" s="448">
        <v>45099.682988912042</v>
      </c>
      <c r="B275" s="449">
        <v>45100</v>
      </c>
      <c r="C275" s="36" t="s">
        <v>20</v>
      </c>
      <c r="D275" s="450">
        <v>0.79166666666424135</v>
      </c>
      <c r="E275" s="36" t="s">
        <v>6803</v>
      </c>
      <c r="F275" s="36" t="s">
        <v>6804</v>
      </c>
      <c r="G275" s="36" t="s">
        <v>223</v>
      </c>
      <c r="H275" s="36" t="s">
        <v>6805</v>
      </c>
      <c r="I275" s="36">
        <v>1</v>
      </c>
      <c r="J275" s="36" t="s">
        <v>5895</v>
      </c>
      <c r="K275" s="36" t="s">
        <v>5943</v>
      </c>
      <c r="L275" s="36" t="b">
        <v>0</v>
      </c>
    </row>
    <row r="276" spans="1:12" ht="12.75" hidden="1">
      <c r="A276" s="448">
        <v>45100.607848773143</v>
      </c>
      <c r="B276" s="449">
        <v>45100</v>
      </c>
      <c r="C276" s="36" t="s">
        <v>3388</v>
      </c>
      <c r="D276" s="450">
        <v>0.70486111110949423</v>
      </c>
      <c r="E276" s="36" t="s">
        <v>6806</v>
      </c>
      <c r="F276" s="36" t="s">
        <v>6807</v>
      </c>
      <c r="G276" s="36" t="s">
        <v>756</v>
      </c>
      <c r="H276" s="36" t="s">
        <v>6611</v>
      </c>
      <c r="I276" s="36">
        <v>1</v>
      </c>
      <c r="J276" s="36" t="s">
        <v>5895</v>
      </c>
      <c r="K276" s="36" t="s">
        <v>6808</v>
      </c>
      <c r="L276" s="36" t="b">
        <v>0</v>
      </c>
    </row>
    <row r="277" spans="1:12" ht="12.75" hidden="1">
      <c r="A277" s="448">
        <v>45100.619134351851</v>
      </c>
      <c r="B277" s="449">
        <v>45099</v>
      </c>
      <c r="C277" s="36" t="s">
        <v>3388</v>
      </c>
      <c r="D277" s="450">
        <v>0.79166666666424135</v>
      </c>
      <c r="E277" s="36" t="s">
        <v>6809</v>
      </c>
      <c r="F277" s="36" t="s">
        <v>6810</v>
      </c>
      <c r="G277" s="36" t="s">
        <v>1251</v>
      </c>
      <c r="H277" s="36" t="s">
        <v>6811</v>
      </c>
      <c r="I277" s="36">
        <v>2</v>
      </c>
      <c r="J277" s="36" t="s">
        <v>5895</v>
      </c>
      <c r="K277" s="36" t="s">
        <v>6812</v>
      </c>
      <c r="L277" s="36" t="b">
        <v>1</v>
      </c>
    </row>
    <row r="278" spans="1:12" ht="12.75" hidden="1">
      <c r="A278" s="448">
        <v>45100.862477743052</v>
      </c>
      <c r="B278" s="449">
        <v>45101</v>
      </c>
      <c r="C278" s="36" t="s">
        <v>12</v>
      </c>
      <c r="D278" s="450">
        <v>0.41666666666424135</v>
      </c>
      <c r="E278" s="36" t="s">
        <v>6813</v>
      </c>
      <c r="F278" s="36" t="s">
        <v>6814</v>
      </c>
      <c r="G278" s="36" t="s">
        <v>6815</v>
      </c>
      <c r="H278" s="36" t="s">
        <v>6816</v>
      </c>
      <c r="I278" s="36">
        <v>1</v>
      </c>
      <c r="J278" s="36" t="s">
        <v>5895</v>
      </c>
      <c r="K278" s="36" t="s">
        <v>6817</v>
      </c>
      <c r="L278" s="36" t="b">
        <v>1</v>
      </c>
    </row>
    <row r="279" spans="1:12" ht="12.75" hidden="1">
      <c r="A279" s="448">
        <v>45100.87662703704</v>
      </c>
      <c r="B279" s="449">
        <v>45101</v>
      </c>
      <c r="C279" s="36" t="s">
        <v>11</v>
      </c>
      <c r="D279" s="450">
        <v>0.41666666666424135</v>
      </c>
      <c r="E279" s="36" t="s">
        <v>6759</v>
      </c>
      <c r="F279" s="36" t="s">
        <v>6818</v>
      </c>
      <c r="G279" s="36" t="s">
        <v>1179</v>
      </c>
      <c r="H279" s="36" t="s">
        <v>383</v>
      </c>
      <c r="I279" s="36">
        <v>4</v>
      </c>
      <c r="J279" s="36" t="s">
        <v>5895</v>
      </c>
      <c r="K279" s="36" t="s">
        <v>6819</v>
      </c>
      <c r="L279" s="36" t="b">
        <v>0</v>
      </c>
    </row>
    <row r="280" spans="1:12" ht="12.75" hidden="1">
      <c r="A280" s="448">
        <v>45101.5023874537</v>
      </c>
      <c r="B280" s="449">
        <v>45102</v>
      </c>
      <c r="C280" s="36" t="s">
        <v>3388</v>
      </c>
      <c r="D280" s="450">
        <v>0.41666666666424135</v>
      </c>
      <c r="E280" s="36" t="s">
        <v>6820</v>
      </c>
      <c r="F280" s="36" t="s">
        <v>6821</v>
      </c>
      <c r="G280" s="36" t="s">
        <v>6822</v>
      </c>
      <c r="H280" s="36" t="s">
        <v>6299</v>
      </c>
      <c r="I280" s="36">
        <v>2</v>
      </c>
      <c r="J280" s="36" t="s">
        <v>6093</v>
      </c>
      <c r="K280" s="36" t="s">
        <v>6823</v>
      </c>
      <c r="L280" s="36" t="b">
        <v>1</v>
      </c>
    </row>
    <row r="281" spans="1:12" ht="12.75" hidden="1">
      <c r="A281" s="448">
        <v>45101.677719282408</v>
      </c>
      <c r="B281" s="449">
        <v>45098</v>
      </c>
      <c r="C281" s="36" t="s">
        <v>3388</v>
      </c>
      <c r="D281" s="450">
        <v>0.79166666666424135</v>
      </c>
      <c r="E281" s="36" t="s">
        <v>6024</v>
      </c>
      <c r="F281" s="36" t="s">
        <v>6824</v>
      </c>
      <c r="G281" s="36" t="s">
        <v>6825</v>
      </c>
      <c r="H281" s="36" t="s">
        <v>6826</v>
      </c>
      <c r="I281" s="36">
        <v>1</v>
      </c>
      <c r="J281" s="36" t="s">
        <v>5895</v>
      </c>
      <c r="K281" s="36" t="s">
        <v>6172</v>
      </c>
      <c r="L281" s="36" t="b">
        <v>1</v>
      </c>
    </row>
    <row r="282" spans="1:12" ht="12.75" hidden="1">
      <c r="A282" s="448">
        <v>45102.439042060185</v>
      </c>
      <c r="B282" s="449">
        <v>45101</v>
      </c>
      <c r="C282" s="36" t="s">
        <v>3388</v>
      </c>
      <c r="D282" s="450">
        <v>0.79166666666424135</v>
      </c>
      <c r="E282" s="36" t="s">
        <v>6827</v>
      </c>
      <c r="F282" s="36" t="s">
        <v>6828</v>
      </c>
      <c r="G282" s="36" t="s">
        <v>557</v>
      </c>
      <c r="H282" s="36" t="s">
        <v>453</v>
      </c>
      <c r="I282" s="36">
        <v>1</v>
      </c>
      <c r="J282" s="36" t="s">
        <v>5895</v>
      </c>
      <c r="K282" s="36" t="s">
        <v>6829</v>
      </c>
      <c r="L282" s="36" t="b">
        <v>1</v>
      </c>
    </row>
    <row r="283" spans="1:12" ht="12.75" hidden="1">
      <c r="A283" s="448">
        <v>45102.580125856482</v>
      </c>
      <c r="B283" s="449">
        <v>45102</v>
      </c>
      <c r="C283" s="36" t="s">
        <v>3383</v>
      </c>
      <c r="D283" s="450">
        <v>0.4375</v>
      </c>
      <c r="E283" s="36" t="s">
        <v>6830</v>
      </c>
      <c r="F283" s="36" t="s">
        <v>6831</v>
      </c>
      <c r="G283" s="36" t="s">
        <v>6832</v>
      </c>
      <c r="H283" s="36" t="s">
        <v>6104</v>
      </c>
      <c r="I283" s="36">
        <v>1</v>
      </c>
      <c r="J283" s="36" t="s">
        <v>5895</v>
      </c>
      <c r="K283" s="36" t="s">
        <v>6833</v>
      </c>
      <c r="L283" s="36" t="b">
        <v>0</v>
      </c>
    </row>
    <row r="284" spans="1:12" ht="12.75" hidden="1">
      <c r="A284" s="448">
        <v>45102.582067708332</v>
      </c>
      <c r="B284" s="449">
        <v>45102</v>
      </c>
      <c r="C284" s="36" t="s">
        <v>3383</v>
      </c>
      <c r="D284" s="450">
        <v>0.54166666666424135</v>
      </c>
      <c r="E284" s="36" t="s">
        <v>6834</v>
      </c>
      <c r="F284" s="36" t="s">
        <v>6835</v>
      </c>
      <c r="G284" s="36" t="s">
        <v>335</v>
      </c>
      <c r="H284" s="36" t="s">
        <v>6100</v>
      </c>
      <c r="I284" s="36">
        <v>2</v>
      </c>
      <c r="J284" s="36" t="s">
        <v>5895</v>
      </c>
      <c r="K284" s="36" t="s">
        <v>6833</v>
      </c>
      <c r="L284" s="36" t="b">
        <v>0</v>
      </c>
    </row>
    <row r="285" spans="1:12" ht="12.75" hidden="1">
      <c r="A285" s="448">
        <v>45102.592220763894</v>
      </c>
      <c r="B285" s="449">
        <v>45097</v>
      </c>
      <c r="C285" s="36" t="s">
        <v>3388</v>
      </c>
      <c r="D285" s="450">
        <v>0.75</v>
      </c>
      <c r="E285" s="36" t="s">
        <v>6836</v>
      </c>
      <c r="F285" s="36">
        <v>11</v>
      </c>
      <c r="G285" s="36" t="s">
        <v>6837</v>
      </c>
      <c r="H285" s="36" t="s">
        <v>1312</v>
      </c>
      <c r="I285" s="36">
        <v>1</v>
      </c>
      <c r="J285" s="36" t="s">
        <v>5895</v>
      </c>
      <c r="K285" s="36" t="s">
        <v>6838</v>
      </c>
      <c r="L285" s="36" t="b">
        <v>1</v>
      </c>
    </row>
    <row r="286" spans="1:12" ht="12.75" hidden="1">
      <c r="A286" s="448">
        <v>45102.593020625005</v>
      </c>
      <c r="B286" s="449">
        <v>45100</v>
      </c>
      <c r="C286" s="36" t="s">
        <v>3388</v>
      </c>
      <c r="D286" s="450">
        <v>0.75</v>
      </c>
      <c r="E286" s="36" t="s">
        <v>6839</v>
      </c>
      <c r="F286" s="36">
        <v>36</v>
      </c>
      <c r="G286" s="36" t="s">
        <v>1452</v>
      </c>
      <c r="H286" s="36" t="s">
        <v>6840</v>
      </c>
      <c r="I286" s="36">
        <v>2</v>
      </c>
      <c r="J286" s="36" t="s">
        <v>5895</v>
      </c>
      <c r="K286" s="36" t="s">
        <v>5943</v>
      </c>
      <c r="L286" s="36" t="b">
        <v>1</v>
      </c>
    </row>
    <row r="287" spans="1:12" ht="12.75" hidden="1">
      <c r="A287" s="448">
        <v>45102.593914456018</v>
      </c>
      <c r="B287" s="449">
        <v>45100</v>
      </c>
      <c r="C287" s="36" t="s">
        <v>3388</v>
      </c>
      <c r="D287" s="450">
        <v>0.8125</v>
      </c>
      <c r="E287" s="36" t="s">
        <v>6841</v>
      </c>
      <c r="F287" s="36">
        <v>13</v>
      </c>
      <c r="G287" s="36" t="s">
        <v>1452</v>
      </c>
      <c r="H287" s="36" t="s">
        <v>1385</v>
      </c>
      <c r="I287" s="36">
        <v>3</v>
      </c>
      <c r="J287" s="36" t="s">
        <v>5895</v>
      </c>
      <c r="K287" s="36" t="s">
        <v>5943</v>
      </c>
      <c r="L287" s="36" t="b">
        <v>1</v>
      </c>
    </row>
    <row r="288" spans="1:12" ht="12.75" hidden="1">
      <c r="A288" s="448">
        <v>45102.71272787037</v>
      </c>
      <c r="B288" s="449">
        <v>45109</v>
      </c>
      <c r="C288" s="36" t="s">
        <v>3388</v>
      </c>
      <c r="D288" s="450">
        <v>0.75</v>
      </c>
      <c r="E288" s="36" t="s">
        <v>6842</v>
      </c>
      <c r="F288" s="36" t="s">
        <v>6843</v>
      </c>
      <c r="G288" s="36" t="s">
        <v>1357</v>
      </c>
      <c r="H288" s="36" t="s">
        <v>6844</v>
      </c>
      <c r="I288" s="36">
        <v>1</v>
      </c>
      <c r="J288" s="36" t="s">
        <v>5895</v>
      </c>
      <c r="K288" s="36" t="s">
        <v>6845</v>
      </c>
      <c r="L288" s="36" t="b">
        <v>1</v>
      </c>
    </row>
    <row r="289" spans="1:13" ht="12.75" hidden="1">
      <c r="A289" s="448">
        <v>45102.714038483799</v>
      </c>
      <c r="B289" s="449">
        <v>45111</v>
      </c>
      <c r="C289" s="36" t="s">
        <v>3388</v>
      </c>
      <c r="D289" s="450">
        <v>0.75</v>
      </c>
      <c r="E289" s="36" t="s">
        <v>6846</v>
      </c>
      <c r="F289" s="36" t="s">
        <v>6847</v>
      </c>
      <c r="G289" s="36" t="s">
        <v>1357</v>
      </c>
      <c r="H289" s="36" t="s">
        <v>6543</v>
      </c>
      <c r="I289" s="36">
        <v>2</v>
      </c>
      <c r="J289" s="36" t="s">
        <v>5895</v>
      </c>
      <c r="K289" s="36" t="s">
        <v>6848</v>
      </c>
      <c r="L289" s="36" t="b">
        <v>1</v>
      </c>
    </row>
    <row r="290" spans="1:13" ht="12.75" hidden="1">
      <c r="A290" s="448">
        <v>45102.822917094905</v>
      </c>
      <c r="B290" s="449">
        <v>45103</v>
      </c>
      <c r="C290" s="36" t="s">
        <v>11</v>
      </c>
      <c r="D290" s="450">
        <v>0.79166666666424135</v>
      </c>
      <c r="E290" s="36" t="s">
        <v>6779</v>
      </c>
      <c r="F290" s="36" t="s">
        <v>6849</v>
      </c>
      <c r="G290" s="36" t="s">
        <v>6850</v>
      </c>
      <c r="H290" s="36" t="s">
        <v>6851</v>
      </c>
      <c r="I290" s="36">
        <v>5</v>
      </c>
      <c r="J290" s="36" t="s">
        <v>5895</v>
      </c>
      <c r="K290" s="36" t="s">
        <v>6819</v>
      </c>
      <c r="L290" s="36" t="b">
        <v>0</v>
      </c>
    </row>
    <row r="291" spans="1:13" ht="12.75" hidden="1">
      <c r="A291" s="448">
        <v>45103.818266504633</v>
      </c>
      <c r="B291" s="449">
        <v>45103</v>
      </c>
      <c r="C291" s="36" t="s">
        <v>3388</v>
      </c>
      <c r="D291" s="450">
        <v>0.77083333333575865</v>
      </c>
      <c r="E291" s="36" t="s">
        <v>6852</v>
      </c>
      <c r="F291" s="36" t="s">
        <v>6853</v>
      </c>
      <c r="G291" s="36" t="s">
        <v>1439</v>
      </c>
      <c r="H291" s="36" t="s">
        <v>3547</v>
      </c>
      <c r="I291" s="36">
        <v>1</v>
      </c>
      <c r="J291" s="36" t="s">
        <v>5895</v>
      </c>
      <c r="K291" s="36" t="s">
        <v>6116</v>
      </c>
      <c r="L291" s="36" t="b">
        <v>1</v>
      </c>
      <c r="M291" s="36" t="s">
        <v>6854</v>
      </c>
    </row>
    <row r="292" spans="1:13" ht="12.75" hidden="1">
      <c r="A292" s="448">
        <v>45104.377949895832</v>
      </c>
      <c r="B292" s="449">
        <v>45104</v>
      </c>
      <c r="C292" s="36" t="s">
        <v>3383</v>
      </c>
      <c r="D292" s="450">
        <v>0.5</v>
      </c>
      <c r="E292" s="36" t="s">
        <v>6784</v>
      </c>
      <c r="F292" s="36" t="s">
        <v>6855</v>
      </c>
      <c r="G292" s="36" t="s">
        <v>756</v>
      </c>
      <c r="H292" s="36" t="s">
        <v>718</v>
      </c>
      <c r="I292" s="36">
        <v>2</v>
      </c>
      <c r="J292" s="36" t="s">
        <v>5895</v>
      </c>
      <c r="K292" s="36" t="s">
        <v>6856</v>
      </c>
      <c r="L292" s="36" t="b">
        <v>0</v>
      </c>
    </row>
    <row r="293" spans="1:13" ht="12.75" hidden="1">
      <c r="A293" s="448">
        <v>45104.527545046294</v>
      </c>
      <c r="B293" s="449">
        <v>45104</v>
      </c>
      <c r="C293" s="36" t="s">
        <v>3388</v>
      </c>
      <c r="D293" s="450">
        <v>0.75</v>
      </c>
      <c r="E293" s="36" t="s">
        <v>6857</v>
      </c>
      <c r="F293" s="36" t="s">
        <v>6858</v>
      </c>
      <c r="G293" s="36" t="s">
        <v>6859</v>
      </c>
      <c r="H293" s="36" t="s">
        <v>1229</v>
      </c>
      <c r="I293" s="36">
        <v>1</v>
      </c>
      <c r="J293" s="36" t="s">
        <v>5895</v>
      </c>
      <c r="K293" s="36" t="s">
        <v>6860</v>
      </c>
      <c r="L293" s="36" t="b">
        <v>0</v>
      </c>
    </row>
    <row r="294" spans="1:13" ht="12.75" hidden="1">
      <c r="A294" s="448">
        <v>45104.815467129629</v>
      </c>
      <c r="B294" s="449">
        <v>45104</v>
      </c>
      <c r="C294" s="36" t="s">
        <v>11</v>
      </c>
      <c r="D294" s="450">
        <v>0.8125</v>
      </c>
      <c r="E294" s="36" t="s">
        <v>6861</v>
      </c>
      <c r="F294" s="36" t="s">
        <v>6862</v>
      </c>
      <c r="G294" s="36" t="s">
        <v>6345</v>
      </c>
      <c r="H294" s="36" t="s">
        <v>6863</v>
      </c>
      <c r="I294" s="36">
        <v>1</v>
      </c>
      <c r="J294" s="36" t="s">
        <v>5895</v>
      </c>
      <c r="K294" s="36" t="s">
        <v>6242</v>
      </c>
      <c r="L294" s="36" t="b">
        <v>0</v>
      </c>
    </row>
    <row r="295" spans="1:13" ht="12.75" hidden="1">
      <c r="A295" s="448">
        <v>45105.668206979171</v>
      </c>
      <c r="B295" s="449">
        <v>45106</v>
      </c>
      <c r="C295" s="36" t="s">
        <v>12</v>
      </c>
      <c r="D295" s="450">
        <v>0.79166666666424135</v>
      </c>
      <c r="E295" s="36" t="s">
        <v>6864</v>
      </c>
      <c r="F295" s="36" t="s">
        <v>6865</v>
      </c>
      <c r="G295" s="36" t="s">
        <v>164</v>
      </c>
      <c r="H295" s="36" t="s">
        <v>6734</v>
      </c>
      <c r="I295" s="36">
        <v>1</v>
      </c>
      <c r="J295" s="36" t="s">
        <v>5895</v>
      </c>
      <c r="K295" s="36" t="s">
        <v>6866</v>
      </c>
      <c r="L295" s="36" t="b">
        <v>1</v>
      </c>
    </row>
    <row r="296" spans="1:13" ht="12.75" hidden="1">
      <c r="A296" s="448">
        <v>45105.779930671299</v>
      </c>
      <c r="B296" s="449">
        <v>45114</v>
      </c>
      <c r="C296" s="36" t="s">
        <v>3388</v>
      </c>
      <c r="D296" s="450">
        <v>0.79166666666424135</v>
      </c>
      <c r="E296" s="36" t="s">
        <v>6867</v>
      </c>
      <c r="F296" s="36" t="s">
        <v>6868</v>
      </c>
      <c r="G296" s="36" t="s">
        <v>1309</v>
      </c>
      <c r="H296" s="36" t="s">
        <v>1042</v>
      </c>
      <c r="I296" s="36">
        <v>1</v>
      </c>
      <c r="J296" s="36" t="s">
        <v>5895</v>
      </c>
      <c r="K296" s="36" t="s">
        <v>6869</v>
      </c>
      <c r="L296" s="36" t="b">
        <v>0</v>
      </c>
    </row>
    <row r="297" spans="1:13" ht="12.75" hidden="1">
      <c r="A297" s="448">
        <v>45105.867726620374</v>
      </c>
      <c r="B297" s="449">
        <v>45094</v>
      </c>
      <c r="C297" s="36" t="s">
        <v>3388</v>
      </c>
      <c r="D297" s="450">
        <v>0.41666666666424135</v>
      </c>
      <c r="E297" s="36" t="s">
        <v>6870</v>
      </c>
      <c r="F297" s="36" t="s">
        <v>6871</v>
      </c>
      <c r="G297" s="36" t="s">
        <v>1042</v>
      </c>
      <c r="H297" s="36" t="s">
        <v>494</v>
      </c>
      <c r="I297" s="36">
        <v>1</v>
      </c>
      <c r="J297" s="36" t="s">
        <v>5895</v>
      </c>
      <c r="K297" s="36" t="s">
        <v>6872</v>
      </c>
      <c r="L297" s="36" t="b">
        <v>0</v>
      </c>
    </row>
    <row r="298" spans="1:13" ht="12.75" hidden="1">
      <c r="A298" s="448">
        <v>45105.869320486112</v>
      </c>
      <c r="B298" s="449">
        <v>45095</v>
      </c>
      <c r="C298" s="36" t="s">
        <v>3388</v>
      </c>
      <c r="D298" s="450">
        <v>0.41666666666424135</v>
      </c>
      <c r="E298" s="36" t="s">
        <v>6873</v>
      </c>
      <c r="F298" s="36" t="s">
        <v>6874</v>
      </c>
      <c r="G298" s="36" t="s">
        <v>1042</v>
      </c>
      <c r="H298" s="36" t="s">
        <v>1395</v>
      </c>
      <c r="I298" s="36">
        <v>2</v>
      </c>
      <c r="J298" s="36" t="s">
        <v>5895</v>
      </c>
      <c r="K298" s="36" t="s">
        <v>6875</v>
      </c>
      <c r="L298" s="36" t="b">
        <v>0</v>
      </c>
    </row>
    <row r="299" spans="1:13" ht="12.75" hidden="1">
      <c r="A299" s="448">
        <v>45105.87034872685</v>
      </c>
      <c r="B299" s="449">
        <v>45095</v>
      </c>
      <c r="C299" s="36" t="s">
        <v>3388</v>
      </c>
      <c r="D299" s="450">
        <v>0.45833333333575865</v>
      </c>
      <c r="E299" s="36" t="s">
        <v>6876</v>
      </c>
      <c r="F299" s="36" t="s">
        <v>6877</v>
      </c>
      <c r="G299" s="36" t="s">
        <v>1042</v>
      </c>
      <c r="H299" s="36" t="s">
        <v>1395</v>
      </c>
      <c r="I299" s="36">
        <v>3</v>
      </c>
      <c r="J299" s="36" t="s">
        <v>5895</v>
      </c>
      <c r="K299" s="36" t="s">
        <v>6875</v>
      </c>
      <c r="L299" s="36" t="b">
        <v>0</v>
      </c>
    </row>
    <row r="300" spans="1:13" ht="12.75" hidden="1">
      <c r="A300" s="448">
        <v>45105.900782372686</v>
      </c>
      <c r="B300" s="449">
        <v>45106</v>
      </c>
      <c r="C300" s="36" t="s">
        <v>12</v>
      </c>
      <c r="D300" s="450">
        <v>0.75</v>
      </c>
      <c r="E300" s="36" t="s">
        <v>6878</v>
      </c>
      <c r="F300" s="36" t="s">
        <v>6879</v>
      </c>
      <c r="G300" s="36" t="s">
        <v>485</v>
      </c>
      <c r="H300" s="36" t="s">
        <v>6880</v>
      </c>
      <c r="I300" s="36">
        <v>2</v>
      </c>
      <c r="J300" s="36" t="s">
        <v>5895</v>
      </c>
      <c r="K300" s="36" t="s">
        <v>6881</v>
      </c>
      <c r="L300" s="36" t="b">
        <v>1</v>
      </c>
    </row>
    <row r="301" spans="1:13" ht="12.75" hidden="1">
      <c r="A301" s="448">
        <v>45105.902925682865</v>
      </c>
      <c r="B301" s="449">
        <v>45107</v>
      </c>
      <c r="C301" s="36" t="s">
        <v>12</v>
      </c>
      <c r="D301" s="450">
        <v>0.75</v>
      </c>
      <c r="E301" s="36" t="s">
        <v>6732</v>
      </c>
      <c r="F301" s="36" t="s">
        <v>6882</v>
      </c>
      <c r="G301" s="36" t="s">
        <v>485</v>
      </c>
      <c r="H301" s="36" t="s">
        <v>778</v>
      </c>
      <c r="I301" s="36">
        <v>3</v>
      </c>
      <c r="J301" s="36" t="s">
        <v>5895</v>
      </c>
      <c r="K301" s="36" t="s">
        <v>6883</v>
      </c>
      <c r="L301" s="36" t="b">
        <v>1</v>
      </c>
    </row>
    <row r="302" spans="1:13" ht="12.75" hidden="1">
      <c r="A302" s="448">
        <v>45106.422754780091</v>
      </c>
      <c r="B302" s="449">
        <v>45103</v>
      </c>
      <c r="C302" s="36" t="s">
        <v>3383</v>
      </c>
      <c r="D302" s="450">
        <v>0.75</v>
      </c>
      <c r="E302" s="36" t="s">
        <v>6884</v>
      </c>
      <c r="F302" s="36" t="s">
        <v>6885</v>
      </c>
      <c r="G302" s="36" t="s">
        <v>1361</v>
      </c>
      <c r="H302" s="36" t="s">
        <v>6328</v>
      </c>
      <c r="I302" s="36">
        <v>2</v>
      </c>
      <c r="J302" s="36" t="s">
        <v>5895</v>
      </c>
      <c r="K302" s="36" t="s">
        <v>5943</v>
      </c>
      <c r="L302" s="36" t="b">
        <v>0</v>
      </c>
    </row>
    <row r="303" spans="1:13" ht="12.75" hidden="1">
      <c r="A303" s="448">
        <v>45106.457026446762</v>
      </c>
      <c r="B303" s="449">
        <v>45108</v>
      </c>
      <c r="C303" s="36" t="s">
        <v>3388</v>
      </c>
      <c r="D303" s="450">
        <v>0.41666666666424135</v>
      </c>
      <c r="E303" s="36" t="s">
        <v>6886</v>
      </c>
      <c r="F303" s="36" t="s">
        <v>6887</v>
      </c>
      <c r="G303" s="36" t="s">
        <v>1717</v>
      </c>
      <c r="H303" s="36" t="s">
        <v>6888</v>
      </c>
      <c r="I303" s="36">
        <v>1</v>
      </c>
      <c r="J303" s="36" t="s">
        <v>6093</v>
      </c>
      <c r="K303" s="36" t="s">
        <v>6889</v>
      </c>
      <c r="L303" s="36" t="b">
        <v>1</v>
      </c>
      <c r="M303" s="36" t="s">
        <v>6890</v>
      </c>
    </row>
    <row r="304" spans="1:13" ht="12.75" hidden="1">
      <c r="A304" s="448">
        <v>45106.458086990737</v>
      </c>
      <c r="B304" s="449">
        <v>45111</v>
      </c>
      <c r="C304" s="36" t="s">
        <v>3388</v>
      </c>
      <c r="D304" s="450">
        <v>0.77083333333575865</v>
      </c>
      <c r="E304" s="36" t="s">
        <v>6134</v>
      </c>
      <c r="F304" s="36" t="s">
        <v>6887</v>
      </c>
      <c r="G304" s="36" t="s">
        <v>1717</v>
      </c>
      <c r="H304" s="36" t="s">
        <v>6888</v>
      </c>
      <c r="I304" s="36">
        <v>1</v>
      </c>
      <c r="J304" s="36" t="s">
        <v>6093</v>
      </c>
      <c r="K304" s="36" t="s">
        <v>6891</v>
      </c>
      <c r="L304" s="36" t="b">
        <v>1</v>
      </c>
    </row>
    <row r="305" spans="1:12" ht="12.75" hidden="1">
      <c r="A305" s="448">
        <v>45106.886180023153</v>
      </c>
      <c r="B305" s="449">
        <v>45108</v>
      </c>
      <c r="C305" s="36" t="s">
        <v>3388</v>
      </c>
      <c r="D305" s="450">
        <v>0.48611111110949423</v>
      </c>
      <c r="E305" s="36" t="s">
        <v>6892</v>
      </c>
      <c r="F305" s="36" t="s">
        <v>6893</v>
      </c>
      <c r="G305" s="36" t="s">
        <v>1717</v>
      </c>
      <c r="H305" s="36" t="s">
        <v>6894</v>
      </c>
      <c r="I305" s="36">
        <v>1</v>
      </c>
      <c r="J305" s="36" t="s">
        <v>6093</v>
      </c>
      <c r="K305" s="36" t="s">
        <v>6891</v>
      </c>
      <c r="L305" s="36" t="b">
        <v>1</v>
      </c>
    </row>
    <row r="306" spans="1:12" ht="12.75" hidden="1">
      <c r="A306" s="448">
        <v>45106.888282638887</v>
      </c>
      <c r="B306" s="449">
        <v>45106</v>
      </c>
      <c r="C306" s="36" t="s">
        <v>3388</v>
      </c>
      <c r="D306" s="450">
        <v>0.75</v>
      </c>
      <c r="E306" s="36" t="s">
        <v>6630</v>
      </c>
      <c r="F306" s="36" t="s">
        <v>6895</v>
      </c>
      <c r="G306" s="36" t="s">
        <v>1717</v>
      </c>
      <c r="H306" s="36" t="s">
        <v>1395</v>
      </c>
      <c r="I306" s="36">
        <v>2</v>
      </c>
      <c r="J306" s="36" t="s">
        <v>6093</v>
      </c>
      <c r="K306" s="36" t="s">
        <v>6891</v>
      </c>
      <c r="L306" s="36" t="b">
        <v>1</v>
      </c>
    </row>
    <row r="307" spans="1:12" ht="12.75" hidden="1">
      <c r="A307" s="448">
        <v>45107.7409625</v>
      </c>
      <c r="B307" s="449">
        <v>45117</v>
      </c>
      <c r="C307" s="36" t="s">
        <v>3388</v>
      </c>
      <c r="D307" s="450">
        <v>0.41666666666424135</v>
      </c>
      <c r="E307" s="36" t="s">
        <v>6896</v>
      </c>
      <c r="F307" s="36" t="s">
        <v>6897</v>
      </c>
      <c r="G307" s="36" t="s">
        <v>1357</v>
      </c>
      <c r="H307" s="36" t="s">
        <v>3386</v>
      </c>
      <c r="I307" s="36">
        <v>3</v>
      </c>
      <c r="J307" s="36" t="s">
        <v>5895</v>
      </c>
      <c r="K307" s="36" t="s">
        <v>6898</v>
      </c>
      <c r="L307" s="36" t="b">
        <v>1</v>
      </c>
    </row>
    <row r="308" spans="1:12" ht="12.75" hidden="1">
      <c r="A308" s="448">
        <v>45107.742626087958</v>
      </c>
      <c r="B308" s="449">
        <v>45108</v>
      </c>
      <c r="C308" s="36" t="s">
        <v>3388</v>
      </c>
      <c r="D308" s="450">
        <v>0.45833333333575865</v>
      </c>
      <c r="E308" s="36" t="s">
        <v>6899</v>
      </c>
      <c r="F308" s="36" t="s">
        <v>6900</v>
      </c>
      <c r="G308" s="36" t="s">
        <v>1357</v>
      </c>
      <c r="H308" s="36" t="s">
        <v>6901</v>
      </c>
      <c r="I308" s="36">
        <v>4</v>
      </c>
      <c r="J308" s="36" t="s">
        <v>5895</v>
      </c>
      <c r="K308" s="36" t="s">
        <v>6902</v>
      </c>
      <c r="L308" s="36" t="b">
        <v>1</v>
      </c>
    </row>
    <row r="309" spans="1:12" ht="12.75" hidden="1">
      <c r="A309" s="448">
        <v>45107.759381620373</v>
      </c>
      <c r="B309" s="449">
        <v>45107</v>
      </c>
      <c r="C309" s="36" t="s">
        <v>3388</v>
      </c>
      <c r="D309" s="450">
        <v>0.75</v>
      </c>
      <c r="E309" s="36" t="s">
        <v>6903</v>
      </c>
      <c r="F309" s="36" t="s">
        <v>6904</v>
      </c>
      <c r="G309" s="36" t="s">
        <v>6542</v>
      </c>
      <c r="H309" s="36" t="s">
        <v>6905</v>
      </c>
      <c r="I309" s="36">
        <v>1</v>
      </c>
      <c r="J309" s="36" t="s">
        <v>5895</v>
      </c>
      <c r="K309" s="36" t="s">
        <v>6906</v>
      </c>
      <c r="L309" s="36" t="b">
        <v>0</v>
      </c>
    </row>
    <row r="310" spans="1:12" ht="12.75" hidden="1">
      <c r="A310" s="448">
        <v>45107.799463750001</v>
      </c>
      <c r="B310" s="449">
        <v>45108</v>
      </c>
      <c r="C310" s="36" t="s">
        <v>11</v>
      </c>
      <c r="D310" s="450">
        <v>0.41666666666424135</v>
      </c>
      <c r="E310" s="36" t="s">
        <v>6759</v>
      </c>
      <c r="F310" s="36" t="s">
        <v>6907</v>
      </c>
      <c r="G310" s="36" t="s">
        <v>1179</v>
      </c>
      <c r="H310" s="36" t="s">
        <v>6908</v>
      </c>
      <c r="I310" s="36">
        <v>6</v>
      </c>
      <c r="J310" s="36" t="s">
        <v>5895</v>
      </c>
      <c r="K310" s="36" t="s">
        <v>6761</v>
      </c>
      <c r="L310" s="36" t="b">
        <v>0</v>
      </c>
    </row>
    <row r="311" spans="1:12" ht="12.75" hidden="1">
      <c r="A311" s="448">
        <v>45108.231925405096</v>
      </c>
      <c r="B311" s="449">
        <v>45106</v>
      </c>
      <c r="C311" s="36" t="s">
        <v>3383</v>
      </c>
      <c r="D311" s="450">
        <v>0.79166666666424135</v>
      </c>
      <c r="E311" s="36" t="s">
        <v>6909</v>
      </c>
      <c r="F311" s="36" t="s">
        <v>6910</v>
      </c>
      <c r="G311" s="36" t="s">
        <v>1093</v>
      </c>
      <c r="H311" s="36" t="s">
        <v>6911</v>
      </c>
      <c r="I311" s="36">
        <v>1</v>
      </c>
      <c r="J311" s="36" t="s">
        <v>5895</v>
      </c>
      <c r="K311" s="36" t="s">
        <v>6186</v>
      </c>
      <c r="L311" s="36" t="b">
        <v>0</v>
      </c>
    </row>
    <row r="312" spans="1:12" ht="12.75" hidden="1">
      <c r="A312" s="448">
        <v>45108.233279016204</v>
      </c>
      <c r="B312" s="449">
        <v>45107</v>
      </c>
      <c r="C312" s="36" t="s">
        <v>3383</v>
      </c>
      <c r="D312" s="450">
        <v>0.79166666666424135</v>
      </c>
      <c r="E312" s="36" t="s">
        <v>6909</v>
      </c>
      <c r="F312" s="36" t="s">
        <v>6912</v>
      </c>
      <c r="G312" s="36" t="s">
        <v>1093</v>
      </c>
      <c r="H312" s="36" t="s">
        <v>6913</v>
      </c>
      <c r="I312" s="36">
        <v>2</v>
      </c>
      <c r="J312" s="36" t="s">
        <v>5895</v>
      </c>
      <c r="K312" s="36" t="s">
        <v>6186</v>
      </c>
      <c r="L312" s="36" t="b">
        <v>0</v>
      </c>
    </row>
    <row r="313" spans="1:12" ht="12.75" hidden="1">
      <c r="A313" s="448">
        <v>45108.375595682868</v>
      </c>
      <c r="B313" s="449">
        <v>45108</v>
      </c>
      <c r="C313" s="36" t="s">
        <v>12</v>
      </c>
      <c r="D313" s="450">
        <v>0.41666666666424135</v>
      </c>
      <c r="E313" s="36" t="s">
        <v>6914</v>
      </c>
      <c r="F313" s="36" t="s">
        <v>6915</v>
      </c>
      <c r="G313" s="36" t="s">
        <v>485</v>
      </c>
      <c r="H313" s="36" t="s">
        <v>6916</v>
      </c>
      <c r="I313" s="36">
        <v>1</v>
      </c>
      <c r="J313" s="36" t="s">
        <v>5895</v>
      </c>
      <c r="K313" s="36" t="s">
        <v>6917</v>
      </c>
      <c r="L313" s="36" t="b">
        <v>1</v>
      </c>
    </row>
    <row r="314" spans="1:12" ht="12.75" hidden="1">
      <c r="A314" s="448">
        <v>45108.376340983799</v>
      </c>
      <c r="B314" s="449">
        <v>45109</v>
      </c>
      <c r="C314" s="36" t="s">
        <v>12</v>
      </c>
      <c r="D314" s="450">
        <v>0.41666666666424135</v>
      </c>
      <c r="E314" s="36" t="s">
        <v>6914</v>
      </c>
      <c r="F314" s="36" t="s">
        <v>6915</v>
      </c>
      <c r="G314" s="36" t="s">
        <v>485</v>
      </c>
      <c r="H314" s="36" t="s">
        <v>6916</v>
      </c>
      <c r="I314" s="36">
        <v>2</v>
      </c>
      <c r="J314" s="36" t="s">
        <v>5895</v>
      </c>
      <c r="K314" s="36" t="s">
        <v>6918</v>
      </c>
      <c r="L314" s="36" t="b">
        <v>1</v>
      </c>
    </row>
    <row r="315" spans="1:12" ht="12.75" hidden="1">
      <c r="A315" s="448">
        <v>45108.448756273152</v>
      </c>
      <c r="B315" s="449">
        <v>45108</v>
      </c>
      <c r="C315" s="36" t="s">
        <v>12</v>
      </c>
      <c r="D315" s="450">
        <v>0.45833333333575865</v>
      </c>
      <c r="E315" s="36" t="s">
        <v>6919</v>
      </c>
      <c r="F315" s="36" t="s">
        <v>6920</v>
      </c>
      <c r="G315" s="36" t="s">
        <v>86</v>
      </c>
      <c r="H315" s="36" t="s">
        <v>283</v>
      </c>
      <c r="I315" s="36">
        <v>1</v>
      </c>
      <c r="J315" s="36" t="s">
        <v>5895</v>
      </c>
      <c r="K315" s="36" t="s">
        <v>6921</v>
      </c>
      <c r="L315" s="36" t="b">
        <v>0</v>
      </c>
    </row>
    <row r="316" spans="1:12" ht="12.75" hidden="1">
      <c r="A316" s="448">
        <v>45108.449816597218</v>
      </c>
      <c r="B316" s="449">
        <v>45108</v>
      </c>
      <c r="C316" s="36" t="s">
        <v>12</v>
      </c>
      <c r="D316" s="450">
        <v>0.6875</v>
      </c>
      <c r="E316" s="36" t="s">
        <v>6560</v>
      </c>
      <c r="F316" s="36" t="s">
        <v>6922</v>
      </c>
      <c r="G316" s="36" t="s">
        <v>86</v>
      </c>
      <c r="H316" s="36" t="s">
        <v>999</v>
      </c>
      <c r="I316" s="36">
        <v>2</v>
      </c>
      <c r="J316" s="36" t="s">
        <v>5895</v>
      </c>
      <c r="K316" s="36" t="s">
        <v>6921</v>
      </c>
      <c r="L316" s="36" t="b">
        <v>0</v>
      </c>
    </row>
    <row r="317" spans="1:12" ht="12.75" hidden="1">
      <c r="A317" s="448">
        <v>45108.578257245375</v>
      </c>
      <c r="B317" s="449">
        <v>45110</v>
      </c>
      <c r="C317" s="36" t="s">
        <v>3383</v>
      </c>
      <c r="D317" s="450">
        <v>0.75</v>
      </c>
      <c r="E317" s="36" t="s">
        <v>6319</v>
      </c>
      <c r="F317" s="36" t="s">
        <v>6923</v>
      </c>
      <c r="G317" s="36" t="s">
        <v>756</v>
      </c>
      <c r="H317" s="36" t="s">
        <v>6924</v>
      </c>
      <c r="I317" s="36">
        <v>1</v>
      </c>
      <c r="J317" s="36" t="s">
        <v>5895</v>
      </c>
      <c r="K317" s="36" t="s">
        <v>6406</v>
      </c>
      <c r="L317" s="36" t="b">
        <v>0</v>
      </c>
    </row>
    <row r="318" spans="1:12" ht="12.75" hidden="1">
      <c r="A318" s="448">
        <v>45108.586192349539</v>
      </c>
      <c r="B318" s="449">
        <v>45108</v>
      </c>
      <c r="C318" s="36" t="s">
        <v>3388</v>
      </c>
      <c r="D318" s="450">
        <v>0.70833333333575865</v>
      </c>
      <c r="E318" s="36" t="s">
        <v>6925</v>
      </c>
      <c r="F318" s="36" t="s">
        <v>6926</v>
      </c>
      <c r="G318" s="36" t="s">
        <v>6927</v>
      </c>
      <c r="H318" s="36" t="s">
        <v>6928</v>
      </c>
      <c r="I318" s="36">
        <v>1</v>
      </c>
      <c r="J318" s="36" t="s">
        <v>5895</v>
      </c>
      <c r="K318" s="36" t="s">
        <v>6218</v>
      </c>
      <c r="L318" s="36" t="b">
        <v>1</v>
      </c>
    </row>
    <row r="319" spans="1:12" ht="12.75" hidden="1">
      <c r="A319" s="448">
        <v>45108.605894050925</v>
      </c>
      <c r="B319" s="449">
        <v>45109</v>
      </c>
      <c r="C319" s="36" t="s">
        <v>3388</v>
      </c>
      <c r="D319" s="450">
        <v>0.41666666666424135</v>
      </c>
      <c r="E319" s="36" t="s">
        <v>6929</v>
      </c>
      <c r="F319" s="36" t="s">
        <v>6930</v>
      </c>
      <c r="G319" s="36" t="s">
        <v>6931</v>
      </c>
      <c r="H319" s="36" t="s">
        <v>6928</v>
      </c>
      <c r="I319" s="36">
        <v>1</v>
      </c>
      <c r="J319" s="36" t="s">
        <v>5895</v>
      </c>
      <c r="K319" s="36" t="s">
        <v>6932</v>
      </c>
      <c r="L319" s="36" t="b">
        <v>1</v>
      </c>
    </row>
    <row r="320" spans="1:12" ht="12.75" hidden="1">
      <c r="A320" s="448">
        <v>45108.77701100694</v>
      </c>
      <c r="B320" s="449">
        <v>45108</v>
      </c>
      <c r="C320" s="36" t="s">
        <v>12</v>
      </c>
      <c r="D320" s="450">
        <v>0.625</v>
      </c>
      <c r="E320" s="36" t="s">
        <v>6933</v>
      </c>
      <c r="F320" s="36" t="s">
        <v>6934</v>
      </c>
      <c r="G320" s="36" t="s">
        <v>6139</v>
      </c>
      <c r="H320" s="36" t="s">
        <v>6241</v>
      </c>
      <c r="I320" s="36">
        <v>3</v>
      </c>
      <c r="J320" s="36" t="s">
        <v>5895</v>
      </c>
      <c r="K320" s="36" t="s">
        <v>6122</v>
      </c>
      <c r="L320" s="36" t="b">
        <v>1</v>
      </c>
    </row>
    <row r="321" spans="1:12" ht="12.75" hidden="1">
      <c r="A321" s="448">
        <v>45108.778810104166</v>
      </c>
      <c r="B321" s="449">
        <v>45108</v>
      </c>
      <c r="C321" s="36" t="s">
        <v>12</v>
      </c>
      <c r="D321" s="450">
        <v>0.79166666666424135</v>
      </c>
      <c r="E321" s="36" t="s">
        <v>6935</v>
      </c>
      <c r="F321" s="36" t="s">
        <v>6936</v>
      </c>
      <c r="G321" s="36" t="s">
        <v>6139</v>
      </c>
      <c r="H321" s="36" t="s">
        <v>6089</v>
      </c>
      <c r="I321" s="36">
        <v>3</v>
      </c>
      <c r="J321" s="36" t="s">
        <v>5895</v>
      </c>
      <c r="K321" s="36" t="s">
        <v>6122</v>
      </c>
      <c r="L321" s="36" t="b">
        <v>1</v>
      </c>
    </row>
    <row r="322" spans="1:12" ht="12.75" hidden="1">
      <c r="A322" s="448">
        <v>45108.780121793985</v>
      </c>
      <c r="B322" s="449">
        <v>45109</v>
      </c>
      <c r="C322" s="36" t="s">
        <v>12</v>
      </c>
      <c r="D322" s="450">
        <v>0.41666666666424135</v>
      </c>
      <c r="E322" s="36" t="s">
        <v>6937</v>
      </c>
      <c r="F322" s="36" t="s">
        <v>6938</v>
      </c>
      <c r="G322" s="36" t="s">
        <v>6139</v>
      </c>
      <c r="H322" s="36" t="s">
        <v>6089</v>
      </c>
      <c r="I322" s="36">
        <v>3</v>
      </c>
      <c r="J322" s="36" t="s">
        <v>5895</v>
      </c>
      <c r="K322" s="36" t="s">
        <v>6122</v>
      </c>
      <c r="L322" s="36" t="b">
        <v>1</v>
      </c>
    </row>
    <row r="323" spans="1:12" ht="12.75" hidden="1">
      <c r="A323" s="448">
        <v>45108.950514861106</v>
      </c>
      <c r="B323" s="449">
        <v>45111</v>
      </c>
      <c r="C323" s="36" t="s">
        <v>3388</v>
      </c>
      <c r="D323" s="450">
        <v>0.77083333333575865</v>
      </c>
      <c r="E323" s="36" t="s">
        <v>6939</v>
      </c>
      <c r="F323" s="36" t="s">
        <v>6940</v>
      </c>
      <c r="G323" s="36" t="s">
        <v>1524</v>
      </c>
      <c r="H323" s="36" t="s">
        <v>6941</v>
      </c>
      <c r="I323" s="36">
        <v>2</v>
      </c>
      <c r="J323" s="36" t="s">
        <v>6093</v>
      </c>
      <c r="K323" s="36" t="s">
        <v>5859</v>
      </c>
      <c r="L323" s="36" t="b">
        <v>1</v>
      </c>
    </row>
    <row r="324" spans="1:12" ht="12.75" hidden="1">
      <c r="A324" s="448">
        <v>45109.623042013889</v>
      </c>
      <c r="B324" s="449">
        <v>45109</v>
      </c>
      <c r="C324" s="36" t="s">
        <v>3388</v>
      </c>
      <c r="D324" s="450">
        <v>0.66666666666424135</v>
      </c>
      <c r="E324" s="36" t="s">
        <v>6942</v>
      </c>
      <c r="F324" s="36" t="s">
        <v>6943</v>
      </c>
      <c r="G324" s="36" t="s">
        <v>1251</v>
      </c>
      <c r="H324" s="36" t="s">
        <v>6299</v>
      </c>
      <c r="I324" s="36">
        <v>1</v>
      </c>
      <c r="J324" s="36" t="s">
        <v>5895</v>
      </c>
      <c r="K324" s="36" t="s">
        <v>6812</v>
      </c>
      <c r="L324" s="36" t="b">
        <v>1</v>
      </c>
    </row>
    <row r="325" spans="1:12" ht="12.75" hidden="1">
      <c r="A325" s="448">
        <v>45109.836558495372</v>
      </c>
      <c r="B325" s="449">
        <v>45101</v>
      </c>
      <c r="C325" s="36" t="s">
        <v>3383</v>
      </c>
      <c r="D325" s="450">
        <v>0.58333333333575865</v>
      </c>
      <c r="E325" s="36" t="s">
        <v>6944</v>
      </c>
      <c r="F325" s="36" t="s">
        <v>6945</v>
      </c>
      <c r="G325" s="36" t="s">
        <v>6946</v>
      </c>
      <c r="H325" s="36" t="s">
        <v>6947</v>
      </c>
      <c r="I325" s="36">
        <v>2</v>
      </c>
      <c r="J325" s="36" t="s">
        <v>5895</v>
      </c>
      <c r="K325" s="36" t="s">
        <v>5943</v>
      </c>
      <c r="L325" s="36" t="b">
        <v>0</v>
      </c>
    </row>
    <row r="326" spans="1:12" ht="12.75" hidden="1">
      <c r="A326" s="448">
        <v>45111.518925810189</v>
      </c>
      <c r="B326" s="449">
        <v>45111</v>
      </c>
      <c r="C326" s="36" t="s">
        <v>3388</v>
      </c>
      <c r="D326" s="450">
        <v>0.75</v>
      </c>
      <c r="E326" s="36" t="s">
        <v>6160</v>
      </c>
      <c r="F326" s="36" t="s">
        <v>6948</v>
      </c>
      <c r="G326" s="36" t="s">
        <v>6028</v>
      </c>
      <c r="H326" s="36" t="s">
        <v>1113</v>
      </c>
      <c r="I326" s="36">
        <v>1</v>
      </c>
      <c r="J326" s="36" t="s">
        <v>5895</v>
      </c>
      <c r="K326" s="36" t="s">
        <v>6949</v>
      </c>
      <c r="L326" s="36" t="b">
        <v>0</v>
      </c>
    </row>
    <row r="327" spans="1:12" ht="12.75" hidden="1">
      <c r="A327" s="448">
        <v>45111.860162129626</v>
      </c>
      <c r="B327" s="449">
        <v>45111</v>
      </c>
      <c r="C327" s="36" t="s">
        <v>3388</v>
      </c>
      <c r="D327" s="450">
        <v>0.75</v>
      </c>
      <c r="E327" s="36" t="s">
        <v>6950</v>
      </c>
      <c r="F327" s="36" t="s">
        <v>6951</v>
      </c>
      <c r="G327" s="36" t="s">
        <v>6084</v>
      </c>
      <c r="H327" s="36" t="s">
        <v>6952</v>
      </c>
      <c r="I327" s="36">
        <v>1</v>
      </c>
      <c r="J327" s="36" t="s">
        <v>5895</v>
      </c>
      <c r="K327" s="36" t="s">
        <v>6242</v>
      </c>
      <c r="L327" s="36" t="b">
        <v>0</v>
      </c>
    </row>
    <row r="328" spans="1:12" ht="12.75" hidden="1">
      <c r="A328" s="448">
        <v>45112.696166435184</v>
      </c>
      <c r="B328" s="449">
        <v>45111</v>
      </c>
      <c r="C328" s="36" t="s">
        <v>11</v>
      </c>
      <c r="D328" s="450">
        <v>6.25E-2</v>
      </c>
      <c r="E328" s="36" t="s">
        <v>6486</v>
      </c>
      <c r="F328" s="36">
        <v>11</v>
      </c>
      <c r="G328" s="36" t="s">
        <v>244</v>
      </c>
      <c r="H328" s="36" t="s">
        <v>383</v>
      </c>
      <c r="I328" s="36">
        <v>1</v>
      </c>
      <c r="J328" s="36" t="s">
        <v>5895</v>
      </c>
      <c r="K328" s="36" t="s">
        <v>6953</v>
      </c>
      <c r="L328" s="36" t="b">
        <v>0</v>
      </c>
    </row>
    <row r="329" spans="1:12" ht="12.75" hidden="1">
      <c r="A329" s="448">
        <v>45112.871456909721</v>
      </c>
      <c r="B329" s="449">
        <v>45112</v>
      </c>
      <c r="C329" s="36" t="s">
        <v>3388</v>
      </c>
      <c r="D329" s="450">
        <v>0.75</v>
      </c>
      <c r="E329" s="36" t="s">
        <v>5984</v>
      </c>
      <c r="F329" s="36" t="s">
        <v>6954</v>
      </c>
      <c r="G329" s="36" t="s">
        <v>5962</v>
      </c>
      <c r="H329" s="36" t="s">
        <v>6955</v>
      </c>
      <c r="I329" s="36">
        <v>1</v>
      </c>
      <c r="J329" s="36" t="s">
        <v>5895</v>
      </c>
      <c r="K329" s="36" t="s">
        <v>6956</v>
      </c>
      <c r="L329" s="36" t="b">
        <v>1</v>
      </c>
    </row>
    <row r="330" spans="1:12" ht="12.75" hidden="1">
      <c r="A330" s="448">
        <v>45112.875533472223</v>
      </c>
      <c r="B330" s="449">
        <v>45113</v>
      </c>
      <c r="C330" s="36" t="s">
        <v>3388</v>
      </c>
      <c r="D330" s="450">
        <v>0.75</v>
      </c>
      <c r="E330" s="36" t="s">
        <v>6957</v>
      </c>
      <c r="F330" s="36" t="s">
        <v>6958</v>
      </c>
      <c r="G330" s="36" t="s">
        <v>2168</v>
      </c>
      <c r="H330" s="36" t="s">
        <v>1042</v>
      </c>
      <c r="I330" s="36">
        <v>1</v>
      </c>
      <c r="J330" s="36" t="s">
        <v>5895</v>
      </c>
      <c r="K330" s="36" t="s">
        <v>6959</v>
      </c>
      <c r="L330" s="36" t="b">
        <v>0</v>
      </c>
    </row>
    <row r="331" spans="1:12" ht="12.75" hidden="1">
      <c r="A331" s="448">
        <v>45113.036069178241</v>
      </c>
      <c r="B331" s="449">
        <v>45112</v>
      </c>
      <c r="C331" s="36" t="s">
        <v>12</v>
      </c>
      <c r="D331" s="450">
        <v>6.25E-2</v>
      </c>
      <c r="E331" s="36" t="s">
        <v>6960</v>
      </c>
      <c r="F331" s="36" t="s">
        <v>6961</v>
      </c>
      <c r="G331" s="36" t="s">
        <v>6962</v>
      </c>
      <c r="H331" s="36" t="s">
        <v>6241</v>
      </c>
      <c r="I331" s="36">
        <v>1</v>
      </c>
      <c r="J331" s="36" t="s">
        <v>5895</v>
      </c>
      <c r="K331" s="36" t="s">
        <v>6963</v>
      </c>
      <c r="L331" s="36" t="b">
        <v>0</v>
      </c>
    </row>
    <row r="332" spans="1:12" ht="12.75" hidden="1">
      <c r="A332" s="448">
        <v>45113.530535729165</v>
      </c>
      <c r="B332" s="449">
        <v>45106</v>
      </c>
      <c r="C332" s="36" t="s">
        <v>3388</v>
      </c>
      <c r="D332" s="450">
        <v>0.79166666666424135</v>
      </c>
      <c r="E332" s="36" t="s">
        <v>6490</v>
      </c>
      <c r="F332" s="36" t="s">
        <v>6964</v>
      </c>
      <c r="G332" s="36" t="s">
        <v>1128</v>
      </c>
      <c r="H332" s="36" t="s">
        <v>1113</v>
      </c>
      <c r="I332" s="36">
        <v>1</v>
      </c>
      <c r="J332" s="36" t="s">
        <v>5895</v>
      </c>
      <c r="K332" s="36" t="s">
        <v>6965</v>
      </c>
      <c r="L332" s="36" t="b">
        <v>0</v>
      </c>
    </row>
    <row r="333" spans="1:12" ht="12.75" hidden="1">
      <c r="A333" s="448">
        <v>45113.874554479167</v>
      </c>
      <c r="B333" s="449">
        <v>45113</v>
      </c>
      <c r="C333" s="36" t="s">
        <v>3388</v>
      </c>
      <c r="D333" s="450">
        <v>0.70833333333575865</v>
      </c>
      <c r="E333" s="36" t="s">
        <v>6966</v>
      </c>
      <c r="F333" s="36" t="s">
        <v>6967</v>
      </c>
      <c r="G333" s="36" t="s">
        <v>903</v>
      </c>
      <c r="H333" s="36" t="s">
        <v>6611</v>
      </c>
      <c r="I333" s="36">
        <v>1</v>
      </c>
      <c r="J333" s="36" t="s">
        <v>5895</v>
      </c>
      <c r="K333" s="36" t="s">
        <v>6968</v>
      </c>
      <c r="L333" s="36" t="b">
        <v>1</v>
      </c>
    </row>
    <row r="334" spans="1:12" ht="12.75" hidden="1">
      <c r="A334" s="448">
        <v>45113.875285138885</v>
      </c>
      <c r="B334" s="449">
        <v>45113</v>
      </c>
      <c r="C334" s="36" t="s">
        <v>3388</v>
      </c>
      <c r="D334" s="450">
        <v>0.45833333333575865</v>
      </c>
      <c r="E334" s="36" t="s">
        <v>6969</v>
      </c>
      <c r="F334" s="36" t="s">
        <v>6491</v>
      </c>
      <c r="G334" s="36" t="s">
        <v>903</v>
      </c>
      <c r="H334" s="36" t="s">
        <v>6611</v>
      </c>
      <c r="I334" s="36">
        <v>2</v>
      </c>
      <c r="J334" s="36" t="s">
        <v>5895</v>
      </c>
      <c r="K334" s="36" t="s">
        <v>6970</v>
      </c>
      <c r="L334" s="36" t="b">
        <v>1</v>
      </c>
    </row>
    <row r="335" spans="1:12" ht="12.75" hidden="1">
      <c r="A335" s="448">
        <v>45114.527050532408</v>
      </c>
      <c r="B335" s="449">
        <v>45115</v>
      </c>
      <c r="C335" s="36" t="s">
        <v>3388</v>
      </c>
      <c r="D335" s="450">
        <v>0.54166666666424135</v>
      </c>
      <c r="E335" s="36" t="s">
        <v>6971</v>
      </c>
      <c r="F335" s="36" t="s">
        <v>6972</v>
      </c>
      <c r="G335" s="36" t="s">
        <v>6973</v>
      </c>
      <c r="H335" s="36" t="s">
        <v>6974</v>
      </c>
      <c r="I335" s="36">
        <v>1</v>
      </c>
      <c r="J335" s="36" t="s">
        <v>6093</v>
      </c>
      <c r="K335" s="36" t="s">
        <v>6889</v>
      </c>
      <c r="L335" s="36" t="b">
        <v>0</v>
      </c>
    </row>
    <row r="336" spans="1:12" ht="12.75" hidden="1">
      <c r="A336" s="448">
        <v>45114.583245486108</v>
      </c>
      <c r="B336" s="449">
        <v>45114</v>
      </c>
      <c r="C336" s="36" t="s">
        <v>3383</v>
      </c>
      <c r="D336" s="450">
        <v>0.75</v>
      </c>
      <c r="E336" s="36" t="s">
        <v>6975</v>
      </c>
      <c r="F336" s="36" t="s">
        <v>6976</v>
      </c>
      <c r="G336" s="36" t="s">
        <v>6537</v>
      </c>
      <c r="H336" s="36" t="s">
        <v>6977</v>
      </c>
      <c r="I336" s="36">
        <v>1</v>
      </c>
      <c r="J336" s="36" t="s">
        <v>5895</v>
      </c>
      <c r="K336" s="36" t="s">
        <v>6978</v>
      </c>
      <c r="L336" s="36" t="b">
        <v>0</v>
      </c>
    </row>
    <row r="337" spans="1:12" ht="12.75" hidden="1">
      <c r="A337" s="448">
        <v>45114.69122414352</v>
      </c>
      <c r="B337" s="449">
        <v>45114</v>
      </c>
      <c r="C337" s="36" t="s">
        <v>3383</v>
      </c>
      <c r="D337" s="450">
        <v>0.75</v>
      </c>
      <c r="E337" s="36" t="s">
        <v>6282</v>
      </c>
      <c r="F337" s="36" t="s">
        <v>6979</v>
      </c>
      <c r="G337" s="36" t="s">
        <v>341</v>
      </c>
      <c r="H337" s="36" t="s">
        <v>5922</v>
      </c>
      <c r="I337" s="36">
        <v>1</v>
      </c>
      <c r="J337" s="36" t="s">
        <v>5895</v>
      </c>
      <c r="K337" s="36" t="s">
        <v>6980</v>
      </c>
      <c r="L337" s="36" t="b">
        <v>0</v>
      </c>
    </row>
    <row r="338" spans="1:12" ht="12.75" hidden="1">
      <c r="A338" s="448">
        <v>45115.012104259258</v>
      </c>
      <c r="B338" s="449">
        <v>45115</v>
      </c>
      <c r="C338" s="36" t="s">
        <v>3383</v>
      </c>
      <c r="D338" s="450">
        <v>0.50694444444525288</v>
      </c>
      <c r="E338" s="36" t="s">
        <v>6981</v>
      </c>
      <c r="F338" s="36" t="s">
        <v>6982</v>
      </c>
      <c r="G338" s="36" t="s">
        <v>6983</v>
      </c>
      <c r="H338" s="36" t="s">
        <v>6984</v>
      </c>
      <c r="I338" s="36">
        <v>2</v>
      </c>
      <c r="J338" s="36" t="s">
        <v>5895</v>
      </c>
      <c r="K338" s="36" t="s">
        <v>6985</v>
      </c>
      <c r="L338" s="36" t="b">
        <v>0</v>
      </c>
    </row>
    <row r="339" spans="1:12" ht="12.75" hidden="1">
      <c r="A339" s="448">
        <v>45115.456299247686</v>
      </c>
      <c r="B339" s="449">
        <v>45112</v>
      </c>
      <c r="C339" s="36" t="s">
        <v>3388</v>
      </c>
      <c r="D339" s="450">
        <v>0.8125</v>
      </c>
      <c r="E339" s="36" t="s">
        <v>6986</v>
      </c>
      <c r="F339" s="36">
        <v>6</v>
      </c>
      <c r="G339" s="36" t="s">
        <v>1042</v>
      </c>
      <c r="H339" s="36" t="s">
        <v>756</v>
      </c>
      <c r="I339" s="36">
        <v>1</v>
      </c>
      <c r="J339" s="36" t="s">
        <v>5895</v>
      </c>
      <c r="K339" s="36" t="s">
        <v>5923</v>
      </c>
      <c r="L339" s="36" t="b">
        <v>1</v>
      </c>
    </row>
    <row r="340" spans="1:12" ht="12.75" hidden="1">
      <c r="A340" s="448">
        <v>45115.585248784722</v>
      </c>
      <c r="B340" s="449">
        <v>45115</v>
      </c>
      <c r="C340" s="36" t="s">
        <v>3383</v>
      </c>
      <c r="D340" s="450">
        <v>0.54166666666424135</v>
      </c>
      <c r="E340" s="36" t="s">
        <v>6987</v>
      </c>
      <c r="F340" s="36" t="s">
        <v>6988</v>
      </c>
      <c r="G340" s="36" t="s">
        <v>498</v>
      </c>
      <c r="H340" s="36" t="s">
        <v>6977</v>
      </c>
      <c r="I340" s="36">
        <v>2</v>
      </c>
      <c r="J340" s="36" t="s">
        <v>5895</v>
      </c>
      <c r="K340" s="36" t="s">
        <v>6989</v>
      </c>
      <c r="L340" s="36" t="b">
        <v>0</v>
      </c>
    </row>
    <row r="341" spans="1:12" ht="12.75" hidden="1">
      <c r="A341" s="448">
        <v>45116.555379537036</v>
      </c>
      <c r="B341" s="449">
        <v>45116</v>
      </c>
      <c r="C341" s="36" t="s">
        <v>3388</v>
      </c>
      <c r="D341" s="450">
        <v>0.41666666666424135</v>
      </c>
      <c r="E341" s="36" t="s">
        <v>6990</v>
      </c>
      <c r="F341" s="36" t="s">
        <v>6991</v>
      </c>
      <c r="G341" s="36" t="s">
        <v>1305</v>
      </c>
      <c r="H341" s="36" t="s">
        <v>6611</v>
      </c>
      <c r="I341" s="36">
        <v>1</v>
      </c>
      <c r="J341" s="36" t="s">
        <v>5895</v>
      </c>
      <c r="K341" s="36" t="s">
        <v>6992</v>
      </c>
      <c r="L341" s="36" t="b">
        <v>1</v>
      </c>
    </row>
    <row r="342" spans="1:12" ht="12.75" hidden="1">
      <c r="A342" s="448">
        <v>45116.620232152782</v>
      </c>
      <c r="B342" s="449">
        <v>45116</v>
      </c>
      <c r="C342" s="36" t="s">
        <v>3383</v>
      </c>
      <c r="D342" s="450">
        <v>0.71527777778101154</v>
      </c>
      <c r="E342" s="36" t="s">
        <v>6993</v>
      </c>
      <c r="F342" s="36" t="s">
        <v>6994</v>
      </c>
      <c r="G342" s="36" t="s">
        <v>6995</v>
      </c>
      <c r="H342" s="36" t="s">
        <v>6100</v>
      </c>
      <c r="I342" s="36">
        <v>1</v>
      </c>
      <c r="J342" s="36" t="s">
        <v>5895</v>
      </c>
      <c r="K342" s="36" t="s">
        <v>6996</v>
      </c>
      <c r="L342" s="36" t="b">
        <v>0</v>
      </c>
    </row>
    <row r="343" spans="1:12" ht="12.75" hidden="1">
      <c r="A343" s="448">
        <v>45116.631701238424</v>
      </c>
      <c r="B343" s="449">
        <v>45116</v>
      </c>
      <c r="C343" s="36" t="s">
        <v>3388</v>
      </c>
      <c r="D343" s="450">
        <v>0.41666666666424135</v>
      </c>
      <c r="E343" s="36" t="s">
        <v>6873</v>
      </c>
      <c r="F343" s="36" t="s">
        <v>6997</v>
      </c>
      <c r="G343" s="36" t="s">
        <v>903</v>
      </c>
      <c r="H343" s="36" t="s">
        <v>3386</v>
      </c>
      <c r="I343" s="36">
        <v>3</v>
      </c>
      <c r="J343" s="36" t="s">
        <v>5895</v>
      </c>
      <c r="K343" s="36" t="s">
        <v>6998</v>
      </c>
      <c r="L343" s="36" t="b">
        <v>1</v>
      </c>
    </row>
    <row r="344" spans="1:12" ht="12.75" hidden="1">
      <c r="A344" s="448">
        <v>45117.714295636571</v>
      </c>
      <c r="B344" s="449">
        <v>45122</v>
      </c>
      <c r="C344" s="36" t="s">
        <v>18</v>
      </c>
      <c r="D344" s="450">
        <v>0.45833333333575865</v>
      </c>
      <c r="E344" s="36" t="s">
        <v>6357</v>
      </c>
      <c r="F344" s="36" t="s">
        <v>6999</v>
      </c>
      <c r="G344" s="36" t="s">
        <v>266</v>
      </c>
      <c r="H344" s="36" t="s">
        <v>78</v>
      </c>
      <c r="I344" s="36">
        <v>1</v>
      </c>
      <c r="J344" s="36" t="s">
        <v>5895</v>
      </c>
      <c r="K344" s="36" t="s">
        <v>6122</v>
      </c>
      <c r="L344" s="36" t="b">
        <v>0</v>
      </c>
    </row>
    <row r="345" spans="1:12" ht="12.75" hidden="1">
      <c r="A345" s="448">
        <v>45118.583065358791</v>
      </c>
      <c r="B345" s="449">
        <v>45118</v>
      </c>
      <c r="C345" s="36" t="s">
        <v>3388</v>
      </c>
      <c r="D345" s="450">
        <v>0.75</v>
      </c>
      <c r="E345" s="36" t="s">
        <v>7000</v>
      </c>
      <c r="F345" s="36">
        <v>2</v>
      </c>
      <c r="G345" s="36" t="s">
        <v>468</v>
      </c>
      <c r="H345" s="36" t="s">
        <v>1069</v>
      </c>
      <c r="I345" s="36">
        <v>1</v>
      </c>
      <c r="J345" s="36" t="s">
        <v>5895</v>
      </c>
      <c r="K345" s="36" t="s">
        <v>5943</v>
      </c>
      <c r="L345" s="36" t="b">
        <v>1</v>
      </c>
    </row>
    <row r="346" spans="1:12" ht="12.75" hidden="1">
      <c r="A346" s="448">
        <v>45118.592629930557</v>
      </c>
      <c r="B346" s="449">
        <v>45118</v>
      </c>
      <c r="C346" s="36" t="s">
        <v>3383</v>
      </c>
      <c r="D346" s="450">
        <v>0.79166666666424135</v>
      </c>
      <c r="E346" s="36" t="s">
        <v>7001</v>
      </c>
      <c r="F346" s="36" t="s">
        <v>7002</v>
      </c>
      <c r="G346" s="36" t="s">
        <v>7003</v>
      </c>
      <c r="H346" s="36" t="s">
        <v>7004</v>
      </c>
      <c r="I346" s="36">
        <v>1</v>
      </c>
      <c r="J346" s="36" t="s">
        <v>5895</v>
      </c>
      <c r="K346" s="36" t="s">
        <v>7005</v>
      </c>
      <c r="L346" s="36" t="b">
        <v>0</v>
      </c>
    </row>
    <row r="347" spans="1:12" ht="12.75" hidden="1">
      <c r="A347" s="448">
        <v>45118.631026331015</v>
      </c>
      <c r="B347" s="449">
        <v>45118</v>
      </c>
      <c r="C347" s="36" t="s">
        <v>3388</v>
      </c>
      <c r="D347" s="450">
        <v>0.75</v>
      </c>
      <c r="E347" s="36" t="s">
        <v>6950</v>
      </c>
      <c r="F347" s="36" t="s">
        <v>7006</v>
      </c>
      <c r="G347" s="36" t="s">
        <v>6639</v>
      </c>
      <c r="H347" s="36" t="s">
        <v>7007</v>
      </c>
      <c r="I347" s="36">
        <v>2</v>
      </c>
      <c r="J347" s="36" t="s">
        <v>5895</v>
      </c>
      <c r="K347" s="36" t="s">
        <v>6481</v>
      </c>
      <c r="L347" s="36" t="b">
        <v>0</v>
      </c>
    </row>
    <row r="348" spans="1:12" ht="12.75" hidden="1">
      <c r="A348" s="448">
        <v>45118.692400902779</v>
      </c>
      <c r="B348" s="449">
        <v>45118</v>
      </c>
      <c r="C348" s="36" t="s">
        <v>13</v>
      </c>
      <c r="D348" s="450">
        <v>0.70833333333575865</v>
      </c>
      <c r="E348" s="36" t="s">
        <v>7008</v>
      </c>
      <c r="F348" s="36" t="s">
        <v>7009</v>
      </c>
      <c r="G348" s="36" t="s">
        <v>671</v>
      </c>
      <c r="H348" s="36" t="s">
        <v>520</v>
      </c>
      <c r="I348" s="36">
        <v>1</v>
      </c>
      <c r="J348" s="36" t="s">
        <v>5895</v>
      </c>
      <c r="K348" s="36" t="s">
        <v>5943</v>
      </c>
      <c r="L348" s="36" t="b">
        <v>0</v>
      </c>
    </row>
    <row r="349" spans="1:12" ht="12.75" hidden="1">
      <c r="A349" s="448">
        <v>45118.697608194445</v>
      </c>
      <c r="B349" s="449">
        <v>45118</v>
      </c>
      <c r="C349" s="36" t="s">
        <v>3388</v>
      </c>
      <c r="D349" s="450">
        <v>0.41666666666424135</v>
      </c>
      <c r="E349" s="36" t="s">
        <v>7010</v>
      </c>
      <c r="F349" s="36" t="s">
        <v>6847</v>
      </c>
      <c r="G349" s="36" t="s">
        <v>1248</v>
      </c>
      <c r="H349" s="36" t="s">
        <v>1385</v>
      </c>
      <c r="I349" s="36">
        <v>1</v>
      </c>
      <c r="J349" s="36" t="s">
        <v>5895</v>
      </c>
      <c r="K349" s="36" t="s">
        <v>7011</v>
      </c>
      <c r="L349" s="36" t="b">
        <v>1</v>
      </c>
    </row>
    <row r="350" spans="1:12" ht="12.75" hidden="1">
      <c r="A350" s="448">
        <v>45119.73359984954</v>
      </c>
      <c r="B350" s="449">
        <v>45119</v>
      </c>
      <c r="C350" s="36" t="s">
        <v>3388</v>
      </c>
      <c r="D350" s="450">
        <v>0.8125</v>
      </c>
      <c r="E350" s="36" t="s">
        <v>6986</v>
      </c>
      <c r="F350" s="36">
        <v>7</v>
      </c>
      <c r="G350" s="36" t="s">
        <v>1042</v>
      </c>
      <c r="H350" s="36" t="s">
        <v>7012</v>
      </c>
      <c r="I350" s="36">
        <v>2</v>
      </c>
      <c r="J350" s="36" t="s">
        <v>6093</v>
      </c>
      <c r="K350" s="36" t="s">
        <v>7013</v>
      </c>
      <c r="L350" s="36" t="b">
        <v>1</v>
      </c>
    </row>
    <row r="351" spans="1:12" ht="12.75" hidden="1">
      <c r="A351" s="448">
        <v>45119.913207280093</v>
      </c>
      <c r="B351" s="449">
        <v>45117</v>
      </c>
      <c r="C351" s="36" t="s">
        <v>3383</v>
      </c>
      <c r="D351" s="450">
        <v>0.8125</v>
      </c>
      <c r="E351" s="36" t="s">
        <v>7014</v>
      </c>
      <c r="F351" s="36" t="s">
        <v>7015</v>
      </c>
      <c r="G351" s="36" t="s">
        <v>7016</v>
      </c>
      <c r="H351" s="36" t="s">
        <v>7017</v>
      </c>
      <c r="I351" s="36">
        <v>1</v>
      </c>
      <c r="J351" s="36" t="s">
        <v>5895</v>
      </c>
      <c r="K351" s="36" t="s">
        <v>7018</v>
      </c>
      <c r="L351" s="36" t="b">
        <v>0</v>
      </c>
    </row>
    <row r="352" spans="1:12" ht="12.75" hidden="1">
      <c r="A352" s="448">
        <v>45120.405278958337</v>
      </c>
      <c r="B352" s="449">
        <v>45120</v>
      </c>
      <c r="C352" s="36" t="s">
        <v>3383</v>
      </c>
      <c r="D352" s="450">
        <v>0.77083333333575865</v>
      </c>
      <c r="E352" s="36" t="s">
        <v>7019</v>
      </c>
      <c r="F352" s="36" t="s">
        <v>7020</v>
      </c>
      <c r="G352" s="36" t="s">
        <v>738</v>
      </c>
      <c r="H352" s="36" t="s">
        <v>7021</v>
      </c>
      <c r="I352" s="36">
        <v>2</v>
      </c>
      <c r="J352" s="36" t="s">
        <v>5895</v>
      </c>
      <c r="K352" s="36" t="s">
        <v>6996</v>
      </c>
      <c r="L352" s="36" t="b">
        <v>0</v>
      </c>
    </row>
    <row r="353" spans="1:12" ht="12.75" hidden="1">
      <c r="A353" s="448">
        <v>45120.634784652779</v>
      </c>
      <c r="B353" s="449">
        <v>45128</v>
      </c>
      <c r="C353" s="36" t="s">
        <v>18</v>
      </c>
      <c r="D353" s="450">
        <v>0.8125</v>
      </c>
      <c r="E353" s="36" t="s">
        <v>6411</v>
      </c>
      <c r="F353" s="36" t="s">
        <v>7022</v>
      </c>
      <c r="G353" s="36" t="s">
        <v>1096</v>
      </c>
      <c r="H353" s="36" t="s">
        <v>7023</v>
      </c>
      <c r="I353" s="36">
        <v>1</v>
      </c>
      <c r="J353" s="36" t="s">
        <v>5895</v>
      </c>
      <c r="K353" s="36" t="s">
        <v>5943</v>
      </c>
      <c r="L353" s="36" t="b">
        <v>1</v>
      </c>
    </row>
    <row r="354" spans="1:12" ht="12.75" hidden="1">
      <c r="A354" s="448">
        <v>45120.635701446758</v>
      </c>
      <c r="B354" s="449">
        <v>45135</v>
      </c>
      <c r="C354" s="36" t="s">
        <v>18</v>
      </c>
      <c r="D354" s="450">
        <v>0.8125</v>
      </c>
      <c r="E354" s="36" t="s">
        <v>6411</v>
      </c>
      <c r="F354" s="36" t="s">
        <v>7024</v>
      </c>
      <c r="G354" s="36" t="s">
        <v>1096</v>
      </c>
      <c r="H354" s="36" t="s">
        <v>7023</v>
      </c>
      <c r="I354" s="36">
        <v>2</v>
      </c>
      <c r="J354" s="36" t="s">
        <v>5895</v>
      </c>
      <c r="K354" s="36" t="s">
        <v>5943</v>
      </c>
      <c r="L354" s="36" t="b">
        <v>1</v>
      </c>
    </row>
    <row r="355" spans="1:12" ht="12.75" hidden="1">
      <c r="A355" s="448">
        <v>45120.651839548613</v>
      </c>
      <c r="B355" s="449">
        <v>45118</v>
      </c>
      <c r="C355" s="36" t="s">
        <v>3383</v>
      </c>
      <c r="D355" s="450">
        <v>0.75</v>
      </c>
      <c r="E355" s="36" t="s">
        <v>7025</v>
      </c>
      <c r="F355" s="36" t="s">
        <v>7026</v>
      </c>
      <c r="G355" s="36" t="s">
        <v>6946</v>
      </c>
      <c r="H355" s="36" t="s">
        <v>6977</v>
      </c>
      <c r="I355" s="36">
        <v>1</v>
      </c>
      <c r="J355" s="36" t="s">
        <v>5895</v>
      </c>
      <c r="K355" s="36" t="s">
        <v>7027</v>
      </c>
      <c r="L355" s="36" t="b">
        <v>0</v>
      </c>
    </row>
    <row r="356" spans="1:12" ht="12.75" hidden="1">
      <c r="A356" s="448">
        <v>45120.658552303241</v>
      </c>
      <c r="B356" s="449">
        <v>45122</v>
      </c>
      <c r="C356" s="36" t="s">
        <v>12</v>
      </c>
      <c r="D356" s="450">
        <v>0.4375</v>
      </c>
      <c r="E356" s="36" t="s">
        <v>7028</v>
      </c>
      <c r="F356" s="36" t="s">
        <v>7029</v>
      </c>
      <c r="G356" s="36" t="s">
        <v>890</v>
      </c>
      <c r="H356" s="36" t="s">
        <v>1598</v>
      </c>
      <c r="I356" s="36">
        <v>1</v>
      </c>
      <c r="J356" s="36" t="s">
        <v>6093</v>
      </c>
      <c r="K356" s="36" t="s">
        <v>5943</v>
      </c>
      <c r="L356" s="36" t="b">
        <v>1</v>
      </c>
    </row>
    <row r="357" spans="1:12" ht="12.75" hidden="1">
      <c r="A357" s="448">
        <v>45120.754865625</v>
      </c>
      <c r="B357" s="449">
        <v>45120</v>
      </c>
      <c r="C357" s="36" t="s">
        <v>3383</v>
      </c>
      <c r="D357" s="450">
        <v>0.75</v>
      </c>
      <c r="E357" s="36" t="s">
        <v>7030</v>
      </c>
      <c r="F357" s="36" t="s">
        <v>7031</v>
      </c>
      <c r="G357" s="36" t="s">
        <v>1219</v>
      </c>
      <c r="H357" s="36" t="s">
        <v>501</v>
      </c>
      <c r="I357" s="36">
        <v>1</v>
      </c>
      <c r="J357" s="36" t="s">
        <v>5895</v>
      </c>
      <c r="K357" s="36" t="s">
        <v>7032</v>
      </c>
      <c r="L357" s="36" t="b">
        <v>0</v>
      </c>
    </row>
    <row r="358" spans="1:12" ht="12.75" hidden="1">
      <c r="A358" s="448">
        <v>45120.814328136577</v>
      </c>
      <c r="B358" s="449">
        <v>45118</v>
      </c>
      <c r="C358" s="36" t="s">
        <v>11</v>
      </c>
      <c r="D358" s="450">
        <v>6.25E-2</v>
      </c>
      <c r="E358" s="36" t="s">
        <v>6486</v>
      </c>
      <c r="F358" s="36">
        <v>12</v>
      </c>
      <c r="G358" s="36" t="s">
        <v>6448</v>
      </c>
      <c r="H358" s="36" t="s">
        <v>383</v>
      </c>
      <c r="I358" s="36">
        <v>2</v>
      </c>
      <c r="J358" s="36" t="s">
        <v>5895</v>
      </c>
      <c r="K358" s="36" t="s">
        <v>6953</v>
      </c>
      <c r="L358" s="36" t="b">
        <v>0</v>
      </c>
    </row>
    <row r="359" spans="1:12" ht="12.75" hidden="1">
      <c r="A359" s="448">
        <v>45120.82258537037</v>
      </c>
      <c r="B359" s="449">
        <v>45120</v>
      </c>
      <c r="C359" s="36" t="s">
        <v>12</v>
      </c>
      <c r="D359" s="450">
        <v>0.45833333333575865</v>
      </c>
      <c r="E359" s="36" t="s">
        <v>7033</v>
      </c>
      <c r="F359" s="36" t="s">
        <v>7034</v>
      </c>
      <c r="G359" s="36" t="s">
        <v>877</v>
      </c>
      <c r="H359" s="36" t="s">
        <v>7035</v>
      </c>
      <c r="I359" s="36">
        <v>1</v>
      </c>
      <c r="J359" s="36" t="s">
        <v>5895</v>
      </c>
      <c r="K359" s="36" t="s">
        <v>7036</v>
      </c>
      <c r="L359" s="36" t="b">
        <v>1</v>
      </c>
    </row>
    <row r="360" spans="1:12" ht="12.75" hidden="1">
      <c r="A360" s="448">
        <v>45121.386143425931</v>
      </c>
      <c r="B360" s="449">
        <v>45122</v>
      </c>
      <c r="C360" s="36" t="s">
        <v>3388</v>
      </c>
      <c r="D360" s="450">
        <v>0.41666666666424135</v>
      </c>
      <c r="E360" s="36" t="s">
        <v>7037</v>
      </c>
      <c r="F360" s="36" t="s">
        <v>7038</v>
      </c>
      <c r="G360" s="36" t="s">
        <v>7039</v>
      </c>
      <c r="H360" s="36" t="s">
        <v>5906</v>
      </c>
      <c r="I360" s="36">
        <v>1</v>
      </c>
      <c r="J360" s="36" t="s">
        <v>5895</v>
      </c>
      <c r="K360" s="36" t="s">
        <v>6698</v>
      </c>
      <c r="L360" s="36" t="b">
        <v>0</v>
      </c>
    </row>
    <row r="361" spans="1:12" ht="12.75" hidden="1">
      <c r="A361" s="448">
        <v>45121.387638854168</v>
      </c>
      <c r="B361" s="449">
        <v>45122</v>
      </c>
      <c r="C361" s="36" t="s">
        <v>3388</v>
      </c>
      <c r="D361" s="450">
        <v>0.45833333333575865</v>
      </c>
      <c r="E361" s="36" t="s">
        <v>7040</v>
      </c>
      <c r="F361" s="36" t="s">
        <v>7041</v>
      </c>
      <c r="G361" s="36" t="s">
        <v>7042</v>
      </c>
      <c r="H361" s="36" t="s">
        <v>5906</v>
      </c>
      <c r="I361" s="36">
        <v>2</v>
      </c>
      <c r="J361" s="36" t="s">
        <v>5895</v>
      </c>
      <c r="K361" s="36" t="s">
        <v>6683</v>
      </c>
      <c r="L361" s="36" t="b">
        <v>1</v>
      </c>
    </row>
    <row r="362" spans="1:12" ht="12.75" hidden="1">
      <c r="A362" s="448">
        <v>45121.389566226848</v>
      </c>
      <c r="B362" s="449">
        <v>45123</v>
      </c>
      <c r="C362" s="36" t="s">
        <v>3388</v>
      </c>
      <c r="D362" s="450">
        <v>0.41666666666424135</v>
      </c>
      <c r="E362" s="36" t="s">
        <v>7043</v>
      </c>
      <c r="F362" s="36" t="s">
        <v>7044</v>
      </c>
      <c r="G362" s="36" t="s">
        <v>7042</v>
      </c>
      <c r="H362" s="36" t="s">
        <v>7045</v>
      </c>
      <c r="I362" s="36">
        <v>3</v>
      </c>
      <c r="J362" s="36" t="s">
        <v>5895</v>
      </c>
      <c r="K362" s="36" t="s">
        <v>6698</v>
      </c>
      <c r="L362" s="36" t="b">
        <v>1</v>
      </c>
    </row>
    <row r="363" spans="1:12" ht="12.75" hidden="1">
      <c r="A363" s="448">
        <v>45121.390428472223</v>
      </c>
      <c r="B363" s="449">
        <v>45123</v>
      </c>
      <c r="C363" s="36" t="s">
        <v>3388</v>
      </c>
      <c r="D363" s="450">
        <v>0.45833333333575865</v>
      </c>
      <c r="E363" s="36" t="s">
        <v>7037</v>
      </c>
      <c r="F363" s="36" t="s">
        <v>7046</v>
      </c>
      <c r="G363" s="36" t="s">
        <v>7042</v>
      </c>
      <c r="H363" s="36" t="s">
        <v>7047</v>
      </c>
      <c r="I363" s="36">
        <v>4</v>
      </c>
      <c r="J363" s="36" t="s">
        <v>5895</v>
      </c>
      <c r="K363" s="36" t="s">
        <v>6698</v>
      </c>
      <c r="L363" s="36" t="b">
        <v>1</v>
      </c>
    </row>
    <row r="364" spans="1:12" ht="12.75" hidden="1">
      <c r="A364" s="448">
        <v>45121.83679825232</v>
      </c>
      <c r="B364" s="449">
        <v>45115</v>
      </c>
      <c r="C364" s="36" t="s">
        <v>3388</v>
      </c>
      <c r="D364" s="450">
        <v>0.41666666666424135</v>
      </c>
      <c r="E364" s="36" t="s">
        <v>7048</v>
      </c>
      <c r="F364" s="36" t="s">
        <v>7049</v>
      </c>
      <c r="G364" s="36" t="s">
        <v>4051</v>
      </c>
      <c r="H364" s="36" t="s">
        <v>1357</v>
      </c>
      <c r="I364" s="36">
        <v>1</v>
      </c>
      <c r="J364" s="36" t="s">
        <v>5895</v>
      </c>
      <c r="K364" s="36" t="s">
        <v>7050</v>
      </c>
      <c r="L364" s="36" t="b">
        <v>1</v>
      </c>
    </row>
    <row r="365" spans="1:12" ht="12.75" hidden="1">
      <c r="A365" s="448">
        <v>45122.101975347221</v>
      </c>
      <c r="B365" s="449">
        <v>45118</v>
      </c>
      <c r="C365" s="36" t="s">
        <v>12</v>
      </c>
      <c r="D365" s="450">
        <v>0.70833333333575865</v>
      </c>
      <c r="E365" s="36" t="s">
        <v>7051</v>
      </c>
      <c r="F365" s="36" t="s">
        <v>7052</v>
      </c>
      <c r="G365" s="36" t="s">
        <v>7053</v>
      </c>
      <c r="H365" s="36" t="s">
        <v>7054</v>
      </c>
      <c r="I365" s="36">
        <v>1</v>
      </c>
      <c r="J365" s="36" t="s">
        <v>5895</v>
      </c>
      <c r="K365" s="36" t="s">
        <v>6242</v>
      </c>
      <c r="L365" s="36" t="b">
        <v>0</v>
      </c>
    </row>
    <row r="366" spans="1:12" ht="12.75" hidden="1">
      <c r="A366" s="448">
        <v>45122.721118472225</v>
      </c>
      <c r="B366" s="449">
        <v>45122</v>
      </c>
      <c r="C366" s="36" t="s">
        <v>3383</v>
      </c>
      <c r="D366" s="450">
        <v>0.75</v>
      </c>
      <c r="E366" s="36" t="s">
        <v>7055</v>
      </c>
      <c r="F366" s="36" t="s">
        <v>7056</v>
      </c>
      <c r="G366" s="36" t="s">
        <v>738</v>
      </c>
      <c r="H366" s="36" t="s">
        <v>7021</v>
      </c>
      <c r="I366" s="36">
        <v>3</v>
      </c>
      <c r="J366" s="36" t="s">
        <v>5895</v>
      </c>
      <c r="K366" s="36" t="s">
        <v>6996</v>
      </c>
      <c r="L366" s="36" t="b">
        <v>0</v>
      </c>
    </row>
    <row r="367" spans="1:12" ht="12.75" hidden="1">
      <c r="A367" s="448">
        <v>45123.531019652779</v>
      </c>
      <c r="B367" s="449">
        <v>45123</v>
      </c>
      <c r="C367" s="36" t="s">
        <v>3383</v>
      </c>
      <c r="D367" s="450">
        <v>0.54861111110949423</v>
      </c>
      <c r="E367" s="36" t="s">
        <v>7057</v>
      </c>
      <c r="F367" s="36" t="s">
        <v>7058</v>
      </c>
      <c r="G367" s="36" t="s">
        <v>7059</v>
      </c>
      <c r="H367" s="36" t="s">
        <v>7060</v>
      </c>
      <c r="I367" s="36">
        <v>4</v>
      </c>
      <c r="J367" s="36" t="s">
        <v>5895</v>
      </c>
      <c r="K367" s="36" t="s">
        <v>6996</v>
      </c>
      <c r="L367" s="36" t="b">
        <v>0</v>
      </c>
    </row>
    <row r="368" spans="1:12" ht="12.75" hidden="1">
      <c r="A368" s="448">
        <v>45123.532134699075</v>
      </c>
      <c r="B368" s="449">
        <v>45123</v>
      </c>
      <c r="C368" s="36" t="s">
        <v>3383</v>
      </c>
      <c r="D368" s="450">
        <v>0.71527777778101154</v>
      </c>
      <c r="E368" s="36" t="s">
        <v>7061</v>
      </c>
      <c r="F368" s="36" t="s">
        <v>7062</v>
      </c>
      <c r="G368" s="36" t="s">
        <v>738</v>
      </c>
      <c r="H368" s="36" t="s">
        <v>6113</v>
      </c>
      <c r="I368" s="36">
        <v>5</v>
      </c>
      <c r="J368" s="36" t="s">
        <v>5895</v>
      </c>
      <c r="K368" s="36" t="s">
        <v>6186</v>
      </c>
      <c r="L368" s="36" t="b">
        <v>0</v>
      </c>
    </row>
    <row r="369" spans="1:12" ht="12.75" hidden="1">
      <c r="A369" s="448">
        <v>45124.987465358798</v>
      </c>
      <c r="B369" s="449">
        <v>45124</v>
      </c>
      <c r="C369" s="36" t="s">
        <v>3383</v>
      </c>
      <c r="D369" s="450">
        <v>0.75</v>
      </c>
      <c r="E369" s="36" t="s">
        <v>7063</v>
      </c>
      <c r="F369" s="36" t="s">
        <v>7064</v>
      </c>
      <c r="G369" s="36" t="s">
        <v>498</v>
      </c>
      <c r="H369" s="36" t="s">
        <v>6977</v>
      </c>
      <c r="I369" s="36">
        <v>3</v>
      </c>
      <c r="J369" s="36" t="s">
        <v>5895</v>
      </c>
      <c r="K369" s="36" t="s">
        <v>7065</v>
      </c>
      <c r="L369" s="36" t="b">
        <v>0</v>
      </c>
    </row>
    <row r="370" spans="1:12" ht="12.75" hidden="1">
      <c r="A370" s="448">
        <v>45125.791061898148</v>
      </c>
      <c r="B370" s="449">
        <v>45126</v>
      </c>
      <c r="C370" s="36" t="s">
        <v>3383</v>
      </c>
      <c r="D370" s="450">
        <v>0.46875</v>
      </c>
      <c r="E370" s="36" t="s">
        <v>7066</v>
      </c>
      <c r="F370" s="36" t="s">
        <v>7067</v>
      </c>
      <c r="G370" s="36" t="s">
        <v>1103</v>
      </c>
      <c r="H370" s="193" t="s">
        <v>7068</v>
      </c>
      <c r="I370" s="36">
        <v>1</v>
      </c>
      <c r="J370" s="36" t="s">
        <v>5895</v>
      </c>
      <c r="K370" s="36" t="s">
        <v>6070</v>
      </c>
      <c r="L370" s="36" t="b">
        <v>0</v>
      </c>
    </row>
    <row r="371" spans="1:12" ht="12.75" hidden="1">
      <c r="A371" s="448">
        <v>45125.791907986109</v>
      </c>
      <c r="B371" s="449">
        <v>45125</v>
      </c>
      <c r="C371" s="36" t="s">
        <v>3383</v>
      </c>
      <c r="D371" s="450">
        <v>0.77083333333575865</v>
      </c>
      <c r="E371" s="36" t="s">
        <v>7069</v>
      </c>
      <c r="F371" s="36" t="s">
        <v>7070</v>
      </c>
      <c r="G371" s="36" t="s">
        <v>738</v>
      </c>
      <c r="H371" s="36" t="s">
        <v>6977</v>
      </c>
      <c r="I371" s="36">
        <v>6</v>
      </c>
      <c r="J371" s="36" t="s">
        <v>5895</v>
      </c>
      <c r="K371" s="36" t="s">
        <v>6186</v>
      </c>
      <c r="L371" s="36" t="b">
        <v>0</v>
      </c>
    </row>
    <row r="372" spans="1:12" ht="12.75" hidden="1">
      <c r="A372" s="448">
        <v>45126.448968541663</v>
      </c>
      <c r="B372" s="449">
        <v>45127</v>
      </c>
      <c r="C372" s="36" t="s">
        <v>3388</v>
      </c>
      <c r="D372" s="450">
        <v>0.75</v>
      </c>
      <c r="E372" s="36" t="s">
        <v>6957</v>
      </c>
      <c r="F372" s="36" t="s">
        <v>7071</v>
      </c>
      <c r="G372" s="36" t="s">
        <v>2168</v>
      </c>
      <c r="H372" s="36" t="s">
        <v>7072</v>
      </c>
      <c r="I372" s="36">
        <v>2</v>
      </c>
      <c r="J372" s="36" t="s">
        <v>6093</v>
      </c>
      <c r="K372" s="36" t="s">
        <v>7032</v>
      </c>
      <c r="L372" s="36" t="b">
        <v>0</v>
      </c>
    </row>
    <row r="373" spans="1:12" ht="12.75" hidden="1">
      <c r="A373" s="448">
        <v>45126.454612534726</v>
      </c>
      <c r="B373" s="449">
        <v>45130</v>
      </c>
      <c r="C373" s="36" t="s">
        <v>3388</v>
      </c>
      <c r="D373" s="450">
        <v>0.41666666666424135</v>
      </c>
      <c r="E373" s="36" t="s">
        <v>7073</v>
      </c>
      <c r="F373" s="36" t="s">
        <v>7074</v>
      </c>
      <c r="G373" s="36" t="s">
        <v>2168</v>
      </c>
      <c r="H373" s="36" t="s">
        <v>7075</v>
      </c>
      <c r="I373" s="36">
        <v>3</v>
      </c>
      <c r="J373" s="36" t="s">
        <v>6093</v>
      </c>
      <c r="K373" s="36" t="s">
        <v>7032</v>
      </c>
      <c r="L373" s="36" t="b">
        <v>0</v>
      </c>
    </row>
    <row r="374" spans="1:12" ht="12.75" hidden="1">
      <c r="A374" s="448">
        <v>45126.582725798609</v>
      </c>
      <c r="B374" s="449">
        <v>45127</v>
      </c>
      <c r="C374" s="36" t="s">
        <v>3383</v>
      </c>
      <c r="D374" s="450">
        <v>0.83333333333575865</v>
      </c>
      <c r="E374" s="36" t="s">
        <v>7076</v>
      </c>
      <c r="F374" s="36" t="s">
        <v>7077</v>
      </c>
      <c r="G374" s="36" t="s">
        <v>975</v>
      </c>
      <c r="H374" s="36" t="s">
        <v>269</v>
      </c>
      <c r="I374" s="36">
        <v>1</v>
      </c>
      <c r="J374" s="36" t="s">
        <v>5895</v>
      </c>
      <c r="K374" s="36" t="s">
        <v>5951</v>
      </c>
      <c r="L374" s="36" t="b">
        <v>0</v>
      </c>
    </row>
    <row r="375" spans="1:12" ht="12.75" hidden="1">
      <c r="A375" s="448">
        <v>45126.592100451388</v>
      </c>
      <c r="B375" s="449">
        <v>45126</v>
      </c>
      <c r="C375" s="36" t="s">
        <v>11</v>
      </c>
      <c r="D375" s="450">
        <v>0.45833333333575865</v>
      </c>
      <c r="E375" s="36" t="s">
        <v>7078</v>
      </c>
      <c r="F375" s="36" t="s">
        <v>7079</v>
      </c>
      <c r="G375" s="36" t="s">
        <v>7080</v>
      </c>
      <c r="H375" s="36" t="s">
        <v>7081</v>
      </c>
      <c r="I375" s="36">
        <v>1</v>
      </c>
      <c r="J375" s="36" t="s">
        <v>5895</v>
      </c>
      <c r="K375" s="36" t="s">
        <v>7082</v>
      </c>
      <c r="L375" s="36" t="b">
        <v>0</v>
      </c>
    </row>
    <row r="376" spans="1:12" ht="12.75" hidden="1">
      <c r="A376" s="448">
        <v>45126.85721159722</v>
      </c>
      <c r="B376" s="449">
        <v>45126</v>
      </c>
      <c r="C376" s="36" t="s">
        <v>3388</v>
      </c>
      <c r="D376" s="450">
        <v>0.75</v>
      </c>
      <c r="E376" s="36" t="s">
        <v>7083</v>
      </c>
      <c r="F376" s="36" t="s">
        <v>7084</v>
      </c>
      <c r="G376" s="36" t="s">
        <v>884</v>
      </c>
      <c r="H376" s="36" t="s">
        <v>6363</v>
      </c>
      <c r="I376" s="36">
        <v>2</v>
      </c>
      <c r="J376" s="36" t="s">
        <v>5895</v>
      </c>
      <c r="K376" s="36" t="s">
        <v>7085</v>
      </c>
      <c r="L376" s="36" t="b">
        <v>0</v>
      </c>
    </row>
    <row r="377" spans="1:12" ht="12.75" hidden="1">
      <c r="A377" s="448">
        <v>45127.536453969908</v>
      </c>
      <c r="B377" s="449">
        <v>45127</v>
      </c>
      <c r="C377" s="36" t="s">
        <v>11</v>
      </c>
      <c r="D377" s="450">
        <v>0.75</v>
      </c>
      <c r="E377" s="36" t="s">
        <v>7086</v>
      </c>
      <c r="F377" s="36" t="s">
        <v>7087</v>
      </c>
      <c r="G377" s="36" t="s">
        <v>747</v>
      </c>
      <c r="H377" s="36" t="s">
        <v>7088</v>
      </c>
      <c r="I377" s="36">
        <v>1</v>
      </c>
      <c r="J377" s="36" t="s">
        <v>5895</v>
      </c>
      <c r="K377" s="36" t="s">
        <v>7089</v>
      </c>
      <c r="L377" s="36" t="b">
        <v>0</v>
      </c>
    </row>
    <row r="378" spans="1:12" ht="12.75" hidden="1">
      <c r="A378" s="448">
        <v>45127.855319016206</v>
      </c>
      <c r="B378" s="449">
        <v>45127</v>
      </c>
      <c r="C378" s="36" t="s">
        <v>3388</v>
      </c>
      <c r="D378" s="450">
        <v>0.79166666666424135</v>
      </c>
      <c r="E378" s="36" t="s">
        <v>6809</v>
      </c>
      <c r="F378" s="36" t="s">
        <v>7090</v>
      </c>
      <c r="G378" s="36" t="s">
        <v>1251</v>
      </c>
      <c r="H378" s="36" t="s">
        <v>756</v>
      </c>
      <c r="I378" s="36">
        <v>2</v>
      </c>
      <c r="J378" s="36" t="s">
        <v>5895</v>
      </c>
      <c r="K378" s="36" t="s">
        <v>7091</v>
      </c>
      <c r="L378" s="36" t="b">
        <v>1</v>
      </c>
    </row>
    <row r="379" spans="1:12" ht="12.75" hidden="1">
      <c r="A379" s="448">
        <v>45128.518895740737</v>
      </c>
      <c r="B379" s="449">
        <v>45128</v>
      </c>
      <c r="C379" s="36" t="s">
        <v>20</v>
      </c>
      <c r="D379" s="450">
        <v>0.79166666666424135</v>
      </c>
      <c r="E379" s="36" t="s">
        <v>7092</v>
      </c>
      <c r="F379" s="36" t="s">
        <v>7093</v>
      </c>
      <c r="G379" s="36" t="s">
        <v>690</v>
      </c>
      <c r="H379" s="36" t="s">
        <v>599</v>
      </c>
      <c r="I379" s="36">
        <v>1</v>
      </c>
      <c r="J379" s="36" t="s">
        <v>5895</v>
      </c>
      <c r="K379" s="36" t="s">
        <v>7094</v>
      </c>
      <c r="L379" s="36" t="b">
        <v>0</v>
      </c>
    </row>
    <row r="380" spans="1:12" ht="12.75" hidden="1">
      <c r="A380" s="448">
        <v>45128.580530011575</v>
      </c>
      <c r="B380" s="449">
        <v>45128</v>
      </c>
      <c r="C380" s="36" t="s">
        <v>12</v>
      </c>
      <c r="D380" s="450">
        <v>0.75</v>
      </c>
      <c r="E380" s="36" t="s">
        <v>6732</v>
      </c>
      <c r="F380" s="36" t="s">
        <v>7095</v>
      </c>
      <c r="G380" s="36" t="s">
        <v>485</v>
      </c>
      <c r="H380" s="36" t="s">
        <v>1350</v>
      </c>
      <c r="I380" s="36">
        <v>3</v>
      </c>
      <c r="J380" s="36" t="s">
        <v>5895</v>
      </c>
      <c r="K380" s="36" t="s">
        <v>7096</v>
      </c>
      <c r="L380" s="36" t="b">
        <v>1</v>
      </c>
    </row>
    <row r="381" spans="1:12" ht="12.75" hidden="1">
      <c r="A381" s="448">
        <v>45128.893230416666</v>
      </c>
      <c r="B381" s="449">
        <v>45129</v>
      </c>
      <c r="C381" s="36" t="s">
        <v>3383</v>
      </c>
      <c r="D381" s="450">
        <v>0.41666666666424135</v>
      </c>
      <c r="E381" s="36" t="s">
        <v>7097</v>
      </c>
      <c r="F381" s="36" t="s">
        <v>7098</v>
      </c>
      <c r="G381" s="36" t="s">
        <v>7099</v>
      </c>
      <c r="H381" s="36" t="s">
        <v>7100</v>
      </c>
      <c r="I381" s="36">
        <v>1</v>
      </c>
      <c r="J381" s="36" t="s">
        <v>5895</v>
      </c>
      <c r="K381" s="36" t="s">
        <v>7101</v>
      </c>
      <c r="L381" s="36" t="b">
        <v>0</v>
      </c>
    </row>
    <row r="382" spans="1:12" ht="12.75" hidden="1">
      <c r="A382" s="448">
        <v>45128.931660798611</v>
      </c>
      <c r="B382" s="449">
        <v>45129</v>
      </c>
      <c r="C382" s="36" t="s">
        <v>3383</v>
      </c>
      <c r="D382" s="450">
        <v>0.41666666666424135</v>
      </c>
      <c r="E382" s="36" t="s">
        <v>7102</v>
      </c>
      <c r="F382" s="36" t="s">
        <v>7103</v>
      </c>
      <c r="G382" s="36" t="s">
        <v>7104</v>
      </c>
      <c r="H382" s="36" t="s">
        <v>659</v>
      </c>
      <c r="I382" s="36">
        <v>1</v>
      </c>
      <c r="J382" s="36" t="s">
        <v>5895</v>
      </c>
      <c r="K382" s="36" t="s">
        <v>7105</v>
      </c>
      <c r="L382" s="36" t="b">
        <v>0</v>
      </c>
    </row>
    <row r="383" spans="1:12" ht="12.75" hidden="1">
      <c r="A383" s="448">
        <v>45129.52141371528</v>
      </c>
      <c r="B383" s="449">
        <v>45125</v>
      </c>
      <c r="C383" s="36" t="s">
        <v>11</v>
      </c>
      <c r="D383" s="450">
        <v>6.25E-2</v>
      </c>
      <c r="E383" s="36" t="s">
        <v>6486</v>
      </c>
      <c r="F383" s="36" t="s">
        <v>6760</v>
      </c>
      <c r="G383" s="36" t="s">
        <v>6448</v>
      </c>
      <c r="H383" s="36" t="s">
        <v>383</v>
      </c>
      <c r="I383" s="36">
        <v>3</v>
      </c>
      <c r="J383" s="36" t="s">
        <v>5895</v>
      </c>
      <c r="K383" s="36" t="s">
        <v>7106</v>
      </c>
      <c r="L383" s="36" t="b">
        <v>0</v>
      </c>
    </row>
    <row r="384" spans="1:12" ht="12.75" hidden="1">
      <c r="A384" s="448">
        <v>45129.905831550925</v>
      </c>
      <c r="B384" s="449">
        <v>45130</v>
      </c>
      <c r="C384" s="36" t="s">
        <v>12</v>
      </c>
      <c r="D384" s="450">
        <v>0.41666666666424135</v>
      </c>
      <c r="E384" s="36" t="s">
        <v>6715</v>
      </c>
      <c r="F384" s="36" t="s">
        <v>7107</v>
      </c>
      <c r="G384" s="36" t="s">
        <v>1497</v>
      </c>
      <c r="H384" s="36" t="s">
        <v>241</v>
      </c>
      <c r="I384" s="36">
        <v>1</v>
      </c>
      <c r="J384" s="36" t="s">
        <v>5895</v>
      </c>
      <c r="K384" s="36" t="s">
        <v>7108</v>
      </c>
      <c r="L384" s="36" t="b">
        <v>0</v>
      </c>
    </row>
    <row r="385" spans="1:12" ht="12.75" hidden="1">
      <c r="A385" s="448">
        <v>45130.859931134255</v>
      </c>
      <c r="B385" s="449">
        <v>45130</v>
      </c>
      <c r="C385" s="36" t="s">
        <v>12</v>
      </c>
      <c r="D385" s="450">
        <v>0.79166666666424135</v>
      </c>
      <c r="E385" s="36" t="s">
        <v>7109</v>
      </c>
      <c r="F385" s="36" t="s">
        <v>7110</v>
      </c>
      <c r="G385" s="36" t="s">
        <v>938</v>
      </c>
      <c r="H385" s="36" t="s">
        <v>1263</v>
      </c>
      <c r="I385" s="36">
        <v>1</v>
      </c>
      <c r="J385" s="36" t="s">
        <v>5895</v>
      </c>
      <c r="K385" s="36" t="s">
        <v>7111</v>
      </c>
      <c r="L385" s="36" t="b">
        <v>1</v>
      </c>
    </row>
    <row r="386" spans="1:12" ht="12.75" hidden="1">
      <c r="A386" s="448">
        <v>45131.404287384255</v>
      </c>
      <c r="B386" s="449">
        <v>45130</v>
      </c>
      <c r="C386" s="36" t="s">
        <v>3388</v>
      </c>
      <c r="D386" s="450">
        <v>0.75</v>
      </c>
      <c r="E386" s="36" t="s">
        <v>7112</v>
      </c>
      <c r="F386" s="36" t="s">
        <v>6843</v>
      </c>
      <c r="G386" s="36" t="s">
        <v>1439</v>
      </c>
      <c r="H386" s="36" t="s">
        <v>6543</v>
      </c>
      <c r="I386" s="36">
        <v>1</v>
      </c>
      <c r="J386" s="36" t="s">
        <v>5895</v>
      </c>
      <c r="K386" s="36" t="s">
        <v>7113</v>
      </c>
      <c r="L386" s="36" t="b">
        <v>1</v>
      </c>
    </row>
    <row r="387" spans="1:12" ht="12.75" hidden="1">
      <c r="A387" s="448">
        <v>45131.797733888889</v>
      </c>
      <c r="B387" s="449">
        <v>45132</v>
      </c>
      <c r="C387" s="36" t="s">
        <v>12</v>
      </c>
      <c r="D387" s="450">
        <v>0.75</v>
      </c>
      <c r="E387" s="36" t="s">
        <v>7114</v>
      </c>
      <c r="F387" s="36" t="s">
        <v>7115</v>
      </c>
      <c r="G387" s="36" t="s">
        <v>705</v>
      </c>
      <c r="H387" s="36" t="s">
        <v>6734</v>
      </c>
      <c r="I387" s="36">
        <v>1</v>
      </c>
      <c r="J387" s="36" t="s">
        <v>5895</v>
      </c>
      <c r="K387" s="36" t="s">
        <v>7116</v>
      </c>
      <c r="L387" s="36" t="b">
        <v>1</v>
      </c>
    </row>
    <row r="388" spans="1:12" ht="12.75" hidden="1">
      <c r="A388" s="448">
        <v>45133.492857245372</v>
      </c>
      <c r="B388" s="449">
        <v>45133</v>
      </c>
      <c r="C388" s="36" t="s">
        <v>3388</v>
      </c>
      <c r="D388" s="450">
        <v>0.5</v>
      </c>
      <c r="E388" s="36" t="s">
        <v>7117</v>
      </c>
      <c r="F388" s="36" t="s">
        <v>6502</v>
      </c>
      <c r="G388" s="36" t="s">
        <v>7118</v>
      </c>
      <c r="H388" s="36" t="s">
        <v>7119</v>
      </c>
      <c r="I388" s="36">
        <v>1</v>
      </c>
      <c r="J388" s="36" t="s">
        <v>5895</v>
      </c>
      <c r="K388" s="36" t="s">
        <v>7120</v>
      </c>
      <c r="L388" s="36" t="b">
        <v>1</v>
      </c>
    </row>
    <row r="389" spans="1:12" ht="12.75" hidden="1">
      <c r="A389" s="448">
        <v>45133.822609641204</v>
      </c>
      <c r="B389" s="449">
        <v>45133</v>
      </c>
      <c r="C389" s="36" t="s">
        <v>12</v>
      </c>
      <c r="D389" s="450">
        <v>0.70833333333575865</v>
      </c>
      <c r="E389" s="36" t="s">
        <v>7121</v>
      </c>
      <c r="F389" s="36" t="s">
        <v>7122</v>
      </c>
      <c r="G389" s="36" t="s">
        <v>7123</v>
      </c>
      <c r="H389" s="36" t="s">
        <v>7035</v>
      </c>
      <c r="I389" s="36">
        <v>1</v>
      </c>
      <c r="J389" s="36" t="s">
        <v>5895</v>
      </c>
      <c r="K389" s="36" t="s">
        <v>7124</v>
      </c>
      <c r="L389" s="36" t="b">
        <v>0</v>
      </c>
    </row>
    <row r="390" spans="1:12" ht="12.75" hidden="1">
      <c r="A390" s="448">
        <v>45134.787715902778</v>
      </c>
      <c r="B390" s="449">
        <v>45134</v>
      </c>
      <c r="C390" s="36" t="s">
        <v>3388</v>
      </c>
      <c r="D390" s="450">
        <v>0.79166666666424135</v>
      </c>
      <c r="E390" s="36" t="s">
        <v>7125</v>
      </c>
      <c r="F390" s="36" t="s">
        <v>7126</v>
      </c>
      <c r="G390" s="36" t="s">
        <v>7127</v>
      </c>
      <c r="H390" s="36" t="s">
        <v>6363</v>
      </c>
      <c r="I390" s="36">
        <v>1</v>
      </c>
      <c r="J390" s="36" t="s">
        <v>5895</v>
      </c>
      <c r="K390" s="36" t="s">
        <v>7128</v>
      </c>
      <c r="L390" s="36" t="b">
        <v>1</v>
      </c>
    </row>
    <row r="391" spans="1:12" ht="12.75" hidden="1">
      <c r="A391" s="448">
        <v>45135.55549027778</v>
      </c>
      <c r="B391" s="449">
        <v>45135</v>
      </c>
      <c r="C391" s="36" t="s">
        <v>3388</v>
      </c>
      <c r="D391" s="450">
        <v>0.75</v>
      </c>
      <c r="E391" s="36" t="s">
        <v>7129</v>
      </c>
      <c r="F391" s="36">
        <v>30</v>
      </c>
      <c r="G391" s="36" t="s">
        <v>6080</v>
      </c>
      <c r="H391" s="36" t="s">
        <v>7130</v>
      </c>
      <c r="I391" s="36">
        <v>1</v>
      </c>
      <c r="J391" s="36" t="s">
        <v>6093</v>
      </c>
      <c r="K391" s="36" t="s">
        <v>7131</v>
      </c>
      <c r="L391" s="36" t="b">
        <v>0</v>
      </c>
    </row>
    <row r="392" spans="1:12" ht="12.75" hidden="1">
      <c r="A392" s="448">
        <v>45135.556291840279</v>
      </c>
      <c r="B392" s="449">
        <v>45135</v>
      </c>
      <c r="C392" s="36" t="s">
        <v>3388</v>
      </c>
      <c r="D392" s="450">
        <v>0.81944444444525288</v>
      </c>
      <c r="E392" s="36" t="s">
        <v>7132</v>
      </c>
      <c r="F392" s="36">
        <v>31</v>
      </c>
      <c r="G392" s="36" t="s">
        <v>6080</v>
      </c>
      <c r="H392" s="36" t="s">
        <v>6611</v>
      </c>
      <c r="I392" s="36">
        <v>2</v>
      </c>
      <c r="J392" s="36" t="s">
        <v>5895</v>
      </c>
      <c r="K392" s="36" t="s">
        <v>7133</v>
      </c>
      <c r="L392" s="36" t="b">
        <v>0</v>
      </c>
    </row>
    <row r="393" spans="1:12" ht="12.75" hidden="1">
      <c r="A393" s="448">
        <v>45135.697328020833</v>
      </c>
      <c r="B393" s="449">
        <v>45135</v>
      </c>
      <c r="C393" s="36" t="s">
        <v>12</v>
      </c>
      <c r="D393" s="450">
        <v>0.79166666666424135</v>
      </c>
      <c r="E393" s="36" t="s">
        <v>7134</v>
      </c>
      <c r="F393" s="36" t="s">
        <v>7135</v>
      </c>
      <c r="G393" s="36" t="s">
        <v>1461</v>
      </c>
      <c r="H393" s="36" t="s">
        <v>1263</v>
      </c>
      <c r="I393" s="36">
        <v>1</v>
      </c>
      <c r="J393" s="36" t="s">
        <v>5895</v>
      </c>
      <c r="K393" s="36" t="s">
        <v>7136</v>
      </c>
      <c r="L393" s="36" t="b">
        <v>1</v>
      </c>
    </row>
    <row r="394" spans="1:12" ht="12.75" hidden="1">
      <c r="A394" s="448">
        <v>45135.743852141204</v>
      </c>
      <c r="B394" s="449">
        <v>45140</v>
      </c>
      <c r="C394" s="36" t="s">
        <v>11</v>
      </c>
      <c r="D394" s="450">
        <v>0.75</v>
      </c>
      <c r="E394" s="36" t="s">
        <v>7137</v>
      </c>
      <c r="F394" s="36" t="s">
        <v>7138</v>
      </c>
      <c r="G394" s="36" t="s">
        <v>1145</v>
      </c>
      <c r="H394" s="36" t="s">
        <v>7139</v>
      </c>
      <c r="I394" s="36">
        <v>1</v>
      </c>
      <c r="J394" s="36" t="s">
        <v>5895</v>
      </c>
      <c r="K394" s="36" t="s">
        <v>7140</v>
      </c>
      <c r="L394" s="36" t="b">
        <v>0</v>
      </c>
    </row>
    <row r="395" spans="1:12" ht="12.75" hidden="1">
      <c r="A395" s="448">
        <v>45135.799816666666</v>
      </c>
      <c r="B395" s="449">
        <v>45133</v>
      </c>
      <c r="C395" s="36" t="s">
        <v>3388</v>
      </c>
      <c r="D395" s="450">
        <v>0.77083333333575865</v>
      </c>
      <c r="E395" s="36" t="s">
        <v>7141</v>
      </c>
      <c r="F395" s="36" t="s">
        <v>7142</v>
      </c>
      <c r="G395" s="36" t="s">
        <v>7143</v>
      </c>
      <c r="H395" s="36" t="s">
        <v>7144</v>
      </c>
      <c r="I395" s="36">
        <v>2</v>
      </c>
      <c r="J395" s="36" t="s">
        <v>5895</v>
      </c>
      <c r="K395" s="36" t="s">
        <v>7145</v>
      </c>
      <c r="L395" s="36" t="b">
        <v>1</v>
      </c>
    </row>
    <row r="396" spans="1:12" ht="12.75" hidden="1">
      <c r="A396" s="448">
        <v>45135.803408981483</v>
      </c>
      <c r="B396" s="449">
        <v>45137</v>
      </c>
      <c r="C396" s="36" t="s">
        <v>3388</v>
      </c>
      <c r="D396" s="450">
        <v>0.41666666666424135</v>
      </c>
      <c r="E396" s="36" t="s">
        <v>7146</v>
      </c>
      <c r="F396" s="36" t="s">
        <v>7147</v>
      </c>
      <c r="G396" s="36" t="s">
        <v>6542</v>
      </c>
      <c r="H396" s="36" t="s">
        <v>7148</v>
      </c>
      <c r="I396" s="36">
        <v>3</v>
      </c>
      <c r="J396" s="36" t="s">
        <v>5895</v>
      </c>
      <c r="K396" s="36" t="s">
        <v>7149</v>
      </c>
      <c r="L396" s="36" t="b">
        <v>1</v>
      </c>
    </row>
    <row r="397" spans="1:12" ht="12.75" hidden="1">
      <c r="A397" s="448">
        <v>45135.827670925923</v>
      </c>
      <c r="B397" s="449">
        <v>45139</v>
      </c>
      <c r="C397" s="36" t="s">
        <v>3383</v>
      </c>
      <c r="D397" s="450">
        <v>0.8125</v>
      </c>
      <c r="E397" s="36" t="s">
        <v>7150</v>
      </c>
      <c r="F397" s="36" t="s">
        <v>7151</v>
      </c>
      <c r="G397" s="36" t="s">
        <v>6385</v>
      </c>
      <c r="H397" s="36" t="s">
        <v>7152</v>
      </c>
      <c r="I397" s="36">
        <v>1</v>
      </c>
      <c r="J397" s="36" t="s">
        <v>5895</v>
      </c>
      <c r="K397" s="36" t="s">
        <v>7153</v>
      </c>
      <c r="L397" s="36" t="b">
        <v>0</v>
      </c>
    </row>
    <row r="398" spans="1:12" ht="12.75" hidden="1">
      <c r="A398" s="448">
        <v>45135.828563634263</v>
      </c>
      <c r="B398" s="449">
        <v>45141</v>
      </c>
      <c r="C398" s="36" t="s">
        <v>3383</v>
      </c>
      <c r="D398" s="450">
        <v>0.83333333333575865</v>
      </c>
      <c r="E398" s="36" t="s">
        <v>7150</v>
      </c>
      <c r="F398" s="36" t="s">
        <v>7154</v>
      </c>
      <c r="G398" s="36" t="s">
        <v>6385</v>
      </c>
      <c r="H398" s="36" t="s">
        <v>7155</v>
      </c>
      <c r="I398" s="36">
        <v>2</v>
      </c>
      <c r="J398" s="36" t="s">
        <v>5895</v>
      </c>
      <c r="K398" s="36" t="s">
        <v>7153</v>
      </c>
      <c r="L398" s="36" t="b">
        <v>0</v>
      </c>
    </row>
    <row r="399" spans="1:12" ht="12.75" hidden="1">
      <c r="A399" s="448">
        <v>45135.830008391204</v>
      </c>
      <c r="B399" s="449">
        <v>45140</v>
      </c>
      <c r="C399" s="36" t="s">
        <v>3383</v>
      </c>
      <c r="D399" s="450">
        <v>0.70833333333575865</v>
      </c>
      <c r="E399" s="36" t="s">
        <v>7156</v>
      </c>
      <c r="F399" s="36" t="s">
        <v>7157</v>
      </c>
      <c r="G399" s="36" t="s">
        <v>6385</v>
      </c>
      <c r="H399" s="36" t="s">
        <v>7155</v>
      </c>
      <c r="I399" s="36">
        <v>3</v>
      </c>
      <c r="J399" s="36" t="s">
        <v>5895</v>
      </c>
      <c r="K399" s="36" t="s">
        <v>7153</v>
      </c>
      <c r="L399" s="36" t="b">
        <v>0</v>
      </c>
    </row>
    <row r="400" spans="1:12" ht="12.75" hidden="1">
      <c r="A400" s="448">
        <v>45135.879083611115</v>
      </c>
      <c r="B400" s="449">
        <v>45135</v>
      </c>
      <c r="C400" s="36" t="s">
        <v>3383</v>
      </c>
      <c r="D400" s="450">
        <v>0.45833333333575865</v>
      </c>
      <c r="E400" s="36" t="s">
        <v>6766</v>
      </c>
      <c r="F400" s="36">
        <v>25</v>
      </c>
      <c r="G400" s="36" t="s">
        <v>7158</v>
      </c>
      <c r="H400" s="36" t="s">
        <v>756</v>
      </c>
      <c r="I400" s="36">
        <v>1</v>
      </c>
      <c r="J400" s="36" t="s">
        <v>5895</v>
      </c>
      <c r="K400" s="36" t="s">
        <v>6242</v>
      </c>
      <c r="L400" s="36" t="b">
        <v>0</v>
      </c>
    </row>
    <row r="401" spans="1:12" ht="12.75" hidden="1">
      <c r="A401" s="448">
        <v>45135.879916377315</v>
      </c>
      <c r="B401" s="449">
        <v>45137</v>
      </c>
      <c r="C401" s="36" t="s">
        <v>3383</v>
      </c>
      <c r="D401" s="450">
        <v>0.4375</v>
      </c>
      <c r="E401" s="36" t="s">
        <v>6766</v>
      </c>
      <c r="F401" s="36">
        <v>26</v>
      </c>
      <c r="G401" s="36" t="s">
        <v>7159</v>
      </c>
      <c r="H401" s="36" t="s">
        <v>756</v>
      </c>
      <c r="I401" s="36">
        <v>2</v>
      </c>
      <c r="J401" s="36" t="s">
        <v>5895</v>
      </c>
      <c r="K401" s="36" t="s">
        <v>5943</v>
      </c>
      <c r="L401" s="36" t="b">
        <v>0</v>
      </c>
    </row>
    <row r="402" spans="1:12" ht="12.75" hidden="1">
      <c r="A402" s="448">
        <v>45136.497186886569</v>
      </c>
      <c r="B402" s="449">
        <v>45129</v>
      </c>
      <c r="C402" s="36" t="s">
        <v>12</v>
      </c>
      <c r="D402" s="450">
        <v>0.41666666666424135</v>
      </c>
      <c r="E402" s="36" t="s">
        <v>7160</v>
      </c>
      <c r="F402" s="36" t="s">
        <v>7161</v>
      </c>
      <c r="G402" s="36" t="s">
        <v>653</v>
      </c>
      <c r="H402" s="36" t="s">
        <v>6402</v>
      </c>
      <c r="I402" s="36">
        <v>1</v>
      </c>
      <c r="J402" s="36" t="s">
        <v>5895</v>
      </c>
      <c r="K402" s="36" t="s">
        <v>7162</v>
      </c>
      <c r="L402" s="36" t="b">
        <v>1</v>
      </c>
    </row>
    <row r="403" spans="1:12" ht="12.75" hidden="1">
      <c r="A403" s="451">
        <v>45140.442754629628</v>
      </c>
      <c r="B403" s="408">
        <v>45140</v>
      </c>
      <c r="C403" s="36" t="s">
        <v>3383</v>
      </c>
      <c r="D403" s="452">
        <v>0.75</v>
      </c>
      <c r="E403" s="36" t="s">
        <v>7163</v>
      </c>
      <c r="F403" s="36" t="s">
        <v>7164</v>
      </c>
      <c r="G403" s="36" t="s">
        <v>7165</v>
      </c>
      <c r="H403" s="36" t="s">
        <v>7060</v>
      </c>
      <c r="I403" s="36">
        <v>1</v>
      </c>
      <c r="J403" s="36" t="s">
        <v>5895</v>
      </c>
      <c r="K403" s="36" t="s">
        <v>7166</v>
      </c>
      <c r="L403" s="36" t="b">
        <v>1</v>
      </c>
    </row>
    <row r="404" spans="1:12" ht="12.75" hidden="1">
      <c r="A404" s="448">
        <v>45137.620725775458</v>
      </c>
      <c r="B404" s="449">
        <v>45143</v>
      </c>
      <c r="C404" s="36" t="s">
        <v>12</v>
      </c>
      <c r="D404" s="450">
        <v>0.42361111110949423</v>
      </c>
      <c r="E404" s="36" t="s">
        <v>7167</v>
      </c>
      <c r="F404" s="36" t="s">
        <v>7168</v>
      </c>
      <c r="G404" s="36" t="s">
        <v>6657</v>
      </c>
      <c r="H404" s="36" t="s">
        <v>7169</v>
      </c>
      <c r="I404" s="36">
        <v>1</v>
      </c>
      <c r="J404" s="36" t="s">
        <v>5895</v>
      </c>
      <c r="K404" s="36" t="s">
        <v>5943</v>
      </c>
      <c r="L404" s="36" t="b">
        <v>0</v>
      </c>
    </row>
    <row r="405" spans="1:12" ht="12.75" hidden="1">
      <c r="A405" s="448">
        <v>45137.622720972227</v>
      </c>
      <c r="B405" s="449">
        <v>45143</v>
      </c>
      <c r="C405" s="36" t="s">
        <v>12</v>
      </c>
      <c r="D405" s="450">
        <v>0.48611111110949423</v>
      </c>
      <c r="E405" s="36" t="s">
        <v>7170</v>
      </c>
      <c r="F405" s="36" t="s">
        <v>7171</v>
      </c>
      <c r="G405" s="36" t="s">
        <v>6657</v>
      </c>
      <c r="H405" s="36" t="s">
        <v>7169</v>
      </c>
      <c r="I405" s="36">
        <v>2</v>
      </c>
      <c r="J405" s="36" t="s">
        <v>5895</v>
      </c>
      <c r="K405" s="36" t="s">
        <v>5943</v>
      </c>
      <c r="L405" s="36" t="b">
        <v>0</v>
      </c>
    </row>
    <row r="406" spans="1:12" ht="12.75" hidden="1">
      <c r="A406" s="448">
        <v>45137.623916875003</v>
      </c>
      <c r="B406" s="449">
        <v>45143</v>
      </c>
      <c r="C406" s="36" t="s">
        <v>12</v>
      </c>
      <c r="D406" s="450">
        <v>0.55208333333575865</v>
      </c>
      <c r="E406" s="36" t="s">
        <v>7172</v>
      </c>
      <c r="F406" s="36" t="s">
        <v>7173</v>
      </c>
      <c r="G406" s="36" t="s">
        <v>6657</v>
      </c>
      <c r="H406" s="36" t="s">
        <v>7169</v>
      </c>
      <c r="I406" s="36">
        <v>3</v>
      </c>
      <c r="J406" s="36" t="s">
        <v>5895</v>
      </c>
      <c r="K406" s="36" t="s">
        <v>5943</v>
      </c>
      <c r="L406" s="36" t="b">
        <v>0</v>
      </c>
    </row>
    <row r="407" spans="1:12" ht="12.75" hidden="1">
      <c r="A407" s="448">
        <v>45137.625077662036</v>
      </c>
      <c r="B407" s="449">
        <v>45144</v>
      </c>
      <c r="C407" s="36" t="s">
        <v>12</v>
      </c>
      <c r="D407" s="450">
        <v>0.55208333333575865</v>
      </c>
      <c r="E407" s="36" t="s">
        <v>7172</v>
      </c>
      <c r="F407" s="36" t="s">
        <v>7174</v>
      </c>
      <c r="G407" s="36" t="s">
        <v>6657</v>
      </c>
      <c r="H407" s="36" t="s">
        <v>7169</v>
      </c>
      <c r="I407" s="36">
        <v>4</v>
      </c>
      <c r="J407" s="36" t="s">
        <v>5895</v>
      </c>
      <c r="K407" s="36" t="s">
        <v>5943</v>
      </c>
      <c r="L407" s="36" t="b">
        <v>0</v>
      </c>
    </row>
    <row r="408" spans="1:12" ht="12.75" hidden="1">
      <c r="A408" s="448">
        <v>45137.625938032405</v>
      </c>
      <c r="B408" s="449">
        <v>45144</v>
      </c>
      <c r="C408" s="36" t="s">
        <v>12</v>
      </c>
      <c r="D408" s="450">
        <v>0.42361111110949423</v>
      </c>
      <c r="E408" s="36" t="s">
        <v>7175</v>
      </c>
      <c r="F408" s="36" t="s">
        <v>7176</v>
      </c>
      <c r="G408" s="36" t="s">
        <v>6657</v>
      </c>
      <c r="H408" s="36" t="s">
        <v>7169</v>
      </c>
      <c r="I408" s="36">
        <v>5</v>
      </c>
      <c r="J408" s="36" t="s">
        <v>5895</v>
      </c>
      <c r="K408" s="36" t="s">
        <v>5943</v>
      </c>
      <c r="L408" s="36" t="b">
        <v>0</v>
      </c>
    </row>
    <row r="409" spans="1:12" ht="12.75" hidden="1">
      <c r="A409" s="448">
        <v>45138.312530729163</v>
      </c>
      <c r="B409" s="449">
        <v>45108</v>
      </c>
      <c r="C409" s="36" t="s">
        <v>3383</v>
      </c>
      <c r="D409" s="450">
        <v>0.83333333333575865</v>
      </c>
      <c r="E409" s="36" t="s">
        <v>7177</v>
      </c>
      <c r="F409" s="36" t="s">
        <v>7178</v>
      </c>
      <c r="G409" s="36" t="s">
        <v>7179</v>
      </c>
      <c r="H409" s="36" t="s">
        <v>7180</v>
      </c>
      <c r="I409" s="36">
        <v>1</v>
      </c>
      <c r="J409" s="36" t="s">
        <v>5895</v>
      </c>
      <c r="K409" s="36" t="s">
        <v>6996</v>
      </c>
      <c r="L409" s="36" t="b">
        <v>0</v>
      </c>
    </row>
    <row r="410" spans="1:12" ht="12.75" hidden="1">
      <c r="A410" s="448">
        <v>45138.623857175931</v>
      </c>
      <c r="B410" s="449">
        <v>45143</v>
      </c>
      <c r="C410" s="36" t="s">
        <v>13</v>
      </c>
      <c r="D410" s="450">
        <v>0.79166666666424135</v>
      </c>
      <c r="E410" s="36" t="s">
        <v>7181</v>
      </c>
      <c r="F410" s="36" t="s">
        <v>7182</v>
      </c>
      <c r="G410" s="36" t="s">
        <v>7183</v>
      </c>
      <c r="H410" s="36" t="s">
        <v>6682</v>
      </c>
      <c r="I410" s="36">
        <v>1</v>
      </c>
      <c r="J410" s="36" t="s">
        <v>5895</v>
      </c>
      <c r="K410" s="36" t="s">
        <v>7184</v>
      </c>
      <c r="L410" s="36" t="b">
        <v>0</v>
      </c>
    </row>
    <row r="411" spans="1:12" ht="12.75" hidden="1">
      <c r="A411" s="448">
        <v>45138.669295266205</v>
      </c>
      <c r="B411" s="449">
        <v>45132</v>
      </c>
      <c r="C411" s="36" t="s">
        <v>3383</v>
      </c>
      <c r="D411" s="450">
        <v>0.8125</v>
      </c>
      <c r="E411" s="36" t="s">
        <v>7185</v>
      </c>
      <c r="F411" s="36" t="s">
        <v>7186</v>
      </c>
      <c r="G411" s="36" t="s">
        <v>1361</v>
      </c>
      <c r="H411" s="36" t="s">
        <v>7187</v>
      </c>
      <c r="I411" s="36">
        <v>1</v>
      </c>
      <c r="J411" s="36" t="s">
        <v>5895</v>
      </c>
      <c r="K411" s="36" t="s">
        <v>7188</v>
      </c>
      <c r="L411" s="36" t="b">
        <v>0</v>
      </c>
    </row>
    <row r="412" spans="1:12" ht="12.75" hidden="1">
      <c r="A412" s="448">
        <v>45138.672155428241</v>
      </c>
      <c r="B412" s="449">
        <v>45136</v>
      </c>
      <c r="C412" s="36" t="s">
        <v>3383</v>
      </c>
      <c r="D412" s="450">
        <v>0.41666666666424135</v>
      </c>
      <c r="E412" s="36" t="s">
        <v>7189</v>
      </c>
      <c r="F412" s="36" t="s">
        <v>7190</v>
      </c>
      <c r="G412" s="36" t="s">
        <v>1361</v>
      </c>
      <c r="H412" s="36" t="s">
        <v>6328</v>
      </c>
      <c r="I412" s="36">
        <v>2</v>
      </c>
      <c r="J412" s="36" t="s">
        <v>5895</v>
      </c>
      <c r="K412" s="36" t="s">
        <v>7191</v>
      </c>
      <c r="L412" s="36" t="b">
        <v>0</v>
      </c>
    </row>
    <row r="413" spans="1:12" ht="12.75" hidden="1">
      <c r="A413" s="448">
        <v>45138.705861562499</v>
      </c>
      <c r="B413" s="449">
        <v>45109</v>
      </c>
      <c r="C413" s="36" t="s">
        <v>3383</v>
      </c>
      <c r="D413" s="450">
        <v>0.79166666666424135</v>
      </c>
      <c r="E413" s="36" t="s">
        <v>7177</v>
      </c>
      <c r="F413" s="36" t="s">
        <v>7192</v>
      </c>
      <c r="G413" s="36" t="s">
        <v>7179</v>
      </c>
      <c r="H413" s="36" t="s">
        <v>6947</v>
      </c>
      <c r="I413" s="36">
        <v>2</v>
      </c>
      <c r="J413" s="36" t="s">
        <v>5895</v>
      </c>
      <c r="K413" s="36" t="s">
        <v>6996</v>
      </c>
      <c r="L413" s="36" t="b">
        <v>0</v>
      </c>
    </row>
    <row r="414" spans="1:12" ht="12.75" hidden="1">
      <c r="A414" s="448">
        <v>45138.789667476856</v>
      </c>
      <c r="B414" s="449">
        <v>45138</v>
      </c>
      <c r="C414" s="36" t="s">
        <v>12</v>
      </c>
      <c r="D414" s="450">
        <v>0.79166666666424135</v>
      </c>
      <c r="E414" s="36" t="s">
        <v>7193</v>
      </c>
      <c r="F414" s="36" t="s">
        <v>6814</v>
      </c>
      <c r="G414" s="36" t="s">
        <v>485</v>
      </c>
      <c r="H414" s="36" t="s">
        <v>548</v>
      </c>
      <c r="I414" s="36">
        <v>3</v>
      </c>
      <c r="J414" s="36" t="s">
        <v>5895</v>
      </c>
      <c r="K414" s="36" t="s">
        <v>7194</v>
      </c>
      <c r="L414" s="36" t="b">
        <v>1</v>
      </c>
    </row>
    <row r="415" spans="1:12" ht="12.75" hidden="1">
      <c r="A415" s="448">
        <v>45138.829315347219</v>
      </c>
      <c r="B415" s="449">
        <v>45136</v>
      </c>
      <c r="C415" s="36" t="s">
        <v>3388</v>
      </c>
      <c r="D415" s="450">
        <v>0.70833333333575865</v>
      </c>
      <c r="E415" s="36" t="s">
        <v>7195</v>
      </c>
      <c r="F415" s="36" t="s">
        <v>6847</v>
      </c>
      <c r="G415" s="36" t="s">
        <v>903</v>
      </c>
      <c r="H415" s="36" t="s">
        <v>5906</v>
      </c>
      <c r="I415" s="36">
        <v>4</v>
      </c>
      <c r="J415" s="36" t="s">
        <v>5895</v>
      </c>
      <c r="K415" s="36" t="s">
        <v>7196</v>
      </c>
      <c r="L415" s="36" t="b">
        <v>1</v>
      </c>
    </row>
    <row r="416" spans="1:12" ht="12.75" hidden="1">
      <c r="A416" s="448">
        <v>45139.427550081018</v>
      </c>
      <c r="B416" s="449">
        <v>45139</v>
      </c>
      <c r="C416" s="36" t="s">
        <v>3383</v>
      </c>
      <c r="D416" s="450">
        <v>0.5</v>
      </c>
      <c r="E416" s="36" t="s">
        <v>7197</v>
      </c>
      <c r="F416" s="36" t="s">
        <v>7198</v>
      </c>
      <c r="G416" s="36" t="s">
        <v>756</v>
      </c>
      <c r="H416" s="36" t="s">
        <v>7199</v>
      </c>
      <c r="I416" s="36">
        <v>1</v>
      </c>
      <c r="J416" s="36" t="s">
        <v>5895</v>
      </c>
      <c r="K416" s="36" t="s">
        <v>5923</v>
      </c>
      <c r="L416" s="36" t="b">
        <v>0</v>
      </c>
    </row>
    <row r="417" spans="1:13" ht="12.75" hidden="1">
      <c r="A417" s="448">
        <v>45140.741315335647</v>
      </c>
      <c r="B417" s="449">
        <v>45140</v>
      </c>
      <c r="C417" s="36" t="s">
        <v>3388</v>
      </c>
      <c r="D417" s="450">
        <v>0.75</v>
      </c>
      <c r="E417" s="36" t="s">
        <v>7200</v>
      </c>
      <c r="F417" s="36">
        <v>29</v>
      </c>
      <c r="G417" s="36" t="s">
        <v>2136</v>
      </c>
      <c r="H417" s="36" t="s">
        <v>7201</v>
      </c>
      <c r="I417" s="36">
        <v>1</v>
      </c>
      <c r="J417" s="36" t="s">
        <v>5895</v>
      </c>
      <c r="K417" s="36" t="s">
        <v>7202</v>
      </c>
      <c r="L417" s="36" t="b">
        <v>0</v>
      </c>
    </row>
    <row r="418" spans="1:13" ht="12.75" hidden="1">
      <c r="A418" s="448">
        <v>45140.741854293985</v>
      </c>
      <c r="B418" s="449">
        <v>45140</v>
      </c>
      <c r="C418" s="36" t="s">
        <v>3388</v>
      </c>
      <c r="D418" s="450">
        <v>0.79166666666424135</v>
      </c>
      <c r="E418" s="36" t="s">
        <v>7203</v>
      </c>
      <c r="F418" s="36">
        <v>23</v>
      </c>
      <c r="G418" s="36" t="s">
        <v>2136</v>
      </c>
      <c r="H418" s="36" t="s">
        <v>6611</v>
      </c>
      <c r="I418" s="36">
        <v>2</v>
      </c>
      <c r="J418" s="36" t="s">
        <v>5895</v>
      </c>
      <c r="K418" s="36" t="s">
        <v>7202</v>
      </c>
      <c r="L418" s="36" t="b">
        <v>0</v>
      </c>
    </row>
    <row r="419" spans="1:13" ht="12.75" hidden="1">
      <c r="A419" s="448">
        <v>45140.844257303237</v>
      </c>
      <c r="B419" s="449">
        <v>45139</v>
      </c>
      <c r="C419" s="36" t="s">
        <v>3388</v>
      </c>
      <c r="D419" s="450">
        <v>0.8125</v>
      </c>
      <c r="E419" s="36" t="s">
        <v>7204</v>
      </c>
      <c r="F419" s="36" t="s">
        <v>7205</v>
      </c>
      <c r="G419" s="36" t="s">
        <v>725</v>
      </c>
      <c r="H419" s="36" t="s">
        <v>1158</v>
      </c>
      <c r="I419" s="36">
        <v>1</v>
      </c>
      <c r="J419" s="36" t="s">
        <v>5895</v>
      </c>
      <c r="K419" s="36" t="s">
        <v>7206</v>
      </c>
      <c r="L419" s="36" t="b">
        <v>0</v>
      </c>
    </row>
    <row r="420" spans="1:13" ht="12.75" hidden="1">
      <c r="A420" s="448">
        <v>45141.547842777778</v>
      </c>
      <c r="B420" s="449">
        <v>45146</v>
      </c>
      <c r="C420" s="36" t="s">
        <v>3388</v>
      </c>
      <c r="D420" s="450">
        <v>0.75</v>
      </c>
      <c r="E420" s="36" t="s">
        <v>7207</v>
      </c>
      <c r="F420" s="36" t="s">
        <v>7208</v>
      </c>
      <c r="G420" s="36" t="s">
        <v>815</v>
      </c>
      <c r="H420" s="36" t="s">
        <v>4159</v>
      </c>
      <c r="I420" s="36">
        <v>1</v>
      </c>
      <c r="J420" s="36" t="s">
        <v>5895</v>
      </c>
      <c r="K420" s="36" t="s">
        <v>7209</v>
      </c>
      <c r="L420" s="36" t="b">
        <v>0</v>
      </c>
    </row>
    <row r="421" spans="1:13" ht="12.75" hidden="1">
      <c r="A421" s="448">
        <v>45141.875915405093</v>
      </c>
      <c r="B421" s="449">
        <v>45141</v>
      </c>
      <c r="C421" s="36" t="s">
        <v>3388</v>
      </c>
      <c r="D421" s="450">
        <v>0.79166666666424135</v>
      </c>
      <c r="E421" s="36" t="s">
        <v>7210</v>
      </c>
      <c r="F421" s="36" t="s">
        <v>7211</v>
      </c>
      <c r="G421" s="36" t="s">
        <v>1166</v>
      </c>
      <c r="H421" s="36" t="s">
        <v>6366</v>
      </c>
      <c r="I421" s="36">
        <v>1</v>
      </c>
      <c r="J421" s="36" t="s">
        <v>5895</v>
      </c>
      <c r="K421" s="36" t="s">
        <v>7212</v>
      </c>
      <c r="L421" s="36" t="b">
        <v>0</v>
      </c>
    </row>
    <row r="422" spans="1:13" ht="12.75" hidden="1">
      <c r="A422" s="448">
        <v>45141.960044814812</v>
      </c>
      <c r="B422" s="449">
        <v>45140</v>
      </c>
      <c r="C422" s="36" t="s">
        <v>3388</v>
      </c>
      <c r="D422" s="450">
        <v>0.70833333333575865</v>
      </c>
      <c r="E422" s="36" t="s">
        <v>7213</v>
      </c>
      <c r="F422" s="36" t="s">
        <v>7214</v>
      </c>
      <c r="G422" s="36" t="s">
        <v>7215</v>
      </c>
      <c r="H422" s="36" t="s">
        <v>7216</v>
      </c>
      <c r="I422" s="36">
        <v>1</v>
      </c>
      <c r="J422" s="36" t="s">
        <v>5895</v>
      </c>
      <c r="K422" s="36" t="s">
        <v>7217</v>
      </c>
      <c r="L422" s="36" t="b">
        <v>0</v>
      </c>
    </row>
    <row r="423" spans="1:13" ht="12.75" hidden="1">
      <c r="A423" s="448">
        <v>45142.503810682872</v>
      </c>
      <c r="B423" s="449">
        <v>45143</v>
      </c>
      <c r="C423" s="36" t="s">
        <v>3388</v>
      </c>
      <c r="D423" s="450">
        <v>0.45833333333575865</v>
      </c>
      <c r="E423" s="36" t="s">
        <v>7218</v>
      </c>
      <c r="F423" s="36" t="s">
        <v>7219</v>
      </c>
      <c r="G423" s="36" t="s">
        <v>6623</v>
      </c>
      <c r="H423" s="36" t="s">
        <v>6624</v>
      </c>
      <c r="I423" s="36">
        <v>1</v>
      </c>
      <c r="J423" s="36" t="s">
        <v>5895</v>
      </c>
      <c r="K423" s="36" t="s">
        <v>7220</v>
      </c>
      <c r="L423" s="36" t="b">
        <v>0</v>
      </c>
    </row>
    <row r="424" spans="1:13" ht="12.75" hidden="1">
      <c r="A424" s="448">
        <v>45142.568402928242</v>
      </c>
      <c r="B424" s="449">
        <v>45146</v>
      </c>
      <c r="C424" s="36" t="s">
        <v>12</v>
      </c>
      <c r="D424" s="450">
        <v>0.45833333333575865</v>
      </c>
      <c r="E424" s="36" t="s">
        <v>7221</v>
      </c>
      <c r="F424" s="36" t="s">
        <v>7222</v>
      </c>
      <c r="G424" s="36" t="s">
        <v>1199</v>
      </c>
      <c r="H424" s="36" t="s">
        <v>6742</v>
      </c>
      <c r="I424" s="36">
        <v>1</v>
      </c>
      <c r="J424" s="36" t="s">
        <v>5895</v>
      </c>
      <c r="K424" s="36" t="s">
        <v>7223</v>
      </c>
      <c r="L424" s="36" t="b">
        <v>1</v>
      </c>
    </row>
    <row r="425" spans="1:13" ht="12.75" hidden="1">
      <c r="A425" s="448">
        <v>45142.837289976851</v>
      </c>
      <c r="B425" s="449">
        <v>45148</v>
      </c>
      <c r="C425" s="36" t="s">
        <v>11</v>
      </c>
      <c r="D425" s="450">
        <v>0.75</v>
      </c>
      <c r="E425" s="36" t="s">
        <v>7224</v>
      </c>
      <c r="F425" s="36" t="s">
        <v>7225</v>
      </c>
      <c r="G425" s="36" t="s">
        <v>7226</v>
      </c>
      <c r="H425" s="36" t="s">
        <v>6671</v>
      </c>
      <c r="I425" s="36">
        <v>1</v>
      </c>
      <c r="J425" s="36" t="s">
        <v>5895</v>
      </c>
      <c r="K425" s="36" t="s">
        <v>7227</v>
      </c>
      <c r="L425" s="36" t="b">
        <v>0</v>
      </c>
    </row>
    <row r="426" spans="1:13" ht="12.75" hidden="1">
      <c r="A426" s="448">
        <v>45142.85186516204</v>
      </c>
      <c r="B426" s="449">
        <v>45142</v>
      </c>
      <c r="C426" s="36" t="s">
        <v>3388</v>
      </c>
      <c r="D426" s="450">
        <v>0.75</v>
      </c>
      <c r="E426" s="36" t="s">
        <v>6525</v>
      </c>
      <c r="F426" s="36" t="s">
        <v>7228</v>
      </c>
      <c r="G426" s="36" t="s">
        <v>6555</v>
      </c>
      <c r="H426" s="36" t="s">
        <v>7229</v>
      </c>
      <c r="I426" s="36">
        <v>1</v>
      </c>
      <c r="J426" s="36" t="s">
        <v>5895</v>
      </c>
      <c r="K426" s="36" t="s">
        <v>6210</v>
      </c>
      <c r="L426" s="36" t="b">
        <v>1</v>
      </c>
    </row>
    <row r="427" spans="1:13" ht="12.75" hidden="1">
      <c r="A427" s="448">
        <v>45142.889783877312</v>
      </c>
      <c r="B427" s="449">
        <v>45143</v>
      </c>
      <c r="C427" s="36" t="s">
        <v>20</v>
      </c>
      <c r="D427" s="450">
        <v>0.41666666666424135</v>
      </c>
      <c r="E427" s="36" t="s">
        <v>7230</v>
      </c>
      <c r="F427" s="36" t="s">
        <v>7231</v>
      </c>
      <c r="G427" s="36" t="s">
        <v>6221</v>
      </c>
      <c r="H427" s="36" t="s">
        <v>598</v>
      </c>
      <c r="I427" s="36">
        <v>1</v>
      </c>
      <c r="J427" s="36" t="s">
        <v>5895</v>
      </c>
      <c r="K427" s="36" t="s">
        <v>5943</v>
      </c>
      <c r="L427" s="36" t="b">
        <v>0</v>
      </c>
    </row>
    <row r="428" spans="1:13" ht="12.75" hidden="1">
      <c r="A428" s="448">
        <v>45142.916103958334</v>
      </c>
      <c r="B428" s="449">
        <v>45143</v>
      </c>
      <c r="C428" s="36" t="s">
        <v>11</v>
      </c>
      <c r="D428" s="450">
        <v>0.45833333333575865</v>
      </c>
      <c r="E428" s="36" t="s">
        <v>7232</v>
      </c>
      <c r="F428" s="36" t="s">
        <v>7233</v>
      </c>
      <c r="G428" s="36" t="s">
        <v>604</v>
      </c>
      <c r="H428" s="36" t="s">
        <v>199</v>
      </c>
      <c r="I428" s="36">
        <v>1</v>
      </c>
      <c r="J428" s="36" t="s">
        <v>5895</v>
      </c>
      <c r="K428" s="36" t="s">
        <v>7234</v>
      </c>
      <c r="L428" s="36" t="b">
        <v>0</v>
      </c>
    </row>
    <row r="429" spans="1:13" ht="12.75" hidden="1">
      <c r="A429" s="448">
        <v>45143.513406134254</v>
      </c>
      <c r="B429" s="449">
        <v>45144</v>
      </c>
      <c r="C429" s="36" t="s">
        <v>3388</v>
      </c>
      <c r="D429" s="450">
        <v>0.41666666666424135</v>
      </c>
      <c r="E429" s="36" t="s">
        <v>7235</v>
      </c>
      <c r="F429" s="36" t="s">
        <v>7236</v>
      </c>
      <c r="G429" s="36" t="s">
        <v>1138</v>
      </c>
      <c r="H429" s="36" t="s">
        <v>6611</v>
      </c>
      <c r="I429" s="36">
        <v>1</v>
      </c>
      <c r="J429" s="36" t="s">
        <v>5895</v>
      </c>
      <c r="K429" s="36" t="s">
        <v>5943</v>
      </c>
      <c r="L429" s="36" t="b">
        <v>0</v>
      </c>
    </row>
    <row r="430" spans="1:13" ht="12.75" hidden="1">
      <c r="A430" s="448">
        <v>45143.729022870371</v>
      </c>
      <c r="B430" s="449">
        <v>45148</v>
      </c>
      <c r="C430" s="36" t="s">
        <v>3388</v>
      </c>
      <c r="D430" s="450">
        <v>0.75</v>
      </c>
      <c r="E430" s="36" t="s">
        <v>7237</v>
      </c>
      <c r="F430" s="36" t="s">
        <v>7238</v>
      </c>
      <c r="G430" s="36" t="s">
        <v>7239</v>
      </c>
      <c r="H430" s="36" t="s">
        <v>7240</v>
      </c>
      <c r="I430" s="36">
        <v>1</v>
      </c>
      <c r="J430" s="36" t="s">
        <v>5895</v>
      </c>
      <c r="K430" s="36" t="s">
        <v>7241</v>
      </c>
      <c r="L430" s="36" t="b">
        <v>0</v>
      </c>
    </row>
    <row r="431" spans="1:13" ht="12.75" hidden="1">
      <c r="A431" s="448">
        <v>45143.97243775463</v>
      </c>
      <c r="B431" s="449">
        <v>45143</v>
      </c>
      <c r="C431" s="36" t="s">
        <v>12</v>
      </c>
      <c r="D431" s="450">
        <v>0.79166666666424135</v>
      </c>
      <c r="E431" s="36" t="s">
        <v>7242</v>
      </c>
      <c r="F431" s="36" t="s">
        <v>7243</v>
      </c>
      <c r="G431" s="36" t="s">
        <v>582</v>
      </c>
      <c r="H431" s="36" t="s">
        <v>1243</v>
      </c>
      <c r="I431" s="36">
        <v>1</v>
      </c>
      <c r="J431" s="36" t="s">
        <v>5895</v>
      </c>
      <c r="K431" s="36" t="s">
        <v>7244</v>
      </c>
      <c r="L431" s="36" t="b">
        <v>0</v>
      </c>
      <c r="M431" s="36" t="s">
        <v>7245</v>
      </c>
    </row>
    <row r="432" spans="1:13" ht="12.75" hidden="1">
      <c r="A432" s="448">
        <v>45145.646107256944</v>
      </c>
      <c r="B432" s="449">
        <v>45146</v>
      </c>
      <c r="C432" s="36" t="s">
        <v>3383</v>
      </c>
      <c r="D432" s="450">
        <v>0.45833333333575865</v>
      </c>
      <c r="E432" s="36" t="s">
        <v>7246</v>
      </c>
      <c r="F432" s="36" t="s">
        <v>7247</v>
      </c>
      <c r="G432" s="36" t="s">
        <v>7104</v>
      </c>
      <c r="H432" s="36" t="s">
        <v>7248</v>
      </c>
      <c r="I432" s="36">
        <v>1</v>
      </c>
      <c r="J432" s="36" t="s">
        <v>5895</v>
      </c>
      <c r="K432" s="36" t="s">
        <v>7249</v>
      </c>
      <c r="L432" s="36" t="b">
        <v>0</v>
      </c>
    </row>
    <row r="433" spans="1:12" ht="12.75" hidden="1">
      <c r="A433" s="448">
        <v>45146.335756550921</v>
      </c>
      <c r="B433" s="449">
        <v>45145</v>
      </c>
      <c r="C433" s="36" t="s">
        <v>12</v>
      </c>
      <c r="D433" s="450">
        <v>0.79166666666424135</v>
      </c>
      <c r="E433" s="36" t="s">
        <v>7250</v>
      </c>
      <c r="F433" s="36" t="s">
        <v>7251</v>
      </c>
      <c r="G433" s="36" t="s">
        <v>280</v>
      </c>
      <c r="H433" s="36" t="s">
        <v>6241</v>
      </c>
      <c r="I433" s="36">
        <v>1</v>
      </c>
      <c r="J433" s="36" t="s">
        <v>6093</v>
      </c>
      <c r="K433" s="36" t="s">
        <v>7252</v>
      </c>
      <c r="L433" s="36" t="b">
        <v>1</v>
      </c>
    </row>
    <row r="434" spans="1:12" ht="12.75" hidden="1">
      <c r="A434" s="448">
        <v>45146.560340856478</v>
      </c>
      <c r="B434" s="449">
        <v>45161</v>
      </c>
      <c r="C434" s="36" t="s">
        <v>3388</v>
      </c>
      <c r="D434" s="450">
        <v>0.75</v>
      </c>
      <c r="E434" s="36" t="s">
        <v>7253</v>
      </c>
      <c r="F434" s="36" t="s">
        <v>7254</v>
      </c>
      <c r="G434" s="36" t="s">
        <v>993</v>
      </c>
      <c r="H434" s="36" t="s">
        <v>1228</v>
      </c>
      <c r="I434" s="36">
        <v>1</v>
      </c>
      <c r="J434" s="36" t="s">
        <v>5895</v>
      </c>
      <c r="K434" s="36" t="s">
        <v>6158</v>
      </c>
      <c r="L434" s="36" t="b">
        <v>1</v>
      </c>
    </row>
    <row r="435" spans="1:12" ht="12.75" hidden="1">
      <c r="A435" s="448">
        <v>45147.419369930554</v>
      </c>
      <c r="B435" s="449">
        <v>45147</v>
      </c>
      <c r="C435" s="36" t="s">
        <v>3388</v>
      </c>
      <c r="D435" s="450">
        <v>0.79166666666424135</v>
      </c>
      <c r="E435" s="36" t="s">
        <v>7255</v>
      </c>
      <c r="F435" s="36" t="s">
        <v>7256</v>
      </c>
      <c r="G435" s="36" t="s">
        <v>725</v>
      </c>
      <c r="H435" s="36" t="s">
        <v>1158</v>
      </c>
      <c r="I435" s="36">
        <v>2</v>
      </c>
      <c r="J435" s="36" t="s">
        <v>5895</v>
      </c>
      <c r="K435" s="36" t="s">
        <v>7257</v>
      </c>
      <c r="L435" s="36" t="b">
        <v>0</v>
      </c>
    </row>
    <row r="436" spans="1:12" ht="12.75" hidden="1">
      <c r="A436" s="448">
        <v>45147.663016238424</v>
      </c>
      <c r="B436" s="449">
        <v>45146</v>
      </c>
      <c r="C436" s="36" t="s">
        <v>3383</v>
      </c>
      <c r="D436" s="450">
        <v>0.79166666666424135</v>
      </c>
      <c r="E436" s="36" t="s">
        <v>7258</v>
      </c>
      <c r="F436" s="36" t="s">
        <v>7259</v>
      </c>
      <c r="G436" s="36" t="s">
        <v>7260</v>
      </c>
      <c r="H436" s="36" t="s">
        <v>1105</v>
      </c>
      <c r="I436" s="36">
        <v>1</v>
      </c>
      <c r="J436" s="36" t="s">
        <v>5895</v>
      </c>
      <c r="K436" s="36" t="s">
        <v>7261</v>
      </c>
      <c r="L436" s="36" t="b">
        <v>0</v>
      </c>
    </row>
    <row r="437" spans="1:12" ht="12.75" hidden="1">
      <c r="A437" s="448">
        <v>45147.702568692126</v>
      </c>
      <c r="B437" s="449">
        <v>45147</v>
      </c>
      <c r="C437" s="36" t="s">
        <v>12</v>
      </c>
      <c r="D437" s="450">
        <v>0.79166666666424135</v>
      </c>
      <c r="E437" s="36" t="s">
        <v>6749</v>
      </c>
      <c r="F437" s="36" t="s">
        <v>7262</v>
      </c>
      <c r="G437" s="36" t="s">
        <v>7263</v>
      </c>
      <c r="H437" s="36" t="s">
        <v>7264</v>
      </c>
      <c r="I437" s="36">
        <v>2</v>
      </c>
      <c r="J437" s="36" t="s">
        <v>5895</v>
      </c>
      <c r="K437" s="36" t="s">
        <v>7265</v>
      </c>
      <c r="L437" s="36" t="b">
        <v>0</v>
      </c>
    </row>
    <row r="438" spans="1:12" ht="12.75" hidden="1">
      <c r="A438" s="448">
        <v>45147.879877013889</v>
      </c>
      <c r="B438" s="449">
        <v>45142</v>
      </c>
      <c r="C438" s="36" t="s">
        <v>3388</v>
      </c>
      <c r="D438" s="450">
        <v>0.75</v>
      </c>
      <c r="E438" s="36" t="s">
        <v>6839</v>
      </c>
      <c r="F438" s="36" t="s">
        <v>7266</v>
      </c>
      <c r="G438" s="36" t="s">
        <v>1452</v>
      </c>
      <c r="H438" s="36" t="s">
        <v>5946</v>
      </c>
      <c r="I438" s="36">
        <v>1</v>
      </c>
      <c r="J438" s="36" t="s">
        <v>5895</v>
      </c>
      <c r="K438" s="36" t="s">
        <v>7267</v>
      </c>
      <c r="L438" s="36" t="b">
        <v>0</v>
      </c>
    </row>
    <row r="439" spans="1:12" ht="12.75" hidden="1">
      <c r="A439" s="448">
        <v>45147.880791932868</v>
      </c>
      <c r="B439" s="449">
        <v>45142</v>
      </c>
      <c r="C439" s="36" t="s">
        <v>3388</v>
      </c>
      <c r="D439" s="450">
        <v>0.8125</v>
      </c>
      <c r="E439" s="36" t="s">
        <v>6557</v>
      </c>
      <c r="F439" s="36" t="s">
        <v>7268</v>
      </c>
      <c r="G439" s="36" t="s">
        <v>1452</v>
      </c>
      <c r="H439" s="36" t="s">
        <v>5906</v>
      </c>
      <c r="I439" s="36">
        <v>2</v>
      </c>
      <c r="J439" s="36" t="s">
        <v>5895</v>
      </c>
      <c r="K439" s="36" t="s">
        <v>7153</v>
      </c>
      <c r="L439" s="36" t="b">
        <v>0</v>
      </c>
    </row>
    <row r="440" spans="1:12" ht="12.75" hidden="1">
      <c r="A440" s="448">
        <v>45148.613864618055</v>
      </c>
      <c r="B440" s="449">
        <v>45163</v>
      </c>
      <c r="C440" s="36" t="s">
        <v>18</v>
      </c>
      <c r="D440" s="450">
        <v>0.8125</v>
      </c>
      <c r="E440" s="36" t="s">
        <v>6495</v>
      </c>
      <c r="F440" s="36" t="s">
        <v>7269</v>
      </c>
      <c r="G440" s="36" t="s">
        <v>1096</v>
      </c>
      <c r="H440" s="36" t="s">
        <v>78</v>
      </c>
      <c r="I440" s="36">
        <v>1</v>
      </c>
      <c r="J440" s="36" t="s">
        <v>5895</v>
      </c>
      <c r="K440" s="36" t="s">
        <v>6771</v>
      </c>
      <c r="L440" s="36" t="b">
        <v>1</v>
      </c>
    </row>
    <row r="441" spans="1:12" ht="12.75" hidden="1">
      <c r="A441" s="448">
        <v>45148.61494378472</v>
      </c>
      <c r="B441" s="449">
        <v>45168</v>
      </c>
      <c r="C441" s="36" t="s">
        <v>18</v>
      </c>
      <c r="D441" s="450">
        <v>0.8125</v>
      </c>
      <c r="E441" s="36" t="s">
        <v>6495</v>
      </c>
      <c r="F441" s="36" t="s">
        <v>7270</v>
      </c>
      <c r="G441" s="36" t="s">
        <v>1096</v>
      </c>
      <c r="H441" s="36" t="s">
        <v>7271</v>
      </c>
      <c r="I441" s="36">
        <v>2</v>
      </c>
      <c r="J441" s="36" t="s">
        <v>5895</v>
      </c>
      <c r="K441" s="36" t="s">
        <v>6771</v>
      </c>
      <c r="L441" s="36" t="b">
        <v>0</v>
      </c>
    </row>
    <row r="442" spans="1:12" ht="12.75" hidden="1">
      <c r="A442" s="448">
        <v>45148.615532708332</v>
      </c>
      <c r="B442" s="449">
        <v>45170</v>
      </c>
      <c r="C442" s="36" t="s">
        <v>18</v>
      </c>
      <c r="D442" s="450">
        <v>0.8125</v>
      </c>
      <c r="E442" s="36" t="s">
        <v>6495</v>
      </c>
      <c r="F442" s="36" t="s">
        <v>7272</v>
      </c>
      <c r="G442" s="36" t="s">
        <v>1096</v>
      </c>
      <c r="H442" s="36" t="s">
        <v>7271</v>
      </c>
      <c r="I442" s="36">
        <v>1</v>
      </c>
      <c r="J442" s="36" t="s">
        <v>5895</v>
      </c>
      <c r="K442" s="36" t="s">
        <v>6771</v>
      </c>
      <c r="L442" s="36" t="b">
        <v>0</v>
      </c>
    </row>
    <row r="443" spans="1:12" ht="12.75" hidden="1">
      <c r="A443" s="448">
        <v>45148.678446909718</v>
      </c>
      <c r="B443" s="449">
        <v>45148</v>
      </c>
      <c r="C443" s="36" t="s">
        <v>3388</v>
      </c>
      <c r="D443" s="450">
        <v>0.79166666666424135</v>
      </c>
      <c r="E443" s="36" t="s">
        <v>6809</v>
      </c>
      <c r="F443" s="36" t="s">
        <v>7273</v>
      </c>
      <c r="G443" s="36" t="s">
        <v>7274</v>
      </c>
      <c r="H443" s="36" t="s">
        <v>3403</v>
      </c>
      <c r="I443" s="36">
        <v>1</v>
      </c>
      <c r="J443" s="36" t="s">
        <v>5895</v>
      </c>
      <c r="K443" s="36" t="s">
        <v>6812</v>
      </c>
      <c r="L443" s="36" t="b">
        <v>0</v>
      </c>
    </row>
    <row r="444" spans="1:12" ht="12.75" hidden="1">
      <c r="A444" s="448">
        <v>45148.701949050926</v>
      </c>
      <c r="B444" s="449">
        <v>45148</v>
      </c>
      <c r="C444" s="36" t="s">
        <v>11</v>
      </c>
      <c r="D444" s="450">
        <v>0.75</v>
      </c>
      <c r="E444" s="36" t="s">
        <v>7086</v>
      </c>
      <c r="F444" s="36" t="s">
        <v>7275</v>
      </c>
      <c r="G444" s="36" t="s">
        <v>7276</v>
      </c>
      <c r="H444" s="36" t="s">
        <v>6426</v>
      </c>
      <c r="I444" s="36">
        <v>1</v>
      </c>
      <c r="J444" s="36" t="s">
        <v>5895</v>
      </c>
      <c r="K444" s="36" t="s">
        <v>7277</v>
      </c>
      <c r="L444" s="36" t="b">
        <v>0</v>
      </c>
    </row>
    <row r="445" spans="1:12" ht="12.75" hidden="1">
      <c r="A445" s="448">
        <v>45148.809502013886</v>
      </c>
      <c r="B445" s="449">
        <v>45150</v>
      </c>
      <c r="C445" s="36" t="s">
        <v>11</v>
      </c>
      <c r="D445" s="450">
        <v>0.75</v>
      </c>
      <c r="E445" s="36" t="s">
        <v>6641</v>
      </c>
      <c r="F445" s="36" t="s">
        <v>7278</v>
      </c>
      <c r="G445" s="36" t="s">
        <v>731</v>
      </c>
      <c r="H445" s="36" t="s">
        <v>7139</v>
      </c>
      <c r="I445" s="36">
        <v>1</v>
      </c>
      <c r="J445" s="36" t="s">
        <v>5895</v>
      </c>
      <c r="K445" s="36" t="s">
        <v>6122</v>
      </c>
      <c r="L445" s="36" t="b">
        <v>0</v>
      </c>
    </row>
    <row r="446" spans="1:12" ht="12.75" hidden="1">
      <c r="A446" s="448">
        <v>45149.443519988425</v>
      </c>
      <c r="B446" s="449">
        <v>45144</v>
      </c>
      <c r="C446" s="36" t="s">
        <v>3388</v>
      </c>
      <c r="D446" s="450">
        <v>0.41666666666424135</v>
      </c>
      <c r="E446" s="36" t="s">
        <v>7279</v>
      </c>
      <c r="F446" s="36" t="s">
        <v>7280</v>
      </c>
      <c r="G446" s="36" t="s">
        <v>1322</v>
      </c>
      <c r="H446" s="36" t="s">
        <v>1128</v>
      </c>
      <c r="I446" s="36">
        <v>1</v>
      </c>
      <c r="J446" s="36" t="s">
        <v>5895</v>
      </c>
      <c r="K446" s="36" t="s">
        <v>7281</v>
      </c>
      <c r="L446" s="36" t="b">
        <v>0</v>
      </c>
    </row>
    <row r="447" spans="1:12" ht="12.75" hidden="1">
      <c r="A447" s="448">
        <v>45149.820281319444</v>
      </c>
      <c r="B447" s="449">
        <v>45150</v>
      </c>
      <c r="C447" s="36" t="s">
        <v>12</v>
      </c>
      <c r="D447" s="450">
        <v>0.41666666666424135</v>
      </c>
      <c r="E447" s="36" t="s">
        <v>6715</v>
      </c>
      <c r="F447" s="36" t="s">
        <v>7282</v>
      </c>
      <c r="G447" s="36" t="s">
        <v>1497</v>
      </c>
      <c r="H447" s="36" t="s">
        <v>7283</v>
      </c>
      <c r="I447" s="36">
        <v>1</v>
      </c>
      <c r="J447" s="36" t="s">
        <v>5895</v>
      </c>
      <c r="K447" s="36" t="s">
        <v>6394</v>
      </c>
      <c r="L447" s="36" t="b">
        <v>0</v>
      </c>
    </row>
    <row r="448" spans="1:12" ht="12.75" hidden="1">
      <c r="A448" s="448">
        <v>45149.937448657409</v>
      </c>
      <c r="B448" s="449">
        <v>45150</v>
      </c>
      <c r="C448" s="36" t="s">
        <v>3388</v>
      </c>
      <c r="D448" s="450">
        <v>0.41666666666424135</v>
      </c>
      <c r="E448" s="36" t="s">
        <v>7284</v>
      </c>
      <c r="F448" s="36" t="s">
        <v>7285</v>
      </c>
      <c r="G448" s="36" t="s">
        <v>1312</v>
      </c>
      <c r="H448" s="36" t="s">
        <v>7127</v>
      </c>
      <c r="I448" s="36">
        <v>1</v>
      </c>
      <c r="J448" s="36" t="s">
        <v>5895</v>
      </c>
      <c r="K448" s="36" t="s">
        <v>6186</v>
      </c>
      <c r="L448" s="36" t="b">
        <v>1</v>
      </c>
    </row>
    <row r="449" spans="1:12" ht="12.75" hidden="1">
      <c r="A449" s="448">
        <v>45149.938534155095</v>
      </c>
      <c r="B449" s="449">
        <v>45151</v>
      </c>
      <c r="C449" s="36" t="s">
        <v>3388</v>
      </c>
      <c r="D449" s="450">
        <v>0.79166666666424135</v>
      </c>
      <c r="E449" s="36" t="s">
        <v>7286</v>
      </c>
      <c r="F449" s="36" t="s">
        <v>7287</v>
      </c>
      <c r="G449" s="36" t="s">
        <v>1312</v>
      </c>
      <c r="H449" s="36" t="s">
        <v>7127</v>
      </c>
      <c r="I449" s="36">
        <v>2</v>
      </c>
      <c r="J449" s="36" t="s">
        <v>5895</v>
      </c>
      <c r="K449" s="36" t="s">
        <v>6186</v>
      </c>
      <c r="L449" s="36" t="b">
        <v>1</v>
      </c>
    </row>
    <row r="450" spans="1:12" ht="12.75" hidden="1">
      <c r="A450" s="448">
        <v>45149.940561030089</v>
      </c>
      <c r="B450" s="449">
        <v>45151</v>
      </c>
      <c r="C450" s="36" t="s">
        <v>3388</v>
      </c>
      <c r="D450" s="450">
        <v>0.41666666666424135</v>
      </c>
      <c r="E450" s="36" t="s">
        <v>7160</v>
      </c>
      <c r="F450" s="36" t="s">
        <v>7288</v>
      </c>
      <c r="G450" s="36" t="s">
        <v>1312</v>
      </c>
      <c r="H450" s="36" t="s">
        <v>6315</v>
      </c>
      <c r="I450" s="36">
        <v>3</v>
      </c>
      <c r="J450" s="36" t="s">
        <v>5895</v>
      </c>
      <c r="K450" s="36" t="s">
        <v>6186</v>
      </c>
      <c r="L450" s="36" t="b">
        <v>1</v>
      </c>
    </row>
    <row r="451" spans="1:12" ht="12.75" hidden="1">
      <c r="A451" s="448">
        <v>45150.437584143518</v>
      </c>
      <c r="B451" s="449">
        <v>45150</v>
      </c>
      <c r="C451" s="36" t="s">
        <v>12</v>
      </c>
      <c r="D451" s="450">
        <v>0.4375</v>
      </c>
      <c r="E451" s="36" t="s">
        <v>7289</v>
      </c>
      <c r="F451" s="36" t="s">
        <v>7290</v>
      </c>
      <c r="G451" s="36" t="s">
        <v>86</v>
      </c>
      <c r="H451" s="36" t="s">
        <v>1231</v>
      </c>
      <c r="I451" s="36">
        <v>1</v>
      </c>
      <c r="J451" s="36" t="s">
        <v>5895</v>
      </c>
      <c r="K451" s="36" t="s">
        <v>7291</v>
      </c>
      <c r="L451" s="36" t="b">
        <v>0</v>
      </c>
    </row>
    <row r="452" spans="1:12" ht="12.75" hidden="1">
      <c r="A452" s="448">
        <v>45150.514061724534</v>
      </c>
      <c r="B452" s="449">
        <v>45157</v>
      </c>
      <c r="C452" s="36" t="s">
        <v>3383</v>
      </c>
      <c r="D452" s="450">
        <v>0.41666666666424135</v>
      </c>
      <c r="E452" s="36" t="s">
        <v>7102</v>
      </c>
      <c r="F452" s="36" t="s">
        <v>7292</v>
      </c>
      <c r="G452" s="36" t="s">
        <v>7104</v>
      </c>
      <c r="H452" s="36" t="s">
        <v>7293</v>
      </c>
      <c r="I452" s="36">
        <v>2</v>
      </c>
      <c r="J452" s="36" t="s">
        <v>5895</v>
      </c>
      <c r="K452" s="36" t="s">
        <v>7294</v>
      </c>
      <c r="L452" s="36" t="b">
        <v>0</v>
      </c>
    </row>
    <row r="453" spans="1:12" ht="12.75" hidden="1">
      <c r="A453" s="448">
        <v>45150.700805162036</v>
      </c>
      <c r="B453" s="449">
        <v>45149</v>
      </c>
      <c r="C453" s="36" t="s">
        <v>3383</v>
      </c>
      <c r="D453" s="450">
        <v>0.75</v>
      </c>
      <c r="E453" s="36" t="s">
        <v>7295</v>
      </c>
      <c r="F453" s="36" t="s">
        <v>7296</v>
      </c>
      <c r="G453" s="36" t="s">
        <v>622</v>
      </c>
      <c r="H453" s="36" t="s">
        <v>718</v>
      </c>
      <c r="I453" s="36">
        <v>1</v>
      </c>
      <c r="J453" s="36" t="s">
        <v>5895</v>
      </c>
      <c r="K453" s="36" t="s">
        <v>7297</v>
      </c>
      <c r="L453" s="36" t="b">
        <v>1</v>
      </c>
    </row>
    <row r="454" spans="1:12" ht="12.75" hidden="1">
      <c r="A454" s="448">
        <v>45150.936215439811</v>
      </c>
      <c r="B454" s="449">
        <v>45144</v>
      </c>
      <c r="C454" s="36" t="s">
        <v>3388</v>
      </c>
      <c r="D454" s="450">
        <v>0.45833333333575865</v>
      </c>
      <c r="E454" s="36" t="s">
        <v>7298</v>
      </c>
      <c r="F454" s="36" t="s">
        <v>6807</v>
      </c>
      <c r="G454" s="36" t="s">
        <v>1305</v>
      </c>
      <c r="H454" s="36" t="s">
        <v>5906</v>
      </c>
      <c r="I454" s="36">
        <v>1</v>
      </c>
      <c r="J454" s="36" t="s">
        <v>5895</v>
      </c>
      <c r="K454" s="36" t="s">
        <v>6445</v>
      </c>
      <c r="L454" s="36" t="b">
        <v>1</v>
      </c>
    </row>
    <row r="455" spans="1:12" ht="12.75" hidden="1">
      <c r="A455" s="448">
        <v>45151.376166261573</v>
      </c>
      <c r="B455" s="449">
        <v>45151</v>
      </c>
      <c r="C455" s="36" t="s">
        <v>12</v>
      </c>
      <c r="D455" s="450">
        <v>0.41666666666424135</v>
      </c>
      <c r="E455" s="36" t="s">
        <v>7299</v>
      </c>
      <c r="F455" s="36" t="s">
        <v>6240</v>
      </c>
      <c r="G455" s="36" t="s">
        <v>6032</v>
      </c>
      <c r="H455" s="36" t="s">
        <v>1063</v>
      </c>
      <c r="I455" s="36">
        <v>1</v>
      </c>
      <c r="J455" s="36" t="s">
        <v>5895</v>
      </c>
      <c r="K455" s="36" t="s">
        <v>7300</v>
      </c>
      <c r="L455" s="36" t="b">
        <v>0</v>
      </c>
    </row>
    <row r="456" spans="1:12" ht="12.75" hidden="1">
      <c r="A456" s="448">
        <v>45151.40310862269</v>
      </c>
      <c r="B456" s="449">
        <v>45151</v>
      </c>
      <c r="C456" s="36" t="s">
        <v>3388</v>
      </c>
      <c r="D456" s="450">
        <v>0.41666666666424135</v>
      </c>
      <c r="E456" s="36" t="s">
        <v>7301</v>
      </c>
      <c r="F456" s="36" t="s">
        <v>7302</v>
      </c>
      <c r="G456" s="36" t="s">
        <v>7303</v>
      </c>
      <c r="H456" s="36" t="s">
        <v>3403</v>
      </c>
      <c r="I456" s="36">
        <v>1</v>
      </c>
      <c r="J456" s="36" t="s">
        <v>5895</v>
      </c>
      <c r="K456" s="36" t="s">
        <v>7304</v>
      </c>
      <c r="L456" s="36" t="b">
        <v>1</v>
      </c>
    </row>
    <row r="457" spans="1:12" ht="12.75" hidden="1">
      <c r="A457" s="448">
        <v>45151.53320351852</v>
      </c>
      <c r="B457" s="449">
        <v>45152</v>
      </c>
      <c r="C457" s="36" t="s">
        <v>3388</v>
      </c>
      <c r="D457" s="450">
        <v>0.79166666666424135</v>
      </c>
      <c r="E457" s="36" t="s">
        <v>7305</v>
      </c>
      <c r="F457" s="36" t="s">
        <v>7306</v>
      </c>
      <c r="G457" s="36" t="s">
        <v>7307</v>
      </c>
      <c r="H457" s="36" t="s">
        <v>1119</v>
      </c>
      <c r="I457" s="36">
        <v>1</v>
      </c>
      <c r="J457" s="36" t="s">
        <v>5895</v>
      </c>
      <c r="K457" s="36" t="s">
        <v>7308</v>
      </c>
      <c r="L457" s="36" t="b">
        <v>0</v>
      </c>
    </row>
    <row r="458" spans="1:12" ht="12.75" hidden="1">
      <c r="A458" s="448">
        <v>45152.027969305556</v>
      </c>
      <c r="B458" s="449">
        <v>45151</v>
      </c>
      <c r="C458" s="36" t="s">
        <v>3388</v>
      </c>
      <c r="D458" s="450">
        <v>0.41666666666424135</v>
      </c>
      <c r="E458" s="36" t="s">
        <v>7279</v>
      </c>
      <c r="F458" s="36" t="s">
        <v>6491</v>
      </c>
      <c r="G458" s="36" t="s">
        <v>1322</v>
      </c>
      <c r="H458" s="36" t="s">
        <v>1128</v>
      </c>
      <c r="I458" s="36">
        <v>2</v>
      </c>
      <c r="J458" s="36" t="s">
        <v>5895</v>
      </c>
      <c r="K458" s="36" t="s">
        <v>7309</v>
      </c>
      <c r="L458" s="36" t="b">
        <v>1</v>
      </c>
    </row>
    <row r="459" spans="1:12" ht="12.75" hidden="1">
      <c r="A459" s="448">
        <v>45152.640731712963</v>
      </c>
      <c r="B459" s="449">
        <v>45153</v>
      </c>
      <c r="C459" s="36" t="s">
        <v>3388</v>
      </c>
      <c r="D459" s="450">
        <v>0.41666666666424135</v>
      </c>
      <c r="E459" s="36" t="s">
        <v>7310</v>
      </c>
      <c r="F459" s="36" t="s">
        <v>7311</v>
      </c>
      <c r="G459" s="36" t="s">
        <v>7312</v>
      </c>
      <c r="H459" s="36" t="s">
        <v>6725</v>
      </c>
      <c r="I459" s="36">
        <v>1</v>
      </c>
      <c r="J459" s="36" t="s">
        <v>5895</v>
      </c>
      <c r="K459" s="36" t="s">
        <v>7313</v>
      </c>
      <c r="L459" s="36" t="b">
        <v>0</v>
      </c>
    </row>
    <row r="460" spans="1:12" ht="12.75" hidden="1">
      <c r="A460" s="448">
        <v>45152.837899097227</v>
      </c>
      <c r="B460" s="449">
        <v>45157</v>
      </c>
      <c r="C460" s="36" t="s">
        <v>18</v>
      </c>
      <c r="D460" s="450">
        <v>0</v>
      </c>
      <c r="E460" s="36" t="s">
        <v>7314</v>
      </c>
      <c r="F460" s="36" t="s">
        <v>7315</v>
      </c>
      <c r="G460" s="36" t="s">
        <v>831</v>
      </c>
      <c r="H460" s="36" t="s">
        <v>78</v>
      </c>
      <c r="I460" s="36">
        <v>1</v>
      </c>
      <c r="J460" s="36" t="s">
        <v>5895</v>
      </c>
      <c r="K460" s="36" t="s">
        <v>7316</v>
      </c>
      <c r="L460" s="36" t="b">
        <v>1</v>
      </c>
    </row>
    <row r="461" spans="1:12" ht="12.75" hidden="1">
      <c r="A461" s="448">
        <v>45152.838887395832</v>
      </c>
      <c r="B461" s="449">
        <v>45158</v>
      </c>
      <c r="C461" s="36" t="s">
        <v>18</v>
      </c>
      <c r="D461" s="450">
        <v>0.54861111110949423</v>
      </c>
      <c r="E461" s="36" t="s">
        <v>7314</v>
      </c>
      <c r="F461" s="36" t="s">
        <v>7317</v>
      </c>
      <c r="G461" s="36" t="s">
        <v>831</v>
      </c>
      <c r="H461" s="36" t="s">
        <v>78</v>
      </c>
      <c r="I461" s="36">
        <v>2</v>
      </c>
      <c r="J461" s="36" t="s">
        <v>5895</v>
      </c>
      <c r="K461" s="36" t="s">
        <v>7318</v>
      </c>
      <c r="L461" s="36" t="b">
        <v>1</v>
      </c>
    </row>
    <row r="462" spans="1:12" ht="12.75" hidden="1">
      <c r="A462" s="448">
        <v>45153.934645127316</v>
      </c>
      <c r="B462" s="449">
        <v>45147</v>
      </c>
      <c r="C462" s="36" t="s">
        <v>3383</v>
      </c>
      <c r="D462" s="450">
        <v>0.75</v>
      </c>
      <c r="E462" s="36" t="s">
        <v>7319</v>
      </c>
      <c r="F462" s="36" t="s">
        <v>7320</v>
      </c>
      <c r="G462" s="36" t="s">
        <v>659</v>
      </c>
      <c r="H462" s="36" t="s">
        <v>7321</v>
      </c>
      <c r="I462" s="36">
        <v>2</v>
      </c>
      <c r="J462" s="36" t="s">
        <v>5895</v>
      </c>
      <c r="K462" s="36" t="s">
        <v>7322</v>
      </c>
      <c r="L462" s="36" t="b">
        <v>0</v>
      </c>
    </row>
    <row r="463" spans="1:12" ht="12.75" hidden="1">
      <c r="A463" s="448">
        <v>45154.479472280094</v>
      </c>
      <c r="B463" s="449">
        <v>45156</v>
      </c>
      <c r="C463" s="36" t="s">
        <v>3388</v>
      </c>
      <c r="D463" s="450">
        <v>0.75</v>
      </c>
      <c r="E463" s="36" t="s">
        <v>6525</v>
      </c>
      <c r="F463" s="36" t="s">
        <v>7323</v>
      </c>
      <c r="G463" s="36" t="s">
        <v>6555</v>
      </c>
      <c r="H463" s="36" t="s">
        <v>6725</v>
      </c>
      <c r="I463" s="36">
        <v>1</v>
      </c>
      <c r="J463" s="36" t="s">
        <v>5895</v>
      </c>
      <c r="K463" s="36" t="s">
        <v>6186</v>
      </c>
      <c r="L463" s="36" t="b">
        <v>1</v>
      </c>
    </row>
    <row r="464" spans="1:12" ht="12.75" hidden="1">
      <c r="A464" s="448">
        <v>45154.480208599532</v>
      </c>
      <c r="B464" s="449">
        <v>45157</v>
      </c>
      <c r="C464" s="36" t="s">
        <v>3388</v>
      </c>
      <c r="D464" s="450">
        <v>0.41666666666424135</v>
      </c>
      <c r="E464" s="36" t="s">
        <v>6548</v>
      </c>
      <c r="F464" s="36" t="s">
        <v>7324</v>
      </c>
      <c r="G464" s="36" t="s">
        <v>6555</v>
      </c>
      <c r="H464" s="36" t="s">
        <v>517</v>
      </c>
      <c r="I464" s="36">
        <v>2</v>
      </c>
      <c r="J464" s="36" t="s">
        <v>5895</v>
      </c>
      <c r="K464" s="36" t="s">
        <v>6186</v>
      </c>
      <c r="L464" s="36" t="b">
        <v>1</v>
      </c>
    </row>
    <row r="465" spans="1:12" ht="12.75" hidden="1">
      <c r="A465" s="448">
        <v>45154.4808581713</v>
      </c>
      <c r="B465" s="449">
        <v>45157</v>
      </c>
      <c r="C465" s="36" t="s">
        <v>3388</v>
      </c>
      <c r="D465" s="450">
        <v>0.5</v>
      </c>
      <c r="E465" s="36" t="s">
        <v>7325</v>
      </c>
      <c r="F465" s="36" t="s">
        <v>7326</v>
      </c>
      <c r="G465" s="36" t="s">
        <v>6555</v>
      </c>
      <c r="H465" s="36" t="s">
        <v>1228</v>
      </c>
      <c r="I465" s="36">
        <v>3</v>
      </c>
      <c r="J465" s="36" t="s">
        <v>5895</v>
      </c>
      <c r="K465" s="36" t="s">
        <v>6186</v>
      </c>
      <c r="L465" s="36" t="b">
        <v>1</v>
      </c>
    </row>
    <row r="466" spans="1:12" ht="12.75" hidden="1">
      <c r="A466" s="448">
        <v>45154.481889375005</v>
      </c>
      <c r="B466" s="449">
        <v>45158</v>
      </c>
      <c r="C466" s="36" t="s">
        <v>3388</v>
      </c>
      <c r="D466" s="450">
        <v>0.41666666666424135</v>
      </c>
      <c r="E466" s="36" t="s">
        <v>7327</v>
      </c>
      <c r="F466" s="36" t="s">
        <v>7328</v>
      </c>
      <c r="G466" s="36" t="s">
        <v>6555</v>
      </c>
      <c r="H466" s="36" t="s">
        <v>6725</v>
      </c>
      <c r="I466" s="36">
        <v>4</v>
      </c>
      <c r="J466" s="36" t="s">
        <v>5895</v>
      </c>
      <c r="K466" s="36" t="s">
        <v>6186</v>
      </c>
      <c r="L466" s="36" t="b">
        <v>1</v>
      </c>
    </row>
    <row r="467" spans="1:12" ht="12.75" hidden="1">
      <c r="A467" s="448">
        <v>45154.48289042824</v>
      </c>
      <c r="B467" s="449">
        <v>45158</v>
      </c>
      <c r="C467" s="36" t="s">
        <v>3388</v>
      </c>
      <c r="D467" s="450">
        <v>0.45833333333575865</v>
      </c>
      <c r="E467" s="36" t="s">
        <v>7329</v>
      </c>
      <c r="F467" s="36" t="s">
        <v>7330</v>
      </c>
      <c r="G467" s="36" t="s">
        <v>6555</v>
      </c>
      <c r="H467" s="36" t="s">
        <v>6777</v>
      </c>
      <c r="I467" s="36">
        <v>5</v>
      </c>
      <c r="J467" s="36" t="s">
        <v>5895</v>
      </c>
      <c r="K467" s="36" t="s">
        <v>6186</v>
      </c>
      <c r="L467" s="36" t="b">
        <v>1</v>
      </c>
    </row>
    <row r="468" spans="1:12" ht="12.75" hidden="1">
      <c r="A468" s="448">
        <v>45154.483751446758</v>
      </c>
      <c r="B468" s="449">
        <v>45158</v>
      </c>
      <c r="C468" s="36" t="s">
        <v>3388</v>
      </c>
      <c r="D468" s="450">
        <v>0.75</v>
      </c>
      <c r="E468" s="36" t="s">
        <v>6521</v>
      </c>
      <c r="F468" s="36" t="s">
        <v>7331</v>
      </c>
      <c r="G468" s="36" t="s">
        <v>6555</v>
      </c>
      <c r="H468" s="36" t="s">
        <v>6777</v>
      </c>
      <c r="I468" s="36">
        <v>6</v>
      </c>
      <c r="J468" s="36" t="s">
        <v>5895</v>
      </c>
      <c r="K468" s="36" t="s">
        <v>6996</v>
      </c>
      <c r="L468" s="36" t="b">
        <v>1</v>
      </c>
    </row>
    <row r="469" spans="1:12" ht="12.75" hidden="1">
      <c r="A469" s="448">
        <v>45154.484522430561</v>
      </c>
      <c r="B469" s="449">
        <v>45159</v>
      </c>
      <c r="C469" s="36" t="s">
        <v>3388</v>
      </c>
      <c r="D469" s="450">
        <v>0.75</v>
      </c>
      <c r="E469" s="36" t="s">
        <v>7332</v>
      </c>
      <c r="F469" s="36" t="s">
        <v>7333</v>
      </c>
      <c r="G469" s="36" t="s">
        <v>6555</v>
      </c>
      <c r="H469" s="36" t="s">
        <v>7334</v>
      </c>
      <c r="I469" s="36">
        <v>7</v>
      </c>
      <c r="J469" s="36" t="s">
        <v>5895</v>
      </c>
      <c r="K469" s="36" t="s">
        <v>6186</v>
      </c>
      <c r="L469" s="36" t="b">
        <v>1</v>
      </c>
    </row>
    <row r="470" spans="1:12" ht="12.75" hidden="1">
      <c r="A470" s="448">
        <v>45154.697448993058</v>
      </c>
      <c r="B470" s="449">
        <v>45153</v>
      </c>
      <c r="C470" s="36" t="s">
        <v>12</v>
      </c>
      <c r="D470" s="450">
        <v>6.25E-2</v>
      </c>
      <c r="E470" s="36" t="s">
        <v>7221</v>
      </c>
      <c r="F470" s="36" t="s">
        <v>7335</v>
      </c>
      <c r="G470" s="36" t="s">
        <v>1199</v>
      </c>
      <c r="H470" s="36" t="s">
        <v>7336</v>
      </c>
      <c r="I470" s="36">
        <v>2</v>
      </c>
      <c r="J470" s="36" t="s">
        <v>5895</v>
      </c>
      <c r="K470" s="36" t="s">
        <v>7337</v>
      </c>
      <c r="L470" s="36" t="b">
        <v>0</v>
      </c>
    </row>
    <row r="471" spans="1:12" ht="12.75" hidden="1">
      <c r="A471" s="448">
        <v>45155.57303900463</v>
      </c>
      <c r="B471" s="449">
        <v>45155</v>
      </c>
      <c r="C471" s="36" t="s">
        <v>3388</v>
      </c>
      <c r="D471" s="450">
        <v>0.75</v>
      </c>
      <c r="E471" s="36" t="s">
        <v>7253</v>
      </c>
      <c r="F471" s="36" t="s">
        <v>7338</v>
      </c>
      <c r="G471" s="36" t="s">
        <v>7339</v>
      </c>
      <c r="H471" s="36" t="s">
        <v>7216</v>
      </c>
      <c r="I471" s="36">
        <v>1</v>
      </c>
      <c r="J471" s="36" t="s">
        <v>5895</v>
      </c>
      <c r="K471" s="36" t="s">
        <v>7340</v>
      </c>
      <c r="L471" s="36" t="b">
        <v>1</v>
      </c>
    </row>
    <row r="472" spans="1:12" ht="12.75" hidden="1">
      <c r="A472" s="448">
        <v>45156.470233472224</v>
      </c>
      <c r="B472" s="449">
        <v>45158</v>
      </c>
      <c r="C472" s="36" t="s">
        <v>3388</v>
      </c>
      <c r="D472" s="450">
        <v>0.41666666666424135</v>
      </c>
      <c r="E472" s="36" t="s">
        <v>7341</v>
      </c>
      <c r="F472" s="36" t="s">
        <v>7342</v>
      </c>
      <c r="G472" s="36" t="s">
        <v>7127</v>
      </c>
      <c r="H472" s="36" t="s">
        <v>6315</v>
      </c>
      <c r="I472" s="36">
        <v>2</v>
      </c>
      <c r="J472" s="36" t="s">
        <v>5895</v>
      </c>
      <c r="K472" s="36" t="s">
        <v>7343</v>
      </c>
      <c r="L472" s="36" t="b">
        <v>1</v>
      </c>
    </row>
    <row r="473" spans="1:12" ht="12.75" hidden="1">
      <c r="A473" s="448">
        <v>45156.477019421298</v>
      </c>
      <c r="B473" s="449">
        <v>45156</v>
      </c>
      <c r="C473" s="36" t="s">
        <v>3383</v>
      </c>
      <c r="D473" s="450">
        <v>0.75</v>
      </c>
      <c r="E473" s="36" t="s">
        <v>6169</v>
      </c>
      <c r="F473" s="36" t="s">
        <v>7344</v>
      </c>
      <c r="G473" s="36" t="s">
        <v>341</v>
      </c>
      <c r="H473" s="36" t="s">
        <v>718</v>
      </c>
      <c r="I473" s="36">
        <v>1</v>
      </c>
      <c r="J473" s="36" t="s">
        <v>5895</v>
      </c>
      <c r="K473" s="36" t="s">
        <v>7018</v>
      </c>
      <c r="L473" s="36" t="b">
        <v>1</v>
      </c>
    </row>
    <row r="474" spans="1:12" ht="12.75" hidden="1">
      <c r="A474" s="448">
        <v>45156.542673356482</v>
      </c>
      <c r="B474" s="449">
        <v>45152</v>
      </c>
      <c r="C474" s="36" t="s">
        <v>12</v>
      </c>
      <c r="D474" s="450">
        <v>0.45833333333575865</v>
      </c>
      <c r="E474" s="36" t="s">
        <v>7345</v>
      </c>
      <c r="F474" s="36">
        <v>10</v>
      </c>
      <c r="G474" s="36" t="s">
        <v>7346</v>
      </c>
      <c r="H474" s="36" t="s">
        <v>7347</v>
      </c>
      <c r="I474" s="36">
        <v>1</v>
      </c>
      <c r="J474" s="36" t="s">
        <v>6093</v>
      </c>
      <c r="K474" s="36" t="s">
        <v>6122</v>
      </c>
      <c r="L474" s="36" t="b">
        <v>0</v>
      </c>
    </row>
    <row r="475" spans="1:12" ht="12.75" hidden="1">
      <c r="A475" s="448">
        <v>45156.842697291664</v>
      </c>
      <c r="B475" s="449">
        <v>45156</v>
      </c>
      <c r="C475" s="36" t="s">
        <v>3388</v>
      </c>
      <c r="D475" s="450">
        <v>0.45833333333575865</v>
      </c>
      <c r="E475" s="36" t="s">
        <v>7078</v>
      </c>
      <c r="F475" s="36" t="s">
        <v>7348</v>
      </c>
      <c r="G475" s="36" t="s">
        <v>1042</v>
      </c>
      <c r="H475" s="36" t="s">
        <v>1395</v>
      </c>
      <c r="I475" s="36">
        <v>1</v>
      </c>
      <c r="J475" s="36" t="s">
        <v>5895</v>
      </c>
      <c r="K475" s="36" t="s">
        <v>7349</v>
      </c>
      <c r="L475" s="36" t="b">
        <v>1</v>
      </c>
    </row>
    <row r="476" spans="1:12" ht="12.75" hidden="1">
      <c r="A476" s="448">
        <v>45156.844409062498</v>
      </c>
      <c r="B476" s="449">
        <v>45156</v>
      </c>
      <c r="C476" s="36" t="s">
        <v>3388</v>
      </c>
      <c r="D476" s="450">
        <v>0.5</v>
      </c>
      <c r="E476" s="36" t="s">
        <v>7350</v>
      </c>
      <c r="F476" s="36" t="s">
        <v>7351</v>
      </c>
      <c r="G476" s="36" t="s">
        <v>1042</v>
      </c>
      <c r="H476" s="36" t="s">
        <v>1395</v>
      </c>
      <c r="I476" s="36">
        <v>2</v>
      </c>
      <c r="J476" s="36" t="s">
        <v>5895</v>
      </c>
      <c r="K476" s="36" t="s">
        <v>7352</v>
      </c>
      <c r="L476" s="36" t="b">
        <v>1</v>
      </c>
    </row>
    <row r="477" spans="1:12" ht="12.75" hidden="1">
      <c r="A477" s="448">
        <v>45157.704216400467</v>
      </c>
      <c r="B477" s="449">
        <v>45156</v>
      </c>
      <c r="C477" s="36" t="s">
        <v>12</v>
      </c>
      <c r="D477" s="450">
        <v>0.41666666666424135</v>
      </c>
      <c r="E477" s="36" t="s">
        <v>7353</v>
      </c>
      <c r="F477" s="36" t="s">
        <v>7354</v>
      </c>
      <c r="G477" s="36" t="s">
        <v>7355</v>
      </c>
      <c r="H477" s="36" t="s">
        <v>6235</v>
      </c>
      <c r="I477" s="36">
        <v>1</v>
      </c>
      <c r="J477" s="36" t="s">
        <v>5895</v>
      </c>
      <c r="K477" s="36" t="s">
        <v>7356</v>
      </c>
      <c r="L477" s="36" t="b">
        <v>0</v>
      </c>
    </row>
    <row r="478" spans="1:12" ht="12.75" hidden="1">
      <c r="A478" s="448">
        <v>45157.736092615742</v>
      </c>
      <c r="B478" s="449">
        <v>45157</v>
      </c>
      <c r="C478" s="36" t="s">
        <v>3383</v>
      </c>
      <c r="D478" s="450">
        <v>0.41666666666424135</v>
      </c>
      <c r="E478" s="36" t="s">
        <v>7357</v>
      </c>
      <c r="F478" s="36" t="s">
        <v>7358</v>
      </c>
      <c r="G478" s="36" t="s">
        <v>7359</v>
      </c>
      <c r="H478" s="36" t="s">
        <v>3710</v>
      </c>
      <c r="I478" s="36">
        <v>2</v>
      </c>
      <c r="J478" s="36" t="s">
        <v>5895</v>
      </c>
      <c r="K478" s="36" t="s">
        <v>6271</v>
      </c>
      <c r="L478" s="36" t="b">
        <v>0</v>
      </c>
    </row>
    <row r="479" spans="1:12" ht="12.75" hidden="1">
      <c r="A479" s="448">
        <v>45157.788553923616</v>
      </c>
      <c r="B479" s="449">
        <v>45157</v>
      </c>
      <c r="C479" s="36" t="s">
        <v>3383</v>
      </c>
      <c r="D479" s="450">
        <v>0.79166666666424135</v>
      </c>
      <c r="E479" s="36" t="s">
        <v>7360</v>
      </c>
      <c r="F479" s="36" t="s">
        <v>7361</v>
      </c>
      <c r="G479" s="36" t="s">
        <v>7359</v>
      </c>
      <c r="H479" s="193" t="s">
        <v>7362</v>
      </c>
      <c r="I479" s="36">
        <v>3</v>
      </c>
      <c r="J479" s="36" t="s">
        <v>5895</v>
      </c>
      <c r="K479" s="36" t="s">
        <v>6271</v>
      </c>
      <c r="L479" s="36" t="b">
        <v>0</v>
      </c>
    </row>
    <row r="480" spans="1:12" ht="12.75" hidden="1">
      <c r="A480" s="448">
        <v>45158.540021145833</v>
      </c>
      <c r="B480" s="449">
        <v>45158</v>
      </c>
      <c r="C480" s="36" t="s">
        <v>12</v>
      </c>
      <c r="D480" s="450">
        <v>0.79166666666424135</v>
      </c>
      <c r="E480" s="36" t="s">
        <v>7109</v>
      </c>
      <c r="F480" s="36" t="s">
        <v>7363</v>
      </c>
      <c r="G480" s="36" t="s">
        <v>938</v>
      </c>
      <c r="H480" s="36" t="s">
        <v>6121</v>
      </c>
      <c r="I480" s="36">
        <v>1</v>
      </c>
      <c r="J480" s="36" t="s">
        <v>5895</v>
      </c>
      <c r="K480" s="36" t="s">
        <v>5943</v>
      </c>
      <c r="L480" s="36" t="b">
        <v>0</v>
      </c>
    </row>
    <row r="481" spans="1:12" ht="12.75" hidden="1">
      <c r="A481" s="448">
        <v>45158.825840277779</v>
      </c>
      <c r="B481" s="449">
        <v>45159</v>
      </c>
      <c r="C481" s="36" t="s">
        <v>3383</v>
      </c>
      <c r="D481" s="450">
        <v>0.66666666666424135</v>
      </c>
      <c r="E481" s="36" t="s">
        <v>7364</v>
      </c>
      <c r="F481" s="36" t="s">
        <v>7365</v>
      </c>
      <c r="G481" s="36" t="s">
        <v>7016</v>
      </c>
      <c r="H481" s="36" t="s">
        <v>7366</v>
      </c>
      <c r="I481" s="36">
        <v>1</v>
      </c>
      <c r="J481" s="36" t="s">
        <v>5895</v>
      </c>
      <c r="K481" s="36" t="s">
        <v>7153</v>
      </c>
      <c r="L481" s="36" t="b">
        <v>0</v>
      </c>
    </row>
    <row r="482" spans="1:12" ht="12.75" hidden="1">
      <c r="A482" s="448">
        <v>45158.827008356486</v>
      </c>
      <c r="B482" s="449">
        <v>45152</v>
      </c>
      <c r="C482" s="36" t="s">
        <v>3383</v>
      </c>
      <c r="D482" s="450">
        <v>0.75</v>
      </c>
      <c r="E482" s="36" t="s">
        <v>7367</v>
      </c>
      <c r="F482" s="36" t="s">
        <v>7368</v>
      </c>
      <c r="G482" s="36" t="s">
        <v>7016</v>
      </c>
      <c r="H482" s="36" t="s">
        <v>7369</v>
      </c>
      <c r="I482" s="36">
        <v>2</v>
      </c>
      <c r="J482" s="36" t="s">
        <v>5895</v>
      </c>
      <c r="K482" s="36" t="s">
        <v>7153</v>
      </c>
      <c r="L482" s="36" t="b">
        <v>0</v>
      </c>
    </row>
    <row r="483" spans="1:12" ht="12.75" hidden="1">
      <c r="A483" s="448">
        <v>45158.82794545139</v>
      </c>
      <c r="B483" s="449">
        <v>45161</v>
      </c>
      <c r="C483" s="36" t="s">
        <v>3383</v>
      </c>
      <c r="D483" s="450">
        <v>0.70833333333575865</v>
      </c>
      <c r="E483" s="36" t="s">
        <v>7370</v>
      </c>
      <c r="F483" s="36" t="s">
        <v>7371</v>
      </c>
      <c r="G483" s="36" t="s">
        <v>7016</v>
      </c>
      <c r="H483" s="36" t="s">
        <v>7369</v>
      </c>
      <c r="I483" s="36">
        <v>3</v>
      </c>
      <c r="J483" s="36" t="s">
        <v>5895</v>
      </c>
      <c r="K483" s="36" t="s">
        <v>7153</v>
      </c>
      <c r="L483" s="36" t="b">
        <v>0</v>
      </c>
    </row>
    <row r="484" spans="1:12" ht="12.75" hidden="1">
      <c r="A484" s="448">
        <v>45158.932316828708</v>
      </c>
      <c r="B484" s="449">
        <v>45143</v>
      </c>
      <c r="C484" s="36" t="s">
        <v>3383</v>
      </c>
      <c r="D484" s="450">
        <v>0.41666666666424135</v>
      </c>
      <c r="E484" s="36" t="s">
        <v>7372</v>
      </c>
      <c r="F484" s="36" t="s">
        <v>7373</v>
      </c>
      <c r="G484" s="36" t="s">
        <v>1361</v>
      </c>
      <c r="H484" s="36" t="s">
        <v>3573</v>
      </c>
      <c r="I484" s="36">
        <v>1</v>
      </c>
      <c r="J484" s="36" t="s">
        <v>5895</v>
      </c>
      <c r="K484" s="36" t="s">
        <v>5943</v>
      </c>
      <c r="L484" s="36" t="b">
        <v>0</v>
      </c>
    </row>
    <row r="485" spans="1:12" ht="12.75" hidden="1">
      <c r="A485" s="448">
        <v>45158.976308136575</v>
      </c>
      <c r="B485" s="449">
        <v>45153</v>
      </c>
      <c r="C485" s="36" t="s">
        <v>3383</v>
      </c>
      <c r="D485" s="450">
        <v>0.41666666666424135</v>
      </c>
      <c r="E485" s="36" t="s">
        <v>7372</v>
      </c>
      <c r="F485" s="36" t="s">
        <v>7374</v>
      </c>
      <c r="G485" s="36" t="s">
        <v>1361</v>
      </c>
      <c r="H485" s="36" t="s">
        <v>7375</v>
      </c>
      <c r="I485" s="36">
        <v>2</v>
      </c>
      <c r="J485" s="36" t="s">
        <v>5895</v>
      </c>
      <c r="K485" s="36" t="s">
        <v>7376</v>
      </c>
      <c r="L485" s="36" t="b">
        <v>0</v>
      </c>
    </row>
    <row r="486" spans="1:12" ht="12.75" hidden="1">
      <c r="A486" s="448">
        <v>45159.343470752312</v>
      </c>
      <c r="B486" s="449">
        <v>45158</v>
      </c>
      <c r="C486" s="36" t="s">
        <v>3388</v>
      </c>
      <c r="D486" s="450">
        <v>0.75</v>
      </c>
      <c r="E486" s="36" t="s">
        <v>7112</v>
      </c>
      <c r="F486" s="36" t="s">
        <v>7377</v>
      </c>
      <c r="G486" s="36" t="s">
        <v>7378</v>
      </c>
      <c r="H486" s="36" t="s">
        <v>6543</v>
      </c>
      <c r="I486" s="36">
        <v>1</v>
      </c>
      <c r="J486" s="36" t="s">
        <v>5895</v>
      </c>
      <c r="K486" s="36" t="s">
        <v>7379</v>
      </c>
      <c r="L486" s="36" t="b">
        <v>0</v>
      </c>
    </row>
    <row r="487" spans="1:12" ht="12.75" hidden="1">
      <c r="A487" s="448">
        <v>45159.692283969911</v>
      </c>
      <c r="B487" s="449">
        <v>45161</v>
      </c>
      <c r="C487" s="36" t="s">
        <v>12</v>
      </c>
      <c r="D487" s="450">
        <v>6.25E-2</v>
      </c>
      <c r="E487" s="36" t="s">
        <v>7380</v>
      </c>
      <c r="F487" s="36" t="s">
        <v>6814</v>
      </c>
      <c r="G487" s="36" t="s">
        <v>6402</v>
      </c>
      <c r="H487" s="36" t="s">
        <v>7381</v>
      </c>
      <c r="I487" s="36">
        <v>1</v>
      </c>
      <c r="J487" s="36" t="s">
        <v>5895</v>
      </c>
      <c r="K487" s="36" t="s">
        <v>7382</v>
      </c>
      <c r="L487" s="36" t="b">
        <v>0</v>
      </c>
    </row>
    <row r="488" spans="1:12" ht="12.75" hidden="1">
      <c r="A488" s="448">
        <v>45160.773619259257</v>
      </c>
      <c r="B488" s="449">
        <v>45162</v>
      </c>
      <c r="C488" s="36" t="s">
        <v>3383</v>
      </c>
      <c r="D488" s="450">
        <v>0.83333333333575865</v>
      </c>
      <c r="E488" s="36" t="s">
        <v>7076</v>
      </c>
      <c r="F488" s="36" t="s">
        <v>7383</v>
      </c>
      <c r="G488" s="36" t="s">
        <v>7384</v>
      </c>
      <c r="H488" s="36" t="s">
        <v>7385</v>
      </c>
      <c r="I488" s="36">
        <v>1</v>
      </c>
      <c r="J488" s="36" t="s">
        <v>5895</v>
      </c>
      <c r="K488" s="36" t="s">
        <v>7386</v>
      </c>
      <c r="L488" s="36" t="b">
        <v>0</v>
      </c>
    </row>
    <row r="489" spans="1:12" ht="12.75" hidden="1">
      <c r="A489" s="448">
        <v>45160.815469074078</v>
      </c>
      <c r="B489" s="449">
        <v>45160</v>
      </c>
      <c r="C489" s="36" t="s">
        <v>3388</v>
      </c>
      <c r="D489" s="450">
        <v>0.75</v>
      </c>
      <c r="E489" s="36" t="s">
        <v>7387</v>
      </c>
      <c r="F489" s="36">
        <v>8</v>
      </c>
      <c r="G489" s="36" t="s">
        <v>468</v>
      </c>
      <c r="H489" s="36" t="s">
        <v>6765</v>
      </c>
      <c r="I489" s="36">
        <v>2</v>
      </c>
      <c r="J489" s="36" t="s">
        <v>5895</v>
      </c>
      <c r="K489" s="36" t="s">
        <v>7388</v>
      </c>
      <c r="L489" s="36" t="b">
        <v>0</v>
      </c>
    </row>
    <row r="490" spans="1:12" ht="12.75" hidden="1">
      <c r="A490" s="448">
        <v>45160.829990555554</v>
      </c>
      <c r="B490" s="449">
        <v>45160</v>
      </c>
      <c r="C490" s="36" t="s">
        <v>3388</v>
      </c>
      <c r="D490" s="450">
        <v>0.79166666666424135</v>
      </c>
      <c r="E490" s="36" t="s">
        <v>7389</v>
      </c>
      <c r="F490" s="36" t="s">
        <v>7390</v>
      </c>
      <c r="G490" s="36" t="s">
        <v>465</v>
      </c>
      <c r="H490" s="36" t="s">
        <v>3580</v>
      </c>
      <c r="I490" s="36">
        <v>1</v>
      </c>
      <c r="J490" s="36" t="s">
        <v>5895</v>
      </c>
      <c r="K490" s="36" t="s">
        <v>7391</v>
      </c>
      <c r="L490" s="36" t="b">
        <v>0</v>
      </c>
    </row>
    <row r="491" spans="1:12" ht="12.75" hidden="1">
      <c r="A491" s="448">
        <v>45160.958545185189</v>
      </c>
      <c r="B491" s="449">
        <v>45163</v>
      </c>
      <c r="C491" s="36" t="s">
        <v>3388</v>
      </c>
      <c r="D491" s="450">
        <v>0.75</v>
      </c>
      <c r="E491" s="36" t="s">
        <v>7392</v>
      </c>
      <c r="F491" s="36" t="s">
        <v>7393</v>
      </c>
      <c r="G491" s="36" t="s">
        <v>1309</v>
      </c>
      <c r="H491" s="36" t="s">
        <v>6366</v>
      </c>
      <c r="I491" s="36">
        <v>1</v>
      </c>
      <c r="J491" s="36" t="s">
        <v>5895</v>
      </c>
      <c r="K491" s="36" t="s">
        <v>7394</v>
      </c>
      <c r="L491" s="36" t="b">
        <v>0</v>
      </c>
    </row>
    <row r="492" spans="1:12" ht="12.75" hidden="1">
      <c r="A492" s="448">
        <v>45160.959401064814</v>
      </c>
      <c r="B492" s="449">
        <v>45163</v>
      </c>
      <c r="C492" s="36" t="s">
        <v>3388</v>
      </c>
      <c r="D492" s="450">
        <v>0.79166666666424135</v>
      </c>
      <c r="E492" s="36" t="s">
        <v>7395</v>
      </c>
      <c r="F492" s="36" t="s">
        <v>7396</v>
      </c>
      <c r="G492" s="36" t="s">
        <v>1309</v>
      </c>
      <c r="H492" s="36" t="s">
        <v>3522</v>
      </c>
      <c r="I492" s="36">
        <v>2</v>
      </c>
      <c r="J492" s="36" t="s">
        <v>5895</v>
      </c>
      <c r="K492" s="36" t="s">
        <v>7394</v>
      </c>
      <c r="L492" s="36" t="b">
        <v>0</v>
      </c>
    </row>
    <row r="493" spans="1:12" ht="12.75" hidden="1">
      <c r="A493" s="448">
        <v>45161.575298784723</v>
      </c>
      <c r="B493" s="449">
        <v>45161</v>
      </c>
      <c r="C493" s="36" t="s">
        <v>3383</v>
      </c>
      <c r="D493" s="450">
        <v>0.45833333333575865</v>
      </c>
      <c r="E493" s="36" t="s">
        <v>7397</v>
      </c>
      <c r="F493" s="36" t="s">
        <v>78</v>
      </c>
      <c r="G493" s="36" t="s">
        <v>7398</v>
      </c>
      <c r="H493" s="36" t="s">
        <v>7399</v>
      </c>
      <c r="I493" s="36" t="s">
        <v>7400</v>
      </c>
      <c r="J493" s="36" t="s">
        <v>5895</v>
      </c>
      <c r="K493" s="36" t="s">
        <v>7401</v>
      </c>
      <c r="L493" s="36" t="b">
        <v>0</v>
      </c>
    </row>
    <row r="494" spans="1:12" ht="12.75" hidden="1">
      <c r="A494" s="448">
        <v>45161.663993136579</v>
      </c>
      <c r="B494" s="449">
        <v>45163</v>
      </c>
      <c r="C494" s="36" t="s">
        <v>13</v>
      </c>
      <c r="D494" s="450">
        <v>0.66666666666424135</v>
      </c>
      <c r="E494" s="36" t="s">
        <v>7402</v>
      </c>
      <c r="F494" s="36" t="s">
        <v>7403</v>
      </c>
      <c r="G494" s="36" t="s">
        <v>847</v>
      </c>
      <c r="H494" s="36" t="s">
        <v>7404</v>
      </c>
      <c r="I494" s="36">
        <v>1</v>
      </c>
      <c r="J494" s="36" t="s">
        <v>5895</v>
      </c>
      <c r="K494" s="36" t="s">
        <v>7405</v>
      </c>
      <c r="L494" s="36" t="b">
        <v>0</v>
      </c>
    </row>
    <row r="495" spans="1:12" ht="12.75" hidden="1">
      <c r="A495" s="448">
        <v>45161.665019791668</v>
      </c>
      <c r="B495" s="449">
        <v>45163</v>
      </c>
      <c r="C495" s="36" t="s">
        <v>13</v>
      </c>
      <c r="D495" s="450">
        <v>0.75</v>
      </c>
      <c r="E495" s="36">
        <v>24</v>
      </c>
      <c r="F495" s="36">
        <v>14</v>
      </c>
      <c r="G495" s="36" t="s">
        <v>847</v>
      </c>
      <c r="H495" s="36" t="s">
        <v>7406</v>
      </c>
      <c r="I495" s="36">
        <v>2</v>
      </c>
      <c r="J495" s="36" t="s">
        <v>5895</v>
      </c>
      <c r="K495" s="36" t="s">
        <v>7405</v>
      </c>
      <c r="L495" s="36" t="b">
        <v>0</v>
      </c>
    </row>
    <row r="496" spans="1:12" ht="12.75" hidden="1">
      <c r="A496" s="448">
        <v>45161.826287581018</v>
      </c>
      <c r="B496" s="449">
        <v>45162</v>
      </c>
      <c r="C496" s="36" t="s">
        <v>12</v>
      </c>
      <c r="D496" s="450">
        <v>4.1666666664241347E-2</v>
      </c>
      <c r="E496" s="36" t="s">
        <v>7407</v>
      </c>
      <c r="F496" s="36" t="s">
        <v>7408</v>
      </c>
      <c r="G496" s="36" t="s">
        <v>6962</v>
      </c>
      <c r="H496" s="36" t="s">
        <v>7409</v>
      </c>
      <c r="I496" s="36">
        <v>2</v>
      </c>
      <c r="J496" s="36" t="s">
        <v>5895</v>
      </c>
      <c r="K496" s="36" t="s">
        <v>7410</v>
      </c>
      <c r="L496" s="36" t="b">
        <v>0</v>
      </c>
    </row>
    <row r="497" spans="1:12" ht="12.75" hidden="1">
      <c r="A497" s="448">
        <v>45161.871095486116</v>
      </c>
      <c r="B497" s="449">
        <v>45162</v>
      </c>
      <c r="C497" s="36" t="s">
        <v>13</v>
      </c>
      <c r="D497" s="450">
        <v>0.5</v>
      </c>
      <c r="E497" s="36">
        <v>32</v>
      </c>
      <c r="F497" s="36">
        <v>8</v>
      </c>
      <c r="G497" s="36" t="s">
        <v>6701</v>
      </c>
      <c r="H497" s="36" t="s">
        <v>7411</v>
      </c>
      <c r="I497" s="36">
        <v>1</v>
      </c>
      <c r="J497" s="36" t="s">
        <v>5895</v>
      </c>
      <c r="K497" s="36" t="s">
        <v>6242</v>
      </c>
      <c r="L497" s="36" t="b">
        <v>0</v>
      </c>
    </row>
    <row r="498" spans="1:12" ht="12.75" hidden="1">
      <c r="A498" s="448">
        <v>45161.872889664352</v>
      </c>
      <c r="B498" s="449">
        <v>45162</v>
      </c>
      <c r="C498" s="36" t="s">
        <v>13</v>
      </c>
      <c r="D498" s="450">
        <v>0.66666666666424135</v>
      </c>
      <c r="E498" s="36">
        <v>37</v>
      </c>
      <c r="F498" s="36">
        <v>6</v>
      </c>
      <c r="G498" s="36" t="s">
        <v>6701</v>
      </c>
      <c r="H498" s="36" t="s">
        <v>354</v>
      </c>
      <c r="I498" s="36">
        <v>2</v>
      </c>
      <c r="J498" s="36" t="s">
        <v>5895</v>
      </c>
      <c r="K498" s="36" t="s">
        <v>6242</v>
      </c>
      <c r="L498" s="36" t="b">
        <v>0</v>
      </c>
    </row>
    <row r="499" spans="1:12" ht="12.75" hidden="1">
      <c r="A499" s="448">
        <v>45161.879383159721</v>
      </c>
      <c r="B499" s="449">
        <v>45163</v>
      </c>
      <c r="C499" s="36" t="s">
        <v>13</v>
      </c>
      <c r="D499" s="450">
        <v>0.70833333333575865</v>
      </c>
      <c r="E499" s="36">
        <v>15</v>
      </c>
      <c r="F499" s="36" t="s">
        <v>7412</v>
      </c>
      <c r="G499" s="36" t="s">
        <v>6701</v>
      </c>
      <c r="H499" s="36" t="s">
        <v>7413</v>
      </c>
      <c r="I499" s="36">
        <v>3</v>
      </c>
      <c r="J499" s="36" t="s">
        <v>5895</v>
      </c>
      <c r="K499" s="36" t="s">
        <v>6242</v>
      </c>
      <c r="L499" s="36" t="b">
        <v>0</v>
      </c>
    </row>
    <row r="500" spans="1:12" ht="12.75" hidden="1">
      <c r="A500" s="448">
        <v>45162.957800347227</v>
      </c>
      <c r="B500" s="449">
        <v>45162</v>
      </c>
      <c r="C500" s="36" t="s">
        <v>3388</v>
      </c>
      <c r="D500" s="450">
        <v>0.75</v>
      </c>
      <c r="E500" s="36" t="s">
        <v>7414</v>
      </c>
      <c r="F500" s="36" t="s">
        <v>7415</v>
      </c>
      <c r="G500" s="36" t="s">
        <v>1483</v>
      </c>
      <c r="H500" s="36" t="s">
        <v>6797</v>
      </c>
      <c r="I500" s="36">
        <v>1</v>
      </c>
      <c r="J500" s="36" t="s">
        <v>5895</v>
      </c>
      <c r="K500" s="36" t="s">
        <v>7416</v>
      </c>
      <c r="L500" s="36" t="b">
        <v>0</v>
      </c>
    </row>
    <row r="501" spans="1:12" ht="12.75" hidden="1">
      <c r="A501" s="448">
        <v>45163.399503229171</v>
      </c>
      <c r="B501" s="449">
        <v>45165</v>
      </c>
      <c r="C501" s="36" t="s">
        <v>3388</v>
      </c>
      <c r="D501" s="450">
        <v>0.58333333333575865</v>
      </c>
      <c r="E501" s="36" t="s">
        <v>7417</v>
      </c>
      <c r="F501" s="36">
        <v>3</v>
      </c>
      <c r="G501" s="36" t="s">
        <v>601</v>
      </c>
      <c r="H501" s="36" t="s">
        <v>1061</v>
      </c>
      <c r="I501" s="36">
        <v>1</v>
      </c>
      <c r="J501" s="36" t="s">
        <v>5895</v>
      </c>
      <c r="K501" s="36" t="s">
        <v>7418</v>
      </c>
      <c r="L501" s="36" t="b">
        <v>0</v>
      </c>
    </row>
    <row r="502" spans="1:12" ht="12.75" hidden="1">
      <c r="A502" s="448">
        <v>45163.432299004635</v>
      </c>
      <c r="B502" s="449">
        <v>45161</v>
      </c>
      <c r="C502" s="36" t="s">
        <v>3383</v>
      </c>
      <c r="D502" s="450">
        <v>0.79166666666424135</v>
      </c>
      <c r="E502" s="36" t="s">
        <v>7419</v>
      </c>
      <c r="F502" s="36" t="s">
        <v>7420</v>
      </c>
      <c r="G502" s="36" t="s">
        <v>860</v>
      </c>
      <c r="H502" s="36" t="s">
        <v>7421</v>
      </c>
      <c r="I502" s="36">
        <v>1</v>
      </c>
      <c r="J502" s="36" t="s">
        <v>5895</v>
      </c>
      <c r="K502" s="36" t="s">
        <v>7422</v>
      </c>
      <c r="L502" s="36" t="b">
        <v>0</v>
      </c>
    </row>
    <row r="503" spans="1:12" ht="12.75" hidden="1">
      <c r="A503" s="448">
        <v>45163.444136921295</v>
      </c>
      <c r="B503" s="449">
        <v>45163</v>
      </c>
      <c r="C503" s="36" t="s">
        <v>3388</v>
      </c>
      <c r="D503" s="450">
        <v>0.75</v>
      </c>
      <c r="E503" s="36" t="s">
        <v>7137</v>
      </c>
      <c r="F503" s="36" t="s">
        <v>7423</v>
      </c>
      <c r="G503" s="36" t="s">
        <v>6542</v>
      </c>
      <c r="H503" s="36" t="s">
        <v>7424</v>
      </c>
      <c r="I503" s="36">
        <v>1</v>
      </c>
      <c r="J503" s="36" t="s">
        <v>5895</v>
      </c>
      <c r="K503" s="36" t="s">
        <v>7425</v>
      </c>
      <c r="L503" s="36" t="b">
        <v>0</v>
      </c>
    </row>
    <row r="504" spans="1:12" ht="12.75" hidden="1">
      <c r="A504" s="448">
        <v>45163.460049236106</v>
      </c>
      <c r="B504" s="449">
        <v>45163</v>
      </c>
      <c r="C504" s="36" t="s">
        <v>3388</v>
      </c>
      <c r="D504" s="450">
        <v>0.75</v>
      </c>
      <c r="E504" s="36" t="s">
        <v>7426</v>
      </c>
      <c r="F504" s="36" t="s">
        <v>7427</v>
      </c>
      <c r="G504" s="36" t="s">
        <v>7428</v>
      </c>
      <c r="H504" s="36" t="s">
        <v>3403</v>
      </c>
      <c r="I504" s="36">
        <v>1</v>
      </c>
      <c r="J504" s="36" t="s">
        <v>5895</v>
      </c>
      <c r="K504" s="36" t="s">
        <v>7429</v>
      </c>
      <c r="L504" s="36" t="b">
        <v>0</v>
      </c>
    </row>
    <row r="505" spans="1:12" ht="12.75" hidden="1">
      <c r="A505" s="448">
        <v>45163.698126817129</v>
      </c>
      <c r="B505" s="449">
        <v>45163</v>
      </c>
      <c r="C505" s="36" t="s">
        <v>3388</v>
      </c>
      <c r="D505" s="450">
        <v>0.70833333333575865</v>
      </c>
      <c r="E505" s="36" t="s">
        <v>7430</v>
      </c>
      <c r="F505" s="36" t="s">
        <v>7431</v>
      </c>
      <c r="G505" s="36" t="s">
        <v>7432</v>
      </c>
      <c r="H505" s="36" t="s">
        <v>6335</v>
      </c>
      <c r="I505" s="36">
        <v>1</v>
      </c>
      <c r="J505" s="36" t="s">
        <v>5895</v>
      </c>
      <c r="K505" s="36" t="s">
        <v>6271</v>
      </c>
      <c r="L505" s="36" t="b">
        <v>0</v>
      </c>
    </row>
    <row r="506" spans="1:12" ht="12.75" hidden="1">
      <c r="A506" s="448">
        <v>45163.729752511572</v>
      </c>
      <c r="B506" s="449">
        <v>45163</v>
      </c>
      <c r="C506" s="36" t="s">
        <v>12</v>
      </c>
      <c r="D506" s="450">
        <v>0.75</v>
      </c>
      <c r="E506" s="36" t="s">
        <v>7433</v>
      </c>
      <c r="F506" s="36" t="s">
        <v>7434</v>
      </c>
      <c r="G506" s="36" t="s">
        <v>1551</v>
      </c>
      <c r="H506" s="36" t="s">
        <v>6121</v>
      </c>
      <c r="I506" s="36">
        <v>1</v>
      </c>
      <c r="J506" s="36" t="s">
        <v>5895</v>
      </c>
      <c r="K506" s="36" t="s">
        <v>7435</v>
      </c>
      <c r="L506" s="36" t="b">
        <v>1</v>
      </c>
    </row>
    <row r="507" spans="1:12" ht="12.75" hidden="1">
      <c r="A507" s="448">
        <v>45164.515574421297</v>
      </c>
      <c r="B507" s="449">
        <v>45164</v>
      </c>
      <c r="C507" s="36" t="s">
        <v>3383</v>
      </c>
      <c r="D507" s="450">
        <v>0.41666666666424135</v>
      </c>
      <c r="E507" s="36" t="s">
        <v>7436</v>
      </c>
      <c r="F507" s="36" t="s">
        <v>7437</v>
      </c>
      <c r="G507" s="36" t="s">
        <v>6946</v>
      </c>
      <c r="H507" s="36" t="s">
        <v>6113</v>
      </c>
      <c r="I507" s="36">
        <v>1</v>
      </c>
      <c r="J507" s="36" t="s">
        <v>5895</v>
      </c>
      <c r="K507" s="36" t="s">
        <v>6571</v>
      </c>
      <c r="L507" s="36" t="b">
        <v>0</v>
      </c>
    </row>
    <row r="508" spans="1:12" ht="12.75" hidden="1">
      <c r="A508" s="448">
        <v>45164.516808437504</v>
      </c>
      <c r="B508" s="449">
        <v>45160</v>
      </c>
      <c r="C508" s="36" t="s">
        <v>3383</v>
      </c>
      <c r="D508" s="450">
        <v>0.75</v>
      </c>
      <c r="E508" s="36" t="s">
        <v>7438</v>
      </c>
      <c r="F508" s="36" t="s">
        <v>7439</v>
      </c>
      <c r="G508" s="36" t="s">
        <v>6946</v>
      </c>
      <c r="H508" s="36" t="s">
        <v>7199</v>
      </c>
      <c r="I508" s="36">
        <v>1</v>
      </c>
      <c r="J508" s="36" t="s">
        <v>5895</v>
      </c>
      <c r="K508" s="36" t="s">
        <v>5943</v>
      </c>
      <c r="L508" s="36" t="b">
        <v>0</v>
      </c>
    </row>
    <row r="509" spans="1:12" ht="12.75" hidden="1">
      <c r="A509" s="448">
        <v>45165.759115046298</v>
      </c>
      <c r="B509" s="449">
        <v>45164</v>
      </c>
      <c r="C509" s="36" t="s">
        <v>12</v>
      </c>
      <c r="D509" s="450">
        <v>0.48611111110949423</v>
      </c>
      <c r="E509" s="36" t="s">
        <v>7440</v>
      </c>
      <c r="F509" s="36" t="s">
        <v>7441</v>
      </c>
      <c r="G509" s="36" t="s">
        <v>696</v>
      </c>
      <c r="H509" s="36" t="s">
        <v>7442</v>
      </c>
      <c r="I509" s="36">
        <v>1</v>
      </c>
      <c r="J509" s="36" t="s">
        <v>5895</v>
      </c>
      <c r="K509" s="36" t="s">
        <v>7443</v>
      </c>
      <c r="L509" s="36" t="b">
        <v>0</v>
      </c>
    </row>
    <row r="510" spans="1:12" ht="12.75" hidden="1">
      <c r="A510" s="448">
        <v>45165.96466268519</v>
      </c>
      <c r="B510" s="449">
        <v>45165</v>
      </c>
      <c r="C510" s="36" t="s">
        <v>3388</v>
      </c>
      <c r="D510" s="450">
        <v>0.41666666666424135</v>
      </c>
      <c r="E510" s="36" t="s">
        <v>7279</v>
      </c>
      <c r="F510" s="36" t="s">
        <v>7444</v>
      </c>
      <c r="G510" s="36" t="s">
        <v>1322</v>
      </c>
      <c r="H510" s="36" t="s">
        <v>1119</v>
      </c>
      <c r="I510" s="36">
        <v>3</v>
      </c>
      <c r="J510" s="36" t="s">
        <v>5895</v>
      </c>
      <c r="K510" s="36" t="s">
        <v>7445</v>
      </c>
      <c r="L510" s="36" t="b">
        <v>0</v>
      </c>
    </row>
    <row r="511" spans="1:12" ht="12.75" hidden="1">
      <c r="A511" s="448">
        <v>45166.62736402778</v>
      </c>
      <c r="B511" s="449">
        <v>45158</v>
      </c>
      <c r="C511" s="36" t="s">
        <v>3383</v>
      </c>
      <c r="D511" s="450">
        <v>6.25E-2</v>
      </c>
      <c r="E511" s="36" t="s">
        <v>7446</v>
      </c>
      <c r="F511" s="36" t="s">
        <v>7447</v>
      </c>
      <c r="G511" s="36" t="s">
        <v>413</v>
      </c>
      <c r="H511" s="36" t="s">
        <v>7448</v>
      </c>
      <c r="I511" s="36">
        <v>1</v>
      </c>
      <c r="J511" s="36" t="s">
        <v>5895</v>
      </c>
      <c r="K511" s="36" t="s">
        <v>7449</v>
      </c>
      <c r="L511" s="36" t="b">
        <v>0</v>
      </c>
    </row>
    <row r="512" spans="1:12" ht="12.75" hidden="1">
      <c r="A512" s="448">
        <v>45166.734587604165</v>
      </c>
      <c r="B512" s="449">
        <v>45169</v>
      </c>
      <c r="C512" s="36" t="s">
        <v>3388</v>
      </c>
      <c r="D512" s="450">
        <v>0.75</v>
      </c>
      <c r="E512" s="36" t="s">
        <v>7450</v>
      </c>
      <c r="F512" s="36" t="s">
        <v>7342</v>
      </c>
      <c r="G512" s="36" t="s">
        <v>1169</v>
      </c>
      <c r="H512" s="36" t="s">
        <v>7127</v>
      </c>
      <c r="I512" s="36">
        <v>1</v>
      </c>
      <c r="J512" s="36" t="s">
        <v>5895</v>
      </c>
      <c r="K512" s="36" t="s">
        <v>7451</v>
      </c>
      <c r="L512" s="36" t="b">
        <v>0</v>
      </c>
    </row>
    <row r="513" spans="1:12" ht="12.75" hidden="1">
      <c r="A513" s="448">
        <v>45167.502181979165</v>
      </c>
      <c r="B513" s="449">
        <v>45164</v>
      </c>
      <c r="C513" s="36" t="s">
        <v>3383</v>
      </c>
      <c r="D513" s="450">
        <v>6.25E-2</v>
      </c>
      <c r="E513" s="36" t="s">
        <v>7452</v>
      </c>
      <c r="F513" s="36" t="s">
        <v>7453</v>
      </c>
      <c r="G513" s="36" t="s">
        <v>413</v>
      </c>
      <c r="H513" s="36" t="s">
        <v>756</v>
      </c>
      <c r="I513" s="36">
        <v>2</v>
      </c>
      <c r="J513" s="36" t="s">
        <v>5895</v>
      </c>
      <c r="K513" s="36" t="s">
        <v>7454</v>
      </c>
      <c r="L513" s="36" t="b">
        <v>0</v>
      </c>
    </row>
    <row r="514" spans="1:12" ht="12.75" hidden="1">
      <c r="A514" s="448">
        <v>45167.63697796296</v>
      </c>
      <c r="B514" s="449">
        <v>45169</v>
      </c>
      <c r="C514" s="36" t="s">
        <v>3388</v>
      </c>
      <c r="D514" s="450">
        <v>0.75</v>
      </c>
      <c r="E514" s="36" t="s">
        <v>7455</v>
      </c>
      <c r="F514" s="36" t="s">
        <v>7456</v>
      </c>
      <c r="G514" s="36" t="s">
        <v>7239</v>
      </c>
      <c r="H514" s="36" t="s">
        <v>6894</v>
      </c>
      <c r="I514" s="36">
        <v>2</v>
      </c>
      <c r="J514" s="36" t="s">
        <v>5895</v>
      </c>
      <c r="K514" s="36" t="s">
        <v>7457</v>
      </c>
      <c r="L514" s="36" t="b">
        <v>0</v>
      </c>
    </row>
    <row r="515" spans="1:12" ht="12.75" hidden="1">
      <c r="A515" s="448">
        <v>45168.462991793982</v>
      </c>
      <c r="B515" s="449">
        <v>45167</v>
      </c>
      <c r="C515" s="36" t="s">
        <v>3388</v>
      </c>
      <c r="D515" s="450">
        <v>0.77083333333575865</v>
      </c>
      <c r="E515" s="36" t="s">
        <v>7458</v>
      </c>
      <c r="F515" s="36" t="s">
        <v>7459</v>
      </c>
      <c r="G515" s="36" t="s">
        <v>1251</v>
      </c>
      <c r="H515" s="36" t="s">
        <v>7460</v>
      </c>
      <c r="I515" s="36">
        <v>2</v>
      </c>
      <c r="J515" s="36" t="s">
        <v>5895</v>
      </c>
      <c r="K515" s="36" t="s">
        <v>6812</v>
      </c>
      <c r="L515" s="36" t="b">
        <v>0</v>
      </c>
    </row>
    <row r="516" spans="1:12" ht="12.75" hidden="1">
      <c r="A516" s="448">
        <v>45168.60097832176</v>
      </c>
      <c r="B516" s="449">
        <v>45173</v>
      </c>
      <c r="C516" s="36" t="s">
        <v>3383</v>
      </c>
      <c r="D516" s="450">
        <v>0.75</v>
      </c>
      <c r="E516" s="36" t="s">
        <v>7461</v>
      </c>
      <c r="F516" s="36" t="s">
        <v>7462</v>
      </c>
      <c r="G516" s="36" t="s">
        <v>364</v>
      </c>
      <c r="H516" s="36" t="s">
        <v>7463</v>
      </c>
      <c r="I516" s="36">
        <v>1</v>
      </c>
      <c r="J516" s="36" t="s">
        <v>6093</v>
      </c>
      <c r="K516" s="36" t="s">
        <v>7464</v>
      </c>
      <c r="L516" s="36" t="b">
        <v>0</v>
      </c>
    </row>
    <row r="517" spans="1:12" ht="12.75" hidden="1">
      <c r="A517" s="448">
        <v>45169.503009467589</v>
      </c>
      <c r="B517" s="449">
        <v>45161</v>
      </c>
      <c r="C517" s="36" t="s">
        <v>11</v>
      </c>
      <c r="D517" s="450">
        <v>0.75</v>
      </c>
      <c r="E517" s="36" t="s">
        <v>7137</v>
      </c>
      <c r="F517" s="36">
        <v>14</v>
      </c>
      <c r="G517" s="36" t="s">
        <v>199</v>
      </c>
      <c r="H517" s="36" t="s">
        <v>7465</v>
      </c>
      <c r="I517" s="36">
        <v>2</v>
      </c>
      <c r="J517" s="36" t="s">
        <v>5895</v>
      </c>
      <c r="K517" s="36" t="s">
        <v>5959</v>
      </c>
      <c r="L517" s="36" t="b">
        <v>0</v>
      </c>
    </row>
    <row r="518" spans="1:12" ht="12.75" hidden="1">
      <c r="A518" s="448">
        <v>45169.504241354167</v>
      </c>
      <c r="B518" s="449">
        <v>45168</v>
      </c>
      <c r="C518" s="36" t="s">
        <v>11</v>
      </c>
      <c r="D518" s="450">
        <v>0.75</v>
      </c>
      <c r="E518" s="36" t="s">
        <v>7137</v>
      </c>
      <c r="F518" s="36">
        <v>15</v>
      </c>
      <c r="G518" s="36" t="s">
        <v>7088</v>
      </c>
      <c r="H518" s="36" t="s">
        <v>7465</v>
      </c>
      <c r="I518" s="36">
        <v>3</v>
      </c>
      <c r="J518" s="36" t="s">
        <v>5895</v>
      </c>
      <c r="K518" s="36" t="s">
        <v>5959</v>
      </c>
      <c r="L518" s="36" t="b">
        <v>0</v>
      </c>
    </row>
    <row r="519" spans="1:12" ht="12.75" hidden="1">
      <c r="A519" s="448">
        <v>45169.794689513888</v>
      </c>
      <c r="B519" s="449">
        <v>45169</v>
      </c>
      <c r="C519" s="36" t="s">
        <v>12</v>
      </c>
      <c r="D519" s="450">
        <v>0.77083333333575865</v>
      </c>
      <c r="E519" s="36" t="s">
        <v>7466</v>
      </c>
      <c r="F519" s="36" t="s">
        <v>7467</v>
      </c>
      <c r="G519" s="36" t="s">
        <v>6096</v>
      </c>
      <c r="H519" s="36" t="s">
        <v>6089</v>
      </c>
      <c r="I519" s="36">
        <v>1</v>
      </c>
      <c r="J519" s="36" t="s">
        <v>5895</v>
      </c>
      <c r="K519" s="36" t="s">
        <v>7191</v>
      </c>
      <c r="L519" s="36" t="b">
        <v>0</v>
      </c>
    </row>
    <row r="520" spans="1:12" ht="12.75" hidden="1">
      <c r="A520" s="448">
        <v>45169.840753958335</v>
      </c>
      <c r="B520" s="449">
        <v>45169</v>
      </c>
      <c r="C520" s="36" t="s">
        <v>3388</v>
      </c>
      <c r="D520" s="450">
        <v>0.77083333333575865</v>
      </c>
      <c r="E520" s="36" t="s">
        <v>7468</v>
      </c>
      <c r="F520" s="36" t="s">
        <v>7469</v>
      </c>
      <c r="G520" s="36" t="s">
        <v>844</v>
      </c>
      <c r="H520" s="36" t="s">
        <v>7470</v>
      </c>
      <c r="I520" s="36">
        <v>1</v>
      </c>
      <c r="J520" s="36" t="s">
        <v>5895</v>
      </c>
      <c r="K520" s="36" t="s">
        <v>7471</v>
      </c>
      <c r="L520" s="36" t="b">
        <v>0</v>
      </c>
    </row>
    <row r="521" spans="1:12" ht="12.75" hidden="1">
      <c r="A521" s="448">
        <v>45169.84456972222</v>
      </c>
      <c r="B521" s="449">
        <v>45135</v>
      </c>
      <c r="C521" s="36" t="s">
        <v>3388</v>
      </c>
      <c r="D521" s="450">
        <v>0.75</v>
      </c>
      <c r="E521" s="36" t="s">
        <v>7472</v>
      </c>
      <c r="F521" s="36" t="s">
        <v>7473</v>
      </c>
      <c r="G521" s="36" t="s">
        <v>844</v>
      </c>
      <c r="H521" s="36" t="s">
        <v>7470</v>
      </c>
      <c r="I521" s="36">
        <v>1</v>
      </c>
      <c r="J521" s="36" t="s">
        <v>5895</v>
      </c>
      <c r="K521" s="36" t="s">
        <v>7474</v>
      </c>
      <c r="L521" s="36" t="b">
        <v>0</v>
      </c>
    </row>
    <row r="522" spans="1:12" ht="12.75" hidden="1">
      <c r="A522" s="448">
        <v>45169.909208703699</v>
      </c>
      <c r="B522" s="449">
        <v>45170</v>
      </c>
      <c r="C522" s="36" t="s">
        <v>3388</v>
      </c>
      <c r="D522" s="450">
        <v>0.75</v>
      </c>
      <c r="E522" s="36" t="s">
        <v>7475</v>
      </c>
      <c r="F522" s="36" t="s">
        <v>7476</v>
      </c>
      <c r="G522" s="36" t="s">
        <v>725</v>
      </c>
      <c r="H522" s="36" t="s">
        <v>1158</v>
      </c>
      <c r="I522" s="36">
        <v>1</v>
      </c>
      <c r="J522" s="36" t="s">
        <v>5895</v>
      </c>
      <c r="K522" s="36" t="s">
        <v>5943</v>
      </c>
      <c r="L522" s="36" t="b">
        <v>0</v>
      </c>
    </row>
    <row r="523" spans="1:12" ht="12.75" hidden="1">
      <c r="A523" s="448">
        <v>45169.911045474539</v>
      </c>
      <c r="B523" s="449">
        <v>45169</v>
      </c>
      <c r="C523" s="36" t="s">
        <v>3388</v>
      </c>
      <c r="D523" s="450">
        <v>0.79166666666424135</v>
      </c>
      <c r="E523" s="36" t="s">
        <v>7477</v>
      </c>
      <c r="F523" s="36" t="s">
        <v>7478</v>
      </c>
      <c r="G523" s="36" t="s">
        <v>1209</v>
      </c>
      <c r="H523" s="36" t="s">
        <v>1483</v>
      </c>
      <c r="I523" s="36">
        <v>1</v>
      </c>
      <c r="J523" s="36" t="s">
        <v>5895</v>
      </c>
      <c r="K523" s="36" t="s">
        <v>6255</v>
      </c>
      <c r="L523" s="36" t="b">
        <v>0</v>
      </c>
    </row>
    <row r="524" spans="1:12" ht="12.75" hidden="1">
      <c r="A524" s="448">
        <v>45169.974815034722</v>
      </c>
      <c r="B524" s="449">
        <v>45167</v>
      </c>
      <c r="C524" s="36" t="s">
        <v>3383</v>
      </c>
      <c r="D524" s="450">
        <v>0.8125</v>
      </c>
      <c r="E524" s="36" t="s">
        <v>7185</v>
      </c>
      <c r="F524" s="36" t="s">
        <v>7479</v>
      </c>
      <c r="G524" s="36" t="s">
        <v>1361</v>
      </c>
      <c r="H524" s="36" t="s">
        <v>7480</v>
      </c>
      <c r="I524" s="36">
        <v>3</v>
      </c>
      <c r="J524" s="36" t="s">
        <v>5895</v>
      </c>
      <c r="K524" s="36" t="s">
        <v>7481</v>
      </c>
      <c r="L524" s="36" t="b">
        <v>0</v>
      </c>
    </row>
    <row r="525" spans="1:12" ht="12.75" hidden="1">
      <c r="A525" s="448">
        <v>45169.988082430558</v>
      </c>
      <c r="B525" s="449">
        <v>45162</v>
      </c>
      <c r="C525" s="36" t="s">
        <v>3388</v>
      </c>
      <c r="D525" s="450">
        <v>0.79166666666424135</v>
      </c>
      <c r="E525" s="36" t="s">
        <v>7482</v>
      </c>
      <c r="F525" s="36" t="s">
        <v>7483</v>
      </c>
      <c r="G525" s="36" t="s">
        <v>1042</v>
      </c>
      <c r="H525" s="36" t="s">
        <v>6366</v>
      </c>
      <c r="I525" s="36">
        <v>3</v>
      </c>
      <c r="J525" s="36" t="s">
        <v>5895</v>
      </c>
      <c r="K525" s="36" t="s">
        <v>7484</v>
      </c>
      <c r="L525" s="36" t="b">
        <v>0</v>
      </c>
    </row>
    <row r="526" spans="1:12" ht="12.75" hidden="1">
      <c r="A526" s="448">
        <v>45169.98992226852</v>
      </c>
      <c r="B526" s="449">
        <v>45163</v>
      </c>
      <c r="C526" s="36" t="s">
        <v>3388</v>
      </c>
      <c r="D526" s="450">
        <v>0.66666666666424135</v>
      </c>
      <c r="E526" s="36" t="s">
        <v>7485</v>
      </c>
      <c r="F526" s="36" t="s">
        <v>7486</v>
      </c>
      <c r="G526" s="36" t="s">
        <v>1042</v>
      </c>
      <c r="H526" s="36" t="s">
        <v>7487</v>
      </c>
      <c r="I526" s="36">
        <v>4</v>
      </c>
      <c r="J526" s="36" t="s">
        <v>5895</v>
      </c>
      <c r="K526" s="36" t="s">
        <v>7484</v>
      </c>
      <c r="L526" s="36" t="b">
        <v>0</v>
      </c>
    </row>
    <row r="527" spans="1:12" ht="12.75" hidden="1">
      <c r="A527" s="448">
        <v>45169.992221990746</v>
      </c>
      <c r="B527" s="449">
        <v>45163</v>
      </c>
      <c r="C527" s="36" t="s">
        <v>3388</v>
      </c>
      <c r="D527" s="450">
        <v>0.75</v>
      </c>
      <c r="E527" s="36" t="s">
        <v>7137</v>
      </c>
      <c r="F527" s="36" t="s">
        <v>7488</v>
      </c>
      <c r="G527" s="36" t="s">
        <v>1042</v>
      </c>
      <c r="H527" s="36" t="s">
        <v>1113</v>
      </c>
      <c r="I527" s="36">
        <v>5</v>
      </c>
      <c r="J527" s="36" t="s">
        <v>5895</v>
      </c>
      <c r="K527" s="36" t="s">
        <v>7489</v>
      </c>
      <c r="L527" s="36" t="b">
        <v>0</v>
      </c>
    </row>
    <row r="528" spans="1:12" ht="12.75" hidden="1">
      <c r="A528" s="448">
        <v>45170.445683055557</v>
      </c>
      <c r="B528" s="449">
        <v>45157</v>
      </c>
      <c r="C528" s="36" t="s">
        <v>3388</v>
      </c>
      <c r="D528" s="450">
        <v>0.41666666666424135</v>
      </c>
      <c r="E528" s="36" t="s">
        <v>7490</v>
      </c>
      <c r="F528" s="36" t="s">
        <v>7491</v>
      </c>
      <c r="G528" s="36" t="s">
        <v>4267</v>
      </c>
      <c r="H528" s="36" t="s">
        <v>7492</v>
      </c>
      <c r="I528" s="36">
        <v>1</v>
      </c>
      <c r="J528" s="36" t="s">
        <v>5895</v>
      </c>
      <c r="K528" s="36" t="s">
        <v>7493</v>
      </c>
      <c r="L528" s="36" t="b">
        <v>0</v>
      </c>
    </row>
    <row r="529" spans="1:12" ht="12.75" hidden="1">
      <c r="A529" s="448">
        <v>45170.747626331024</v>
      </c>
      <c r="B529" s="449">
        <v>45170</v>
      </c>
      <c r="C529" s="36" t="s">
        <v>3383</v>
      </c>
      <c r="D529" s="450">
        <v>0.75</v>
      </c>
      <c r="E529" s="36" t="s">
        <v>7494</v>
      </c>
      <c r="F529" s="36" t="s">
        <v>7495</v>
      </c>
      <c r="G529" s="36" t="s">
        <v>756</v>
      </c>
      <c r="H529" s="36" t="s">
        <v>718</v>
      </c>
      <c r="I529" s="36">
        <v>2</v>
      </c>
      <c r="J529" s="36" t="s">
        <v>5895</v>
      </c>
      <c r="K529" s="36" t="s">
        <v>7496</v>
      </c>
      <c r="L529" s="36" t="b">
        <v>0</v>
      </c>
    </row>
    <row r="530" spans="1:12" ht="12.75" hidden="1">
      <c r="A530" s="448">
        <v>45171.517216863431</v>
      </c>
      <c r="B530" s="449">
        <v>45174</v>
      </c>
      <c r="C530" s="36" t="s">
        <v>12</v>
      </c>
      <c r="D530" s="450">
        <v>6.25E-2</v>
      </c>
      <c r="E530" s="36" t="s">
        <v>6074</v>
      </c>
      <c r="F530" s="36" t="s">
        <v>7497</v>
      </c>
      <c r="G530" s="36" t="s">
        <v>6076</v>
      </c>
      <c r="H530" s="36" t="s">
        <v>6096</v>
      </c>
      <c r="I530" s="36">
        <v>1</v>
      </c>
      <c r="J530" s="36" t="s">
        <v>6093</v>
      </c>
      <c r="K530" s="36" t="s">
        <v>6891</v>
      </c>
      <c r="L530" s="36" t="b">
        <v>1</v>
      </c>
    </row>
    <row r="531" spans="1:12" ht="12.75" hidden="1">
      <c r="A531" s="448">
        <v>45176.78953736111</v>
      </c>
      <c r="B531" s="449">
        <v>45176</v>
      </c>
      <c r="C531" s="36" t="s">
        <v>3383</v>
      </c>
      <c r="D531" s="450">
        <v>0.79166666666424135</v>
      </c>
      <c r="E531" s="36" t="s">
        <v>7498</v>
      </c>
      <c r="F531" s="36" t="s">
        <v>7499</v>
      </c>
      <c r="G531" s="36" t="s">
        <v>756</v>
      </c>
      <c r="H531" s="36" t="s">
        <v>7060</v>
      </c>
      <c r="I531" s="36">
        <v>2</v>
      </c>
      <c r="J531" s="36" t="s">
        <v>5895</v>
      </c>
      <c r="K531" s="36" t="s">
        <v>7500</v>
      </c>
      <c r="L531" s="36" t="b">
        <v>0</v>
      </c>
    </row>
    <row r="532" spans="1:12" ht="12.75" hidden="1">
      <c r="A532" s="448">
        <v>45176.898219571754</v>
      </c>
      <c r="B532" s="449">
        <v>45176</v>
      </c>
      <c r="C532" s="36" t="s">
        <v>3383</v>
      </c>
      <c r="D532" s="450">
        <v>0.75</v>
      </c>
      <c r="E532" s="36" t="s">
        <v>7501</v>
      </c>
      <c r="F532" s="36" t="s">
        <v>7502</v>
      </c>
      <c r="G532" s="36" t="s">
        <v>7503</v>
      </c>
      <c r="H532" s="36" t="s">
        <v>7448</v>
      </c>
      <c r="I532" s="36">
        <v>1</v>
      </c>
      <c r="J532" s="36" t="s">
        <v>5895</v>
      </c>
      <c r="K532" s="36" t="s">
        <v>7504</v>
      </c>
      <c r="L532" s="36" t="b">
        <v>0</v>
      </c>
    </row>
    <row r="533" spans="1:12" ht="12.75" hidden="1">
      <c r="A533" s="448">
        <v>45177.543020636571</v>
      </c>
      <c r="B533" s="449">
        <v>45179</v>
      </c>
      <c r="C533" s="36" t="s">
        <v>12</v>
      </c>
      <c r="D533" s="450">
        <v>0.41666666666424135</v>
      </c>
      <c r="E533" s="36" t="s">
        <v>7505</v>
      </c>
      <c r="F533" s="36" t="s">
        <v>7506</v>
      </c>
      <c r="G533" s="36" t="s">
        <v>1340</v>
      </c>
      <c r="H533" s="36" t="s">
        <v>6121</v>
      </c>
      <c r="I533" s="36">
        <v>1</v>
      </c>
      <c r="J533" s="36" t="s">
        <v>5895</v>
      </c>
      <c r="K533" s="36" t="s">
        <v>7507</v>
      </c>
      <c r="L533" s="36" t="b">
        <v>0</v>
      </c>
    </row>
    <row r="534" spans="1:12" ht="12.75" hidden="1">
      <c r="A534" s="448">
        <v>45177.605269398147</v>
      </c>
      <c r="B534" s="449">
        <v>45185</v>
      </c>
      <c r="C534" s="36" t="s">
        <v>13</v>
      </c>
      <c r="D534" s="450">
        <v>0.41666666666424135</v>
      </c>
      <c r="E534" s="36" t="s">
        <v>7508</v>
      </c>
      <c r="F534" s="36">
        <v>33</v>
      </c>
      <c r="G534" s="36" t="s">
        <v>387</v>
      </c>
      <c r="H534" s="36" t="s">
        <v>841</v>
      </c>
      <c r="I534" s="36">
        <v>1</v>
      </c>
      <c r="J534" s="36" t="s">
        <v>5895</v>
      </c>
      <c r="K534" s="36" t="s">
        <v>7509</v>
      </c>
      <c r="L534" s="36" t="b">
        <v>0</v>
      </c>
    </row>
    <row r="535" spans="1:12" ht="12.75" hidden="1">
      <c r="A535" s="448">
        <v>45177.67785954861</v>
      </c>
      <c r="B535" s="449">
        <v>45179</v>
      </c>
      <c r="C535" s="36" t="s">
        <v>12</v>
      </c>
      <c r="D535" s="450">
        <v>0.41666666666424135</v>
      </c>
      <c r="E535" s="36" t="s">
        <v>6424</v>
      </c>
      <c r="F535" s="36" t="s">
        <v>7510</v>
      </c>
      <c r="G535" s="36" t="s">
        <v>7511</v>
      </c>
      <c r="H535" s="36" t="s">
        <v>7512</v>
      </c>
      <c r="I535" s="36">
        <v>1</v>
      </c>
      <c r="J535" s="36" t="s">
        <v>5895</v>
      </c>
      <c r="K535" s="36" t="s">
        <v>7513</v>
      </c>
      <c r="L535" s="36" t="b">
        <v>1</v>
      </c>
    </row>
    <row r="536" spans="1:12" ht="12.75" hidden="1">
      <c r="A536" s="448">
        <v>45177.743805682869</v>
      </c>
      <c r="B536" s="449">
        <v>45179</v>
      </c>
      <c r="C536" s="36" t="s">
        <v>12</v>
      </c>
      <c r="D536" s="450">
        <v>0.66666666666424135</v>
      </c>
      <c r="E536" s="36" t="s">
        <v>7514</v>
      </c>
      <c r="F536" s="36" t="s">
        <v>7515</v>
      </c>
      <c r="G536" s="36" t="s">
        <v>286</v>
      </c>
      <c r="H536" s="36" t="s">
        <v>6742</v>
      </c>
      <c r="I536" s="36">
        <v>1</v>
      </c>
      <c r="J536" s="36" t="s">
        <v>5895</v>
      </c>
      <c r="K536" s="36" t="s">
        <v>7516</v>
      </c>
      <c r="L536" s="36" t="b">
        <v>1</v>
      </c>
    </row>
    <row r="537" spans="1:12" ht="12.75" hidden="1">
      <c r="A537" s="448">
        <v>45177.831388009261</v>
      </c>
      <c r="B537" s="449">
        <v>45183</v>
      </c>
      <c r="C537" s="36" t="s">
        <v>11</v>
      </c>
      <c r="D537" s="450">
        <v>0.75</v>
      </c>
      <c r="E537" s="36" t="s">
        <v>7517</v>
      </c>
      <c r="F537" s="36" t="s">
        <v>7518</v>
      </c>
      <c r="G537" s="36" t="s">
        <v>1013</v>
      </c>
      <c r="H537" s="36" t="s">
        <v>1141</v>
      </c>
      <c r="I537" s="36">
        <v>1</v>
      </c>
      <c r="J537" s="36" t="s">
        <v>5895</v>
      </c>
      <c r="K537" s="36" t="s">
        <v>7519</v>
      </c>
      <c r="L537" s="36" t="b">
        <v>0</v>
      </c>
    </row>
    <row r="538" spans="1:12" ht="12.75" hidden="1">
      <c r="A538" s="448">
        <v>45179.557482025462</v>
      </c>
      <c r="B538" s="449">
        <v>45181</v>
      </c>
      <c r="C538" s="36" t="s">
        <v>3388</v>
      </c>
      <c r="D538" s="450">
        <v>0.75</v>
      </c>
      <c r="E538" s="36" t="s">
        <v>6846</v>
      </c>
      <c r="F538" s="36" t="s">
        <v>7520</v>
      </c>
      <c r="G538" s="36" t="s">
        <v>1357</v>
      </c>
      <c r="H538" s="36" t="s">
        <v>6366</v>
      </c>
      <c r="I538" s="36">
        <v>1</v>
      </c>
      <c r="J538" s="36" t="s">
        <v>5895</v>
      </c>
      <c r="K538" s="36" t="s">
        <v>7521</v>
      </c>
      <c r="L538" s="36" t="b">
        <v>0</v>
      </c>
    </row>
    <row r="539" spans="1:12" ht="12.75" hidden="1">
      <c r="A539" s="448">
        <v>45179.714854120371</v>
      </c>
      <c r="B539" s="449">
        <v>45179</v>
      </c>
      <c r="C539" s="36" t="s">
        <v>3383</v>
      </c>
      <c r="D539" s="450">
        <v>0.79166666666424135</v>
      </c>
      <c r="E539" s="36" t="s">
        <v>6038</v>
      </c>
      <c r="F539" s="36" t="s">
        <v>78</v>
      </c>
      <c r="G539" s="36" t="s">
        <v>7398</v>
      </c>
      <c r="H539" s="36" t="s">
        <v>7522</v>
      </c>
      <c r="I539" s="36">
        <v>1</v>
      </c>
      <c r="J539" s="36" t="s">
        <v>5895</v>
      </c>
      <c r="K539" s="36" t="s">
        <v>7523</v>
      </c>
      <c r="L539" s="36" t="b">
        <v>0</v>
      </c>
    </row>
    <row r="540" spans="1:12" ht="12.75" hidden="1">
      <c r="A540" s="448">
        <v>45180.31496087963</v>
      </c>
      <c r="B540" s="449">
        <v>45179</v>
      </c>
      <c r="C540" s="36" t="s">
        <v>3388</v>
      </c>
      <c r="D540" s="450">
        <v>0.41666666666424135</v>
      </c>
      <c r="E540" s="36" t="s">
        <v>7524</v>
      </c>
      <c r="F540" s="36" t="s">
        <v>7525</v>
      </c>
      <c r="G540" s="36" t="s">
        <v>7526</v>
      </c>
      <c r="H540" s="36" t="s">
        <v>1166</v>
      </c>
      <c r="I540" s="36">
        <v>2</v>
      </c>
      <c r="J540" s="36" t="s">
        <v>5895</v>
      </c>
      <c r="K540" s="36" t="s">
        <v>6059</v>
      </c>
      <c r="L540" s="36" t="b">
        <v>0</v>
      </c>
    </row>
    <row r="541" spans="1:12" ht="12.75" hidden="1">
      <c r="A541" s="448">
        <v>45180.740087638886</v>
      </c>
      <c r="B541" s="449">
        <v>45179</v>
      </c>
      <c r="C541" s="36" t="s">
        <v>3388</v>
      </c>
      <c r="D541" s="450">
        <v>0.41666666666424135</v>
      </c>
      <c r="E541" s="36" t="s">
        <v>7527</v>
      </c>
      <c r="F541" s="36" t="s">
        <v>7528</v>
      </c>
      <c r="G541" s="36" t="s">
        <v>1305</v>
      </c>
      <c r="H541" s="36" t="s">
        <v>6611</v>
      </c>
      <c r="I541" s="36">
        <v>1</v>
      </c>
      <c r="J541" s="36" t="s">
        <v>5895</v>
      </c>
      <c r="K541" s="36" t="s">
        <v>7349</v>
      </c>
      <c r="L541" s="36" t="b">
        <v>0</v>
      </c>
    </row>
    <row r="542" spans="1:12" ht="12.75" hidden="1">
      <c r="A542" s="448">
        <v>45180.740742337963</v>
      </c>
      <c r="B542" s="449">
        <v>45179</v>
      </c>
      <c r="C542" s="36" t="s">
        <v>3388</v>
      </c>
      <c r="D542" s="450">
        <v>0.45833333333575865</v>
      </c>
      <c r="E542" s="36" t="s">
        <v>7298</v>
      </c>
      <c r="F542" s="36" t="s">
        <v>7228</v>
      </c>
      <c r="G542" s="36" t="s">
        <v>1305</v>
      </c>
      <c r="H542" s="36" t="s">
        <v>5906</v>
      </c>
      <c r="I542" s="36">
        <v>2</v>
      </c>
      <c r="J542" s="36" t="s">
        <v>5895</v>
      </c>
      <c r="K542" s="36" t="s">
        <v>7349</v>
      </c>
      <c r="L542" s="36" t="b">
        <v>0</v>
      </c>
    </row>
    <row r="543" spans="1:12" ht="12.75" hidden="1">
      <c r="A543" s="448">
        <v>45180.868175405092</v>
      </c>
      <c r="B543" s="449">
        <v>45181</v>
      </c>
      <c r="C543" s="36" t="s">
        <v>3388</v>
      </c>
      <c r="D543" s="450">
        <v>0.75</v>
      </c>
      <c r="E543" s="36" t="s">
        <v>7529</v>
      </c>
      <c r="F543" s="36" t="s">
        <v>7530</v>
      </c>
      <c r="G543" s="36" t="s">
        <v>1288</v>
      </c>
      <c r="H543" s="36" t="s">
        <v>7492</v>
      </c>
      <c r="I543" s="36">
        <v>1</v>
      </c>
      <c r="J543" s="36" t="s">
        <v>5895</v>
      </c>
      <c r="K543" s="36" t="s">
        <v>7531</v>
      </c>
      <c r="L543" s="36" t="b">
        <v>0</v>
      </c>
    </row>
    <row r="544" spans="1:12" ht="12.75" hidden="1">
      <c r="A544" s="448">
        <v>45182.69363123842</v>
      </c>
      <c r="B544" s="449">
        <v>45185</v>
      </c>
      <c r="C544" s="36" t="s">
        <v>13</v>
      </c>
      <c r="D544" s="450">
        <v>0.5</v>
      </c>
      <c r="E544" s="36" t="s">
        <v>7532</v>
      </c>
      <c r="F544" s="36" t="s">
        <v>7533</v>
      </c>
      <c r="G544" s="36" t="s">
        <v>1436</v>
      </c>
      <c r="H544" s="36" t="s">
        <v>671</v>
      </c>
      <c r="I544" s="36">
        <v>1</v>
      </c>
      <c r="J544" s="36" t="s">
        <v>5895</v>
      </c>
      <c r="K544" s="36" t="s">
        <v>7534</v>
      </c>
      <c r="L544" s="36" t="b">
        <v>0</v>
      </c>
    </row>
    <row r="545" spans="1:12" ht="12.75" hidden="1">
      <c r="A545" s="448">
        <v>45182.695132465276</v>
      </c>
      <c r="B545" s="449">
        <v>45186</v>
      </c>
      <c r="C545" s="36" t="s">
        <v>13</v>
      </c>
      <c r="D545" s="450">
        <v>0.5</v>
      </c>
      <c r="E545" s="36" t="s">
        <v>7532</v>
      </c>
      <c r="F545" s="36" t="s">
        <v>7535</v>
      </c>
      <c r="G545" s="36" t="s">
        <v>1436</v>
      </c>
      <c r="H545" s="36" t="s">
        <v>671</v>
      </c>
      <c r="I545" s="36">
        <v>2</v>
      </c>
      <c r="J545" s="36" t="s">
        <v>5895</v>
      </c>
      <c r="K545" s="36" t="s">
        <v>7534</v>
      </c>
      <c r="L545" s="36" t="b">
        <v>0</v>
      </c>
    </row>
    <row r="546" spans="1:12" ht="12.75" hidden="1">
      <c r="A546" s="448">
        <v>45182.702488333336</v>
      </c>
      <c r="B546" s="449">
        <v>45181</v>
      </c>
      <c r="C546" s="36" t="s">
        <v>3388</v>
      </c>
      <c r="D546" s="450">
        <v>0.81944444444525288</v>
      </c>
      <c r="E546" s="36" t="s">
        <v>7536</v>
      </c>
      <c r="F546" s="36" t="s">
        <v>7537</v>
      </c>
      <c r="G546" s="36" t="s">
        <v>1322</v>
      </c>
      <c r="H546" s="36" t="s">
        <v>1128</v>
      </c>
      <c r="I546" s="36">
        <v>1</v>
      </c>
      <c r="J546" s="36" t="s">
        <v>5895</v>
      </c>
      <c r="K546" s="36" t="s">
        <v>7538</v>
      </c>
      <c r="L546" s="36" t="b">
        <v>0</v>
      </c>
    </row>
    <row r="547" spans="1:12" ht="12.75" hidden="1">
      <c r="A547" s="448">
        <v>45183.37970662037</v>
      </c>
      <c r="B547" s="449">
        <v>45185</v>
      </c>
      <c r="C547" s="36" t="s">
        <v>13</v>
      </c>
      <c r="D547" s="450">
        <v>0.41666666666424135</v>
      </c>
      <c r="E547" s="36" t="s">
        <v>7539</v>
      </c>
      <c r="F547" s="36" t="s">
        <v>7540</v>
      </c>
      <c r="G547" s="36" t="s">
        <v>1436</v>
      </c>
      <c r="H547" s="36" t="s">
        <v>944</v>
      </c>
      <c r="I547" s="36">
        <v>3</v>
      </c>
      <c r="J547" s="36" t="s">
        <v>5895</v>
      </c>
      <c r="K547" s="36" t="s">
        <v>7534</v>
      </c>
      <c r="L547" s="36" t="b">
        <v>0</v>
      </c>
    </row>
    <row r="548" spans="1:12" ht="12.75" hidden="1">
      <c r="A548" s="448">
        <v>45183.723769548611</v>
      </c>
      <c r="B548" s="449">
        <v>45183</v>
      </c>
      <c r="C548" s="36" t="s">
        <v>3383</v>
      </c>
      <c r="D548" s="450">
        <v>0.83333333333575865</v>
      </c>
      <c r="E548" s="36" t="s">
        <v>7541</v>
      </c>
      <c r="F548" s="36" t="s">
        <v>7542</v>
      </c>
      <c r="G548" s="36" t="s">
        <v>975</v>
      </c>
      <c r="H548" s="36" t="s">
        <v>7543</v>
      </c>
      <c r="I548" s="36">
        <v>1</v>
      </c>
      <c r="J548" s="36" t="s">
        <v>5895</v>
      </c>
      <c r="K548" s="36" t="s">
        <v>6812</v>
      </c>
      <c r="L548" s="36" t="b">
        <v>0</v>
      </c>
    </row>
    <row r="549" spans="1:12" ht="12.75" hidden="1">
      <c r="A549" s="448">
        <v>45183.85752075231</v>
      </c>
      <c r="B549" s="449">
        <v>45183</v>
      </c>
      <c r="C549" s="36" t="s">
        <v>3388</v>
      </c>
      <c r="D549" s="450">
        <v>0.79166666666424135</v>
      </c>
      <c r="E549" s="36" t="s">
        <v>7544</v>
      </c>
      <c r="F549" s="36" t="s">
        <v>7545</v>
      </c>
      <c r="G549" s="36" t="s">
        <v>1209</v>
      </c>
      <c r="H549" s="36" t="s">
        <v>471</v>
      </c>
      <c r="I549" s="36">
        <v>1</v>
      </c>
      <c r="J549" s="36" t="s">
        <v>5895</v>
      </c>
      <c r="K549" s="36" t="s">
        <v>7546</v>
      </c>
      <c r="L549" s="36" t="b">
        <v>0</v>
      </c>
    </row>
    <row r="550" spans="1:12" ht="12.75" hidden="1">
      <c r="A550" s="448">
        <v>45184.482224872685</v>
      </c>
      <c r="B550" s="449">
        <v>45189</v>
      </c>
      <c r="C550" s="36" t="s">
        <v>3388</v>
      </c>
      <c r="D550" s="450">
        <v>0.75</v>
      </c>
      <c r="E550" s="36" t="s">
        <v>6723</v>
      </c>
      <c r="F550" s="36" t="s">
        <v>7476</v>
      </c>
      <c r="G550" s="36" t="s">
        <v>7547</v>
      </c>
      <c r="H550" s="36" t="s">
        <v>7548</v>
      </c>
      <c r="I550" s="36">
        <v>0</v>
      </c>
      <c r="J550" s="36" t="s">
        <v>6093</v>
      </c>
      <c r="K550" s="36" t="s">
        <v>7549</v>
      </c>
      <c r="L550" s="36" t="b">
        <v>0</v>
      </c>
    </row>
    <row r="551" spans="1:12" ht="12.75" hidden="1">
      <c r="A551" s="448">
        <v>45184.668115</v>
      </c>
      <c r="B551" s="449">
        <v>45184</v>
      </c>
      <c r="C551" s="36" t="s">
        <v>12</v>
      </c>
      <c r="D551" s="450">
        <v>0.75</v>
      </c>
      <c r="E551" s="36" t="s">
        <v>7433</v>
      </c>
      <c r="F551" s="36" t="s">
        <v>7550</v>
      </c>
      <c r="G551" s="36" t="s">
        <v>7551</v>
      </c>
      <c r="H551" s="36" t="s">
        <v>6121</v>
      </c>
      <c r="I551" s="36">
        <v>1</v>
      </c>
      <c r="J551" s="36" t="s">
        <v>5895</v>
      </c>
      <c r="K551" s="36" t="s">
        <v>7552</v>
      </c>
      <c r="L551" s="36" t="b">
        <v>1</v>
      </c>
    </row>
    <row r="552" spans="1:12" ht="12.75" hidden="1">
      <c r="A552" s="448">
        <v>45186.425702129629</v>
      </c>
      <c r="B552" s="449">
        <v>45185</v>
      </c>
      <c r="C552" s="36" t="s">
        <v>12</v>
      </c>
      <c r="D552" s="450">
        <v>0.41666666666424135</v>
      </c>
      <c r="E552" s="36" t="s">
        <v>7553</v>
      </c>
      <c r="F552" s="36" t="s">
        <v>7554</v>
      </c>
      <c r="G552" s="36" t="s">
        <v>7355</v>
      </c>
      <c r="H552" s="36" t="s">
        <v>7555</v>
      </c>
      <c r="I552" s="36">
        <v>1</v>
      </c>
      <c r="J552" s="36" t="s">
        <v>5895</v>
      </c>
      <c r="K552" s="36" t="s">
        <v>7556</v>
      </c>
      <c r="L552" s="36" t="b">
        <v>1</v>
      </c>
    </row>
    <row r="553" spans="1:12" ht="12.75" hidden="1">
      <c r="A553" s="448">
        <v>45186.696117523148</v>
      </c>
      <c r="B553" s="449">
        <v>45186</v>
      </c>
      <c r="C553" s="36" t="s">
        <v>3388</v>
      </c>
      <c r="D553" s="450">
        <v>0.41666666666424135</v>
      </c>
      <c r="E553" s="36" t="s">
        <v>7557</v>
      </c>
      <c r="F553" s="36" t="s">
        <v>7558</v>
      </c>
      <c r="G553" s="36" t="s">
        <v>7559</v>
      </c>
      <c r="H553" s="36" t="s">
        <v>6611</v>
      </c>
      <c r="I553" s="36">
        <v>1</v>
      </c>
      <c r="J553" s="36" t="s">
        <v>5895</v>
      </c>
      <c r="K553" s="36" t="s">
        <v>7560</v>
      </c>
      <c r="L553" s="36" t="b">
        <v>0</v>
      </c>
    </row>
    <row r="554" spans="1:12" ht="12.75" hidden="1">
      <c r="A554" s="448">
        <v>45186.697182280092</v>
      </c>
      <c r="B554" s="449">
        <v>45186</v>
      </c>
      <c r="C554" s="36" t="s">
        <v>3388</v>
      </c>
      <c r="D554" s="450">
        <v>0.45833333333575865</v>
      </c>
      <c r="E554" s="36" t="s">
        <v>7561</v>
      </c>
      <c r="F554" s="36" t="s">
        <v>7562</v>
      </c>
      <c r="G554" s="36" t="s">
        <v>7559</v>
      </c>
      <c r="H554" s="36" t="s">
        <v>7378</v>
      </c>
      <c r="I554" s="36">
        <v>2</v>
      </c>
      <c r="J554" s="36" t="s">
        <v>5895</v>
      </c>
      <c r="K554" s="36" t="s">
        <v>7560</v>
      </c>
      <c r="L554" s="36" t="b">
        <v>0</v>
      </c>
    </row>
    <row r="555" spans="1:12" ht="12.75" hidden="1">
      <c r="A555" s="448">
        <v>45186.698291249995</v>
      </c>
      <c r="B555" s="449">
        <v>45186</v>
      </c>
      <c r="C555" s="36" t="s">
        <v>3388</v>
      </c>
      <c r="D555" s="450">
        <v>0.54166666666424135</v>
      </c>
      <c r="E555" s="36" t="s">
        <v>7563</v>
      </c>
      <c r="F555" s="36" t="s">
        <v>7564</v>
      </c>
      <c r="G555" s="36" t="s">
        <v>7559</v>
      </c>
      <c r="H555" s="36" t="s">
        <v>7565</v>
      </c>
      <c r="I555" s="36">
        <v>3</v>
      </c>
      <c r="J555" s="36" t="s">
        <v>5895</v>
      </c>
      <c r="K555" s="36" t="s">
        <v>7560</v>
      </c>
      <c r="L555" s="36" t="b">
        <v>0</v>
      </c>
    </row>
    <row r="556" spans="1:12" ht="12.75" hidden="1">
      <c r="A556" s="448">
        <v>45186.845599652777</v>
      </c>
      <c r="B556" s="449">
        <v>45186</v>
      </c>
      <c r="C556" s="36" t="s">
        <v>3388</v>
      </c>
      <c r="D556" s="450">
        <v>0.75</v>
      </c>
      <c r="E556" s="36" t="s">
        <v>5944</v>
      </c>
      <c r="F556" s="36" t="s">
        <v>7566</v>
      </c>
      <c r="G556" s="36" t="s">
        <v>7559</v>
      </c>
      <c r="H556" s="36" t="s">
        <v>7567</v>
      </c>
      <c r="I556" s="36">
        <v>4</v>
      </c>
      <c r="J556" s="36" t="s">
        <v>5895</v>
      </c>
      <c r="K556" s="36" t="s">
        <v>7560</v>
      </c>
      <c r="L556" s="36" t="b">
        <v>0</v>
      </c>
    </row>
    <row r="557" spans="1:12" ht="12.75" hidden="1">
      <c r="A557" s="448">
        <v>45187.021816018518</v>
      </c>
      <c r="B557" s="449">
        <v>45186</v>
      </c>
      <c r="C557" s="36" t="s">
        <v>11</v>
      </c>
      <c r="D557" s="450">
        <v>0.41666666666424135</v>
      </c>
      <c r="E557" s="36" t="s">
        <v>7568</v>
      </c>
      <c r="F557" s="36" t="s">
        <v>7569</v>
      </c>
      <c r="G557" s="36" t="s">
        <v>7276</v>
      </c>
      <c r="H557" s="36" t="s">
        <v>6345</v>
      </c>
      <c r="I557" s="36">
        <v>1</v>
      </c>
      <c r="J557" s="36" t="s">
        <v>5895</v>
      </c>
      <c r="K557" s="36" t="s">
        <v>7570</v>
      </c>
      <c r="L557" s="36" t="b">
        <v>0</v>
      </c>
    </row>
    <row r="558" spans="1:12" ht="12.75" hidden="1">
      <c r="A558" s="448">
        <v>45187.357087847224</v>
      </c>
      <c r="B558" s="449">
        <v>45175</v>
      </c>
      <c r="C558" s="36" t="s">
        <v>3388</v>
      </c>
      <c r="D558" s="450">
        <v>0.70833333333575865</v>
      </c>
      <c r="E558" s="36" t="s">
        <v>7571</v>
      </c>
      <c r="F558" s="36" t="s">
        <v>7572</v>
      </c>
      <c r="G558" s="36" t="s">
        <v>7573</v>
      </c>
      <c r="H558" s="36" t="s">
        <v>6363</v>
      </c>
      <c r="I558" s="36">
        <v>1</v>
      </c>
      <c r="J558" s="36" t="s">
        <v>5895</v>
      </c>
      <c r="K558" s="36" t="s">
        <v>7574</v>
      </c>
      <c r="L558" s="36" t="b">
        <v>0</v>
      </c>
    </row>
    <row r="559" spans="1:12" ht="12.75" hidden="1">
      <c r="A559" s="448">
        <v>45187.359512974537</v>
      </c>
      <c r="B559" s="449">
        <v>45182</v>
      </c>
      <c r="C559" s="36" t="s">
        <v>3388</v>
      </c>
      <c r="D559" s="450">
        <v>0.70833333333575865</v>
      </c>
      <c r="E559" s="36" t="s">
        <v>7571</v>
      </c>
      <c r="F559" s="36" t="s">
        <v>7575</v>
      </c>
      <c r="G559" s="36" t="s">
        <v>7573</v>
      </c>
      <c r="H559" s="36" t="s">
        <v>7576</v>
      </c>
      <c r="I559" s="36">
        <v>2</v>
      </c>
      <c r="J559" s="36" t="s">
        <v>5895</v>
      </c>
      <c r="K559" s="36" t="s">
        <v>7577</v>
      </c>
      <c r="L559" s="36" t="b">
        <v>0</v>
      </c>
    </row>
    <row r="560" spans="1:12" ht="12.75" hidden="1">
      <c r="A560" s="448">
        <v>45187.364789085652</v>
      </c>
      <c r="B560" s="449">
        <v>45189</v>
      </c>
      <c r="C560" s="36" t="s">
        <v>3388</v>
      </c>
      <c r="D560" s="450">
        <v>0.70833333333575865</v>
      </c>
      <c r="E560" s="36" t="s">
        <v>7571</v>
      </c>
      <c r="F560" s="36" t="s">
        <v>7578</v>
      </c>
      <c r="G560" s="36" t="s">
        <v>7573</v>
      </c>
      <c r="H560" s="36" t="s">
        <v>7579</v>
      </c>
      <c r="I560" s="36" t="s">
        <v>7580</v>
      </c>
      <c r="J560" s="36" t="s">
        <v>6093</v>
      </c>
      <c r="K560" s="36" t="s">
        <v>7581</v>
      </c>
      <c r="L560" s="36" t="b">
        <v>0</v>
      </c>
    </row>
    <row r="561" spans="1:12" ht="12.75" hidden="1">
      <c r="A561" s="448">
        <v>45187.554559328702</v>
      </c>
      <c r="B561" s="449">
        <v>45186</v>
      </c>
      <c r="C561" s="36" t="s">
        <v>3383</v>
      </c>
      <c r="D561" s="450">
        <v>0.125</v>
      </c>
      <c r="E561" s="36" t="s">
        <v>7446</v>
      </c>
      <c r="F561" s="36" t="s">
        <v>7582</v>
      </c>
      <c r="G561" s="36" t="s">
        <v>413</v>
      </c>
      <c r="H561" s="36" t="s">
        <v>7583</v>
      </c>
      <c r="I561" s="36">
        <v>1</v>
      </c>
      <c r="J561" s="36" t="s">
        <v>5895</v>
      </c>
      <c r="K561" s="36" t="s">
        <v>7584</v>
      </c>
      <c r="L561" s="36" t="b">
        <v>0</v>
      </c>
    </row>
    <row r="562" spans="1:12" ht="12.75" hidden="1">
      <c r="A562" s="448">
        <v>45187.618271655097</v>
      </c>
      <c r="B562" s="449">
        <v>45186</v>
      </c>
      <c r="C562" s="36" t="s">
        <v>3388</v>
      </c>
      <c r="D562" s="450">
        <v>0.41666666666424135</v>
      </c>
      <c r="E562" s="36" t="s">
        <v>7585</v>
      </c>
      <c r="F562" s="36" t="s">
        <v>7586</v>
      </c>
      <c r="G562" s="36" t="s">
        <v>1128</v>
      </c>
      <c r="H562" s="36" t="s">
        <v>7127</v>
      </c>
      <c r="I562" s="36">
        <v>3</v>
      </c>
      <c r="J562" s="36" t="s">
        <v>5895</v>
      </c>
      <c r="K562" s="36" t="s">
        <v>7196</v>
      </c>
      <c r="L562" s="36" t="b">
        <v>0</v>
      </c>
    </row>
    <row r="563" spans="1:12" ht="12.75" hidden="1">
      <c r="A563" s="448">
        <v>45187.749590034728</v>
      </c>
      <c r="B563" s="449">
        <v>45189</v>
      </c>
      <c r="C563" s="36" t="s">
        <v>13</v>
      </c>
      <c r="D563" s="450">
        <v>0.75</v>
      </c>
      <c r="E563" s="36" t="s">
        <v>6263</v>
      </c>
      <c r="F563" s="36" t="s">
        <v>7587</v>
      </c>
      <c r="G563" s="36" t="s">
        <v>7588</v>
      </c>
      <c r="H563" s="36" t="s">
        <v>7589</v>
      </c>
      <c r="I563" s="36">
        <v>1</v>
      </c>
      <c r="J563" s="36" t="s">
        <v>5895</v>
      </c>
      <c r="K563" s="36" t="s">
        <v>7590</v>
      </c>
      <c r="L563" s="36" t="b">
        <v>0</v>
      </c>
    </row>
    <row r="564" spans="1:12" ht="12.75" hidden="1">
      <c r="A564" s="448">
        <v>45187.936554525462</v>
      </c>
      <c r="B564" s="449">
        <v>45188</v>
      </c>
      <c r="C564" s="36" t="s">
        <v>3388</v>
      </c>
      <c r="D564" s="450">
        <v>0.79166666666424135</v>
      </c>
      <c r="E564" s="36" t="s">
        <v>7591</v>
      </c>
      <c r="F564" s="36" t="s">
        <v>7592</v>
      </c>
      <c r="G564" s="36" t="s">
        <v>494</v>
      </c>
      <c r="H564" s="36" t="s">
        <v>7593</v>
      </c>
      <c r="I564" s="36">
        <v>1</v>
      </c>
      <c r="J564" s="36" t="s">
        <v>5895</v>
      </c>
      <c r="K564" s="36" t="s">
        <v>7594</v>
      </c>
      <c r="L564" s="36" t="b">
        <v>0</v>
      </c>
    </row>
    <row r="565" spans="1:12" ht="12.75" hidden="1">
      <c r="A565" s="448">
        <v>45188.766588449071</v>
      </c>
      <c r="B565" s="449">
        <v>45186</v>
      </c>
      <c r="C565" s="36" t="s">
        <v>13</v>
      </c>
      <c r="D565" s="450">
        <v>0.45833333333575865</v>
      </c>
      <c r="E565" s="36" t="s">
        <v>7595</v>
      </c>
      <c r="F565" s="36" t="s">
        <v>7596</v>
      </c>
      <c r="G565" s="36" t="s">
        <v>1929</v>
      </c>
      <c r="H565" s="36" t="s">
        <v>671</v>
      </c>
      <c r="I565" s="36">
        <v>1</v>
      </c>
      <c r="J565" s="36" t="s">
        <v>5895</v>
      </c>
      <c r="K565" s="36" t="s">
        <v>6875</v>
      </c>
      <c r="L565" s="36" t="b">
        <v>0</v>
      </c>
    </row>
    <row r="566" spans="1:12" ht="12.75" hidden="1">
      <c r="A566" s="448">
        <v>45189.51916171296</v>
      </c>
      <c r="B566" s="449">
        <v>45188</v>
      </c>
      <c r="C566" s="36" t="s">
        <v>3383</v>
      </c>
      <c r="D566" s="450">
        <v>0.79166666666424135</v>
      </c>
      <c r="E566" s="36" t="s">
        <v>7597</v>
      </c>
      <c r="F566" s="36" t="s">
        <v>7598</v>
      </c>
      <c r="G566" s="36" t="s">
        <v>536</v>
      </c>
      <c r="H566" s="36" t="s">
        <v>7599</v>
      </c>
      <c r="I566" s="36">
        <v>1</v>
      </c>
      <c r="J566" s="36" t="s">
        <v>5895</v>
      </c>
      <c r="K566" s="36" t="s">
        <v>7600</v>
      </c>
      <c r="L566" s="36" t="b">
        <v>0</v>
      </c>
    </row>
    <row r="567" spans="1:12" ht="12.75" hidden="1">
      <c r="A567" s="448">
        <v>45190.514704791669</v>
      </c>
      <c r="B567" s="449">
        <v>45192</v>
      </c>
      <c r="C567" s="36" t="s">
        <v>18</v>
      </c>
      <c r="D567" s="450">
        <v>0.41666666666424135</v>
      </c>
      <c r="E567" s="36" t="s">
        <v>7601</v>
      </c>
      <c r="F567" s="36" t="s">
        <v>7602</v>
      </c>
      <c r="G567" s="36" t="s">
        <v>459</v>
      </c>
      <c r="H567" s="36" t="s">
        <v>78</v>
      </c>
      <c r="I567" s="36">
        <v>1</v>
      </c>
      <c r="J567" s="36" t="s">
        <v>5895</v>
      </c>
      <c r="K567" s="36" t="s">
        <v>7603</v>
      </c>
      <c r="L567" s="36" t="b">
        <v>0</v>
      </c>
    </row>
    <row r="568" spans="1:12" ht="12.75" hidden="1">
      <c r="A568" s="448">
        <v>45191.564052106478</v>
      </c>
      <c r="B568" s="449">
        <v>45187</v>
      </c>
      <c r="C568" s="36" t="s">
        <v>3388</v>
      </c>
      <c r="D568" s="450">
        <v>0.75</v>
      </c>
      <c r="E568" s="36" t="s">
        <v>7604</v>
      </c>
      <c r="F568" s="36" t="s">
        <v>7605</v>
      </c>
      <c r="G568" s="36" t="s">
        <v>7559</v>
      </c>
      <c r="H568" s="36" t="s">
        <v>6366</v>
      </c>
      <c r="I568" s="36">
        <v>5</v>
      </c>
      <c r="J568" s="36" t="s">
        <v>5895</v>
      </c>
      <c r="K568" s="36" t="s">
        <v>7606</v>
      </c>
      <c r="L568" s="36" t="b">
        <v>0</v>
      </c>
    </row>
    <row r="569" spans="1:12" ht="12.75" hidden="1">
      <c r="A569" s="448">
        <v>45191.565339155088</v>
      </c>
      <c r="B569" s="449">
        <v>45187</v>
      </c>
      <c r="C569" s="36" t="s">
        <v>3388</v>
      </c>
      <c r="D569" s="450">
        <v>0.85416666666424135</v>
      </c>
      <c r="E569" s="36" t="s">
        <v>7607</v>
      </c>
      <c r="F569" s="36" t="s">
        <v>7608</v>
      </c>
      <c r="G569" s="36" t="s">
        <v>7559</v>
      </c>
      <c r="H569" s="36" t="s">
        <v>7565</v>
      </c>
      <c r="I569" s="36">
        <v>6</v>
      </c>
      <c r="J569" s="36" t="s">
        <v>5895</v>
      </c>
      <c r="K569" s="36" t="s">
        <v>7606</v>
      </c>
      <c r="L569" s="36" t="b">
        <v>0</v>
      </c>
    </row>
    <row r="570" spans="1:12" ht="12.75" hidden="1">
      <c r="A570" s="448">
        <v>45191.567595972221</v>
      </c>
      <c r="B570" s="449">
        <v>45188</v>
      </c>
      <c r="C570" s="36" t="s">
        <v>3388</v>
      </c>
      <c r="D570" s="450">
        <v>0.75</v>
      </c>
      <c r="E570" s="36" t="s">
        <v>7387</v>
      </c>
      <c r="F570" s="36" t="s">
        <v>7609</v>
      </c>
      <c r="G570" s="36" t="s">
        <v>7559</v>
      </c>
      <c r="H570" s="36" t="s">
        <v>7610</v>
      </c>
      <c r="I570" s="36">
        <v>7</v>
      </c>
      <c r="J570" s="36" t="s">
        <v>5895</v>
      </c>
      <c r="K570" s="36" t="s">
        <v>7606</v>
      </c>
      <c r="L570" s="36" t="b">
        <v>0</v>
      </c>
    </row>
    <row r="571" spans="1:12" ht="12.75" hidden="1">
      <c r="A571" s="448">
        <v>45191.570261944449</v>
      </c>
      <c r="B571" s="449">
        <v>45188</v>
      </c>
      <c r="C571" s="36" t="s">
        <v>3388</v>
      </c>
      <c r="D571" s="450">
        <v>0.79166666666424135</v>
      </c>
      <c r="E571" s="36" t="s">
        <v>7611</v>
      </c>
      <c r="F571" s="36" t="s">
        <v>7612</v>
      </c>
      <c r="G571" s="36" t="s">
        <v>7559</v>
      </c>
      <c r="H571" s="36" t="s">
        <v>7613</v>
      </c>
      <c r="I571" s="36">
        <v>8</v>
      </c>
      <c r="J571" s="36" t="s">
        <v>5895</v>
      </c>
      <c r="K571" s="36" t="s">
        <v>7606</v>
      </c>
      <c r="L571" s="36" t="b">
        <v>0</v>
      </c>
    </row>
    <row r="572" spans="1:12" ht="12.75" hidden="1">
      <c r="A572" s="448">
        <v>45191.583108773149</v>
      </c>
      <c r="B572" s="449">
        <v>45191</v>
      </c>
      <c r="C572" s="36" t="s">
        <v>12</v>
      </c>
      <c r="D572" s="450">
        <v>0.75</v>
      </c>
      <c r="E572" s="36" t="s">
        <v>7433</v>
      </c>
      <c r="F572" s="36" t="s">
        <v>7614</v>
      </c>
      <c r="G572" s="36" t="s">
        <v>7615</v>
      </c>
      <c r="H572" s="36" t="s">
        <v>7616</v>
      </c>
      <c r="I572" s="36">
        <v>2</v>
      </c>
      <c r="J572" s="36" t="s">
        <v>5895</v>
      </c>
      <c r="K572" s="36" t="s">
        <v>7617</v>
      </c>
      <c r="L572" s="36" t="b">
        <v>0</v>
      </c>
    </row>
    <row r="573" spans="1:12" ht="12.75" hidden="1">
      <c r="A573" s="448">
        <v>45193.566504826391</v>
      </c>
      <c r="B573" s="449">
        <v>45189</v>
      </c>
      <c r="C573" s="36" t="s">
        <v>3388</v>
      </c>
      <c r="D573" s="450">
        <v>0.75</v>
      </c>
      <c r="E573" s="36" t="s">
        <v>7618</v>
      </c>
      <c r="F573" s="36" t="s">
        <v>7562</v>
      </c>
      <c r="G573" s="36" t="s">
        <v>7559</v>
      </c>
      <c r="H573" s="36" t="s">
        <v>7565</v>
      </c>
      <c r="I573" s="36">
        <v>9</v>
      </c>
      <c r="J573" s="36" t="s">
        <v>5895</v>
      </c>
      <c r="K573" s="36" t="s">
        <v>7619</v>
      </c>
      <c r="L573" s="36" t="b">
        <v>0</v>
      </c>
    </row>
    <row r="574" spans="1:12" ht="12.75" hidden="1">
      <c r="A574" s="448">
        <v>45193.567594803244</v>
      </c>
      <c r="B574" s="449">
        <v>45189</v>
      </c>
      <c r="C574" s="36" t="s">
        <v>3388</v>
      </c>
      <c r="D574" s="450">
        <v>0.79166666666424135</v>
      </c>
      <c r="E574" s="36" t="s">
        <v>7620</v>
      </c>
      <c r="F574" s="36" t="s">
        <v>7621</v>
      </c>
      <c r="G574" s="36" t="s">
        <v>7559</v>
      </c>
      <c r="H574" s="36" t="s">
        <v>7565</v>
      </c>
      <c r="I574" s="36">
        <v>10</v>
      </c>
      <c r="J574" s="36" t="s">
        <v>5895</v>
      </c>
      <c r="K574" s="36" t="s">
        <v>7619</v>
      </c>
      <c r="L574" s="36" t="b">
        <v>0</v>
      </c>
    </row>
    <row r="575" spans="1:12" ht="12.75" hidden="1">
      <c r="A575" s="448">
        <v>45193.569287812497</v>
      </c>
      <c r="B575" s="449">
        <v>45190</v>
      </c>
      <c r="C575" s="36" t="s">
        <v>3388</v>
      </c>
      <c r="D575" s="450">
        <v>0.75</v>
      </c>
      <c r="E575" s="36" t="s">
        <v>7622</v>
      </c>
      <c r="F575" s="36" t="s">
        <v>7623</v>
      </c>
      <c r="G575" s="36" t="s">
        <v>7559</v>
      </c>
      <c r="H575" s="36" t="s">
        <v>7624</v>
      </c>
      <c r="I575" s="36">
        <v>11</v>
      </c>
      <c r="J575" s="36" t="s">
        <v>5895</v>
      </c>
      <c r="K575" s="36" t="s">
        <v>7625</v>
      </c>
      <c r="L575" s="36" t="b">
        <v>0</v>
      </c>
    </row>
    <row r="576" spans="1:12" ht="12.75" hidden="1">
      <c r="A576" s="448">
        <v>45193.57059826389</v>
      </c>
      <c r="B576" s="449">
        <v>45191</v>
      </c>
      <c r="C576" s="36" t="s">
        <v>3388</v>
      </c>
      <c r="D576" s="450">
        <v>0.70833333333575865</v>
      </c>
      <c r="E576" s="36" t="s">
        <v>7626</v>
      </c>
      <c r="F576" s="36" t="s">
        <v>7627</v>
      </c>
      <c r="G576" s="36" t="s">
        <v>7559</v>
      </c>
      <c r="H576" s="36" t="s">
        <v>6606</v>
      </c>
      <c r="I576" s="36">
        <v>12</v>
      </c>
      <c r="J576" s="36" t="s">
        <v>5895</v>
      </c>
      <c r="K576" s="36" t="s">
        <v>7619</v>
      </c>
      <c r="L576" s="36" t="b">
        <v>0</v>
      </c>
    </row>
    <row r="577" spans="1:12" ht="12.75" hidden="1">
      <c r="A577" s="448">
        <v>45193.571696562503</v>
      </c>
      <c r="B577" s="449">
        <v>45191</v>
      </c>
      <c r="C577" s="36" t="s">
        <v>3388</v>
      </c>
      <c r="D577" s="450">
        <v>0.75</v>
      </c>
      <c r="E577" s="36" t="s">
        <v>7628</v>
      </c>
      <c r="F577" s="36" t="s">
        <v>7623</v>
      </c>
      <c r="G577" s="36" t="s">
        <v>7559</v>
      </c>
      <c r="H577" s="36" t="s">
        <v>6606</v>
      </c>
      <c r="I577" s="36">
        <v>13</v>
      </c>
      <c r="J577" s="36" t="s">
        <v>5895</v>
      </c>
      <c r="K577" s="36" t="s">
        <v>7619</v>
      </c>
      <c r="L577" s="36" t="b">
        <v>0</v>
      </c>
    </row>
    <row r="578" spans="1:12" ht="12.75" hidden="1">
      <c r="A578" s="448">
        <v>45193.573126215277</v>
      </c>
      <c r="B578" s="449">
        <v>45191</v>
      </c>
      <c r="C578" s="36" t="s">
        <v>3388</v>
      </c>
      <c r="D578" s="450">
        <v>0.75</v>
      </c>
      <c r="E578" s="36" t="s">
        <v>7629</v>
      </c>
      <c r="F578" s="36">
        <v>20</v>
      </c>
      <c r="G578" s="36" t="s">
        <v>6542</v>
      </c>
      <c r="H578" s="36" t="s">
        <v>7630</v>
      </c>
      <c r="I578" s="36">
        <v>2</v>
      </c>
      <c r="J578" s="36" t="s">
        <v>5895</v>
      </c>
      <c r="K578" s="36" t="s">
        <v>7631</v>
      </c>
      <c r="L578" s="36" t="b">
        <v>0</v>
      </c>
    </row>
    <row r="579" spans="1:12" ht="12.75" hidden="1">
      <c r="A579" s="448">
        <v>45193.605012881948</v>
      </c>
      <c r="B579" s="449">
        <v>45188</v>
      </c>
      <c r="C579" s="36" t="s">
        <v>3388</v>
      </c>
      <c r="D579" s="450">
        <v>0.75</v>
      </c>
      <c r="E579" s="36" t="s">
        <v>7591</v>
      </c>
      <c r="F579" s="36" t="s">
        <v>7632</v>
      </c>
      <c r="G579" s="36" t="s">
        <v>3941</v>
      </c>
      <c r="H579" s="36" t="s">
        <v>6955</v>
      </c>
      <c r="I579" s="36">
        <v>2</v>
      </c>
      <c r="J579" s="36" t="s">
        <v>5895</v>
      </c>
      <c r="K579" s="36" t="s">
        <v>6070</v>
      </c>
      <c r="L579" s="36" t="b">
        <v>0</v>
      </c>
    </row>
    <row r="580" spans="1:12" ht="12.75" hidden="1">
      <c r="A580" s="448">
        <v>45193.763439537041</v>
      </c>
      <c r="B580" s="449">
        <v>45193</v>
      </c>
      <c r="C580" s="36" t="s">
        <v>3388</v>
      </c>
      <c r="D580" s="450">
        <v>0.75</v>
      </c>
      <c r="E580" s="36" t="s">
        <v>6521</v>
      </c>
      <c r="F580" s="36" t="s">
        <v>7633</v>
      </c>
      <c r="G580" s="36" t="s">
        <v>6555</v>
      </c>
      <c r="H580" s="36" t="s">
        <v>5906</v>
      </c>
      <c r="I580" s="36">
        <v>1</v>
      </c>
      <c r="J580" s="36" t="s">
        <v>5895</v>
      </c>
      <c r="K580" s="36" t="s">
        <v>7634</v>
      </c>
      <c r="L580" s="36" t="b">
        <v>0</v>
      </c>
    </row>
    <row r="581" spans="1:12" ht="12.75" hidden="1">
      <c r="A581" s="448">
        <v>45193.853426412039</v>
      </c>
      <c r="B581" s="449">
        <v>45193</v>
      </c>
      <c r="C581" s="36" t="s">
        <v>3388</v>
      </c>
      <c r="D581" s="450">
        <v>0.41666666666424135</v>
      </c>
      <c r="E581" s="36" t="s">
        <v>7557</v>
      </c>
      <c r="F581" s="36" t="s">
        <v>7635</v>
      </c>
      <c r="G581" s="36" t="s">
        <v>7559</v>
      </c>
      <c r="H581" s="36" t="s">
        <v>7636</v>
      </c>
      <c r="I581" s="36">
        <v>14</v>
      </c>
      <c r="J581" s="36" t="s">
        <v>5895</v>
      </c>
      <c r="K581" s="36" t="s">
        <v>7619</v>
      </c>
      <c r="L581" s="36" t="b">
        <v>0</v>
      </c>
    </row>
    <row r="582" spans="1:12" ht="12.75" hidden="1">
      <c r="A582" s="448">
        <v>45193.854626469911</v>
      </c>
      <c r="B582" s="449">
        <v>45193</v>
      </c>
      <c r="C582" s="36" t="s">
        <v>3388</v>
      </c>
      <c r="D582" s="450">
        <v>0.45833333333575865</v>
      </c>
      <c r="E582" s="36" t="s">
        <v>7561</v>
      </c>
      <c r="F582" s="36" t="s">
        <v>7637</v>
      </c>
      <c r="G582" s="36" t="s">
        <v>7559</v>
      </c>
      <c r="H582" s="36" t="s">
        <v>7565</v>
      </c>
      <c r="I582" s="36">
        <v>15</v>
      </c>
      <c r="J582" s="36" t="s">
        <v>5895</v>
      </c>
      <c r="K582" s="36" t="s">
        <v>7619</v>
      </c>
      <c r="L582" s="36" t="b">
        <v>0</v>
      </c>
    </row>
    <row r="583" spans="1:12" ht="12.75" hidden="1">
      <c r="A583" s="448">
        <v>45193.85570915509</v>
      </c>
      <c r="B583" s="449">
        <v>45193</v>
      </c>
      <c r="C583" s="36" t="s">
        <v>3388</v>
      </c>
      <c r="D583" s="450">
        <v>0.54166666666424135</v>
      </c>
      <c r="E583" s="36" t="s">
        <v>7563</v>
      </c>
      <c r="F583" s="36" t="s">
        <v>7638</v>
      </c>
      <c r="G583" s="36" t="s">
        <v>7559</v>
      </c>
      <c r="H583" s="36" t="s">
        <v>7565</v>
      </c>
      <c r="I583" s="36">
        <v>16</v>
      </c>
      <c r="J583" s="36" t="s">
        <v>5895</v>
      </c>
      <c r="K583" s="36" t="s">
        <v>7619</v>
      </c>
      <c r="L583" s="36" t="b">
        <v>0</v>
      </c>
    </row>
    <row r="584" spans="1:12" ht="12.75" hidden="1">
      <c r="A584" s="448">
        <v>45193.857765092587</v>
      </c>
      <c r="B584" s="449">
        <v>45193</v>
      </c>
      <c r="C584" s="36" t="s">
        <v>3388</v>
      </c>
      <c r="D584" s="450">
        <v>0.75</v>
      </c>
      <c r="E584" s="36" t="s">
        <v>5944</v>
      </c>
      <c r="F584" s="36" t="s">
        <v>7639</v>
      </c>
      <c r="G584" s="36" t="s">
        <v>7559</v>
      </c>
      <c r="H584" s="36" t="s">
        <v>7567</v>
      </c>
      <c r="I584" s="36">
        <v>17</v>
      </c>
      <c r="J584" s="36" t="s">
        <v>5895</v>
      </c>
      <c r="K584" s="36" t="s">
        <v>7619</v>
      </c>
      <c r="L584" s="36" t="b">
        <v>0</v>
      </c>
    </row>
    <row r="585" spans="1:12" ht="12.75" hidden="1">
      <c r="A585" s="448">
        <v>45194.490850011571</v>
      </c>
      <c r="B585" s="449">
        <v>45199</v>
      </c>
      <c r="C585" s="36" t="s">
        <v>3388</v>
      </c>
      <c r="D585" s="450">
        <v>0.41666666666424135</v>
      </c>
      <c r="E585" s="36" t="s">
        <v>7640</v>
      </c>
      <c r="F585" s="36" t="s">
        <v>7641</v>
      </c>
      <c r="G585" s="36" t="s">
        <v>1449</v>
      </c>
      <c r="H585" s="36" t="s">
        <v>518</v>
      </c>
      <c r="I585" s="36">
        <v>1</v>
      </c>
      <c r="J585" s="36" t="s">
        <v>5895</v>
      </c>
      <c r="K585" s="36" t="s">
        <v>7642</v>
      </c>
      <c r="L585" s="36" t="b">
        <v>0</v>
      </c>
    </row>
    <row r="586" spans="1:12" ht="12.75" hidden="1">
      <c r="A586" s="448">
        <v>45194.491893981482</v>
      </c>
      <c r="B586" s="449">
        <v>45199</v>
      </c>
      <c r="C586" s="36" t="s">
        <v>3388</v>
      </c>
      <c r="D586" s="450">
        <v>0.54166666666424135</v>
      </c>
      <c r="E586" s="36" t="s">
        <v>7643</v>
      </c>
      <c r="F586" s="36" t="s">
        <v>7644</v>
      </c>
      <c r="G586" s="36" t="s">
        <v>1449</v>
      </c>
      <c r="H586" s="36" t="s">
        <v>518</v>
      </c>
      <c r="I586" s="36">
        <v>2</v>
      </c>
      <c r="J586" s="36" t="s">
        <v>5895</v>
      </c>
      <c r="K586" s="36" t="s">
        <v>7642</v>
      </c>
      <c r="L586" s="36" t="b">
        <v>0</v>
      </c>
    </row>
    <row r="587" spans="1:12" ht="12.75" hidden="1">
      <c r="A587" s="448">
        <v>45194.552350208338</v>
      </c>
      <c r="B587" s="449">
        <v>45197</v>
      </c>
      <c r="C587" s="36" t="s">
        <v>12</v>
      </c>
      <c r="D587" s="450">
        <v>0.79166666666424135</v>
      </c>
      <c r="E587" s="36" t="s">
        <v>7645</v>
      </c>
      <c r="F587" s="36" t="s">
        <v>7646</v>
      </c>
      <c r="G587" s="36" t="s">
        <v>1231</v>
      </c>
      <c r="H587" s="36" t="s">
        <v>7647</v>
      </c>
      <c r="I587" s="36">
        <v>1</v>
      </c>
      <c r="J587" s="36" t="s">
        <v>5895</v>
      </c>
      <c r="K587" s="36" t="s">
        <v>7648</v>
      </c>
      <c r="L587" s="36" t="b">
        <v>1</v>
      </c>
    </row>
    <row r="588" spans="1:12" ht="12.75" hidden="1">
      <c r="A588" s="448">
        <v>45194.570546608797</v>
      </c>
      <c r="B588" s="449">
        <v>45192</v>
      </c>
      <c r="C588" s="36" t="s">
        <v>3383</v>
      </c>
      <c r="D588" s="450">
        <v>0.41666666666424135</v>
      </c>
      <c r="E588" s="36" t="s">
        <v>7649</v>
      </c>
      <c r="F588" s="36" t="s">
        <v>7650</v>
      </c>
      <c r="G588" s="36" t="s">
        <v>622</v>
      </c>
      <c r="H588" s="36" t="s">
        <v>6646</v>
      </c>
      <c r="I588" s="36">
        <v>2</v>
      </c>
      <c r="J588" s="36" t="s">
        <v>5895</v>
      </c>
      <c r="K588" s="36" t="s">
        <v>6255</v>
      </c>
      <c r="L588" s="36" t="b">
        <v>0</v>
      </c>
    </row>
    <row r="589" spans="1:12" ht="12.75" hidden="1">
      <c r="A589" s="448">
        <v>45195.515889965274</v>
      </c>
      <c r="B589" s="449">
        <v>45195</v>
      </c>
      <c r="C589" s="36" t="s">
        <v>3383</v>
      </c>
      <c r="D589" s="450">
        <v>0.75</v>
      </c>
      <c r="E589" s="36" t="s">
        <v>7651</v>
      </c>
      <c r="F589" s="36" t="s">
        <v>7652</v>
      </c>
      <c r="G589" s="36" t="s">
        <v>1796</v>
      </c>
      <c r="H589" s="36" t="s">
        <v>1848</v>
      </c>
      <c r="I589" s="36">
        <v>1</v>
      </c>
      <c r="J589" s="36" t="s">
        <v>5895</v>
      </c>
      <c r="K589" s="36" t="s">
        <v>6501</v>
      </c>
      <c r="L589" s="36" t="b">
        <v>0</v>
      </c>
    </row>
    <row r="590" spans="1:12" ht="12.75" hidden="1">
      <c r="A590" s="448">
        <v>45196.371138437498</v>
      </c>
      <c r="B590" s="449">
        <v>45192</v>
      </c>
      <c r="C590" s="36" t="s">
        <v>3388</v>
      </c>
      <c r="D590" s="450">
        <v>0.41666666666424135</v>
      </c>
      <c r="E590" s="36" t="s">
        <v>7490</v>
      </c>
      <c r="F590" s="36" t="s">
        <v>7653</v>
      </c>
      <c r="G590" s="36" t="s">
        <v>7573</v>
      </c>
      <c r="H590" s="36" t="s">
        <v>7229</v>
      </c>
      <c r="I590" s="36">
        <v>3</v>
      </c>
      <c r="J590" s="36" t="s">
        <v>5895</v>
      </c>
      <c r="K590" s="36" t="s">
        <v>7654</v>
      </c>
      <c r="L590" s="36" t="b">
        <v>0</v>
      </c>
    </row>
    <row r="591" spans="1:12" ht="12.75" hidden="1">
      <c r="A591" s="448">
        <v>45196.913987627311</v>
      </c>
      <c r="B591" s="449">
        <v>45196</v>
      </c>
      <c r="C591" s="36" t="s">
        <v>3388</v>
      </c>
      <c r="D591" s="450">
        <v>0.75</v>
      </c>
      <c r="E591" s="36" t="s">
        <v>7655</v>
      </c>
      <c r="F591" s="36" t="s">
        <v>7390</v>
      </c>
      <c r="G591" s="36" t="s">
        <v>1251</v>
      </c>
      <c r="H591" s="36" t="s">
        <v>7613</v>
      </c>
      <c r="I591" s="36">
        <v>1</v>
      </c>
      <c r="J591" s="36" t="s">
        <v>5895</v>
      </c>
      <c r="K591" s="36" t="s">
        <v>6812</v>
      </c>
      <c r="L591" s="36" t="b">
        <v>0</v>
      </c>
    </row>
    <row r="592" spans="1:12" ht="12.75" hidden="1">
      <c r="A592" s="448">
        <v>45196.91546462963</v>
      </c>
      <c r="B592" s="449">
        <v>45196</v>
      </c>
      <c r="C592" s="36" t="s">
        <v>3388</v>
      </c>
      <c r="D592" s="450">
        <v>0.83333333333575865</v>
      </c>
      <c r="E592" s="36" t="s">
        <v>7656</v>
      </c>
      <c r="F592" s="36" t="s">
        <v>7657</v>
      </c>
      <c r="G592" s="36" t="s">
        <v>1251</v>
      </c>
      <c r="H592" s="36" t="s">
        <v>5906</v>
      </c>
      <c r="I592" s="36">
        <v>1</v>
      </c>
      <c r="J592" s="36" t="s">
        <v>5895</v>
      </c>
      <c r="K592" s="36" t="s">
        <v>6812</v>
      </c>
      <c r="L592" s="36" t="b">
        <v>0</v>
      </c>
    </row>
    <row r="593" spans="1:12" ht="12.75" hidden="1">
      <c r="A593" s="448">
        <v>45198.524927962964</v>
      </c>
      <c r="B593" s="449">
        <v>45194</v>
      </c>
      <c r="C593" s="36" t="s">
        <v>3388</v>
      </c>
      <c r="D593" s="450">
        <v>0.75</v>
      </c>
      <c r="E593" s="36" t="s">
        <v>7604</v>
      </c>
      <c r="F593" s="36" t="s">
        <v>7658</v>
      </c>
      <c r="G593" s="36" t="s">
        <v>7559</v>
      </c>
      <c r="H593" s="36" t="s">
        <v>6053</v>
      </c>
      <c r="I593" s="36">
        <v>18</v>
      </c>
      <c r="J593" s="36" t="s">
        <v>5895</v>
      </c>
      <c r="K593" s="36" t="s">
        <v>7619</v>
      </c>
      <c r="L593" s="36" t="b">
        <v>0</v>
      </c>
    </row>
    <row r="594" spans="1:12" ht="12.75" hidden="1">
      <c r="A594" s="448">
        <v>45198.526187754629</v>
      </c>
      <c r="B594" s="449">
        <v>45194</v>
      </c>
      <c r="C594" s="36" t="s">
        <v>3388</v>
      </c>
      <c r="D594" s="450">
        <v>0.85416666666424135</v>
      </c>
      <c r="E594" s="36" t="s">
        <v>7607</v>
      </c>
      <c r="F594" s="36" t="s">
        <v>7659</v>
      </c>
      <c r="G594" s="36" t="s">
        <v>7559</v>
      </c>
      <c r="H594" s="36" t="s">
        <v>7378</v>
      </c>
      <c r="I594" s="36">
        <v>19</v>
      </c>
      <c r="J594" s="36" t="s">
        <v>5895</v>
      </c>
      <c r="K594" s="36" t="s">
        <v>7619</v>
      </c>
      <c r="L594" s="36" t="b">
        <v>0</v>
      </c>
    </row>
    <row r="595" spans="1:12" ht="12.75" hidden="1">
      <c r="A595" s="448">
        <v>45198.528598645833</v>
      </c>
      <c r="B595" s="449">
        <v>45195</v>
      </c>
      <c r="C595" s="36" t="s">
        <v>3388</v>
      </c>
      <c r="D595" s="450">
        <v>0.75</v>
      </c>
      <c r="E595" s="36" t="s">
        <v>7387</v>
      </c>
      <c r="F595" s="36" t="s">
        <v>7660</v>
      </c>
      <c r="G595" s="36" t="s">
        <v>7559</v>
      </c>
      <c r="H595" s="36" t="s">
        <v>7610</v>
      </c>
      <c r="I595" s="36">
        <v>20</v>
      </c>
      <c r="J595" s="36" t="s">
        <v>5895</v>
      </c>
      <c r="K595" s="36" t="s">
        <v>7619</v>
      </c>
      <c r="L595" s="36" t="b">
        <v>0</v>
      </c>
    </row>
    <row r="596" spans="1:12" ht="12.75" hidden="1">
      <c r="A596" s="448">
        <v>45198.530226643517</v>
      </c>
      <c r="B596" s="449">
        <v>45195</v>
      </c>
      <c r="C596" s="36" t="s">
        <v>3388</v>
      </c>
      <c r="D596" s="450">
        <v>0.79166666666424135</v>
      </c>
      <c r="E596" s="36" t="s">
        <v>7611</v>
      </c>
      <c r="F596" s="36" t="s">
        <v>7661</v>
      </c>
      <c r="G596" s="36" t="s">
        <v>7559</v>
      </c>
      <c r="H596" s="36" t="s">
        <v>7662</v>
      </c>
      <c r="I596" s="36">
        <v>21</v>
      </c>
      <c r="J596" s="36" t="s">
        <v>5895</v>
      </c>
      <c r="K596" s="36" t="s">
        <v>7619</v>
      </c>
      <c r="L596" s="36" t="b">
        <v>0</v>
      </c>
    </row>
    <row r="597" spans="1:12" ht="12.75" hidden="1">
      <c r="A597" s="448">
        <v>45198.531149571761</v>
      </c>
      <c r="B597" s="449">
        <v>45196</v>
      </c>
      <c r="C597" s="36" t="s">
        <v>3388</v>
      </c>
      <c r="D597" s="450">
        <v>0.75</v>
      </c>
      <c r="E597" s="36" t="s">
        <v>7618</v>
      </c>
      <c r="F597" s="36" t="s">
        <v>7663</v>
      </c>
      <c r="G597" s="36" t="s">
        <v>7559</v>
      </c>
      <c r="H597" s="36" t="s">
        <v>7565</v>
      </c>
      <c r="I597" s="36">
        <v>22</v>
      </c>
      <c r="J597" s="36" t="s">
        <v>5895</v>
      </c>
      <c r="K597" s="36" t="s">
        <v>7619</v>
      </c>
      <c r="L597" s="36" t="b">
        <v>0</v>
      </c>
    </row>
    <row r="598" spans="1:12" ht="12.75" hidden="1">
      <c r="A598" s="448">
        <v>45198.53229581019</v>
      </c>
      <c r="B598" s="449">
        <v>45196</v>
      </c>
      <c r="C598" s="36" t="s">
        <v>3388</v>
      </c>
      <c r="D598" s="450">
        <v>0.79166666666424135</v>
      </c>
      <c r="E598" s="36" t="s">
        <v>7620</v>
      </c>
      <c r="F598" s="36" t="s">
        <v>7664</v>
      </c>
      <c r="G598" s="36" t="s">
        <v>7559</v>
      </c>
      <c r="H598" s="36" t="s">
        <v>7565</v>
      </c>
      <c r="I598" s="36">
        <v>23</v>
      </c>
      <c r="J598" s="36" t="s">
        <v>5895</v>
      </c>
      <c r="K598" s="36" t="s">
        <v>7619</v>
      </c>
      <c r="L598" s="36" t="b">
        <v>0</v>
      </c>
    </row>
    <row r="599" spans="1:12" ht="12.75" hidden="1">
      <c r="A599" s="448">
        <v>45198.533456111109</v>
      </c>
      <c r="B599" s="449">
        <v>45197</v>
      </c>
      <c r="C599" s="36" t="s">
        <v>3388</v>
      </c>
      <c r="D599" s="450">
        <v>0.75</v>
      </c>
      <c r="E599" s="36" t="s">
        <v>7622</v>
      </c>
      <c r="F599" s="36" t="s">
        <v>7562</v>
      </c>
      <c r="G599" s="36" t="s">
        <v>7559</v>
      </c>
      <c r="H599" s="36" t="s">
        <v>7624</v>
      </c>
      <c r="I599" s="36">
        <v>24</v>
      </c>
      <c r="J599" s="36" t="s">
        <v>5895</v>
      </c>
      <c r="K599" s="36" t="s">
        <v>7619</v>
      </c>
      <c r="L599" s="36" t="b">
        <v>0</v>
      </c>
    </row>
    <row r="600" spans="1:12" ht="12.75" hidden="1">
      <c r="A600" s="448">
        <v>45198.547829826392</v>
      </c>
      <c r="B600" s="449">
        <v>45198</v>
      </c>
      <c r="C600" s="36" t="s">
        <v>3388</v>
      </c>
      <c r="D600" s="450">
        <v>0.70833333333575865</v>
      </c>
      <c r="E600" s="36" t="s">
        <v>7626</v>
      </c>
      <c r="F600" s="36" t="s">
        <v>7665</v>
      </c>
      <c r="G600" s="36" t="s">
        <v>7559</v>
      </c>
      <c r="H600" s="36" t="s">
        <v>7666</v>
      </c>
      <c r="I600" s="36">
        <v>25</v>
      </c>
      <c r="J600" s="36" t="s">
        <v>5895</v>
      </c>
      <c r="K600" s="36" t="s">
        <v>7619</v>
      </c>
      <c r="L600" s="36" t="b">
        <v>0</v>
      </c>
    </row>
    <row r="601" spans="1:12" ht="12.75" hidden="1">
      <c r="A601" s="448">
        <v>45198.548926504634</v>
      </c>
      <c r="B601" s="449">
        <v>45198</v>
      </c>
      <c r="C601" s="36" t="s">
        <v>3388</v>
      </c>
      <c r="D601" s="450">
        <v>0.79166666666424135</v>
      </c>
      <c r="E601" s="36" t="s">
        <v>7628</v>
      </c>
      <c r="F601" s="36" t="s">
        <v>7562</v>
      </c>
      <c r="G601" s="36" t="s">
        <v>7559</v>
      </c>
      <c r="H601" s="36" t="s">
        <v>7666</v>
      </c>
      <c r="I601" s="36">
        <v>26</v>
      </c>
      <c r="J601" s="36" t="s">
        <v>5895</v>
      </c>
      <c r="K601" s="36" t="s">
        <v>7619</v>
      </c>
      <c r="L601" s="36" t="b">
        <v>0</v>
      </c>
    </row>
    <row r="602" spans="1:12" ht="12.75" hidden="1">
      <c r="A602" s="448">
        <v>45198.561316261577</v>
      </c>
      <c r="B602" s="449">
        <v>45202</v>
      </c>
      <c r="C602" s="36" t="s">
        <v>3383</v>
      </c>
      <c r="D602" s="450">
        <v>0.8125</v>
      </c>
      <c r="E602" s="36" t="s">
        <v>7667</v>
      </c>
      <c r="F602" s="36" t="s">
        <v>7668</v>
      </c>
      <c r="G602" s="36" t="s">
        <v>589</v>
      </c>
      <c r="H602" s="36" t="s">
        <v>7669</v>
      </c>
      <c r="I602" s="36">
        <v>1</v>
      </c>
      <c r="J602" s="36" t="s">
        <v>5895</v>
      </c>
      <c r="K602" s="36" t="s">
        <v>7670</v>
      </c>
      <c r="L602" s="36" t="b">
        <v>0</v>
      </c>
    </row>
    <row r="603" spans="1:12" ht="12.75" hidden="1">
      <c r="A603" s="448">
        <v>45198.903797106483</v>
      </c>
      <c r="B603" s="449">
        <v>45186</v>
      </c>
      <c r="C603" s="36" t="s">
        <v>3388</v>
      </c>
      <c r="D603" s="450">
        <v>0.41666666666424135</v>
      </c>
      <c r="E603" s="36" t="s">
        <v>6873</v>
      </c>
      <c r="F603" s="36" t="s">
        <v>7671</v>
      </c>
      <c r="G603" s="36" t="s">
        <v>1042</v>
      </c>
      <c r="H603" s="36" t="s">
        <v>5906</v>
      </c>
      <c r="I603" s="36">
        <v>1</v>
      </c>
      <c r="J603" s="36" t="s">
        <v>5895</v>
      </c>
      <c r="K603" s="36" t="s">
        <v>7349</v>
      </c>
      <c r="L603" s="36" t="b">
        <v>0</v>
      </c>
    </row>
    <row r="604" spans="1:12" ht="12.75" hidden="1">
      <c r="A604" s="448">
        <v>45198.907746076387</v>
      </c>
      <c r="B604" s="449">
        <v>45186</v>
      </c>
      <c r="C604" s="36" t="s">
        <v>3388</v>
      </c>
      <c r="D604" s="450">
        <v>0.45833333333575865</v>
      </c>
      <c r="E604" s="36" t="s">
        <v>6876</v>
      </c>
      <c r="F604" s="36" t="s">
        <v>7672</v>
      </c>
      <c r="G604" s="36" t="s">
        <v>1042</v>
      </c>
      <c r="H604" s="36" t="s">
        <v>5906</v>
      </c>
      <c r="I604" s="36">
        <v>2</v>
      </c>
      <c r="J604" s="36" t="s">
        <v>5895</v>
      </c>
      <c r="K604" s="36" t="s">
        <v>7349</v>
      </c>
      <c r="L604" s="36" t="b">
        <v>0</v>
      </c>
    </row>
    <row r="605" spans="1:12" ht="12.75" hidden="1">
      <c r="A605" s="448">
        <v>45199.357817222219</v>
      </c>
      <c r="B605" s="449">
        <v>45202</v>
      </c>
      <c r="C605" s="36" t="s">
        <v>3388</v>
      </c>
      <c r="D605" s="450">
        <v>0.75</v>
      </c>
      <c r="E605" s="36" t="s">
        <v>6846</v>
      </c>
      <c r="F605" s="36" t="s">
        <v>7673</v>
      </c>
      <c r="G605" s="36" t="s">
        <v>1357</v>
      </c>
      <c r="H605" s="36" t="s">
        <v>7674</v>
      </c>
      <c r="I605" s="36">
        <v>1</v>
      </c>
      <c r="J605" s="36" t="s">
        <v>6093</v>
      </c>
      <c r="K605" s="36" t="s">
        <v>7675</v>
      </c>
      <c r="L605" s="36" t="b">
        <v>0</v>
      </c>
    </row>
    <row r="606" spans="1:12" ht="12.75" hidden="1">
      <c r="A606" s="448">
        <v>45199.360316805556</v>
      </c>
      <c r="B606" s="449">
        <v>45203</v>
      </c>
      <c r="C606" s="36" t="s">
        <v>3388</v>
      </c>
      <c r="D606" s="450">
        <v>0.70833333333575865</v>
      </c>
      <c r="E606" s="36" t="s">
        <v>7213</v>
      </c>
      <c r="F606" s="36" t="s">
        <v>7676</v>
      </c>
      <c r="G606" s="36" t="s">
        <v>1357</v>
      </c>
      <c r="H606" s="36" t="s">
        <v>6765</v>
      </c>
      <c r="I606" s="36">
        <v>2</v>
      </c>
      <c r="J606" s="36" t="s">
        <v>6093</v>
      </c>
      <c r="K606" s="36" t="s">
        <v>7675</v>
      </c>
      <c r="L606" s="36" t="b">
        <v>0</v>
      </c>
    </row>
    <row r="607" spans="1:12" ht="12.75" hidden="1">
      <c r="A607" s="448">
        <v>45199.680387581015</v>
      </c>
      <c r="B607" s="449">
        <v>45199</v>
      </c>
      <c r="C607" s="36" t="s">
        <v>3383</v>
      </c>
      <c r="D607" s="450">
        <v>0.79166666666424135</v>
      </c>
      <c r="E607" s="36" t="s">
        <v>7677</v>
      </c>
      <c r="F607" s="36" t="s">
        <v>7678</v>
      </c>
      <c r="G607" s="36" t="s">
        <v>7016</v>
      </c>
      <c r="H607" s="193" t="s">
        <v>7362</v>
      </c>
      <c r="I607" s="36">
        <v>1</v>
      </c>
      <c r="J607" s="36" t="s">
        <v>5895</v>
      </c>
      <c r="K607" s="36" t="s">
        <v>7679</v>
      </c>
      <c r="L607" s="36" t="b">
        <v>0</v>
      </c>
    </row>
    <row r="608" spans="1:12" ht="12.75" hidden="1">
      <c r="A608" s="448">
        <v>45199.827645127312</v>
      </c>
      <c r="B608" s="449">
        <v>45194</v>
      </c>
      <c r="C608" s="36" t="s">
        <v>3383</v>
      </c>
      <c r="D608" s="450">
        <v>0.75</v>
      </c>
      <c r="E608" s="36" t="s">
        <v>7680</v>
      </c>
      <c r="F608" s="36" t="s">
        <v>7681</v>
      </c>
      <c r="G608" s="36" t="s">
        <v>1501</v>
      </c>
      <c r="H608" s="36" t="s">
        <v>7682</v>
      </c>
      <c r="I608" s="36">
        <v>1</v>
      </c>
      <c r="J608" s="36" t="s">
        <v>5895</v>
      </c>
      <c r="K608" s="36" t="s">
        <v>7683</v>
      </c>
      <c r="L608" s="36" t="b">
        <v>0</v>
      </c>
    </row>
    <row r="609" spans="1:12" ht="12.75" hidden="1">
      <c r="A609" s="448">
        <v>45199.828936087964</v>
      </c>
      <c r="B609" s="449">
        <v>45196</v>
      </c>
      <c r="C609" s="36" t="s">
        <v>3383</v>
      </c>
      <c r="D609" s="450">
        <v>0.75</v>
      </c>
      <c r="E609" s="36" t="s">
        <v>7680</v>
      </c>
      <c r="F609" s="36" t="s">
        <v>7684</v>
      </c>
      <c r="G609" s="36" t="s">
        <v>1501</v>
      </c>
      <c r="H609" s="36" t="s">
        <v>7682</v>
      </c>
      <c r="I609" s="36">
        <v>2</v>
      </c>
      <c r="J609" s="36" t="s">
        <v>5895</v>
      </c>
      <c r="K609" s="36" t="s">
        <v>7683</v>
      </c>
      <c r="L609" s="36" t="b">
        <v>0</v>
      </c>
    </row>
    <row r="610" spans="1:12" ht="12.75" hidden="1">
      <c r="A610" s="448">
        <v>45199.954731168982</v>
      </c>
      <c r="B610" s="449">
        <v>45193</v>
      </c>
      <c r="C610" s="36" t="s">
        <v>3388</v>
      </c>
      <c r="D610" s="450">
        <v>0.41666666666424135</v>
      </c>
      <c r="E610" s="36" t="s">
        <v>7279</v>
      </c>
      <c r="F610" s="36" t="s">
        <v>7685</v>
      </c>
      <c r="G610" s="36" t="s">
        <v>1322</v>
      </c>
      <c r="H610" s="36" t="s">
        <v>6928</v>
      </c>
      <c r="I610" s="36">
        <v>2</v>
      </c>
      <c r="J610" s="36" t="s">
        <v>5895</v>
      </c>
      <c r="K610" s="36" t="s">
        <v>7686</v>
      </c>
      <c r="L610" s="36" t="b">
        <v>0</v>
      </c>
    </row>
    <row r="611" spans="1:12" ht="12.75" hidden="1">
      <c r="A611" s="448">
        <v>45199.9559834838</v>
      </c>
      <c r="B611" s="449">
        <v>45193</v>
      </c>
      <c r="C611" s="36" t="s">
        <v>3388</v>
      </c>
      <c r="D611" s="450">
        <v>0.45833333333575865</v>
      </c>
      <c r="E611" s="36" t="s">
        <v>7687</v>
      </c>
      <c r="F611" s="36" t="s">
        <v>7688</v>
      </c>
      <c r="G611" s="36" t="s">
        <v>1322</v>
      </c>
      <c r="H611" s="36" t="s">
        <v>3580</v>
      </c>
      <c r="I611" s="36">
        <v>3</v>
      </c>
      <c r="J611" s="36" t="s">
        <v>5895</v>
      </c>
      <c r="K611" s="36" t="s">
        <v>7689</v>
      </c>
      <c r="L611" s="36" t="b">
        <v>0</v>
      </c>
    </row>
    <row r="612" spans="1:12" ht="12.75" hidden="1">
      <c r="A612" s="448">
        <v>45199.983141377314</v>
      </c>
      <c r="B612" s="449">
        <v>45183</v>
      </c>
      <c r="C612" s="36" t="s">
        <v>3388</v>
      </c>
      <c r="D612" s="450">
        <v>0.75</v>
      </c>
      <c r="E612" s="36" t="s">
        <v>7253</v>
      </c>
      <c r="F612" s="36" t="s">
        <v>5953</v>
      </c>
      <c r="G612" s="36" t="s">
        <v>1312</v>
      </c>
      <c r="H612" s="36" t="s">
        <v>7127</v>
      </c>
      <c r="I612" s="36">
        <v>1</v>
      </c>
      <c r="J612" s="36" t="s">
        <v>5895</v>
      </c>
      <c r="K612" s="36" t="s">
        <v>7690</v>
      </c>
      <c r="L612" s="36" t="b">
        <v>0</v>
      </c>
    </row>
    <row r="613" spans="1:12" ht="12.75" hidden="1">
      <c r="A613" s="448">
        <v>45199.984545509258</v>
      </c>
      <c r="B613" s="449">
        <v>45186</v>
      </c>
      <c r="C613" s="36" t="s">
        <v>3388</v>
      </c>
      <c r="D613" s="450">
        <v>0.79166666666424135</v>
      </c>
      <c r="E613" s="36" t="s">
        <v>7286</v>
      </c>
      <c r="F613" s="36" t="s">
        <v>7691</v>
      </c>
      <c r="G613" s="36" t="s">
        <v>1312</v>
      </c>
      <c r="H613" s="36" t="s">
        <v>6928</v>
      </c>
      <c r="I613" s="36">
        <v>2</v>
      </c>
      <c r="J613" s="36" t="s">
        <v>5895</v>
      </c>
      <c r="K613" s="36" t="s">
        <v>7692</v>
      </c>
      <c r="L613" s="36" t="b">
        <v>0</v>
      </c>
    </row>
    <row r="614" spans="1:12" ht="12.75" hidden="1">
      <c r="A614" s="448">
        <v>45200.445323935186</v>
      </c>
      <c r="B614" s="449">
        <v>45195</v>
      </c>
      <c r="C614" s="36" t="s">
        <v>3388</v>
      </c>
      <c r="D614" s="450">
        <v>0.75</v>
      </c>
      <c r="E614" s="36" t="s">
        <v>7693</v>
      </c>
      <c r="F614" s="36" t="s">
        <v>7694</v>
      </c>
      <c r="G614" s="36" t="s">
        <v>3941</v>
      </c>
      <c r="H614" s="36" t="s">
        <v>6363</v>
      </c>
      <c r="I614" s="36">
        <v>3</v>
      </c>
      <c r="J614" s="36" t="s">
        <v>5895</v>
      </c>
      <c r="K614" s="36" t="s">
        <v>7695</v>
      </c>
      <c r="L614" s="36" t="b">
        <v>0</v>
      </c>
    </row>
    <row r="615" spans="1:12" ht="12.75" hidden="1">
      <c r="A615" s="448">
        <v>45200.446446655093</v>
      </c>
      <c r="B615" s="449">
        <v>45195</v>
      </c>
      <c r="C615" s="36" t="s">
        <v>3388</v>
      </c>
      <c r="D615" s="450">
        <v>0.79166666666424135</v>
      </c>
      <c r="E615" s="36" t="s">
        <v>7591</v>
      </c>
      <c r="F615" s="36" t="s">
        <v>7696</v>
      </c>
      <c r="G615" s="36" t="s">
        <v>3941</v>
      </c>
      <c r="H615" s="36" t="s">
        <v>5937</v>
      </c>
      <c r="I615" s="36">
        <v>4</v>
      </c>
      <c r="J615" s="36" t="s">
        <v>5895</v>
      </c>
      <c r="K615" s="36" t="s">
        <v>7697</v>
      </c>
      <c r="L615" s="36" t="b">
        <v>0</v>
      </c>
    </row>
    <row r="616" spans="1:12" ht="12.75" hidden="1">
      <c r="A616" s="448">
        <v>45200.476852256943</v>
      </c>
      <c r="B616" s="449">
        <v>45199</v>
      </c>
      <c r="C616" s="36" t="s">
        <v>12</v>
      </c>
      <c r="D616" s="450">
        <v>0.41666666666424135</v>
      </c>
      <c r="E616" s="36" t="s">
        <v>7698</v>
      </c>
      <c r="F616" s="36" t="s">
        <v>7699</v>
      </c>
      <c r="G616" s="36" t="s">
        <v>1669</v>
      </c>
      <c r="H616" s="36" t="s">
        <v>6402</v>
      </c>
      <c r="I616" s="36">
        <v>1</v>
      </c>
      <c r="J616" s="36" t="s">
        <v>5895</v>
      </c>
      <c r="K616" s="36" t="s">
        <v>7700</v>
      </c>
      <c r="L616" s="36" t="b">
        <v>1</v>
      </c>
    </row>
    <row r="617" spans="1:12" ht="12.75" hidden="1">
      <c r="A617" s="448">
        <v>45200.558837662036</v>
      </c>
      <c r="B617" s="449">
        <v>45200</v>
      </c>
      <c r="C617" s="36" t="s">
        <v>3388</v>
      </c>
      <c r="D617" s="450">
        <v>0.79166666666424135</v>
      </c>
      <c r="E617" s="36" t="s">
        <v>7701</v>
      </c>
      <c r="F617" s="36" t="s">
        <v>7702</v>
      </c>
      <c r="G617" s="36" t="s">
        <v>7703</v>
      </c>
      <c r="H617" s="36" t="s">
        <v>6928</v>
      </c>
      <c r="I617" s="36">
        <v>1</v>
      </c>
      <c r="J617" s="36" t="s">
        <v>5895</v>
      </c>
      <c r="K617" s="36" t="s">
        <v>7704</v>
      </c>
      <c r="L617" s="36" t="b">
        <v>0</v>
      </c>
    </row>
    <row r="618" spans="1:12" ht="12.75" hidden="1">
      <c r="A618" s="448">
        <v>45201.934217847222</v>
      </c>
      <c r="B618" s="449">
        <v>45201</v>
      </c>
      <c r="C618" s="36" t="s">
        <v>3383</v>
      </c>
      <c r="D618" s="450">
        <v>0.83333333333575865</v>
      </c>
      <c r="E618" s="36" t="s">
        <v>7705</v>
      </c>
      <c r="F618" s="36" t="s">
        <v>7706</v>
      </c>
      <c r="G618" s="36" t="s">
        <v>756</v>
      </c>
      <c r="H618" s="36" t="s">
        <v>7707</v>
      </c>
      <c r="I618" s="36">
        <v>1</v>
      </c>
      <c r="J618" s="36" t="s">
        <v>5895</v>
      </c>
      <c r="K618" s="36" t="s">
        <v>7708</v>
      </c>
      <c r="L618" s="36" t="b">
        <v>0</v>
      </c>
    </row>
    <row r="619" spans="1:12" ht="12.75" hidden="1">
      <c r="A619" s="448">
        <v>45202.546210462962</v>
      </c>
      <c r="B619" s="449">
        <v>45202</v>
      </c>
      <c r="C619" s="36" t="s">
        <v>3388</v>
      </c>
      <c r="D619" s="450">
        <v>0.79166666666424135</v>
      </c>
      <c r="E619" s="36" t="s">
        <v>7591</v>
      </c>
      <c r="F619" s="36" t="s">
        <v>7709</v>
      </c>
      <c r="G619" s="36" t="s">
        <v>3941</v>
      </c>
      <c r="H619" s="36" t="s">
        <v>7710</v>
      </c>
      <c r="I619" s="36">
        <v>1</v>
      </c>
      <c r="J619" s="36" t="s">
        <v>6093</v>
      </c>
      <c r="K619" s="36" t="s">
        <v>7711</v>
      </c>
      <c r="L619" s="36" t="b">
        <v>0</v>
      </c>
    </row>
    <row r="620" spans="1:12" ht="12.75" hidden="1">
      <c r="A620" s="448">
        <v>45202.548592870371</v>
      </c>
      <c r="B620" s="449">
        <v>45209</v>
      </c>
      <c r="C620" s="36" t="s">
        <v>3388</v>
      </c>
      <c r="D620" s="450">
        <v>0.75</v>
      </c>
      <c r="E620" s="36" t="s">
        <v>7693</v>
      </c>
      <c r="F620" s="36" t="s">
        <v>6317</v>
      </c>
      <c r="G620" s="36" t="s">
        <v>3941</v>
      </c>
      <c r="H620" s="36" t="s">
        <v>7710</v>
      </c>
      <c r="I620" s="36">
        <v>2</v>
      </c>
      <c r="J620" s="36" t="s">
        <v>6093</v>
      </c>
      <c r="K620" s="36" t="s">
        <v>7711</v>
      </c>
      <c r="L620" s="36" t="b">
        <v>0</v>
      </c>
    </row>
    <row r="621" spans="1:12" ht="12.75" hidden="1">
      <c r="A621" s="448">
        <v>45202.550023217591</v>
      </c>
      <c r="B621" s="449">
        <v>45202</v>
      </c>
      <c r="C621" s="36" t="s">
        <v>3388</v>
      </c>
      <c r="D621" s="450">
        <v>0.75</v>
      </c>
      <c r="E621" s="36" t="s">
        <v>7693</v>
      </c>
      <c r="F621" s="36" t="s">
        <v>7712</v>
      </c>
      <c r="G621" s="36" t="s">
        <v>3941</v>
      </c>
      <c r="H621" s="36" t="s">
        <v>6363</v>
      </c>
      <c r="I621" s="36">
        <v>3</v>
      </c>
      <c r="J621" s="36" t="s">
        <v>5895</v>
      </c>
      <c r="K621" s="36" t="s">
        <v>7713</v>
      </c>
      <c r="L621" s="36" t="b">
        <v>0</v>
      </c>
    </row>
    <row r="622" spans="1:12" ht="12.75" hidden="1">
      <c r="A622" s="448">
        <v>45202.567387256946</v>
      </c>
      <c r="B622" s="449">
        <v>45202</v>
      </c>
      <c r="C622" s="36" t="s">
        <v>3383</v>
      </c>
      <c r="D622" s="450">
        <v>0.85416666666424135</v>
      </c>
      <c r="E622" s="36" t="s">
        <v>7714</v>
      </c>
      <c r="F622" s="36" t="s">
        <v>7715</v>
      </c>
      <c r="G622" s="36" t="s">
        <v>756</v>
      </c>
      <c r="H622" s="36" t="s">
        <v>7060</v>
      </c>
      <c r="I622" s="36">
        <v>2</v>
      </c>
      <c r="J622" s="36" t="s">
        <v>5895</v>
      </c>
      <c r="K622" s="36" t="s">
        <v>7716</v>
      </c>
      <c r="L622" s="36" t="b">
        <v>0</v>
      </c>
    </row>
    <row r="623" spans="1:12" ht="12.75" hidden="1">
      <c r="A623" s="448">
        <v>45202.572856284722</v>
      </c>
      <c r="B623" s="449">
        <v>45202</v>
      </c>
      <c r="C623" s="36" t="s">
        <v>3383</v>
      </c>
      <c r="D623" s="450">
        <v>0.72916666666424135</v>
      </c>
      <c r="E623" s="36" t="s">
        <v>7717</v>
      </c>
      <c r="F623" s="36" t="s">
        <v>7158</v>
      </c>
      <c r="G623" s="36" t="s">
        <v>756</v>
      </c>
      <c r="H623" s="36" t="s">
        <v>7718</v>
      </c>
      <c r="I623" s="36">
        <v>3</v>
      </c>
      <c r="J623" s="36" t="s">
        <v>5895</v>
      </c>
      <c r="K623" s="36" t="s">
        <v>7716</v>
      </c>
      <c r="L623" s="36" t="b">
        <v>0</v>
      </c>
    </row>
    <row r="624" spans="1:12" ht="12.75" hidden="1">
      <c r="A624" s="448">
        <v>45203.780542870372</v>
      </c>
      <c r="B624" s="449">
        <v>45204</v>
      </c>
      <c r="C624" s="36" t="s">
        <v>3383</v>
      </c>
      <c r="D624" s="450">
        <v>0.72916666666424135</v>
      </c>
      <c r="E624" s="36" t="s">
        <v>7719</v>
      </c>
      <c r="F624" s="36" t="s">
        <v>7720</v>
      </c>
      <c r="G624" s="36" t="s">
        <v>756</v>
      </c>
      <c r="H624" s="36" t="s">
        <v>6385</v>
      </c>
      <c r="I624" s="36">
        <v>4</v>
      </c>
      <c r="J624" s="36" t="s">
        <v>5895</v>
      </c>
      <c r="K624" s="36" t="s">
        <v>7721</v>
      </c>
      <c r="L624" s="36" t="b">
        <v>0</v>
      </c>
    </row>
    <row r="625" spans="1:12" ht="12.75" hidden="1">
      <c r="A625" s="448">
        <v>45203.783086840282</v>
      </c>
      <c r="B625" s="449">
        <v>45205</v>
      </c>
      <c r="C625" s="36" t="s">
        <v>3383</v>
      </c>
      <c r="D625" s="450">
        <v>0.75</v>
      </c>
      <c r="E625" s="36" t="s">
        <v>7722</v>
      </c>
      <c r="F625" s="36" t="s">
        <v>7723</v>
      </c>
      <c r="G625" s="36" t="s">
        <v>756</v>
      </c>
      <c r="H625" s="36" t="s">
        <v>7724</v>
      </c>
      <c r="I625" s="36">
        <v>6</v>
      </c>
      <c r="J625" s="36" t="s">
        <v>5895</v>
      </c>
      <c r="K625" s="36" t="s">
        <v>7725</v>
      </c>
      <c r="L625" s="36" t="b">
        <v>0</v>
      </c>
    </row>
    <row r="626" spans="1:12" ht="12.75" hidden="1">
      <c r="A626" s="448">
        <v>45203.784190057871</v>
      </c>
      <c r="B626" s="449">
        <v>45205</v>
      </c>
      <c r="C626" s="36" t="s">
        <v>3383</v>
      </c>
      <c r="D626" s="450">
        <v>0.81944444444525288</v>
      </c>
      <c r="E626" s="36" t="s">
        <v>7726</v>
      </c>
      <c r="F626" s="36" t="s">
        <v>7727</v>
      </c>
      <c r="G626" s="36" t="s">
        <v>756</v>
      </c>
      <c r="H626" s="36" t="s">
        <v>7724</v>
      </c>
      <c r="I626" s="36">
        <v>7</v>
      </c>
      <c r="J626" s="36" t="s">
        <v>5895</v>
      </c>
      <c r="K626" s="36" t="s">
        <v>7725</v>
      </c>
      <c r="L626" s="36" t="b">
        <v>0</v>
      </c>
    </row>
    <row r="627" spans="1:12" ht="12.75" hidden="1">
      <c r="A627" s="448">
        <v>45203.805660034719</v>
      </c>
      <c r="B627" s="449">
        <v>45205</v>
      </c>
      <c r="C627" s="36" t="s">
        <v>3388</v>
      </c>
      <c r="D627" s="450">
        <v>0.70833333333575865</v>
      </c>
      <c r="E627" s="36" t="s">
        <v>7728</v>
      </c>
      <c r="F627" s="36" t="s">
        <v>7729</v>
      </c>
      <c r="G627" s="36" t="s">
        <v>756</v>
      </c>
      <c r="H627" s="36" t="s">
        <v>3580</v>
      </c>
      <c r="I627" s="36">
        <v>1</v>
      </c>
      <c r="J627" s="36" t="s">
        <v>5895</v>
      </c>
      <c r="K627" s="36" t="s">
        <v>7730</v>
      </c>
      <c r="L627" s="36" t="b">
        <v>0</v>
      </c>
    </row>
    <row r="628" spans="1:12" ht="12.75" hidden="1">
      <c r="A628" s="448">
        <v>45203.819128668983</v>
      </c>
      <c r="B628" s="449">
        <v>45205</v>
      </c>
      <c r="C628" s="36" t="s">
        <v>3383</v>
      </c>
      <c r="D628" s="450">
        <v>0.79166666666424135</v>
      </c>
      <c r="E628" s="36" t="s">
        <v>7731</v>
      </c>
      <c r="F628" s="36" t="s">
        <v>7732</v>
      </c>
      <c r="G628" s="36" t="s">
        <v>7733</v>
      </c>
      <c r="H628" s="36" t="s">
        <v>7734</v>
      </c>
      <c r="I628" s="36">
        <v>7</v>
      </c>
      <c r="J628" s="36" t="s">
        <v>5895</v>
      </c>
      <c r="K628" s="36" t="s">
        <v>7725</v>
      </c>
      <c r="L628" s="36" t="b">
        <v>0</v>
      </c>
    </row>
    <row r="629" spans="1:12" ht="12.75" hidden="1">
      <c r="A629" s="448">
        <v>45203.866395671299</v>
      </c>
      <c r="B629" s="449">
        <v>45197</v>
      </c>
      <c r="C629" s="36" t="s">
        <v>3388</v>
      </c>
      <c r="D629" s="450">
        <v>0.75</v>
      </c>
      <c r="E629" s="36" t="s">
        <v>7735</v>
      </c>
      <c r="F629" s="36" t="s">
        <v>7736</v>
      </c>
      <c r="G629" s="36" t="s">
        <v>884</v>
      </c>
      <c r="H629" s="36" t="s">
        <v>1113</v>
      </c>
      <c r="I629" s="36">
        <v>1</v>
      </c>
      <c r="J629" s="36" t="s">
        <v>5895</v>
      </c>
      <c r="K629" s="36" t="s">
        <v>7737</v>
      </c>
      <c r="L629" s="36" t="b">
        <v>0</v>
      </c>
    </row>
    <row r="630" spans="1:12" ht="12.75" hidden="1">
      <c r="A630" s="448">
        <v>45203.872409814816</v>
      </c>
      <c r="B630" s="449">
        <v>45197</v>
      </c>
      <c r="C630" s="36" t="s">
        <v>3388</v>
      </c>
      <c r="D630" s="450">
        <v>0.79166666666424135</v>
      </c>
      <c r="E630" s="36" t="s">
        <v>6490</v>
      </c>
      <c r="F630" s="36" t="s">
        <v>7738</v>
      </c>
      <c r="G630" s="36" t="s">
        <v>884</v>
      </c>
      <c r="H630" s="36" t="s">
        <v>7739</v>
      </c>
      <c r="I630" s="36">
        <v>2</v>
      </c>
      <c r="J630" s="36" t="s">
        <v>5895</v>
      </c>
      <c r="K630" s="36" t="s">
        <v>7740</v>
      </c>
      <c r="L630" s="36" t="b">
        <v>0</v>
      </c>
    </row>
    <row r="631" spans="1:12" ht="12.75" hidden="1">
      <c r="A631" s="448">
        <v>45205.430916620375</v>
      </c>
      <c r="B631" s="449">
        <v>45208</v>
      </c>
      <c r="C631" s="36" t="s">
        <v>14</v>
      </c>
      <c r="D631" s="450">
        <v>0.70833333333575865</v>
      </c>
      <c r="E631" s="36" t="s">
        <v>7741</v>
      </c>
      <c r="F631" s="36" t="s">
        <v>7742</v>
      </c>
      <c r="G631" s="36" t="s">
        <v>6241</v>
      </c>
      <c r="H631" s="36" t="s">
        <v>7743</v>
      </c>
      <c r="I631" s="36">
        <v>1</v>
      </c>
      <c r="J631" s="36" t="s">
        <v>5895</v>
      </c>
      <c r="K631" s="36" t="s">
        <v>6122</v>
      </c>
      <c r="L631" s="36" t="b">
        <v>0</v>
      </c>
    </row>
    <row r="632" spans="1:12" ht="12.75" hidden="1">
      <c r="A632" s="448">
        <v>45205.43144792824</v>
      </c>
      <c r="B632" s="449">
        <v>45210</v>
      </c>
      <c r="C632" s="36" t="s">
        <v>14</v>
      </c>
      <c r="D632" s="450">
        <v>0.70833333333575865</v>
      </c>
      <c r="E632" s="36" t="s">
        <v>7741</v>
      </c>
      <c r="F632" s="36" t="s">
        <v>7744</v>
      </c>
      <c r="G632" s="36" t="s">
        <v>6241</v>
      </c>
      <c r="H632" s="36" t="s">
        <v>7743</v>
      </c>
      <c r="I632" s="36">
        <v>2</v>
      </c>
      <c r="J632" s="36" t="s">
        <v>5895</v>
      </c>
      <c r="K632" s="36" t="s">
        <v>6122</v>
      </c>
      <c r="L632" s="36" t="b">
        <v>0</v>
      </c>
    </row>
    <row r="633" spans="1:12" ht="12.75" hidden="1">
      <c r="A633" s="448">
        <v>45205.568716435184</v>
      </c>
      <c r="B633" s="449">
        <v>45205</v>
      </c>
      <c r="C633" s="36" t="s">
        <v>3388</v>
      </c>
      <c r="D633" s="450">
        <v>0.75</v>
      </c>
      <c r="E633" s="36" t="s">
        <v>7745</v>
      </c>
      <c r="F633" s="36" t="s">
        <v>7746</v>
      </c>
      <c r="G633" s="36" t="s">
        <v>725</v>
      </c>
      <c r="H633" s="36" t="s">
        <v>1158</v>
      </c>
      <c r="I633" s="36">
        <v>1</v>
      </c>
      <c r="J633" s="36" t="s">
        <v>5895</v>
      </c>
      <c r="K633" s="36" t="s">
        <v>5943</v>
      </c>
      <c r="L633" s="36" t="b">
        <v>0</v>
      </c>
    </row>
    <row r="634" spans="1:12" ht="12.75" hidden="1">
      <c r="A634" s="448">
        <v>45206.456560034727</v>
      </c>
      <c r="B634" s="449">
        <v>45205</v>
      </c>
      <c r="C634" s="36" t="s">
        <v>3383</v>
      </c>
      <c r="D634" s="450">
        <v>0.75</v>
      </c>
      <c r="E634" s="36" t="s">
        <v>6557</v>
      </c>
      <c r="F634" s="36" t="s">
        <v>7747</v>
      </c>
      <c r="G634" s="36" t="s">
        <v>7748</v>
      </c>
      <c r="H634" s="36" t="s">
        <v>1796</v>
      </c>
      <c r="I634" s="36">
        <v>1</v>
      </c>
      <c r="J634" s="36" t="s">
        <v>5895</v>
      </c>
      <c r="K634" s="36" t="s">
        <v>7749</v>
      </c>
      <c r="L634" s="36" t="b">
        <v>0</v>
      </c>
    </row>
    <row r="635" spans="1:12" ht="12.75" hidden="1">
      <c r="A635" s="448">
        <v>45206.457910694444</v>
      </c>
      <c r="B635" s="449">
        <v>45205</v>
      </c>
      <c r="C635" s="36" t="s">
        <v>3383</v>
      </c>
      <c r="D635" s="450">
        <v>0.81944444444525288</v>
      </c>
      <c r="E635" s="36" t="s">
        <v>6516</v>
      </c>
      <c r="F635" s="36" t="s">
        <v>7747</v>
      </c>
      <c r="G635" s="36" t="s">
        <v>7750</v>
      </c>
      <c r="H635" s="36" t="s">
        <v>7724</v>
      </c>
      <c r="I635" s="36">
        <v>2</v>
      </c>
      <c r="J635" s="36" t="s">
        <v>5895</v>
      </c>
      <c r="K635" s="36" t="s">
        <v>7749</v>
      </c>
      <c r="L635" s="36" t="b">
        <v>0</v>
      </c>
    </row>
    <row r="636" spans="1:12" ht="12.75" hidden="1">
      <c r="A636" s="448">
        <v>45206.527253217588</v>
      </c>
      <c r="B636" s="449">
        <v>45206</v>
      </c>
      <c r="C636" s="36" t="s">
        <v>3388</v>
      </c>
      <c r="D636" s="450">
        <v>0.5</v>
      </c>
      <c r="E636" s="36" t="s">
        <v>7751</v>
      </c>
      <c r="F636" s="36" t="s">
        <v>7752</v>
      </c>
      <c r="G636" s="36" t="s">
        <v>1158</v>
      </c>
      <c r="H636" s="36" t="s">
        <v>3580</v>
      </c>
      <c r="I636" s="36">
        <v>1</v>
      </c>
      <c r="J636" s="36" t="s">
        <v>5895</v>
      </c>
      <c r="K636" s="36" t="s">
        <v>7753</v>
      </c>
      <c r="L636" s="36" t="b">
        <v>0</v>
      </c>
    </row>
    <row r="637" spans="1:12" ht="12.75" hidden="1">
      <c r="A637" s="448">
        <v>45206.60963850694</v>
      </c>
      <c r="B637" s="449">
        <v>45206</v>
      </c>
      <c r="C637" s="36" t="s">
        <v>12</v>
      </c>
      <c r="D637" s="450">
        <v>0.41666666666424135</v>
      </c>
      <c r="E637" s="36" t="s">
        <v>7754</v>
      </c>
      <c r="F637" s="36" t="s">
        <v>7755</v>
      </c>
      <c r="G637" s="36" t="s">
        <v>1106</v>
      </c>
      <c r="H637" s="36" t="s">
        <v>456</v>
      </c>
      <c r="I637" s="36">
        <v>1</v>
      </c>
      <c r="J637" s="36" t="s">
        <v>5895</v>
      </c>
      <c r="K637" s="36" t="s">
        <v>7756</v>
      </c>
      <c r="L637" s="36" t="b">
        <v>1</v>
      </c>
    </row>
    <row r="638" spans="1:12" ht="12.75" hidden="1">
      <c r="A638" s="448">
        <v>45206.828061990745</v>
      </c>
      <c r="B638" s="449">
        <v>44933</v>
      </c>
      <c r="C638" s="36" t="s">
        <v>3383</v>
      </c>
      <c r="D638" s="450">
        <v>0.75</v>
      </c>
      <c r="E638" s="36" t="s">
        <v>6827</v>
      </c>
      <c r="F638" s="36" t="s">
        <v>7757</v>
      </c>
      <c r="G638" s="36" t="s">
        <v>7758</v>
      </c>
      <c r="H638" s="36" t="s">
        <v>7724</v>
      </c>
      <c r="I638" s="36">
        <v>3</v>
      </c>
      <c r="J638" s="36" t="s">
        <v>5895</v>
      </c>
      <c r="K638" s="36" t="s">
        <v>7759</v>
      </c>
      <c r="L638" s="36" t="b">
        <v>0</v>
      </c>
    </row>
    <row r="639" spans="1:12" ht="12.75" hidden="1">
      <c r="A639" s="448">
        <v>45206.972418518519</v>
      </c>
      <c r="B639" s="449">
        <v>45209</v>
      </c>
      <c r="C639" s="36" t="s">
        <v>12</v>
      </c>
      <c r="D639" s="450">
        <v>0.79166666666424135</v>
      </c>
      <c r="E639" s="36" t="s">
        <v>7760</v>
      </c>
      <c r="F639" s="36" t="s">
        <v>7761</v>
      </c>
      <c r="G639" s="36" t="s">
        <v>449</v>
      </c>
      <c r="H639" s="36" t="s">
        <v>7762</v>
      </c>
      <c r="I639" s="36">
        <v>1</v>
      </c>
      <c r="J639" s="36" t="s">
        <v>5895</v>
      </c>
      <c r="K639" s="36" t="s">
        <v>7763</v>
      </c>
      <c r="L639" s="36" t="b">
        <v>1</v>
      </c>
    </row>
    <row r="640" spans="1:12" ht="12.75" hidden="1">
      <c r="A640" s="448">
        <v>45207.553620381943</v>
      </c>
      <c r="B640" s="449">
        <v>45204</v>
      </c>
      <c r="C640" s="36" t="s">
        <v>3388</v>
      </c>
      <c r="D640" s="450">
        <v>0.75</v>
      </c>
      <c r="E640" s="36" t="s">
        <v>7764</v>
      </c>
      <c r="F640" s="36" t="s">
        <v>7765</v>
      </c>
      <c r="G640" s="36" t="s">
        <v>1128</v>
      </c>
      <c r="H640" s="36" t="s">
        <v>7127</v>
      </c>
      <c r="I640" s="36">
        <v>1</v>
      </c>
      <c r="J640" s="36" t="s">
        <v>5895</v>
      </c>
      <c r="K640" s="36" t="s">
        <v>7766</v>
      </c>
      <c r="L640" s="36" t="b">
        <v>0</v>
      </c>
    </row>
    <row r="641" spans="1:12" ht="12.75" hidden="1">
      <c r="A641" s="448">
        <v>45207.554900347226</v>
      </c>
      <c r="B641" s="449">
        <v>45204</v>
      </c>
      <c r="C641" s="36" t="s">
        <v>3388</v>
      </c>
      <c r="D641" s="450">
        <v>0.79166666666424135</v>
      </c>
      <c r="E641" s="36" t="s">
        <v>7767</v>
      </c>
      <c r="F641" s="36" t="s">
        <v>7768</v>
      </c>
      <c r="G641" s="36" t="s">
        <v>1128</v>
      </c>
      <c r="H641" s="36" t="s">
        <v>815</v>
      </c>
      <c r="I641" s="36">
        <v>2</v>
      </c>
      <c r="J641" s="36" t="s">
        <v>5895</v>
      </c>
      <c r="K641" s="36" t="s">
        <v>7766</v>
      </c>
      <c r="L641" s="36" t="b">
        <v>0</v>
      </c>
    </row>
    <row r="642" spans="1:12" ht="12.75" hidden="1">
      <c r="A642" s="448">
        <v>45207.648211793981</v>
      </c>
      <c r="B642" s="449">
        <v>45207</v>
      </c>
      <c r="C642" s="36" t="s">
        <v>3383</v>
      </c>
      <c r="D642" s="450">
        <v>6.25E-2</v>
      </c>
      <c r="E642" s="36" t="s">
        <v>7769</v>
      </c>
      <c r="F642" s="36" t="s">
        <v>7770</v>
      </c>
      <c r="G642" s="36" t="s">
        <v>413</v>
      </c>
      <c r="H642" s="36" t="s">
        <v>7771</v>
      </c>
      <c r="I642" s="36">
        <v>1</v>
      </c>
      <c r="J642" s="36" t="s">
        <v>5895</v>
      </c>
      <c r="K642" s="36" t="s">
        <v>5923</v>
      </c>
      <c r="L642" s="36" t="b">
        <v>0</v>
      </c>
    </row>
    <row r="643" spans="1:12" ht="12.75" hidden="1">
      <c r="A643" s="448">
        <v>45207.903378090283</v>
      </c>
      <c r="B643" s="449">
        <v>45204</v>
      </c>
      <c r="C643" s="36" t="s">
        <v>3383</v>
      </c>
      <c r="D643" s="450">
        <v>0.75</v>
      </c>
      <c r="E643" s="36" t="s">
        <v>7772</v>
      </c>
      <c r="F643" s="36">
        <v>40</v>
      </c>
      <c r="G643" s="36" t="s">
        <v>7773</v>
      </c>
      <c r="H643" s="36" t="s">
        <v>6100</v>
      </c>
      <c r="I643" s="36">
        <v>1</v>
      </c>
      <c r="J643" s="36" t="s">
        <v>5895</v>
      </c>
      <c r="K643" s="36" t="s">
        <v>6683</v>
      </c>
      <c r="L643" s="36" t="b">
        <v>0</v>
      </c>
    </row>
    <row r="644" spans="1:12" ht="12.75" hidden="1">
      <c r="A644" s="448">
        <v>45208.700553310184</v>
      </c>
      <c r="B644" s="449">
        <v>45201</v>
      </c>
      <c r="C644" s="36" t="s">
        <v>3388</v>
      </c>
      <c r="D644" s="450">
        <v>0.79166666666424135</v>
      </c>
      <c r="E644" s="36" t="s">
        <v>7774</v>
      </c>
      <c r="F644" s="36" t="s">
        <v>7775</v>
      </c>
      <c r="G644" s="36" t="s">
        <v>1322</v>
      </c>
      <c r="H644" s="36" t="s">
        <v>1166</v>
      </c>
      <c r="I644" s="36">
        <v>1</v>
      </c>
      <c r="J644" s="36" t="s">
        <v>5895</v>
      </c>
      <c r="K644" s="36" t="s">
        <v>7776</v>
      </c>
      <c r="L644" s="36" t="b">
        <v>0</v>
      </c>
    </row>
    <row r="645" spans="1:12" ht="12.75" hidden="1">
      <c r="A645" s="448">
        <v>45208.702701851857</v>
      </c>
      <c r="B645" s="449">
        <v>45207</v>
      </c>
      <c r="C645" s="36" t="s">
        <v>3388</v>
      </c>
      <c r="D645" s="450">
        <v>0.41666666666424135</v>
      </c>
      <c r="E645" s="36" t="s">
        <v>7279</v>
      </c>
      <c r="F645" s="36" t="s">
        <v>7777</v>
      </c>
      <c r="G645" s="36" t="s">
        <v>1322</v>
      </c>
      <c r="H645" s="36" t="s">
        <v>3522</v>
      </c>
      <c r="I645" s="36">
        <v>2</v>
      </c>
      <c r="J645" s="36" t="s">
        <v>5895</v>
      </c>
      <c r="K645" s="36" t="s">
        <v>7778</v>
      </c>
      <c r="L645" s="36" t="b">
        <v>0</v>
      </c>
    </row>
    <row r="646" spans="1:12" ht="12.75" hidden="1">
      <c r="A646" s="448">
        <v>45208.70455761574</v>
      </c>
      <c r="B646" s="449">
        <v>45207</v>
      </c>
      <c r="C646" s="36" t="s">
        <v>3388</v>
      </c>
      <c r="D646" s="450">
        <v>0.45833333333575865</v>
      </c>
      <c r="E646" s="36" t="s">
        <v>7687</v>
      </c>
      <c r="F646" s="36" t="s">
        <v>7779</v>
      </c>
      <c r="G646" s="36" t="s">
        <v>1322</v>
      </c>
      <c r="H646" s="36" t="s">
        <v>1309</v>
      </c>
      <c r="I646" s="36">
        <v>3</v>
      </c>
      <c r="J646" s="36" t="s">
        <v>5895</v>
      </c>
      <c r="K646" s="36" t="s">
        <v>7780</v>
      </c>
      <c r="L646" s="36" t="b">
        <v>0</v>
      </c>
    </row>
    <row r="647" spans="1:12" ht="12.75" hidden="1">
      <c r="A647" s="448">
        <v>45209.424952789355</v>
      </c>
      <c r="B647" s="449">
        <v>45208</v>
      </c>
      <c r="C647" s="36" t="s">
        <v>3383</v>
      </c>
      <c r="D647" s="450">
        <v>0.83333333333575865</v>
      </c>
      <c r="E647" s="36" t="s">
        <v>7781</v>
      </c>
      <c r="F647" s="36" t="s">
        <v>7782</v>
      </c>
      <c r="G647" s="36" t="s">
        <v>6113</v>
      </c>
      <c r="H647" s="36" t="s">
        <v>7724</v>
      </c>
      <c r="I647" s="36">
        <v>4</v>
      </c>
      <c r="J647" s="36" t="s">
        <v>5895</v>
      </c>
      <c r="K647" s="36" t="s">
        <v>7783</v>
      </c>
      <c r="L647" s="36" t="b">
        <v>0</v>
      </c>
    </row>
    <row r="648" spans="1:12" ht="12.75" hidden="1">
      <c r="A648" s="448">
        <v>45210.656011458334</v>
      </c>
      <c r="B648" s="449">
        <v>45210</v>
      </c>
      <c r="C648" s="36" t="s">
        <v>10</v>
      </c>
      <c r="D648" s="450">
        <v>0.75</v>
      </c>
      <c r="E648" s="36" t="s">
        <v>7784</v>
      </c>
      <c r="F648" s="36" t="s">
        <v>7785</v>
      </c>
      <c r="G648" s="36" t="s">
        <v>7786</v>
      </c>
      <c r="H648" s="36" t="s">
        <v>1987</v>
      </c>
      <c r="I648" s="36">
        <v>1</v>
      </c>
      <c r="J648" s="36" t="s">
        <v>5895</v>
      </c>
      <c r="K648" s="36" t="s">
        <v>7787</v>
      </c>
      <c r="L648" s="36" t="b">
        <v>0</v>
      </c>
    </row>
    <row r="649" spans="1:12" ht="12.75" hidden="1">
      <c r="A649" s="448">
        <v>45211.423980659718</v>
      </c>
      <c r="B649" s="449">
        <v>45210</v>
      </c>
      <c r="C649" s="36" t="s">
        <v>3383</v>
      </c>
      <c r="D649" s="450">
        <v>0.75</v>
      </c>
      <c r="E649" s="36" t="s">
        <v>7788</v>
      </c>
      <c r="F649" s="36" t="s">
        <v>7789</v>
      </c>
      <c r="G649" s="36" t="s">
        <v>6113</v>
      </c>
      <c r="H649" s="36" t="s">
        <v>7724</v>
      </c>
      <c r="I649" s="36">
        <v>5</v>
      </c>
      <c r="J649" s="36" t="s">
        <v>5895</v>
      </c>
      <c r="K649" s="36" t="s">
        <v>7783</v>
      </c>
      <c r="L649" s="36" t="b">
        <v>0</v>
      </c>
    </row>
    <row r="650" spans="1:12" ht="12.75" hidden="1">
      <c r="A650" s="448">
        <v>45211.426469247686</v>
      </c>
      <c r="B650" s="449">
        <v>45210</v>
      </c>
      <c r="C650" s="36" t="s">
        <v>3383</v>
      </c>
      <c r="D650" s="450">
        <v>0.83333333333575865</v>
      </c>
      <c r="E650" s="36" t="s">
        <v>7790</v>
      </c>
      <c r="F650" s="36" t="s">
        <v>7791</v>
      </c>
      <c r="G650" s="36" t="s">
        <v>6113</v>
      </c>
      <c r="H650" s="36" t="s">
        <v>7724</v>
      </c>
      <c r="I650" s="36">
        <v>6</v>
      </c>
      <c r="J650" s="36" t="s">
        <v>5895</v>
      </c>
      <c r="K650" s="36" t="s">
        <v>7783</v>
      </c>
      <c r="L650" s="36" t="b">
        <v>0</v>
      </c>
    </row>
    <row r="651" spans="1:12" ht="12.75" hidden="1">
      <c r="A651" s="448">
        <v>45211.788413263886</v>
      </c>
      <c r="B651" s="449">
        <v>45211</v>
      </c>
      <c r="C651" s="36" t="s">
        <v>3388</v>
      </c>
      <c r="D651" s="450">
        <v>0.75</v>
      </c>
      <c r="E651" s="36" t="s">
        <v>7792</v>
      </c>
      <c r="F651" s="36" t="s">
        <v>7793</v>
      </c>
      <c r="G651" s="36" t="s">
        <v>1305</v>
      </c>
      <c r="H651" s="36" t="s">
        <v>3580</v>
      </c>
      <c r="I651" s="36">
        <v>1</v>
      </c>
      <c r="J651" s="36" t="s">
        <v>5895</v>
      </c>
      <c r="K651" s="36" t="s">
        <v>7220</v>
      </c>
      <c r="L651" s="36" t="b">
        <v>0</v>
      </c>
    </row>
    <row r="652" spans="1:12" ht="12.75" hidden="1">
      <c r="A652" s="448">
        <v>45211.791734814818</v>
      </c>
      <c r="B652" s="449">
        <v>45211</v>
      </c>
      <c r="C652" s="36" t="s">
        <v>3388</v>
      </c>
      <c r="D652" s="450">
        <v>0.79166666666424135</v>
      </c>
      <c r="E652" s="36" t="s">
        <v>7794</v>
      </c>
      <c r="F652" s="36" t="s">
        <v>7795</v>
      </c>
      <c r="G652" s="36" t="s">
        <v>1305</v>
      </c>
      <c r="H652" s="36" t="s">
        <v>7796</v>
      </c>
      <c r="I652" s="36">
        <v>2</v>
      </c>
      <c r="J652" s="36" t="s">
        <v>5895</v>
      </c>
      <c r="K652" s="36" t="s">
        <v>7797</v>
      </c>
      <c r="L652" s="36" t="b">
        <v>0</v>
      </c>
    </row>
    <row r="653" spans="1:12" ht="12.75" hidden="1">
      <c r="A653" s="448">
        <v>45211.803245891206</v>
      </c>
      <c r="B653" s="449">
        <v>45211</v>
      </c>
      <c r="C653" s="36" t="s">
        <v>3388</v>
      </c>
      <c r="D653" s="450">
        <v>0.75</v>
      </c>
      <c r="E653" s="36" t="s">
        <v>7798</v>
      </c>
      <c r="F653" s="36" t="s">
        <v>7799</v>
      </c>
      <c r="G653" s="36" t="s">
        <v>7239</v>
      </c>
      <c r="H653" s="36" t="s">
        <v>7800</v>
      </c>
      <c r="I653" s="36">
        <v>1</v>
      </c>
      <c r="J653" s="36" t="s">
        <v>5895</v>
      </c>
      <c r="K653" s="36" t="s">
        <v>7801</v>
      </c>
      <c r="L653" s="36" t="b">
        <v>0</v>
      </c>
    </row>
    <row r="654" spans="1:12" ht="12.75" hidden="1">
      <c r="A654" s="448">
        <v>45213.451678136575</v>
      </c>
      <c r="B654" s="449">
        <v>45214</v>
      </c>
      <c r="C654" s="36" t="s">
        <v>3388</v>
      </c>
      <c r="D654" s="450">
        <v>0.41666666666424135</v>
      </c>
      <c r="E654" s="36" t="s">
        <v>7553</v>
      </c>
      <c r="F654" s="36" t="s">
        <v>7802</v>
      </c>
      <c r="G654" s="36" t="s">
        <v>1153</v>
      </c>
      <c r="H654" s="36" t="s">
        <v>7803</v>
      </c>
      <c r="I654" s="36">
        <v>1</v>
      </c>
      <c r="J654" s="36" t="s">
        <v>5895</v>
      </c>
      <c r="K654" s="36" t="s">
        <v>7804</v>
      </c>
      <c r="L654" s="36" t="b">
        <v>0</v>
      </c>
    </row>
    <row r="655" spans="1:12" ht="12.75" hidden="1">
      <c r="A655" s="448">
        <v>45213.45304039352</v>
      </c>
      <c r="B655" s="449">
        <v>45214</v>
      </c>
      <c r="C655" s="36" t="s">
        <v>3388</v>
      </c>
      <c r="D655" s="450">
        <v>0.45833333333575865</v>
      </c>
      <c r="E655" s="36" t="s">
        <v>7805</v>
      </c>
      <c r="F655" s="36" t="s">
        <v>7806</v>
      </c>
      <c r="G655" s="36" t="s">
        <v>1153</v>
      </c>
      <c r="H655" s="36" t="s">
        <v>7807</v>
      </c>
      <c r="I655" s="36">
        <v>1</v>
      </c>
      <c r="J655" s="36" t="s">
        <v>5895</v>
      </c>
      <c r="K655" s="36" t="s">
        <v>7808</v>
      </c>
      <c r="L655" s="36" t="b">
        <v>0</v>
      </c>
    </row>
    <row r="656" spans="1:12" ht="12.75" hidden="1">
      <c r="A656" s="448">
        <v>45213.455078368061</v>
      </c>
      <c r="B656" s="449">
        <v>45214</v>
      </c>
      <c r="C656" s="36" t="s">
        <v>3388</v>
      </c>
      <c r="D656" s="450">
        <v>0.66666666666424135</v>
      </c>
      <c r="E656" s="36" t="s">
        <v>7809</v>
      </c>
      <c r="F656" s="36" t="s">
        <v>7810</v>
      </c>
      <c r="G656" s="36" t="s">
        <v>1153</v>
      </c>
      <c r="H656" s="36" t="s">
        <v>7811</v>
      </c>
      <c r="I656" s="36">
        <v>1</v>
      </c>
      <c r="J656" s="36" t="s">
        <v>5895</v>
      </c>
      <c r="K656" s="36" t="s">
        <v>7804</v>
      </c>
      <c r="L656" s="36" t="b">
        <v>0</v>
      </c>
    </row>
    <row r="657" spans="1:12" ht="12.75" hidden="1">
      <c r="A657" s="448">
        <v>45213.456698194444</v>
      </c>
      <c r="B657" s="449">
        <v>45214</v>
      </c>
      <c r="C657" s="36" t="s">
        <v>3388</v>
      </c>
      <c r="D657" s="450">
        <v>0.70833333333575865</v>
      </c>
      <c r="E657" s="36" t="s">
        <v>7812</v>
      </c>
      <c r="F657" s="36" t="s">
        <v>6502</v>
      </c>
      <c r="G657" s="36" t="s">
        <v>1153</v>
      </c>
      <c r="H657" s="36" t="s">
        <v>7813</v>
      </c>
      <c r="I657" s="36">
        <v>1</v>
      </c>
      <c r="J657" s="36" t="s">
        <v>5895</v>
      </c>
      <c r="K657" s="36" t="s">
        <v>7804</v>
      </c>
      <c r="L657" s="36" t="b">
        <v>0</v>
      </c>
    </row>
    <row r="658" spans="1:12" ht="12.75" hidden="1">
      <c r="A658" s="448">
        <v>45213.515760057868</v>
      </c>
      <c r="B658" s="449">
        <v>45220</v>
      </c>
      <c r="C658" s="36" t="s">
        <v>3388</v>
      </c>
      <c r="D658" s="450">
        <v>0.45833333333575865</v>
      </c>
      <c r="E658" s="36" t="s">
        <v>7218</v>
      </c>
      <c r="F658" s="36" t="s">
        <v>7814</v>
      </c>
      <c r="G658" s="36" t="s">
        <v>5894</v>
      </c>
      <c r="H658" s="36" t="s">
        <v>7815</v>
      </c>
      <c r="I658" s="36">
        <v>1</v>
      </c>
      <c r="J658" s="36" t="s">
        <v>5895</v>
      </c>
      <c r="K658" s="36" t="s">
        <v>7816</v>
      </c>
      <c r="L658" s="36" t="b">
        <v>0</v>
      </c>
    </row>
    <row r="659" spans="1:12" ht="12.75" hidden="1">
      <c r="A659" s="448">
        <v>45213.797126006946</v>
      </c>
      <c r="B659" s="449">
        <v>45212</v>
      </c>
      <c r="C659" s="36" t="s">
        <v>3383</v>
      </c>
      <c r="D659" s="450">
        <v>0.81944444444525288</v>
      </c>
      <c r="E659" s="36" t="s">
        <v>7788</v>
      </c>
      <c r="F659" s="36" t="s">
        <v>7789</v>
      </c>
      <c r="G659" s="36" t="s">
        <v>6113</v>
      </c>
      <c r="H659" s="36" t="s">
        <v>7724</v>
      </c>
      <c r="I659" s="36">
        <v>8</v>
      </c>
      <c r="J659" s="36" t="s">
        <v>5895</v>
      </c>
      <c r="K659" s="36" t="s">
        <v>7783</v>
      </c>
      <c r="L659" s="36" t="b">
        <v>0</v>
      </c>
    </row>
    <row r="660" spans="1:12" ht="12.75" hidden="1">
      <c r="A660" s="448">
        <v>45213.912818865741</v>
      </c>
      <c r="B660" s="449">
        <v>45213</v>
      </c>
      <c r="C660" s="36" t="s">
        <v>3383</v>
      </c>
      <c r="D660" s="450">
        <v>0.83333333333575865</v>
      </c>
      <c r="E660" s="36" t="s">
        <v>7817</v>
      </c>
      <c r="F660" s="36" t="s">
        <v>7247</v>
      </c>
      <c r="G660" s="36" t="s">
        <v>7818</v>
      </c>
      <c r="H660" s="36" t="s">
        <v>7724</v>
      </c>
      <c r="I660" s="36">
        <v>9</v>
      </c>
      <c r="J660" s="36" t="s">
        <v>5895</v>
      </c>
      <c r="K660" s="36" t="s">
        <v>7783</v>
      </c>
      <c r="L660" s="36" t="b">
        <v>0</v>
      </c>
    </row>
    <row r="661" spans="1:12" ht="12.75" hidden="1">
      <c r="A661" s="448">
        <v>45214.776017627315</v>
      </c>
      <c r="B661" s="449">
        <v>45215</v>
      </c>
      <c r="C661" s="36" t="s">
        <v>12</v>
      </c>
      <c r="D661" s="450">
        <v>0.66666666666424135</v>
      </c>
      <c r="E661" s="36" t="s">
        <v>7819</v>
      </c>
      <c r="F661" s="36" t="s">
        <v>7820</v>
      </c>
      <c r="G661" s="36" t="s">
        <v>442</v>
      </c>
      <c r="H661" s="36" t="s">
        <v>286</v>
      </c>
      <c r="I661" s="36">
        <v>1</v>
      </c>
      <c r="J661" s="36" t="s">
        <v>5895</v>
      </c>
      <c r="K661" s="36" t="s">
        <v>7821</v>
      </c>
      <c r="L661" s="36" t="b">
        <v>1</v>
      </c>
    </row>
    <row r="662" spans="1:12" ht="12.75" hidden="1">
      <c r="A662" s="448">
        <v>45214.777240925927</v>
      </c>
      <c r="B662" s="449">
        <v>45217</v>
      </c>
      <c r="C662" s="36" t="s">
        <v>3388</v>
      </c>
      <c r="D662" s="450">
        <v>0.66666666666424135</v>
      </c>
      <c r="E662" s="36" t="s">
        <v>7819</v>
      </c>
      <c r="F662" s="36" t="s">
        <v>7822</v>
      </c>
      <c r="G662" s="36" t="s">
        <v>442</v>
      </c>
      <c r="H662" s="36" t="s">
        <v>286</v>
      </c>
      <c r="I662" s="36">
        <v>2</v>
      </c>
      <c r="J662" s="36" t="s">
        <v>5895</v>
      </c>
      <c r="K662" s="36" t="s">
        <v>7821</v>
      </c>
      <c r="L662" s="36" t="b">
        <v>1</v>
      </c>
    </row>
    <row r="663" spans="1:12" ht="12.75" hidden="1">
      <c r="A663" s="448">
        <v>45215.405186909724</v>
      </c>
      <c r="B663" s="449">
        <v>45209</v>
      </c>
      <c r="C663" s="36" t="s">
        <v>12</v>
      </c>
      <c r="D663" s="450">
        <v>6.25E-2</v>
      </c>
      <c r="E663" s="36" t="s">
        <v>7823</v>
      </c>
      <c r="F663" s="36" t="s">
        <v>7824</v>
      </c>
      <c r="G663" s="36" t="s">
        <v>6096</v>
      </c>
      <c r="H663" s="36" t="s">
        <v>7825</v>
      </c>
      <c r="I663" s="36">
        <v>1</v>
      </c>
      <c r="J663" s="36" t="s">
        <v>5895</v>
      </c>
      <c r="K663" s="36" t="s">
        <v>5943</v>
      </c>
      <c r="L663" s="36" t="b">
        <v>1</v>
      </c>
    </row>
    <row r="664" spans="1:12" ht="12.75" hidden="1">
      <c r="A664" s="448">
        <v>45215.416782268519</v>
      </c>
      <c r="B664" s="449">
        <v>45215</v>
      </c>
      <c r="C664" s="36" t="s">
        <v>3383</v>
      </c>
      <c r="D664" s="450">
        <v>0.79166666666424135</v>
      </c>
      <c r="E664" s="36" t="s">
        <v>7826</v>
      </c>
      <c r="F664" s="36">
        <v>3</v>
      </c>
      <c r="G664" s="36" t="s">
        <v>1336</v>
      </c>
      <c r="H664" s="36" t="s">
        <v>588</v>
      </c>
      <c r="I664" s="36">
        <v>1</v>
      </c>
      <c r="J664" s="36" t="s">
        <v>5895</v>
      </c>
      <c r="K664" s="36" t="s">
        <v>7827</v>
      </c>
      <c r="L664" s="36" t="b">
        <v>0</v>
      </c>
    </row>
    <row r="665" spans="1:12" ht="12.75" hidden="1">
      <c r="A665" s="448">
        <v>45215.723887916669</v>
      </c>
      <c r="B665" s="449">
        <v>45216</v>
      </c>
      <c r="C665" s="36" t="s">
        <v>3388</v>
      </c>
      <c r="D665" s="450">
        <v>0.70833333333575865</v>
      </c>
      <c r="E665" s="36" t="s">
        <v>7828</v>
      </c>
      <c r="F665" s="36" t="s">
        <v>7829</v>
      </c>
      <c r="G665" s="36" t="s">
        <v>7830</v>
      </c>
      <c r="H665" s="36" t="s">
        <v>7831</v>
      </c>
      <c r="I665" s="36">
        <v>1</v>
      </c>
      <c r="J665" s="36" t="s">
        <v>5895</v>
      </c>
      <c r="K665" s="36" t="s">
        <v>7832</v>
      </c>
      <c r="L665" s="36" t="b">
        <v>0</v>
      </c>
    </row>
    <row r="666" spans="1:12" ht="12.75" hidden="1">
      <c r="A666" s="448">
        <v>45215.745010775463</v>
      </c>
      <c r="B666" s="449">
        <v>45214</v>
      </c>
      <c r="C666" s="36" t="s">
        <v>3388</v>
      </c>
      <c r="D666" s="450">
        <v>0.45833333333575865</v>
      </c>
      <c r="E666" s="36" t="s">
        <v>7687</v>
      </c>
      <c r="F666" s="36" t="s">
        <v>7833</v>
      </c>
      <c r="G666" s="36" t="s">
        <v>1322</v>
      </c>
      <c r="H666" s="36" t="s">
        <v>3522</v>
      </c>
      <c r="I666" s="36">
        <v>4</v>
      </c>
      <c r="J666" s="36" t="s">
        <v>5895</v>
      </c>
      <c r="K666" s="36" t="s">
        <v>7834</v>
      </c>
      <c r="L666" s="36" t="b">
        <v>0</v>
      </c>
    </row>
    <row r="667" spans="1:12" ht="12.75" hidden="1">
      <c r="A667" s="448">
        <v>45216.431665787037</v>
      </c>
      <c r="B667" s="449">
        <v>45216</v>
      </c>
      <c r="C667" s="36" t="s">
        <v>12</v>
      </c>
      <c r="D667" s="450">
        <v>0.75</v>
      </c>
      <c r="E667" s="36" t="s">
        <v>7835</v>
      </c>
      <c r="F667" s="36" t="s">
        <v>7836</v>
      </c>
      <c r="G667" s="36" t="s">
        <v>7837</v>
      </c>
      <c r="H667" s="36" t="s">
        <v>1461</v>
      </c>
      <c r="I667" s="36">
        <v>1</v>
      </c>
      <c r="J667" s="36" t="s">
        <v>5895</v>
      </c>
      <c r="K667" s="36" t="s">
        <v>7838</v>
      </c>
      <c r="L667" s="36" t="b">
        <v>1</v>
      </c>
    </row>
    <row r="668" spans="1:12" ht="12.75" hidden="1">
      <c r="A668" s="448">
        <v>45216.525232592598</v>
      </c>
      <c r="B668" s="449">
        <v>45215</v>
      </c>
      <c r="C668" s="36" t="s">
        <v>3383</v>
      </c>
      <c r="D668" s="450">
        <v>0.83333333333575865</v>
      </c>
      <c r="E668" s="36" t="s">
        <v>7839</v>
      </c>
      <c r="F668" s="36" t="s">
        <v>7840</v>
      </c>
      <c r="G668" s="36" t="s">
        <v>6113</v>
      </c>
      <c r="H668" s="36" t="s">
        <v>7724</v>
      </c>
      <c r="I668" s="36">
        <v>10</v>
      </c>
      <c r="J668" s="36" t="s">
        <v>5895</v>
      </c>
      <c r="K668" s="36" t="s">
        <v>7783</v>
      </c>
      <c r="L668" s="36" t="b">
        <v>0</v>
      </c>
    </row>
    <row r="669" spans="1:12" ht="12.75" hidden="1">
      <c r="A669" s="448">
        <v>45216.729836840277</v>
      </c>
      <c r="B669" s="449">
        <v>45217</v>
      </c>
      <c r="C669" s="36" t="s">
        <v>3388</v>
      </c>
      <c r="D669" s="450">
        <v>0.75</v>
      </c>
      <c r="E669" s="36" t="s">
        <v>7841</v>
      </c>
      <c r="F669" s="36" t="s">
        <v>7842</v>
      </c>
      <c r="G669" s="36" t="s">
        <v>7127</v>
      </c>
      <c r="H669" s="36" t="s">
        <v>7815</v>
      </c>
      <c r="I669" s="36">
        <v>1</v>
      </c>
      <c r="J669" s="36" t="s">
        <v>5895</v>
      </c>
      <c r="K669" s="36" t="s">
        <v>7843</v>
      </c>
      <c r="L669" s="36" t="b">
        <v>0</v>
      </c>
    </row>
    <row r="670" spans="1:12" ht="12.75" hidden="1">
      <c r="A670" s="448">
        <v>45216.73124710648</v>
      </c>
      <c r="B670" s="449">
        <v>45217</v>
      </c>
      <c r="C670" s="36" t="s">
        <v>3388</v>
      </c>
      <c r="D670" s="450">
        <v>0.79166666666424135</v>
      </c>
      <c r="E670" s="36" t="s">
        <v>7844</v>
      </c>
      <c r="F670" s="36" t="s">
        <v>7845</v>
      </c>
      <c r="G670" s="36" t="s">
        <v>7127</v>
      </c>
      <c r="H670" s="36" t="s">
        <v>6299</v>
      </c>
      <c r="I670" s="36">
        <v>2</v>
      </c>
      <c r="J670" s="36" t="s">
        <v>5895</v>
      </c>
      <c r="K670" s="36" t="s">
        <v>7846</v>
      </c>
      <c r="L670" s="36" t="b">
        <v>0</v>
      </c>
    </row>
    <row r="671" spans="1:12" ht="12.75" hidden="1">
      <c r="A671" s="448">
        <v>45216.732261180558</v>
      </c>
      <c r="B671" s="449">
        <v>45218</v>
      </c>
      <c r="C671" s="36" t="s">
        <v>3388</v>
      </c>
      <c r="D671" s="450">
        <v>0.79166666666424135</v>
      </c>
      <c r="E671" s="36" t="s">
        <v>7847</v>
      </c>
      <c r="F671" s="36" t="s">
        <v>7848</v>
      </c>
      <c r="G671" s="36" t="s">
        <v>7127</v>
      </c>
      <c r="H671" s="36" t="s">
        <v>7849</v>
      </c>
      <c r="I671" s="36">
        <v>3</v>
      </c>
      <c r="J671" s="36" t="s">
        <v>5895</v>
      </c>
      <c r="K671" s="36" t="s">
        <v>7843</v>
      </c>
      <c r="L671" s="36" t="b">
        <v>0</v>
      </c>
    </row>
    <row r="672" spans="1:12" ht="12.75" hidden="1">
      <c r="A672" s="448">
        <v>45216.733400219906</v>
      </c>
      <c r="B672" s="449">
        <v>45219</v>
      </c>
      <c r="C672" s="36" t="s">
        <v>3388</v>
      </c>
      <c r="D672" s="450">
        <v>0.66666666666424135</v>
      </c>
      <c r="E672" s="36" t="s">
        <v>7485</v>
      </c>
      <c r="F672" s="36" t="s">
        <v>7850</v>
      </c>
      <c r="G672" s="36" t="s">
        <v>7127</v>
      </c>
      <c r="H672" s="36" t="s">
        <v>6315</v>
      </c>
      <c r="I672" s="36">
        <v>4</v>
      </c>
      <c r="J672" s="36" t="s">
        <v>5895</v>
      </c>
      <c r="K672" s="36" t="s">
        <v>7843</v>
      </c>
      <c r="L672" s="36" t="b">
        <v>0</v>
      </c>
    </row>
    <row r="673" spans="1:12" ht="12.75" hidden="1">
      <c r="A673" s="448">
        <v>45216.734529849535</v>
      </c>
      <c r="B673" s="449">
        <v>45219</v>
      </c>
      <c r="C673" s="36" t="s">
        <v>3388</v>
      </c>
      <c r="D673" s="450">
        <v>0.70833333333575865</v>
      </c>
      <c r="E673" s="36" t="s">
        <v>7851</v>
      </c>
      <c r="F673" s="36" t="s">
        <v>7852</v>
      </c>
      <c r="G673" s="36" t="s">
        <v>7127</v>
      </c>
      <c r="H673" s="36" t="s">
        <v>6315</v>
      </c>
      <c r="I673" s="36">
        <v>5</v>
      </c>
      <c r="J673" s="36" t="s">
        <v>5895</v>
      </c>
      <c r="K673" s="36" t="s">
        <v>7843</v>
      </c>
      <c r="L673" s="36" t="b">
        <v>0</v>
      </c>
    </row>
    <row r="674" spans="1:12" ht="12.75" hidden="1">
      <c r="A674" s="448">
        <v>45216.736094409724</v>
      </c>
      <c r="B674" s="449">
        <v>45220</v>
      </c>
      <c r="C674" s="36" t="s">
        <v>3388</v>
      </c>
      <c r="D674" s="450">
        <v>0.48611111110949423</v>
      </c>
      <c r="E674" s="36" t="s">
        <v>7853</v>
      </c>
      <c r="F674" s="36" t="s">
        <v>7854</v>
      </c>
      <c r="G674" s="36" t="s">
        <v>7127</v>
      </c>
      <c r="H674" s="36" t="s">
        <v>6315</v>
      </c>
      <c r="I674" s="36">
        <v>6</v>
      </c>
      <c r="J674" s="36" t="s">
        <v>5895</v>
      </c>
      <c r="K674" s="36" t="s">
        <v>7843</v>
      </c>
      <c r="L674" s="36" t="b">
        <v>0</v>
      </c>
    </row>
    <row r="675" spans="1:12" ht="12.75" hidden="1">
      <c r="A675" s="448">
        <v>45216.737135416668</v>
      </c>
      <c r="B675" s="449">
        <v>45221</v>
      </c>
      <c r="C675" s="36" t="s">
        <v>3388</v>
      </c>
      <c r="D675" s="450">
        <v>0.41666666666424135</v>
      </c>
      <c r="E675" s="36" t="s">
        <v>7341</v>
      </c>
      <c r="F675" s="36" t="s">
        <v>7855</v>
      </c>
      <c r="G675" s="36" t="s">
        <v>7127</v>
      </c>
      <c r="H675" s="36" t="s">
        <v>4000</v>
      </c>
      <c r="I675" s="36">
        <v>7</v>
      </c>
      <c r="J675" s="36" t="s">
        <v>5895</v>
      </c>
      <c r="K675" s="36" t="s">
        <v>7843</v>
      </c>
      <c r="L675" s="36" t="b">
        <v>0</v>
      </c>
    </row>
    <row r="676" spans="1:12" ht="12.75" hidden="1">
      <c r="A676" s="448">
        <v>45217.493590682869</v>
      </c>
      <c r="B676" s="449">
        <v>45216</v>
      </c>
      <c r="C676" s="36" t="s">
        <v>3388</v>
      </c>
      <c r="D676" s="450">
        <v>0.8125</v>
      </c>
      <c r="E676" s="36" t="s">
        <v>7204</v>
      </c>
      <c r="F676" s="36" t="s">
        <v>7856</v>
      </c>
      <c r="G676" s="36" t="s">
        <v>725</v>
      </c>
      <c r="H676" s="36" t="s">
        <v>1158</v>
      </c>
      <c r="I676" s="36">
        <v>2</v>
      </c>
      <c r="J676" s="36" t="s">
        <v>5895</v>
      </c>
      <c r="K676" s="36" t="s">
        <v>6122</v>
      </c>
      <c r="L676" s="36" t="b">
        <v>0</v>
      </c>
    </row>
    <row r="677" spans="1:12" ht="12.75" hidden="1">
      <c r="A677" s="448">
        <v>45217.517463692129</v>
      </c>
      <c r="B677" s="449">
        <v>45208</v>
      </c>
      <c r="C677" s="36" t="s">
        <v>3383</v>
      </c>
      <c r="D677" s="450">
        <v>0.75</v>
      </c>
      <c r="E677" s="36" t="s">
        <v>6282</v>
      </c>
      <c r="F677" s="36" t="s">
        <v>7857</v>
      </c>
      <c r="G677" s="36" t="s">
        <v>756</v>
      </c>
      <c r="H677" s="36" t="s">
        <v>7858</v>
      </c>
      <c r="I677" s="36">
        <v>8</v>
      </c>
      <c r="J677" s="36" t="s">
        <v>5895</v>
      </c>
      <c r="K677" s="36" t="s">
        <v>7859</v>
      </c>
      <c r="L677" s="36" t="b">
        <v>0</v>
      </c>
    </row>
    <row r="678" spans="1:12" ht="12.75" hidden="1">
      <c r="A678" s="448">
        <v>45217.519308263887</v>
      </c>
      <c r="B678" s="449">
        <v>45208</v>
      </c>
      <c r="C678" s="36" t="s">
        <v>3383</v>
      </c>
      <c r="D678" s="450">
        <v>0.83333333333575865</v>
      </c>
      <c r="E678" s="36" t="s">
        <v>7860</v>
      </c>
      <c r="F678" s="36" t="s">
        <v>7723</v>
      </c>
      <c r="G678" s="36" t="s">
        <v>756</v>
      </c>
      <c r="H678" s="36" t="s">
        <v>7861</v>
      </c>
      <c r="I678" s="36">
        <v>9</v>
      </c>
      <c r="J678" s="36" t="s">
        <v>5895</v>
      </c>
      <c r="K678" s="36" t="s">
        <v>7859</v>
      </c>
      <c r="L678" s="36" t="b">
        <v>0</v>
      </c>
    </row>
    <row r="679" spans="1:12" ht="12.75" hidden="1">
      <c r="A679" s="448">
        <v>45217.521669085647</v>
      </c>
      <c r="B679" s="449">
        <v>45209</v>
      </c>
      <c r="C679" s="36" t="s">
        <v>3383</v>
      </c>
      <c r="D679" s="450">
        <v>0.72916666666424135</v>
      </c>
      <c r="E679" s="36" t="s">
        <v>7717</v>
      </c>
      <c r="F679" s="36" t="s">
        <v>7862</v>
      </c>
      <c r="G679" s="36" t="s">
        <v>756</v>
      </c>
      <c r="H679" s="36" t="s">
        <v>6977</v>
      </c>
      <c r="I679" s="36">
        <v>10</v>
      </c>
      <c r="J679" s="36" t="s">
        <v>5895</v>
      </c>
      <c r="K679" s="36" t="s">
        <v>7859</v>
      </c>
      <c r="L679" s="36" t="b">
        <v>0</v>
      </c>
    </row>
    <row r="680" spans="1:12" ht="12.75" hidden="1">
      <c r="A680" s="448">
        <v>45217.525475879629</v>
      </c>
      <c r="B680" s="449">
        <v>45211</v>
      </c>
      <c r="C680" s="36" t="s">
        <v>3383</v>
      </c>
      <c r="D680" s="450">
        <v>0.72916666666424135</v>
      </c>
      <c r="E680" s="36" t="s">
        <v>7717</v>
      </c>
      <c r="F680" s="36" t="s">
        <v>6999</v>
      </c>
      <c r="G680" s="36" t="s">
        <v>756</v>
      </c>
      <c r="H680" s="36" t="s">
        <v>6977</v>
      </c>
      <c r="I680" s="36">
        <v>11</v>
      </c>
      <c r="J680" s="36" t="s">
        <v>5895</v>
      </c>
      <c r="K680" s="36" t="s">
        <v>7859</v>
      </c>
      <c r="L680" s="36" t="b">
        <v>0</v>
      </c>
    </row>
    <row r="681" spans="1:12" ht="12.75" hidden="1">
      <c r="A681" s="448">
        <v>45217.52659616898</v>
      </c>
      <c r="B681" s="449">
        <v>45212</v>
      </c>
      <c r="C681" s="36" t="s">
        <v>3383</v>
      </c>
      <c r="D681" s="450">
        <v>0.75</v>
      </c>
      <c r="E681" s="36" t="s">
        <v>6282</v>
      </c>
      <c r="F681" s="36" t="s">
        <v>6999</v>
      </c>
      <c r="G681" s="36" t="s">
        <v>756</v>
      </c>
      <c r="H681" s="36" t="s">
        <v>7858</v>
      </c>
      <c r="I681" s="36">
        <v>12</v>
      </c>
      <c r="J681" s="36" t="s">
        <v>5895</v>
      </c>
      <c r="K681" s="36" t="s">
        <v>7859</v>
      </c>
      <c r="L681" s="36" t="b">
        <v>0</v>
      </c>
    </row>
    <row r="682" spans="1:12" ht="12.75" hidden="1">
      <c r="A682" s="448">
        <v>45217.530238715277</v>
      </c>
      <c r="B682" s="449">
        <v>45217</v>
      </c>
      <c r="C682" s="36" t="s">
        <v>3383</v>
      </c>
      <c r="D682" s="450">
        <v>0.83333333333575865</v>
      </c>
      <c r="E682" s="36" t="s">
        <v>7860</v>
      </c>
      <c r="F682" s="36" t="s">
        <v>7863</v>
      </c>
      <c r="G682" s="36" t="s">
        <v>756</v>
      </c>
      <c r="H682" s="36" t="s">
        <v>7861</v>
      </c>
      <c r="I682" s="36">
        <v>13</v>
      </c>
      <c r="J682" s="36" t="s">
        <v>5895</v>
      </c>
      <c r="K682" s="36" t="s">
        <v>7859</v>
      </c>
      <c r="L682" s="36" t="b">
        <v>0</v>
      </c>
    </row>
    <row r="683" spans="1:12" ht="12.75" hidden="1">
      <c r="A683" s="448">
        <v>45217.531656331019</v>
      </c>
      <c r="B683" s="449">
        <v>45217</v>
      </c>
      <c r="C683" s="36" t="s">
        <v>3383</v>
      </c>
      <c r="D683" s="450">
        <v>0.75</v>
      </c>
      <c r="E683" s="36" t="s">
        <v>7864</v>
      </c>
      <c r="F683" s="36" t="s">
        <v>7865</v>
      </c>
      <c r="G683" s="36" t="s">
        <v>7866</v>
      </c>
      <c r="H683" s="36" t="s">
        <v>7867</v>
      </c>
      <c r="I683" s="36">
        <v>14</v>
      </c>
      <c r="J683" s="36" t="s">
        <v>5895</v>
      </c>
      <c r="K683" s="36" t="s">
        <v>7859</v>
      </c>
      <c r="L683" s="36" t="b">
        <v>0</v>
      </c>
    </row>
    <row r="684" spans="1:12" ht="12.75" hidden="1">
      <c r="A684" s="448">
        <v>45217.558103310184</v>
      </c>
      <c r="B684" s="449">
        <v>45213</v>
      </c>
      <c r="C684" s="36" t="s">
        <v>12</v>
      </c>
      <c r="D684" s="450">
        <v>0.41666666666424135</v>
      </c>
      <c r="E684" s="36" t="s">
        <v>7553</v>
      </c>
      <c r="F684" s="36" t="s">
        <v>7868</v>
      </c>
      <c r="G684" s="36" t="s">
        <v>1598</v>
      </c>
      <c r="H684" s="36" t="s">
        <v>7869</v>
      </c>
      <c r="I684" s="36">
        <v>1</v>
      </c>
      <c r="J684" s="36" t="s">
        <v>5895</v>
      </c>
      <c r="K684" s="36" t="s">
        <v>7870</v>
      </c>
      <c r="L684" s="36" t="b">
        <v>1</v>
      </c>
    </row>
    <row r="685" spans="1:12" ht="12.75" hidden="1">
      <c r="A685" s="448">
        <v>45217.563852430554</v>
      </c>
      <c r="B685" s="449">
        <v>45218</v>
      </c>
      <c r="C685" s="36" t="s">
        <v>12</v>
      </c>
      <c r="D685" s="450">
        <v>0.70833333333575865</v>
      </c>
      <c r="E685" s="36" t="s">
        <v>7871</v>
      </c>
      <c r="F685" s="36" t="s">
        <v>7872</v>
      </c>
      <c r="G685" s="36" t="s">
        <v>1598</v>
      </c>
      <c r="H685" s="36" t="s">
        <v>7873</v>
      </c>
      <c r="I685" s="36">
        <v>2</v>
      </c>
      <c r="J685" s="36" t="s">
        <v>6093</v>
      </c>
      <c r="K685" s="36" t="s">
        <v>7874</v>
      </c>
      <c r="L685" s="36" t="b">
        <v>1</v>
      </c>
    </row>
    <row r="686" spans="1:12" ht="12.75" hidden="1">
      <c r="A686" s="448">
        <v>45217.643940185182</v>
      </c>
      <c r="B686" s="449">
        <v>45217</v>
      </c>
      <c r="C686" s="36" t="s">
        <v>3383</v>
      </c>
      <c r="D686" s="450">
        <v>0.66666666666424135</v>
      </c>
      <c r="E686" s="36" t="s">
        <v>7875</v>
      </c>
      <c r="F686" s="36" t="s">
        <v>7876</v>
      </c>
      <c r="G686" s="36" t="s">
        <v>860</v>
      </c>
      <c r="H686" s="36" t="s">
        <v>6328</v>
      </c>
      <c r="I686" s="36">
        <v>1</v>
      </c>
      <c r="J686" s="36" t="s">
        <v>5895</v>
      </c>
      <c r="K686" s="36" t="s">
        <v>7877</v>
      </c>
      <c r="L686" s="36" t="b">
        <v>0</v>
      </c>
    </row>
    <row r="687" spans="1:12" ht="12.75" hidden="1">
      <c r="A687" s="448">
        <v>45217.674924143517</v>
      </c>
      <c r="B687" s="449">
        <v>45217</v>
      </c>
      <c r="C687" s="36" t="s">
        <v>13</v>
      </c>
      <c r="D687" s="450">
        <v>0.75</v>
      </c>
      <c r="E687" s="36" t="s">
        <v>6263</v>
      </c>
      <c r="F687" s="36" t="s">
        <v>7878</v>
      </c>
      <c r="G687" s="36" t="s">
        <v>6265</v>
      </c>
      <c r="H687" s="36" t="s">
        <v>7879</v>
      </c>
      <c r="I687" s="36">
        <v>1</v>
      </c>
      <c r="J687" s="36" t="s">
        <v>5895</v>
      </c>
      <c r="K687" s="36" t="s">
        <v>7880</v>
      </c>
      <c r="L687" s="36" t="b">
        <v>0</v>
      </c>
    </row>
    <row r="688" spans="1:12" ht="12.75" hidden="1">
      <c r="A688" s="448">
        <v>45217.830182546299</v>
      </c>
      <c r="B688" s="449">
        <v>45217</v>
      </c>
      <c r="C688" s="36" t="s">
        <v>3388</v>
      </c>
      <c r="D688" s="450">
        <v>0.70833333333575865</v>
      </c>
      <c r="E688" s="36" t="s">
        <v>7881</v>
      </c>
      <c r="F688" s="36">
        <v>20</v>
      </c>
      <c r="G688" s="36" t="s">
        <v>7882</v>
      </c>
      <c r="H688" s="36" t="s">
        <v>6764</v>
      </c>
      <c r="I688" s="36">
        <v>2</v>
      </c>
      <c r="J688" s="36" t="s">
        <v>5895</v>
      </c>
      <c r="K688" s="36" t="s">
        <v>7883</v>
      </c>
      <c r="L688" s="36" t="b">
        <v>0</v>
      </c>
    </row>
    <row r="689" spans="1:12" ht="12.75" hidden="1">
      <c r="A689" s="448">
        <v>45217.996102939811</v>
      </c>
      <c r="B689" s="449">
        <v>45217</v>
      </c>
      <c r="C689" s="36" t="s">
        <v>3383</v>
      </c>
      <c r="D689" s="450">
        <v>0.83333333333575865</v>
      </c>
      <c r="E689" s="36" t="s">
        <v>7839</v>
      </c>
      <c r="F689" s="36" t="s">
        <v>7840</v>
      </c>
      <c r="G689" s="36" t="s">
        <v>6113</v>
      </c>
      <c r="H689" s="36" t="s">
        <v>7724</v>
      </c>
      <c r="I689" s="36">
        <v>11</v>
      </c>
      <c r="J689" s="36" t="s">
        <v>5895</v>
      </c>
      <c r="K689" s="36" t="s">
        <v>7884</v>
      </c>
      <c r="L689" s="36" t="b">
        <v>0</v>
      </c>
    </row>
    <row r="690" spans="1:12" ht="12.75" hidden="1">
      <c r="A690" s="448">
        <v>45218.004188356485</v>
      </c>
      <c r="B690" s="449">
        <v>45217</v>
      </c>
      <c r="C690" s="36" t="s">
        <v>3383</v>
      </c>
      <c r="D690" s="450">
        <v>0.75</v>
      </c>
      <c r="E690" s="36" t="s">
        <v>7788</v>
      </c>
      <c r="F690" s="36" t="s">
        <v>7885</v>
      </c>
      <c r="G690" s="36" t="s">
        <v>6113</v>
      </c>
      <c r="H690" s="36" t="s">
        <v>7724</v>
      </c>
      <c r="I690" s="36">
        <v>12</v>
      </c>
      <c r="J690" s="36" t="s">
        <v>5895</v>
      </c>
      <c r="K690" s="36" t="s">
        <v>7884</v>
      </c>
      <c r="L690" s="36" t="b">
        <v>0</v>
      </c>
    </row>
    <row r="691" spans="1:12" ht="12.75" hidden="1">
      <c r="A691" s="448">
        <v>45218.606206226847</v>
      </c>
      <c r="B691" s="449">
        <v>45219</v>
      </c>
      <c r="C691" s="36" t="s">
        <v>3383</v>
      </c>
      <c r="D691" s="450">
        <v>0.75</v>
      </c>
      <c r="E691" s="36" t="s">
        <v>7886</v>
      </c>
      <c r="F691" s="36" t="s">
        <v>7887</v>
      </c>
      <c r="G691" s="36" t="s">
        <v>7669</v>
      </c>
      <c r="H691" s="36" t="s">
        <v>6100</v>
      </c>
      <c r="I691" s="36">
        <v>1</v>
      </c>
      <c r="J691" s="36" t="s">
        <v>5895</v>
      </c>
      <c r="K691" s="36" t="s">
        <v>7888</v>
      </c>
      <c r="L691" s="36" t="b">
        <v>0</v>
      </c>
    </row>
    <row r="692" spans="1:12" ht="12.75" hidden="1">
      <c r="A692" s="448">
        <v>45218.688724085645</v>
      </c>
      <c r="B692" s="449">
        <v>45219</v>
      </c>
      <c r="C692" s="36" t="s">
        <v>3388</v>
      </c>
      <c r="D692" s="450">
        <v>0.75</v>
      </c>
      <c r="E692" s="36" t="s">
        <v>7889</v>
      </c>
      <c r="F692" s="36" t="s">
        <v>7833</v>
      </c>
      <c r="G692" s="36" t="s">
        <v>1069</v>
      </c>
      <c r="H692" s="36" t="s">
        <v>1452</v>
      </c>
      <c r="I692" s="36">
        <v>1</v>
      </c>
      <c r="J692" s="36" t="s">
        <v>5895</v>
      </c>
      <c r="K692" s="36" t="s">
        <v>7890</v>
      </c>
      <c r="L692" s="36" t="b">
        <v>0</v>
      </c>
    </row>
    <row r="693" spans="1:12" ht="12.75" hidden="1">
      <c r="A693" s="448">
        <v>45218.720323252317</v>
      </c>
      <c r="B693" s="449">
        <v>45216</v>
      </c>
      <c r="C693" s="36" t="s">
        <v>3383</v>
      </c>
      <c r="D693" s="450">
        <v>0.83680555555474712</v>
      </c>
      <c r="E693" s="36" t="s">
        <v>7891</v>
      </c>
      <c r="F693" s="36" t="s">
        <v>7892</v>
      </c>
      <c r="G693" s="36" t="s">
        <v>756</v>
      </c>
      <c r="H693" s="36" t="s">
        <v>7893</v>
      </c>
      <c r="I693" s="36">
        <v>14</v>
      </c>
      <c r="J693" s="36" t="s">
        <v>5895</v>
      </c>
      <c r="K693" s="36" t="s">
        <v>7859</v>
      </c>
      <c r="L693" s="36" t="b">
        <v>0</v>
      </c>
    </row>
    <row r="694" spans="1:12" ht="12.75" hidden="1">
      <c r="A694" s="448">
        <v>45218.721184571754</v>
      </c>
      <c r="B694" s="449">
        <v>45216</v>
      </c>
      <c r="C694" s="36" t="s">
        <v>3383</v>
      </c>
      <c r="D694" s="450">
        <v>0.72916666666424135</v>
      </c>
      <c r="E694" s="36" t="s">
        <v>7717</v>
      </c>
      <c r="F694" s="36" t="s">
        <v>7894</v>
      </c>
      <c r="G694" s="36" t="s">
        <v>756</v>
      </c>
      <c r="H694" s="36" t="s">
        <v>7895</v>
      </c>
      <c r="I694" s="36">
        <v>15</v>
      </c>
      <c r="J694" s="36" t="s">
        <v>5895</v>
      </c>
      <c r="K694" s="36" t="s">
        <v>7859</v>
      </c>
      <c r="L694" s="36" t="b">
        <v>0</v>
      </c>
    </row>
    <row r="695" spans="1:12" ht="12.75" hidden="1">
      <c r="A695" s="448">
        <v>45219.442103344903</v>
      </c>
      <c r="B695" s="449">
        <v>45220</v>
      </c>
      <c r="C695" s="36" t="s">
        <v>12</v>
      </c>
      <c r="D695" s="450">
        <v>0.41666666666424135</v>
      </c>
      <c r="E695" s="36" t="s">
        <v>7896</v>
      </c>
      <c r="F695" s="36" t="s">
        <v>7897</v>
      </c>
      <c r="G695" s="36" t="s">
        <v>377</v>
      </c>
      <c r="H695" s="36" t="s">
        <v>1285</v>
      </c>
      <c r="I695" s="36">
        <v>1</v>
      </c>
      <c r="J695" s="36" t="s">
        <v>5895</v>
      </c>
      <c r="K695" s="36" t="s">
        <v>7759</v>
      </c>
      <c r="L695" s="36" t="b">
        <v>0</v>
      </c>
    </row>
    <row r="696" spans="1:12" ht="12.75" hidden="1">
      <c r="A696" s="448">
        <v>45219.493127581023</v>
      </c>
      <c r="B696" s="449">
        <v>45227</v>
      </c>
      <c r="C696" s="36" t="s">
        <v>12</v>
      </c>
      <c r="D696" s="450">
        <v>0.41666666666424135</v>
      </c>
      <c r="E696" s="36" t="s">
        <v>7553</v>
      </c>
      <c r="F696" s="36" t="s">
        <v>7898</v>
      </c>
      <c r="G696" s="36" t="s">
        <v>1598</v>
      </c>
      <c r="H696" s="36" t="s">
        <v>1285</v>
      </c>
      <c r="I696" s="36">
        <v>3</v>
      </c>
      <c r="J696" s="36" t="s">
        <v>6093</v>
      </c>
      <c r="K696" s="36" t="s">
        <v>7899</v>
      </c>
      <c r="L696" s="36" t="b">
        <v>0</v>
      </c>
    </row>
    <row r="697" spans="1:12" ht="12.75" hidden="1">
      <c r="A697" s="448">
        <v>45219.764499814817</v>
      </c>
      <c r="B697" s="449">
        <v>45220</v>
      </c>
      <c r="C697" s="36" t="s">
        <v>3388</v>
      </c>
      <c r="D697" s="450">
        <v>0.54166666666424135</v>
      </c>
      <c r="E697" s="36" t="s">
        <v>7446</v>
      </c>
      <c r="F697" s="36" t="s">
        <v>7900</v>
      </c>
      <c r="G697" s="36" t="s">
        <v>1449</v>
      </c>
      <c r="H697" s="36" t="s">
        <v>7901</v>
      </c>
      <c r="I697" s="36">
        <v>1</v>
      </c>
      <c r="J697" s="36" t="s">
        <v>5895</v>
      </c>
      <c r="K697" s="36" t="s">
        <v>7902</v>
      </c>
      <c r="L697" s="36" t="b">
        <v>0</v>
      </c>
    </row>
    <row r="698" spans="1:12" ht="12.75" hidden="1">
      <c r="A698" s="448">
        <v>45219.783563182871</v>
      </c>
      <c r="B698" s="449">
        <v>45218</v>
      </c>
      <c r="C698" s="36" t="s">
        <v>3388</v>
      </c>
      <c r="D698" s="450">
        <v>0.75</v>
      </c>
      <c r="E698" s="36" t="s">
        <v>7903</v>
      </c>
      <c r="F698" s="36" t="s">
        <v>7904</v>
      </c>
      <c r="G698" s="36" t="s">
        <v>7573</v>
      </c>
      <c r="H698" s="36" t="s">
        <v>7905</v>
      </c>
      <c r="I698" s="36">
        <v>1</v>
      </c>
      <c r="J698" s="36" t="s">
        <v>5895</v>
      </c>
      <c r="K698" s="36" t="s">
        <v>7906</v>
      </c>
      <c r="L698" s="36" t="b">
        <v>0</v>
      </c>
    </row>
    <row r="699" spans="1:12" ht="12.75" hidden="1">
      <c r="A699" s="448">
        <v>45219.785508865738</v>
      </c>
      <c r="B699" s="449">
        <v>45218</v>
      </c>
      <c r="C699" s="36" t="s">
        <v>3388</v>
      </c>
      <c r="D699" s="450">
        <v>0.79166666666424135</v>
      </c>
      <c r="E699" s="36" t="s">
        <v>7847</v>
      </c>
      <c r="F699" s="36" t="s">
        <v>7907</v>
      </c>
      <c r="G699" s="36" t="s">
        <v>7573</v>
      </c>
      <c r="H699" s="36" t="s">
        <v>996</v>
      </c>
      <c r="I699" s="36">
        <v>2</v>
      </c>
      <c r="J699" s="36" t="s">
        <v>5895</v>
      </c>
      <c r="K699" s="36" t="s">
        <v>7908</v>
      </c>
      <c r="L699" s="36" t="b">
        <v>0</v>
      </c>
    </row>
    <row r="700" spans="1:12" ht="12.75" hidden="1">
      <c r="A700" s="448">
        <v>45220.501429467593</v>
      </c>
      <c r="B700" s="449">
        <v>45220</v>
      </c>
      <c r="C700" s="36" t="s">
        <v>3383</v>
      </c>
      <c r="D700" s="450">
        <v>0.41666666666424135</v>
      </c>
      <c r="E700" s="36" t="s">
        <v>7909</v>
      </c>
      <c r="F700" s="36" t="s">
        <v>7910</v>
      </c>
      <c r="G700" s="36" t="s">
        <v>7911</v>
      </c>
      <c r="H700" s="36" t="s">
        <v>7912</v>
      </c>
      <c r="I700" s="36">
        <v>1</v>
      </c>
      <c r="J700" s="36" t="s">
        <v>5895</v>
      </c>
      <c r="K700" s="36" t="s">
        <v>7913</v>
      </c>
      <c r="L700" s="36" t="b">
        <v>0</v>
      </c>
    </row>
    <row r="701" spans="1:12" ht="12.75" hidden="1">
      <c r="A701" s="448">
        <v>45223.50623579861</v>
      </c>
      <c r="B701" s="449">
        <v>45222</v>
      </c>
      <c r="C701" s="36" t="s">
        <v>3383</v>
      </c>
      <c r="D701" s="450">
        <v>0.75</v>
      </c>
      <c r="E701" s="36" t="s">
        <v>7914</v>
      </c>
      <c r="F701" s="36" t="s">
        <v>7915</v>
      </c>
      <c r="G701" s="36" t="s">
        <v>6537</v>
      </c>
      <c r="H701" s="36" t="s">
        <v>6977</v>
      </c>
      <c r="I701" s="36">
        <v>1</v>
      </c>
      <c r="J701" s="36" t="s">
        <v>5895</v>
      </c>
      <c r="K701" s="36" t="s">
        <v>7065</v>
      </c>
      <c r="L701" s="36" t="b">
        <v>0</v>
      </c>
    </row>
    <row r="702" spans="1:12" ht="12.75" hidden="1">
      <c r="A702" s="448">
        <v>45223.730844467587</v>
      </c>
      <c r="B702" s="449">
        <v>45223</v>
      </c>
      <c r="C702" s="36" t="s">
        <v>3388</v>
      </c>
      <c r="D702" s="450">
        <v>0.75</v>
      </c>
      <c r="E702" s="36" t="s">
        <v>7916</v>
      </c>
      <c r="F702" s="36" t="s">
        <v>7917</v>
      </c>
      <c r="G702" s="36" t="s">
        <v>7127</v>
      </c>
      <c r="H702" s="36" t="s">
        <v>7047</v>
      </c>
      <c r="I702" s="36">
        <v>6</v>
      </c>
      <c r="J702" s="36" t="s">
        <v>5895</v>
      </c>
      <c r="K702" s="36" t="s">
        <v>7918</v>
      </c>
      <c r="L702" s="36" t="b">
        <v>0</v>
      </c>
    </row>
    <row r="703" spans="1:12" ht="12.75" hidden="1">
      <c r="A703" s="448">
        <v>45223.733787766207</v>
      </c>
      <c r="B703" s="449">
        <v>45223</v>
      </c>
      <c r="C703" s="36" t="s">
        <v>3388</v>
      </c>
      <c r="D703" s="450">
        <v>0.81944444444525288</v>
      </c>
      <c r="E703" s="36" t="s">
        <v>7919</v>
      </c>
      <c r="F703" s="36" t="s">
        <v>7920</v>
      </c>
      <c r="G703" s="36" t="s">
        <v>7127</v>
      </c>
      <c r="H703" s="36" t="s">
        <v>6363</v>
      </c>
      <c r="I703" s="36">
        <v>7</v>
      </c>
      <c r="J703" s="36" t="s">
        <v>5895</v>
      </c>
      <c r="K703" s="36" t="s">
        <v>7918</v>
      </c>
      <c r="L703" s="36" t="b">
        <v>0</v>
      </c>
    </row>
    <row r="704" spans="1:12" ht="12.75" hidden="1">
      <c r="A704" s="448">
        <v>45224.774940046293</v>
      </c>
      <c r="B704" s="449">
        <v>45223</v>
      </c>
      <c r="C704" s="36" t="s">
        <v>3383</v>
      </c>
      <c r="D704" s="450">
        <v>0.83333333333575865</v>
      </c>
      <c r="E704" s="36" t="s">
        <v>7891</v>
      </c>
      <c r="F704" s="36" t="s">
        <v>7921</v>
      </c>
      <c r="G704" s="36" t="s">
        <v>756</v>
      </c>
      <c r="H704" s="36" t="s">
        <v>7893</v>
      </c>
      <c r="I704" s="36">
        <v>17</v>
      </c>
      <c r="J704" s="36" t="s">
        <v>5895</v>
      </c>
      <c r="K704" s="36" t="s">
        <v>7922</v>
      </c>
      <c r="L704" s="36" t="b">
        <v>0</v>
      </c>
    </row>
    <row r="705" spans="1:12" ht="12.75" hidden="1">
      <c r="A705" s="448">
        <v>45224.777502013894</v>
      </c>
      <c r="B705" s="449">
        <v>45224</v>
      </c>
      <c r="C705" s="36" t="s">
        <v>3383</v>
      </c>
      <c r="D705" s="450">
        <v>0.72916666666424135</v>
      </c>
      <c r="E705" s="36" t="s">
        <v>7717</v>
      </c>
      <c r="F705" s="36" t="s">
        <v>7923</v>
      </c>
      <c r="G705" s="36" t="s">
        <v>756</v>
      </c>
      <c r="H705" s="36" t="s">
        <v>7895</v>
      </c>
      <c r="I705" s="36">
        <v>18</v>
      </c>
      <c r="J705" s="36" t="s">
        <v>5895</v>
      </c>
      <c r="K705" s="36" t="s">
        <v>7924</v>
      </c>
      <c r="L705" s="36" t="b">
        <v>0</v>
      </c>
    </row>
    <row r="706" spans="1:12" ht="12.75" hidden="1">
      <c r="A706" s="448">
        <v>45224.848479895838</v>
      </c>
      <c r="B706" s="449">
        <v>45218</v>
      </c>
      <c r="C706" s="36" t="s">
        <v>3388</v>
      </c>
      <c r="D706" s="450">
        <v>0.75</v>
      </c>
      <c r="E706" s="36" t="s">
        <v>7925</v>
      </c>
      <c r="F706" s="36" t="s">
        <v>7926</v>
      </c>
      <c r="G706" s="36" t="s">
        <v>1305</v>
      </c>
      <c r="H706" s="36" t="s">
        <v>7796</v>
      </c>
      <c r="I706" s="36">
        <v>2</v>
      </c>
      <c r="J706" s="36" t="s">
        <v>5895</v>
      </c>
      <c r="K706" s="36" t="s">
        <v>7349</v>
      </c>
      <c r="L706" s="36" t="b">
        <v>0</v>
      </c>
    </row>
    <row r="707" spans="1:12" ht="12.75" hidden="1">
      <c r="A707" s="448">
        <v>45224.849344317132</v>
      </c>
      <c r="B707" s="449">
        <v>45218</v>
      </c>
      <c r="C707" s="36" t="s">
        <v>3388</v>
      </c>
      <c r="D707" s="450">
        <v>0.79166666666424135</v>
      </c>
      <c r="E707" s="36" t="s">
        <v>7794</v>
      </c>
      <c r="F707" s="36" t="s">
        <v>7323</v>
      </c>
      <c r="G707" s="36" t="s">
        <v>1305</v>
      </c>
      <c r="H707" s="36" t="s">
        <v>5946</v>
      </c>
      <c r="I707" s="36">
        <v>3</v>
      </c>
      <c r="J707" s="36" t="s">
        <v>5895</v>
      </c>
      <c r="K707" s="36" t="s">
        <v>7349</v>
      </c>
      <c r="L707" s="36" t="b">
        <v>0</v>
      </c>
    </row>
    <row r="708" spans="1:12" ht="12.75" hidden="1">
      <c r="A708" s="448">
        <v>45224.850309907408</v>
      </c>
      <c r="B708" s="449">
        <v>45220</v>
      </c>
      <c r="C708" s="36" t="s">
        <v>3388</v>
      </c>
      <c r="D708" s="450">
        <v>0.41666666666424135</v>
      </c>
      <c r="E708" s="36" t="s">
        <v>7927</v>
      </c>
      <c r="F708" s="36" t="s">
        <v>7928</v>
      </c>
      <c r="G708" s="36" t="s">
        <v>1305</v>
      </c>
      <c r="H708" s="36" t="s">
        <v>7929</v>
      </c>
      <c r="I708" s="36">
        <v>4</v>
      </c>
      <c r="J708" s="36" t="s">
        <v>5895</v>
      </c>
      <c r="K708" s="36" t="s">
        <v>7930</v>
      </c>
      <c r="L708" s="36" t="b">
        <v>0</v>
      </c>
    </row>
    <row r="709" spans="1:12" ht="12.75" hidden="1">
      <c r="A709" s="448">
        <v>45224.851361539353</v>
      </c>
      <c r="B709" s="449">
        <v>45220</v>
      </c>
      <c r="C709" s="36" t="s">
        <v>3388</v>
      </c>
      <c r="D709" s="450">
        <v>0.45833333333575865</v>
      </c>
      <c r="E709" s="36" t="s">
        <v>7931</v>
      </c>
      <c r="F709" s="36" t="s">
        <v>7476</v>
      </c>
      <c r="G709" s="36" t="s">
        <v>1305</v>
      </c>
      <c r="H709" s="36" t="s">
        <v>7932</v>
      </c>
      <c r="I709" s="36">
        <v>5</v>
      </c>
      <c r="J709" s="36" t="s">
        <v>5895</v>
      </c>
      <c r="K709" s="36" t="s">
        <v>7220</v>
      </c>
      <c r="L709" s="36" t="b">
        <v>0</v>
      </c>
    </row>
    <row r="710" spans="1:12" ht="12.75" hidden="1">
      <c r="A710" s="448">
        <v>45224.852066388892</v>
      </c>
      <c r="B710" s="449">
        <v>45220</v>
      </c>
      <c r="C710" s="36" t="s">
        <v>3388</v>
      </c>
      <c r="D710" s="450">
        <v>0.54166666666424135</v>
      </c>
      <c r="E710" s="36" t="s">
        <v>7933</v>
      </c>
      <c r="F710" s="36" t="s">
        <v>7928</v>
      </c>
      <c r="G710" s="36" t="s">
        <v>4049</v>
      </c>
      <c r="H710" s="36" t="s">
        <v>7934</v>
      </c>
      <c r="I710" s="36">
        <v>6</v>
      </c>
      <c r="J710" s="36" t="s">
        <v>5895</v>
      </c>
      <c r="K710" s="36" t="s">
        <v>7220</v>
      </c>
      <c r="L710" s="36" t="b">
        <v>0</v>
      </c>
    </row>
    <row r="711" spans="1:12" ht="12.75" hidden="1">
      <c r="A711" s="448">
        <v>45224.853031851853</v>
      </c>
      <c r="B711" s="449">
        <v>45221</v>
      </c>
      <c r="C711" s="36" t="s">
        <v>3388</v>
      </c>
      <c r="D711" s="450">
        <v>0.45833333333575865</v>
      </c>
      <c r="E711" s="36" t="s">
        <v>7298</v>
      </c>
      <c r="F711" s="36" t="s">
        <v>7935</v>
      </c>
      <c r="G711" s="36" t="s">
        <v>1305</v>
      </c>
      <c r="H711" s="36" t="s">
        <v>6941</v>
      </c>
      <c r="I711" s="36">
        <v>7</v>
      </c>
      <c r="J711" s="36" t="s">
        <v>5895</v>
      </c>
      <c r="K711" s="36" t="s">
        <v>7220</v>
      </c>
      <c r="L711" s="36" t="b">
        <v>0</v>
      </c>
    </row>
    <row r="712" spans="1:12" ht="12.75" hidden="1">
      <c r="A712" s="448">
        <v>45224.947032905096</v>
      </c>
      <c r="B712" s="449">
        <v>45224</v>
      </c>
      <c r="C712" s="36" t="s">
        <v>13</v>
      </c>
      <c r="D712" s="450">
        <v>0.70833333333575865</v>
      </c>
      <c r="E712" s="36">
        <v>35</v>
      </c>
      <c r="F712" s="36" t="s">
        <v>7936</v>
      </c>
      <c r="G712" s="36" t="s">
        <v>6701</v>
      </c>
      <c r="H712" s="36" t="s">
        <v>6697</v>
      </c>
      <c r="I712" s="36">
        <v>1</v>
      </c>
      <c r="J712" s="36" t="s">
        <v>5895</v>
      </c>
      <c r="K712" s="36" t="s">
        <v>7937</v>
      </c>
      <c r="L712" s="36" t="b">
        <v>0</v>
      </c>
    </row>
    <row r="713" spans="1:12" ht="12.75" hidden="1">
      <c r="A713" s="448">
        <v>45224.948194976852</v>
      </c>
      <c r="B713" s="449">
        <v>37919</v>
      </c>
      <c r="C713" s="36" t="s">
        <v>3388</v>
      </c>
      <c r="D713" s="450">
        <v>0.70833333333575865</v>
      </c>
      <c r="E713" s="36" t="s">
        <v>7938</v>
      </c>
      <c r="F713" s="36" t="s">
        <v>7939</v>
      </c>
      <c r="G713" s="36" t="s">
        <v>7940</v>
      </c>
      <c r="H713" s="36" t="s">
        <v>1113</v>
      </c>
      <c r="I713" s="36">
        <v>2</v>
      </c>
      <c r="J713" s="36" t="s">
        <v>5895</v>
      </c>
      <c r="K713" s="36" t="s">
        <v>6242</v>
      </c>
      <c r="L713" s="36" t="b">
        <v>0</v>
      </c>
    </row>
    <row r="714" spans="1:12" ht="12.75" hidden="1">
      <c r="A714" s="448">
        <v>45225.816598414356</v>
      </c>
      <c r="B714" s="449">
        <v>45225</v>
      </c>
      <c r="C714" s="36" t="s">
        <v>3383</v>
      </c>
      <c r="D714" s="450">
        <v>0.72916666666424135</v>
      </c>
      <c r="E714" s="36" t="s">
        <v>7717</v>
      </c>
      <c r="F714" s="36" t="s">
        <v>7941</v>
      </c>
      <c r="G714" s="36" t="s">
        <v>756</v>
      </c>
      <c r="H714" s="36" t="s">
        <v>7942</v>
      </c>
      <c r="I714" s="36">
        <v>19</v>
      </c>
      <c r="J714" s="36" t="s">
        <v>5895</v>
      </c>
      <c r="K714" s="36" t="s">
        <v>7943</v>
      </c>
      <c r="L714" s="36" t="b">
        <v>0</v>
      </c>
    </row>
    <row r="715" spans="1:12" ht="12.75" hidden="1">
      <c r="A715" s="448">
        <v>45225.818054930554</v>
      </c>
      <c r="B715" s="449">
        <v>45225</v>
      </c>
      <c r="C715" s="36" t="s">
        <v>3383</v>
      </c>
      <c r="D715" s="450">
        <v>0.79166666666424135</v>
      </c>
      <c r="E715" s="36" t="s">
        <v>7891</v>
      </c>
      <c r="F715" s="36" t="s">
        <v>7944</v>
      </c>
      <c r="G715" s="36" t="s">
        <v>756</v>
      </c>
      <c r="H715" s="36" t="s">
        <v>7945</v>
      </c>
      <c r="I715" s="36">
        <v>20</v>
      </c>
      <c r="J715" s="36" t="s">
        <v>5895</v>
      </c>
      <c r="K715" s="36" t="s">
        <v>7943</v>
      </c>
      <c r="L715" s="36" t="b">
        <v>0</v>
      </c>
    </row>
    <row r="716" spans="1:12" ht="12.75" hidden="1">
      <c r="A716" s="448">
        <v>45227.743357638887</v>
      </c>
      <c r="B716" s="449">
        <v>45228</v>
      </c>
      <c r="C716" s="36" t="s">
        <v>12</v>
      </c>
      <c r="D716" s="450">
        <v>0.66666666666424135</v>
      </c>
      <c r="E716" s="36" t="s">
        <v>7946</v>
      </c>
      <c r="F716" s="36" t="s">
        <v>7947</v>
      </c>
      <c r="G716" s="36" t="s">
        <v>1063</v>
      </c>
      <c r="H716" s="36" t="s">
        <v>7873</v>
      </c>
      <c r="I716" s="36">
        <v>1</v>
      </c>
      <c r="J716" s="36" t="s">
        <v>5895</v>
      </c>
      <c r="K716" s="36" t="s">
        <v>7948</v>
      </c>
      <c r="L716" s="36" t="b">
        <v>0</v>
      </c>
    </row>
    <row r="717" spans="1:12" ht="12.75" hidden="1">
      <c r="A717" s="448">
        <v>45228.415776284717</v>
      </c>
      <c r="B717" s="449">
        <v>45227</v>
      </c>
      <c r="C717" s="36" t="s">
        <v>3388</v>
      </c>
      <c r="D717" s="450">
        <v>0.47916666666424135</v>
      </c>
      <c r="E717" s="36" t="s">
        <v>7949</v>
      </c>
      <c r="F717" s="36" t="s">
        <v>7950</v>
      </c>
      <c r="G717" s="36" t="s">
        <v>2257</v>
      </c>
      <c r="H717" s="36" t="s">
        <v>7951</v>
      </c>
      <c r="I717" s="36">
        <v>1</v>
      </c>
      <c r="J717" s="36" t="s">
        <v>5895</v>
      </c>
      <c r="K717" s="36" t="s">
        <v>7952</v>
      </c>
      <c r="L717" s="36" t="b">
        <v>0</v>
      </c>
    </row>
    <row r="718" spans="1:12" ht="12.75" hidden="1">
      <c r="A718" s="448">
        <v>45228.477646423613</v>
      </c>
      <c r="B718" s="449">
        <v>45228</v>
      </c>
      <c r="C718" s="36" t="s">
        <v>13</v>
      </c>
      <c r="D718" s="450">
        <v>0.66666666666424135</v>
      </c>
      <c r="E718" s="36" t="s">
        <v>7953</v>
      </c>
      <c r="F718" s="36" t="s">
        <v>7954</v>
      </c>
      <c r="G718" s="36" t="s">
        <v>7955</v>
      </c>
      <c r="H718" s="36" t="s">
        <v>7956</v>
      </c>
      <c r="I718" s="36">
        <v>2</v>
      </c>
      <c r="J718" s="36" t="s">
        <v>5895</v>
      </c>
      <c r="K718" s="36" t="s">
        <v>7957</v>
      </c>
      <c r="L718" s="36" t="b">
        <v>0</v>
      </c>
    </row>
    <row r="719" spans="1:12" ht="12.75" hidden="1">
      <c r="A719" s="448">
        <v>45228.929835081013</v>
      </c>
      <c r="B719" s="449">
        <v>45228</v>
      </c>
      <c r="C719" s="36" t="s">
        <v>3383</v>
      </c>
      <c r="D719" s="450">
        <v>0.79166666666424135</v>
      </c>
      <c r="E719" s="36" t="s">
        <v>7958</v>
      </c>
      <c r="F719" s="36" t="s">
        <v>7959</v>
      </c>
      <c r="G719" s="36" t="s">
        <v>335</v>
      </c>
      <c r="H719" s="36" t="s">
        <v>1796</v>
      </c>
      <c r="I719" s="36">
        <v>1</v>
      </c>
      <c r="J719" s="36" t="s">
        <v>5895</v>
      </c>
      <c r="K719" s="36" t="s">
        <v>5923</v>
      </c>
      <c r="L719" s="36" t="b">
        <v>0</v>
      </c>
    </row>
    <row r="720" spans="1:12" ht="12.75" hidden="1">
      <c r="A720" s="448">
        <v>45228.933163159723</v>
      </c>
      <c r="B720" s="449">
        <v>45228</v>
      </c>
      <c r="C720" s="36" t="s">
        <v>3383</v>
      </c>
      <c r="D720" s="450">
        <v>0.45833333333575865</v>
      </c>
      <c r="E720" s="36" t="s">
        <v>7931</v>
      </c>
      <c r="F720" s="36">
        <v>26</v>
      </c>
      <c r="G720" s="36" t="s">
        <v>1219</v>
      </c>
      <c r="H720" s="36" t="s">
        <v>1796</v>
      </c>
      <c r="I720" s="36">
        <v>1</v>
      </c>
      <c r="J720" s="36" t="s">
        <v>5895</v>
      </c>
      <c r="K720" s="36" t="s">
        <v>7960</v>
      </c>
      <c r="L720" s="36" t="b">
        <v>0</v>
      </c>
    </row>
    <row r="721" spans="1:12" ht="12.75" hidden="1">
      <c r="A721" s="448">
        <v>45228.960269456016</v>
      </c>
      <c r="B721" s="449">
        <v>45228</v>
      </c>
      <c r="C721" s="36" t="s">
        <v>3383</v>
      </c>
      <c r="D721" s="450">
        <v>0.79166666666424135</v>
      </c>
      <c r="E721" s="36" t="s">
        <v>7961</v>
      </c>
      <c r="F721" s="36" t="s">
        <v>7962</v>
      </c>
      <c r="G721" s="36" t="s">
        <v>335</v>
      </c>
      <c r="H721" s="36" t="s">
        <v>7724</v>
      </c>
      <c r="I721" s="36">
        <v>13</v>
      </c>
      <c r="J721" s="36" t="s">
        <v>5895</v>
      </c>
      <c r="K721" s="36" t="s">
        <v>7783</v>
      </c>
      <c r="L721" s="36" t="b">
        <v>0</v>
      </c>
    </row>
    <row r="722" spans="1:12" ht="12.75" hidden="1">
      <c r="A722" s="448">
        <v>45228.96210344907</v>
      </c>
      <c r="B722" s="449">
        <v>45228</v>
      </c>
      <c r="C722" s="36" t="s">
        <v>3383</v>
      </c>
      <c r="D722" s="450">
        <v>0.45833333333575865</v>
      </c>
      <c r="E722" s="36" t="s">
        <v>7931</v>
      </c>
      <c r="F722" s="36" t="s">
        <v>7963</v>
      </c>
      <c r="G722" s="36" t="s">
        <v>1219</v>
      </c>
      <c r="H722" s="36" t="s">
        <v>7724</v>
      </c>
      <c r="I722" s="36">
        <v>14</v>
      </c>
      <c r="J722" s="36" t="s">
        <v>5895</v>
      </c>
      <c r="K722" s="36" t="s">
        <v>7783</v>
      </c>
      <c r="L722" s="36" t="b">
        <v>0</v>
      </c>
    </row>
    <row r="723" spans="1:12" ht="12.75" hidden="1">
      <c r="A723" s="448">
        <v>45229.376565775463</v>
      </c>
      <c r="B723" s="449">
        <v>45228</v>
      </c>
      <c r="C723" s="36" t="s">
        <v>3388</v>
      </c>
      <c r="D723" s="450">
        <v>0.41666666666424135</v>
      </c>
      <c r="E723" s="36" t="s">
        <v>7341</v>
      </c>
      <c r="F723" s="36" t="s">
        <v>7964</v>
      </c>
      <c r="G723" s="36" t="s">
        <v>7127</v>
      </c>
      <c r="H723" s="36" t="s">
        <v>6315</v>
      </c>
      <c r="I723" s="36">
        <v>7</v>
      </c>
      <c r="J723" s="36" t="s">
        <v>5895</v>
      </c>
      <c r="K723" s="36" t="s">
        <v>7965</v>
      </c>
      <c r="L723" s="36" t="b">
        <v>0</v>
      </c>
    </row>
    <row r="724" spans="1:12" ht="12.75" hidden="1">
      <c r="A724" s="448">
        <v>45229.381582951391</v>
      </c>
      <c r="B724" s="449">
        <v>45229</v>
      </c>
      <c r="C724" s="36" t="s">
        <v>3383</v>
      </c>
      <c r="D724" s="450">
        <v>0.75</v>
      </c>
      <c r="E724" s="36" t="s">
        <v>7494</v>
      </c>
      <c r="F724" s="36" t="s">
        <v>7966</v>
      </c>
      <c r="G724" s="36" t="s">
        <v>756</v>
      </c>
      <c r="H724" s="36" t="s">
        <v>7967</v>
      </c>
      <c r="I724" s="36">
        <v>20</v>
      </c>
      <c r="J724" s="36" t="s">
        <v>5895</v>
      </c>
      <c r="K724" s="36" t="s">
        <v>5943</v>
      </c>
      <c r="L724" s="36" t="b">
        <v>0</v>
      </c>
    </row>
    <row r="725" spans="1:12" ht="12.75" hidden="1">
      <c r="A725" s="448">
        <v>45229.382453935184</v>
      </c>
      <c r="B725" s="449">
        <v>45229</v>
      </c>
      <c r="C725" s="36" t="s">
        <v>3383</v>
      </c>
      <c r="D725" s="450">
        <v>0.83333333333575865</v>
      </c>
      <c r="E725" s="36" t="s">
        <v>7968</v>
      </c>
      <c r="F725" s="36" t="s">
        <v>7969</v>
      </c>
      <c r="G725" s="36" t="s">
        <v>756</v>
      </c>
      <c r="H725" s="36" t="s">
        <v>7970</v>
      </c>
      <c r="I725" s="36">
        <v>21</v>
      </c>
      <c r="J725" s="36" t="s">
        <v>5895</v>
      </c>
      <c r="K725" s="36" t="s">
        <v>5943</v>
      </c>
      <c r="L725" s="36" t="b">
        <v>0</v>
      </c>
    </row>
    <row r="726" spans="1:12" ht="12.75" hidden="1">
      <c r="A726" s="448">
        <v>45229.41877462963</v>
      </c>
      <c r="B726" s="449">
        <v>45229</v>
      </c>
      <c r="C726" s="36" t="s">
        <v>3388</v>
      </c>
      <c r="D726" s="450">
        <v>0.79166666666424135</v>
      </c>
      <c r="E726" s="36" t="s">
        <v>7305</v>
      </c>
      <c r="F726" s="36" t="s">
        <v>7971</v>
      </c>
      <c r="G726" s="36" t="s">
        <v>7972</v>
      </c>
      <c r="H726" s="36" t="s">
        <v>6363</v>
      </c>
      <c r="I726" s="36">
        <v>1</v>
      </c>
      <c r="J726" s="36" t="s">
        <v>5895</v>
      </c>
      <c r="K726" s="36" t="s">
        <v>7973</v>
      </c>
      <c r="L726" s="36" t="b">
        <v>0</v>
      </c>
    </row>
    <row r="727" spans="1:12" ht="12.75" hidden="1">
      <c r="A727" s="448">
        <v>45229.847108946764</v>
      </c>
      <c r="B727" s="449">
        <v>45225</v>
      </c>
      <c r="C727" s="36" t="s">
        <v>3388</v>
      </c>
      <c r="D727" s="450">
        <v>0.75</v>
      </c>
      <c r="E727" s="36" t="s">
        <v>7974</v>
      </c>
      <c r="F727" s="36" t="s">
        <v>7975</v>
      </c>
      <c r="G727" s="36" t="s">
        <v>1483</v>
      </c>
      <c r="H727" s="36" t="s">
        <v>6363</v>
      </c>
      <c r="I727" s="36">
        <v>1</v>
      </c>
      <c r="J727" s="36" t="s">
        <v>5895</v>
      </c>
      <c r="K727" s="36" t="s">
        <v>6740</v>
      </c>
      <c r="L727" s="36" t="b">
        <v>0</v>
      </c>
    </row>
    <row r="728" spans="1:12" ht="12.75" hidden="1">
      <c r="A728" s="448">
        <v>45230.599838483795</v>
      </c>
      <c r="B728" s="449">
        <v>45229</v>
      </c>
      <c r="C728" s="36" t="s">
        <v>3383</v>
      </c>
      <c r="D728" s="450">
        <v>0.83333333333575865</v>
      </c>
      <c r="E728" s="36" t="s">
        <v>7976</v>
      </c>
      <c r="F728" s="36" t="s">
        <v>7977</v>
      </c>
      <c r="G728" s="36" t="s">
        <v>6646</v>
      </c>
      <c r="H728" s="36" t="s">
        <v>7724</v>
      </c>
      <c r="I728" s="36">
        <v>15</v>
      </c>
      <c r="J728" s="36" t="s">
        <v>5895</v>
      </c>
      <c r="K728" s="36" t="s">
        <v>7783</v>
      </c>
      <c r="L728" s="36" t="b">
        <v>0</v>
      </c>
    </row>
    <row r="729" spans="1:12" ht="12.75" hidden="1">
      <c r="A729" s="448">
        <v>45230.654157789351</v>
      </c>
      <c r="B729" s="449">
        <v>45230</v>
      </c>
      <c r="C729" s="36" t="s">
        <v>12</v>
      </c>
      <c r="D729" s="450">
        <v>0.75</v>
      </c>
      <c r="E729" s="36" t="s">
        <v>7978</v>
      </c>
      <c r="F729" s="36" t="s">
        <v>7979</v>
      </c>
      <c r="G729" s="36" t="s">
        <v>7980</v>
      </c>
      <c r="H729" s="36" t="s">
        <v>7981</v>
      </c>
      <c r="I729" s="36">
        <v>1</v>
      </c>
      <c r="J729" s="36" t="s">
        <v>5895</v>
      </c>
      <c r="K729" s="36" t="s">
        <v>7982</v>
      </c>
      <c r="L729" s="36" t="b">
        <v>0</v>
      </c>
    </row>
    <row r="730" spans="1:12" ht="12.75" hidden="1">
      <c r="A730" s="448">
        <v>45230.961066793985</v>
      </c>
      <c r="B730" s="449">
        <v>45215</v>
      </c>
      <c r="C730" s="36" t="s">
        <v>3383</v>
      </c>
      <c r="D730" s="450">
        <v>0.75</v>
      </c>
      <c r="E730" s="36" t="s">
        <v>7680</v>
      </c>
      <c r="F730" s="36" t="s">
        <v>7983</v>
      </c>
      <c r="G730" s="36" t="s">
        <v>1501</v>
      </c>
      <c r="H730" s="36" t="s">
        <v>7682</v>
      </c>
      <c r="I730" s="36">
        <v>1</v>
      </c>
      <c r="J730" s="36" t="s">
        <v>5895</v>
      </c>
      <c r="K730" s="36" t="s">
        <v>7984</v>
      </c>
      <c r="L730" s="36" t="b">
        <v>0</v>
      </c>
    </row>
    <row r="731" spans="1:12" ht="12.75" hidden="1">
      <c r="A731" s="448">
        <v>45231.57513305555</v>
      </c>
      <c r="B731" s="449">
        <v>45230</v>
      </c>
      <c r="C731" s="36" t="s">
        <v>3383</v>
      </c>
      <c r="D731" s="450">
        <v>0.83333333333575865</v>
      </c>
      <c r="E731" s="36" t="s">
        <v>7985</v>
      </c>
      <c r="F731" s="36" t="s">
        <v>7986</v>
      </c>
      <c r="G731" s="36" t="s">
        <v>756</v>
      </c>
      <c r="H731" s="36" t="s">
        <v>7893</v>
      </c>
      <c r="I731" s="36">
        <v>21</v>
      </c>
      <c r="J731" s="36" t="s">
        <v>5895</v>
      </c>
      <c r="K731" s="36" t="s">
        <v>6501</v>
      </c>
      <c r="L731" s="36" t="b">
        <v>0</v>
      </c>
    </row>
    <row r="732" spans="1:12" ht="12.75" hidden="1">
      <c r="A732" s="448">
        <v>45231.576102662038</v>
      </c>
      <c r="B732" s="449">
        <v>45230</v>
      </c>
      <c r="C732" s="36" t="s">
        <v>3383</v>
      </c>
      <c r="D732" s="450">
        <v>0.72916666666424135</v>
      </c>
      <c r="E732" s="36" t="s">
        <v>7987</v>
      </c>
      <c r="F732" s="36" t="s">
        <v>7941</v>
      </c>
      <c r="G732" s="36" t="s">
        <v>756</v>
      </c>
      <c r="H732" s="36" t="s">
        <v>7895</v>
      </c>
      <c r="I732" s="36">
        <v>22</v>
      </c>
      <c r="J732" s="36" t="s">
        <v>5895</v>
      </c>
      <c r="K732" s="36" t="s">
        <v>6501</v>
      </c>
      <c r="L732" s="36" t="b">
        <v>0</v>
      </c>
    </row>
    <row r="733" spans="1:12" ht="12.75">
      <c r="A733" s="448">
        <v>45231.496627673609</v>
      </c>
      <c r="B733" s="449">
        <v>45234</v>
      </c>
      <c r="C733" s="36" t="s">
        <v>12</v>
      </c>
      <c r="D733" s="450">
        <v>0.41666666666424135</v>
      </c>
      <c r="E733" s="36" t="s">
        <v>7988</v>
      </c>
      <c r="F733" s="36" t="s">
        <v>7989</v>
      </c>
      <c r="G733" s="36" t="s">
        <v>7990</v>
      </c>
      <c r="H733" s="36" t="s">
        <v>582</v>
      </c>
      <c r="I733" s="36">
        <v>1</v>
      </c>
      <c r="J733" s="36" t="s">
        <v>5895</v>
      </c>
      <c r="K733" s="36" t="s">
        <v>7991</v>
      </c>
      <c r="L733" s="36" t="b">
        <v>0</v>
      </c>
    </row>
    <row r="734" spans="1:12" ht="12.75">
      <c r="A734" s="448">
        <v>45232.457845775461</v>
      </c>
      <c r="B734" s="449">
        <v>45231</v>
      </c>
      <c r="C734" s="36" t="s">
        <v>3383</v>
      </c>
      <c r="D734" s="450">
        <v>0.66666666666424135</v>
      </c>
      <c r="E734" s="36" t="s">
        <v>7992</v>
      </c>
      <c r="F734" s="36" t="s">
        <v>7993</v>
      </c>
      <c r="G734" s="36" t="s">
        <v>6537</v>
      </c>
      <c r="H734" s="36" t="s">
        <v>7994</v>
      </c>
      <c r="I734" s="36">
        <v>3</v>
      </c>
      <c r="J734" s="36" t="s">
        <v>5895</v>
      </c>
      <c r="K734" s="36" t="s">
        <v>6242</v>
      </c>
      <c r="L734" s="36" t="b">
        <v>0</v>
      </c>
    </row>
    <row r="735" spans="1:12" ht="12.75">
      <c r="A735" s="448">
        <v>45232.459086435185</v>
      </c>
      <c r="B735" s="449">
        <v>45231</v>
      </c>
      <c r="C735" s="36" t="s">
        <v>3383</v>
      </c>
      <c r="D735" s="450">
        <v>0.75</v>
      </c>
      <c r="E735" s="36" t="s">
        <v>7995</v>
      </c>
      <c r="F735" s="36" t="s">
        <v>7996</v>
      </c>
      <c r="G735" s="36" t="s">
        <v>6537</v>
      </c>
      <c r="H735" s="36" t="s">
        <v>6977</v>
      </c>
      <c r="I735" s="36">
        <v>4</v>
      </c>
      <c r="J735" s="36" t="s">
        <v>5895</v>
      </c>
      <c r="K735" s="36" t="s">
        <v>6242</v>
      </c>
      <c r="L735" s="36" t="b">
        <v>0</v>
      </c>
    </row>
    <row r="736" spans="1:12" ht="12.75">
      <c r="A736" s="448">
        <v>45232.482584247686</v>
      </c>
      <c r="B736" s="449">
        <v>45231</v>
      </c>
      <c r="C736" s="36" t="s">
        <v>3388</v>
      </c>
      <c r="D736" s="450">
        <v>0.79166666666424135</v>
      </c>
      <c r="E736" s="36" t="s">
        <v>7255</v>
      </c>
      <c r="F736" s="36" t="s">
        <v>7997</v>
      </c>
      <c r="G736" s="36" t="s">
        <v>725</v>
      </c>
      <c r="H736" s="36" t="s">
        <v>1158</v>
      </c>
      <c r="I736" s="36">
        <v>1</v>
      </c>
      <c r="J736" s="36" t="s">
        <v>5895</v>
      </c>
      <c r="K736" s="36" t="s">
        <v>5943</v>
      </c>
      <c r="L736" s="36" t="b">
        <v>0</v>
      </c>
    </row>
    <row r="737" spans="1:12" ht="12.75">
      <c r="A737" s="448">
        <v>45232.559452847221</v>
      </c>
      <c r="B737" s="449">
        <v>45232</v>
      </c>
      <c r="C737" s="36" t="s">
        <v>3388</v>
      </c>
      <c r="D737" s="450">
        <v>0.75</v>
      </c>
      <c r="E737" s="36" t="s">
        <v>7998</v>
      </c>
      <c r="F737" s="36" t="s">
        <v>7999</v>
      </c>
      <c r="G737" s="36" t="s">
        <v>1288</v>
      </c>
      <c r="H737" s="36" t="s">
        <v>6366</v>
      </c>
      <c r="I737" s="36">
        <v>1</v>
      </c>
      <c r="J737" s="36" t="s">
        <v>5895</v>
      </c>
      <c r="K737" s="36" t="s">
        <v>8000</v>
      </c>
      <c r="L737" s="36" t="b">
        <v>0</v>
      </c>
    </row>
    <row r="738" spans="1:12" ht="12.75">
      <c r="A738" s="448">
        <v>45232.84318142361</v>
      </c>
      <c r="B738" s="449">
        <v>45232</v>
      </c>
      <c r="C738" s="36" t="s">
        <v>12</v>
      </c>
      <c r="D738" s="450">
        <v>0.79166666666424135</v>
      </c>
      <c r="E738" s="36" t="s">
        <v>6864</v>
      </c>
      <c r="F738" s="36" t="s">
        <v>8001</v>
      </c>
      <c r="G738" s="36" t="s">
        <v>164</v>
      </c>
      <c r="H738" s="36" t="s">
        <v>8002</v>
      </c>
      <c r="I738" s="36">
        <v>1</v>
      </c>
      <c r="J738" s="36" t="s">
        <v>5895</v>
      </c>
      <c r="K738" s="36" t="s">
        <v>8003</v>
      </c>
      <c r="L738" s="36" t="b">
        <v>0</v>
      </c>
    </row>
    <row r="739" spans="1:12" ht="12.75">
      <c r="A739" s="448">
        <v>45232.897298298616</v>
      </c>
      <c r="B739" s="449">
        <v>45231</v>
      </c>
      <c r="C739" s="36" t="s">
        <v>3388</v>
      </c>
      <c r="D739" s="450">
        <v>0.75</v>
      </c>
      <c r="E739" s="36" t="s">
        <v>8004</v>
      </c>
      <c r="F739" s="36">
        <v>3</v>
      </c>
      <c r="G739" s="36" t="s">
        <v>1042</v>
      </c>
      <c r="H739" s="36" t="s">
        <v>1395</v>
      </c>
      <c r="I739" s="36">
        <v>1</v>
      </c>
      <c r="J739" s="36" t="s">
        <v>5895</v>
      </c>
      <c r="K739" s="36" t="s">
        <v>5923</v>
      </c>
      <c r="L739" s="36" t="b">
        <v>0</v>
      </c>
    </row>
    <row r="740" spans="1:12" ht="12.75">
      <c r="A740" s="448">
        <v>45233.502645127315</v>
      </c>
      <c r="B740" s="449">
        <v>45235</v>
      </c>
      <c r="C740" s="36" t="s">
        <v>12</v>
      </c>
      <c r="D740" s="450">
        <v>0.41666666666424135</v>
      </c>
      <c r="E740" s="36" t="s">
        <v>6424</v>
      </c>
      <c r="F740" s="36" t="s">
        <v>8005</v>
      </c>
      <c r="G740" s="36" t="s">
        <v>6032</v>
      </c>
      <c r="H740" s="36" t="s">
        <v>1063</v>
      </c>
      <c r="I740" s="36">
        <v>1</v>
      </c>
      <c r="J740" s="36" t="s">
        <v>5895</v>
      </c>
      <c r="K740" s="36" t="s">
        <v>8006</v>
      </c>
      <c r="L740" s="36" t="b">
        <v>0</v>
      </c>
    </row>
    <row r="741" spans="1:12" ht="12.75">
      <c r="A741" s="448">
        <v>45235.531576956018</v>
      </c>
      <c r="B741" s="449">
        <v>45234</v>
      </c>
      <c r="C741" s="36" t="s">
        <v>3388</v>
      </c>
      <c r="D741" s="450">
        <v>0.54166666666424135</v>
      </c>
      <c r="E741" s="36" t="s">
        <v>7933</v>
      </c>
      <c r="F741" s="36" t="s">
        <v>8007</v>
      </c>
      <c r="G741" s="36" t="s">
        <v>1305</v>
      </c>
      <c r="H741" s="36" t="s">
        <v>8008</v>
      </c>
      <c r="I741" s="36">
        <v>1</v>
      </c>
      <c r="J741" s="36" t="s">
        <v>5895</v>
      </c>
      <c r="K741" s="36" t="s">
        <v>6481</v>
      </c>
      <c r="L741" s="36" t="b">
        <v>0</v>
      </c>
    </row>
    <row r="742" spans="1:12" ht="12.75">
      <c r="A742" s="448">
        <v>45235.745614074069</v>
      </c>
      <c r="B742" s="449">
        <v>45232</v>
      </c>
      <c r="C742" s="36" t="s">
        <v>3383</v>
      </c>
      <c r="D742" s="450">
        <v>0.83333333333575865</v>
      </c>
      <c r="E742" s="36" t="s">
        <v>8009</v>
      </c>
      <c r="F742" s="36" t="s">
        <v>8010</v>
      </c>
      <c r="G742" s="36" t="s">
        <v>335</v>
      </c>
      <c r="H742" s="36" t="s">
        <v>6977</v>
      </c>
      <c r="I742" s="36">
        <v>1</v>
      </c>
      <c r="J742" s="36" t="s">
        <v>5895</v>
      </c>
      <c r="K742" s="36" t="s">
        <v>8011</v>
      </c>
      <c r="L742" s="36" t="b">
        <v>0</v>
      </c>
    </row>
    <row r="743" spans="1:12" ht="12.75">
      <c r="A743" s="448">
        <v>45236.367851817129</v>
      </c>
      <c r="B743" s="449">
        <v>45234</v>
      </c>
      <c r="C743" s="36" t="s">
        <v>3388</v>
      </c>
      <c r="D743" s="450">
        <v>0.47916666666424135</v>
      </c>
      <c r="E743" s="36" t="s">
        <v>8012</v>
      </c>
      <c r="F743" s="36" t="s">
        <v>8013</v>
      </c>
      <c r="G743" s="36" t="s">
        <v>2010</v>
      </c>
      <c r="H743" s="36" t="s">
        <v>6315</v>
      </c>
      <c r="I743" s="36">
        <v>1</v>
      </c>
      <c r="J743" s="36" t="s">
        <v>5895</v>
      </c>
      <c r="K743" s="36" t="s">
        <v>8014</v>
      </c>
      <c r="L743" s="36" t="b">
        <v>0</v>
      </c>
    </row>
    <row r="744" spans="1:12" ht="12.75">
      <c r="A744" s="448">
        <v>45236.369743391202</v>
      </c>
      <c r="B744" s="449">
        <v>45235</v>
      </c>
      <c r="C744" s="36" t="s">
        <v>3388</v>
      </c>
      <c r="D744" s="450">
        <v>0.45833333333575865</v>
      </c>
      <c r="E744" s="36" t="s">
        <v>8015</v>
      </c>
      <c r="F744" s="36" t="s">
        <v>8016</v>
      </c>
      <c r="G744" s="36" t="s">
        <v>2010</v>
      </c>
      <c r="H744" s="36" t="s">
        <v>8017</v>
      </c>
      <c r="I744" s="36">
        <v>2</v>
      </c>
      <c r="J744" s="36" t="s">
        <v>5895</v>
      </c>
      <c r="K744" s="36" t="s">
        <v>8014</v>
      </c>
      <c r="L744" s="36" t="b">
        <v>0</v>
      </c>
    </row>
    <row r="745" spans="1:12" ht="12.75">
      <c r="A745" s="448">
        <v>45237.01841340278</v>
      </c>
      <c r="B745" s="449">
        <v>45235</v>
      </c>
      <c r="C745" s="36" t="s">
        <v>3388</v>
      </c>
      <c r="D745" s="450">
        <v>0.79166666666424135</v>
      </c>
      <c r="E745" s="36" t="s">
        <v>8018</v>
      </c>
      <c r="F745" s="36" t="s">
        <v>8019</v>
      </c>
      <c r="G745" s="36" t="s">
        <v>1128</v>
      </c>
      <c r="H745" s="36" t="s">
        <v>1680</v>
      </c>
      <c r="I745" s="36">
        <v>1</v>
      </c>
      <c r="J745" s="36" t="s">
        <v>5895</v>
      </c>
      <c r="K745" s="36" t="s">
        <v>6122</v>
      </c>
      <c r="L745" s="36" t="b">
        <v>0</v>
      </c>
    </row>
    <row r="746" spans="1:12" ht="12.75">
      <c r="A746" s="448">
        <v>45237.605516180556</v>
      </c>
      <c r="B746" s="449">
        <v>45239</v>
      </c>
      <c r="C746" s="36" t="s">
        <v>3388</v>
      </c>
      <c r="D746" s="450">
        <v>0.75</v>
      </c>
      <c r="E746" s="36" t="s">
        <v>8020</v>
      </c>
      <c r="F746" s="36">
        <v>16</v>
      </c>
      <c r="G746" s="36" t="s">
        <v>6492</v>
      </c>
      <c r="H746" s="36" t="s">
        <v>8021</v>
      </c>
      <c r="I746" s="36">
        <v>1</v>
      </c>
      <c r="J746" s="36" t="s">
        <v>5895</v>
      </c>
      <c r="K746" s="36" t="s">
        <v>6242</v>
      </c>
      <c r="L746" s="36" t="b">
        <v>0</v>
      </c>
    </row>
    <row r="747" spans="1:12" ht="12.75">
      <c r="A747" s="448">
        <v>45237.648934293982</v>
      </c>
      <c r="B747" s="449">
        <v>45234</v>
      </c>
      <c r="C747" s="36" t="s">
        <v>3383</v>
      </c>
      <c r="D747" s="450">
        <v>0.41666666666424135</v>
      </c>
      <c r="E747" s="36" t="s">
        <v>8022</v>
      </c>
      <c r="F747" s="36" t="s">
        <v>8023</v>
      </c>
      <c r="G747" s="36" t="s">
        <v>1010</v>
      </c>
      <c r="H747" s="36" t="s">
        <v>1796</v>
      </c>
      <c r="I747" s="36">
        <v>1</v>
      </c>
      <c r="J747" s="36" t="s">
        <v>5895</v>
      </c>
      <c r="K747" s="36" t="s">
        <v>8024</v>
      </c>
      <c r="L747" s="36" t="b">
        <v>0</v>
      </c>
    </row>
    <row r="748" spans="1:12" ht="12.75">
      <c r="A748" s="448">
        <v>45237.650001562499</v>
      </c>
      <c r="B748" s="449">
        <v>45234</v>
      </c>
      <c r="C748" s="36" t="s">
        <v>3383</v>
      </c>
      <c r="D748" s="450">
        <v>0.5</v>
      </c>
      <c r="E748" s="36" t="s">
        <v>8025</v>
      </c>
      <c r="F748" s="36" t="s">
        <v>8026</v>
      </c>
      <c r="G748" s="36" t="s">
        <v>1010</v>
      </c>
      <c r="H748" s="36" t="s">
        <v>1796</v>
      </c>
      <c r="I748" s="36">
        <v>2</v>
      </c>
      <c r="J748" s="36" t="s">
        <v>5895</v>
      </c>
      <c r="K748" s="36" t="s">
        <v>8024</v>
      </c>
      <c r="L748" s="36" t="b">
        <v>0</v>
      </c>
    </row>
    <row r="749" spans="1:12" ht="12.75">
      <c r="A749" s="448">
        <v>45237.651045624996</v>
      </c>
      <c r="B749" s="449">
        <v>45234</v>
      </c>
      <c r="C749" s="36" t="s">
        <v>3383</v>
      </c>
      <c r="D749" s="450">
        <v>0.79166666666424135</v>
      </c>
      <c r="E749" s="36" t="s">
        <v>7286</v>
      </c>
      <c r="F749" s="36" t="s">
        <v>8027</v>
      </c>
      <c r="G749" s="36" t="s">
        <v>1010</v>
      </c>
      <c r="H749" s="36" t="s">
        <v>1796</v>
      </c>
      <c r="I749" s="36">
        <v>3</v>
      </c>
      <c r="J749" s="36" t="s">
        <v>5895</v>
      </c>
      <c r="K749" s="36" t="s">
        <v>8024</v>
      </c>
      <c r="L749" s="36" t="b">
        <v>0</v>
      </c>
    </row>
    <row r="750" spans="1:12" ht="12.75">
      <c r="A750" s="448">
        <v>45237.739780833333</v>
      </c>
      <c r="B750" s="449">
        <v>45237</v>
      </c>
      <c r="C750" s="36" t="s">
        <v>3388</v>
      </c>
      <c r="D750" s="450">
        <v>0.75</v>
      </c>
      <c r="E750" s="36" t="s">
        <v>6846</v>
      </c>
      <c r="F750" s="36">
        <v>23</v>
      </c>
      <c r="G750" s="36" t="s">
        <v>1166</v>
      </c>
      <c r="H750" s="36" t="s">
        <v>1113</v>
      </c>
      <c r="I750" s="36">
        <v>1</v>
      </c>
      <c r="J750" s="36" t="s">
        <v>5895</v>
      </c>
      <c r="K750" s="36" t="s">
        <v>8028</v>
      </c>
      <c r="L750" s="36" t="b">
        <v>0</v>
      </c>
    </row>
    <row r="751" spans="1:12" ht="12.75">
      <c r="A751" s="448">
        <v>45237.740694745371</v>
      </c>
      <c r="B751" s="449">
        <v>45237</v>
      </c>
      <c r="C751" s="36" t="s">
        <v>3388</v>
      </c>
      <c r="D751" s="450">
        <v>0.79166666666424135</v>
      </c>
      <c r="E751" s="36" t="s">
        <v>8029</v>
      </c>
      <c r="F751" s="36" t="s">
        <v>8030</v>
      </c>
      <c r="G751" s="36" t="s">
        <v>1166</v>
      </c>
      <c r="H751" s="36" t="s">
        <v>1158</v>
      </c>
      <c r="I751" s="36">
        <v>2</v>
      </c>
      <c r="J751" s="36" t="s">
        <v>5895</v>
      </c>
      <c r="K751" s="36" t="s">
        <v>8031</v>
      </c>
      <c r="L751" s="36" t="b">
        <v>0</v>
      </c>
    </row>
    <row r="752" spans="1:12" ht="12.75">
      <c r="A752" s="448">
        <v>45237.820048680558</v>
      </c>
      <c r="B752" s="449">
        <v>45231</v>
      </c>
      <c r="C752" s="36" t="s">
        <v>12</v>
      </c>
      <c r="D752" s="450">
        <v>6.25E-2</v>
      </c>
      <c r="E752" s="36" t="s">
        <v>8032</v>
      </c>
      <c r="F752" s="36" t="s">
        <v>8033</v>
      </c>
      <c r="G752" s="36" t="s">
        <v>6096</v>
      </c>
      <c r="H752" s="36" t="s">
        <v>6089</v>
      </c>
      <c r="I752" s="36">
        <v>1</v>
      </c>
      <c r="J752" s="36" t="s">
        <v>5895</v>
      </c>
      <c r="K752" s="36" t="s">
        <v>6183</v>
      </c>
      <c r="L752" s="36" t="b">
        <v>0</v>
      </c>
    </row>
    <row r="753" spans="1:12" ht="12.75">
      <c r="A753" s="448">
        <v>45238.061448310182</v>
      </c>
      <c r="B753" s="449">
        <v>45237</v>
      </c>
      <c r="C753" s="36" t="s">
        <v>3388</v>
      </c>
      <c r="D753" s="450">
        <v>0.81944444444525288</v>
      </c>
      <c r="E753" s="36" t="s">
        <v>7536</v>
      </c>
      <c r="F753" s="36" t="s">
        <v>8034</v>
      </c>
      <c r="G753" s="36" t="s">
        <v>1322</v>
      </c>
      <c r="H753" s="36" t="s">
        <v>6363</v>
      </c>
      <c r="I753" s="36">
        <v>1</v>
      </c>
      <c r="J753" s="36" t="s">
        <v>5895</v>
      </c>
      <c r="K753" s="36" t="s">
        <v>7834</v>
      </c>
      <c r="L753" s="36" t="b">
        <v>0</v>
      </c>
    </row>
    <row r="754" spans="1:12" ht="12.75">
      <c r="A754" s="448">
        <v>45238.122705694448</v>
      </c>
      <c r="B754" s="449">
        <v>45237</v>
      </c>
      <c r="C754" s="36" t="s">
        <v>3383</v>
      </c>
      <c r="D754" s="450">
        <v>0.6875</v>
      </c>
      <c r="E754" s="36" t="s">
        <v>8035</v>
      </c>
      <c r="F754" s="36" t="s">
        <v>8036</v>
      </c>
      <c r="G754" s="36" t="s">
        <v>6537</v>
      </c>
      <c r="H754" s="36" t="s">
        <v>1010</v>
      </c>
      <c r="I754" s="36">
        <v>1</v>
      </c>
      <c r="J754" s="36" t="s">
        <v>5895</v>
      </c>
      <c r="K754" s="36" t="s">
        <v>7065</v>
      </c>
      <c r="L754" s="36" t="b">
        <v>0</v>
      </c>
    </row>
    <row r="755" spans="1:12" ht="12.75">
      <c r="A755" s="448">
        <v>45238.124899409726</v>
      </c>
      <c r="B755" s="449">
        <v>45237</v>
      </c>
      <c r="C755" s="36" t="s">
        <v>3383</v>
      </c>
      <c r="D755" s="450">
        <v>0.8125</v>
      </c>
      <c r="E755" s="36" t="s">
        <v>8037</v>
      </c>
      <c r="F755" s="36" t="s">
        <v>8038</v>
      </c>
      <c r="G755" s="36" t="s">
        <v>6537</v>
      </c>
      <c r="H755" s="36" t="s">
        <v>8039</v>
      </c>
      <c r="I755" s="36">
        <v>3</v>
      </c>
      <c r="J755" s="36" t="s">
        <v>5895</v>
      </c>
      <c r="K755" s="36" t="s">
        <v>7065</v>
      </c>
      <c r="L755" s="36" t="b">
        <v>0</v>
      </c>
    </row>
    <row r="756" spans="1:12" ht="12.75">
      <c r="A756" s="448">
        <v>45238.605339189817</v>
      </c>
      <c r="B756" s="449">
        <v>45239</v>
      </c>
      <c r="C756" s="36" t="s">
        <v>12</v>
      </c>
      <c r="D756" s="450">
        <v>0.79166666666424135</v>
      </c>
      <c r="E756" s="36" t="s">
        <v>8040</v>
      </c>
      <c r="F756" s="36" t="s">
        <v>8041</v>
      </c>
      <c r="G756" s="36" t="s">
        <v>1231</v>
      </c>
      <c r="H756" s="36" t="s">
        <v>6742</v>
      </c>
      <c r="I756" s="36">
        <v>1</v>
      </c>
      <c r="J756" s="36" t="s">
        <v>5895</v>
      </c>
      <c r="K756" s="36" t="s">
        <v>8042</v>
      </c>
      <c r="L756" s="36" t="b">
        <v>0</v>
      </c>
    </row>
    <row r="757" spans="1:12" ht="12.75">
      <c r="A757" s="448">
        <v>45238.647401979164</v>
      </c>
      <c r="B757" s="449">
        <v>45238</v>
      </c>
      <c r="C757" s="36" t="s">
        <v>3388</v>
      </c>
      <c r="D757" s="450">
        <v>0.85416666666424135</v>
      </c>
      <c r="E757" s="36" t="s">
        <v>8043</v>
      </c>
      <c r="F757" s="36" t="s">
        <v>8044</v>
      </c>
      <c r="G757" s="36" t="s">
        <v>2286</v>
      </c>
      <c r="H757" s="36" t="s">
        <v>579</v>
      </c>
      <c r="I757" s="36">
        <v>1</v>
      </c>
      <c r="J757" s="36" t="s">
        <v>5895</v>
      </c>
      <c r="K757" s="36" t="s">
        <v>7973</v>
      </c>
      <c r="L757" s="36" t="b">
        <v>0</v>
      </c>
    </row>
    <row r="758" spans="1:12" ht="12.75">
      <c r="A758" s="448">
        <v>45238.720052083328</v>
      </c>
      <c r="B758" s="449">
        <v>45238</v>
      </c>
      <c r="C758" s="36" t="s">
        <v>3388</v>
      </c>
      <c r="D758" s="450">
        <v>0.79166666666424135</v>
      </c>
      <c r="E758" s="36" t="s">
        <v>6438</v>
      </c>
      <c r="F758" s="36">
        <v>27</v>
      </c>
      <c r="G758" s="36" t="s">
        <v>1474</v>
      </c>
      <c r="H758" s="36" t="s">
        <v>741</v>
      </c>
      <c r="I758" s="36">
        <v>1</v>
      </c>
      <c r="J758" s="36" t="s">
        <v>5895</v>
      </c>
      <c r="K758" s="36" t="s">
        <v>8045</v>
      </c>
      <c r="L758" s="36" t="b">
        <v>0</v>
      </c>
    </row>
    <row r="759" spans="1:12" ht="12.75">
      <c r="A759" s="448">
        <v>45238.822618912032</v>
      </c>
      <c r="B759" s="449">
        <v>45234</v>
      </c>
      <c r="C759" s="36" t="s">
        <v>3388</v>
      </c>
      <c r="D759" s="450">
        <v>0.47916666666424135</v>
      </c>
      <c r="E759" s="36" t="s">
        <v>8046</v>
      </c>
      <c r="F759" s="36" t="s">
        <v>8047</v>
      </c>
      <c r="G759" s="36" t="s">
        <v>2257</v>
      </c>
      <c r="H759" s="36" t="s">
        <v>5906</v>
      </c>
      <c r="I759" s="36">
        <v>1</v>
      </c>
      <c r="J759" s="36" t="s">
        <v>5895</v>
      </c>
      <c r="K759" s="36" t="s">
        <v>8048</v>
      </c>
      <c r="L759" s="36" t="b">
        <v>0</v>
      </c>
    </row>
    <row r="760" spans="1:12" ht="12.75">
      <c r="A760" s="448">
        <v>45238.825629780091</v>
      </c>
      <c r="B760" s="449">
        <v>45234</v>
      </c>
      <c r="C760" s="36" t="s">
        <v>3388</v>
      </c>
      <c r="D760" s="450">
        <v>0.85416666666424135</v>
      </c>
      <c r="E760" s="36" t="s">
        <v>8049</v>
      </c>
      <c r="F760" s="36" t="s">
        <v>8050</v>
      </c>
      <c r="G760" s="36" t="s">
        <v>2257</v>
      </c>
      <c r="H760" s="36" t="s">
        <v>7127</v>
      </c>
      <c r="I760" s="36">
        <v>2</v>
      </c>
      <c r="J760" s="36" t="s">
        <v>5895</v>
      </c>
      <c r="K760" s="36" t="s">
        <v>8051</v>
      </c>
      <c r="L760" s="36" t="b">
        <v>0</v>
      </c>
    </row>
    <row r="761" spans="1:12" ht="12.75">
      <c r="A761" s="448">
        <v>45238.827761724533</v>
      </c>
      <c r="B761" s="449">
        <v>45235</v>
      </c>
      <c r="C761" s="36" t="s">
        <v>3388</v>
      </c>
      <c r="D761" s="450">
        <v>0.79166666666424135</v>
      </c>
      <c r="E761" s="36" t="s">
        <v>8052</v>
      </c>
      <c r="F761" s="36" t="s">
        <v>8053</v>
      </c>
      <c r="G761" s="36" t="s">
        <v>2257</v>
      </c>
      <c r="H761" s="36" t="s">
        <v>5906</v>
      </c>
      <c r="I761" s="36">
        <v>3</v>
      </c>
      <c r="J761" s="36" t="s">
        <v>5895</v>
      </c>
      <c r="K761" s="36" t="s">
        <v>8054</v>
      </c>
      <c r="L761" s="36" t="b">
        <v>0</v>
      </c>
    </row>
    <row r="762" spans="1:12" ht="12.75">
      <c r="A762" s="448">
        <v>45238.829639826392</v>
      </c>
      <c r="B762" s="449">
        <v>45235</v>
      </c>
      <c r="C762" s="36" t="s">
        <v>3388</v>
      </c>
      <c r="D762" s="450">
        <v>0.83333333333575865</v>
      </c>
      <c r="E762" s="36" t="s">
        <v>8055</v>
      </c>
      <c r="F762" s="36" t="s">
        <v>8053</v>
      </c>
      <c r="G762" s="36" t="s">
        <v>2257</v>
      </c>
      <c r="H762" s="36" t="s">
        <v>5906</v>
      </c>
      <c r="I762" s="36">
        <v>4</v>
      </c>
      <c r="J762" s="36" t="s">
        <v>5895</v>
      </c>
      <c r="K762" s="36" t="s">
        <v>8054</v>
      </c>
      <c r="L762" s="36" t="b">
        <v>0</v>
      </c>
    </row>
    <row r="763" spans="1:12" ht="12.75">
      <c r="A763" s="448">
        <v>45238.845426921296</v>
      </c>
      <c r="B763" s="449">
        <v>45237</v>
      </c>
      <c r="C763" s="36" t="s">
        <v>3383</v>
      </c>
      <c r="D763" s="450">
        <v>0.75</v>
      </c>
      <c r="E763" s="36" t="s">
        <v>8056</v>
      </c>
      <c r="F763" s="36" t="s">
        <v>8057</v>
      </c>
      <c r="G763" s="36" t="s">
        <v>8058</v>
      </c>
      <c r="H763" s="36" t="s">
        <v>8059</v>
      </c>
      <c r="I763" s="36">
        <v>1</v>
      </c>
      <c r="J763" s="36" t="s">
        <v>5895</v>
      </c>
      <c r="K763" s="36" t="s">
        <v>8060</v>
      </c>
      <c r="L763" s="36" t="b">
        <v>0</v>
      </c>
    </row>
    <row r="764" spans="1:12" ht="12.75">
      <c r="A764" s="448">
        <v>45238.937799548614</v>
      </c>
      <c r="B764" s="449">
        <v>45237</v>
      </c>
      <c r="C764" s="36" t="s">
        <v>3383</v>
      </c>
      <c r="D764" s="450">
        <v>0.75</v>
      </c>
      <c r="E764" s="36" t="s">
        <v>8061</v>
      </c>
      <c r="F764" s="36" t="s">
        <v>8062</v>
      </c>
      <c r="G764" s="36" t="s">
        <v>6537</v>
      </c>
      <c r="H764" s="36" t="s">
        <v>1103</v>
      </c>
      <c r="I764" s="36">
        <v>2</v>
      </c>
      <c r="J764" s="36" t="s">
        <v>5895</v>
      </c>
      <c r="K764" s="36" t="s">
        <v>7065</v>
      </c>
      <c r="L764" s="36" t="b">
        <v>0</v>
      </c>
    </row>
    <row r="765" spans="1:12" ht="12.75">
      <c r="A765" s="448">
        <v>45239.980396643514</v>
      </c>
      <c r="B765" s="449">
        <v>45232</v>
      </c>
      <c r="C765" s="36" t="s">
        <v>3388</v>
      </c>
      <c r="D765" s="450">
        <v>0.77083333333575865</v>
      </c>
      <c r="E765" s="36" t="s">
        <v>8063</v>
      </c>
      <c r="F765" s="36" t="s">
        <v>8064</v>
      </c>
      <c r="G765" s="36" t="s">
        <v>6154</v>
      </c>
      <c r="H765" s="36" t="s">
        <v>6363</v>
      </c>
      <c r="I765" s="36">
        <v>1</v>
      </c>
      <c r="J765" s="36" t="s">
        <v>5895</v>
      </c>
      <c r="K765" s="36" t="s">
        <v>7032</v>
      </c>
      <c r="L765" s="36" t="b">
        <v>0</v>
      </c>
    </row>
    <row r="766" spans="1:12" ht="12.75">
      <c r="A766" s="448">
        <v>45240.495888252313</v>
      </c>
      <c r="B766" s="449">
        <v>45241</v>
      </c>
      <c r="C766" s="36" t="s">
        <v>3388</v>
      </c>
      <c r="D766" s="450">
        <v>0.41666666666424135</v>
      </c>
      <c r="E766" s="36" t="s">
        <v>7640</v>
      </c>
      <c r="F766" s="36" t="s">
        <v>8065</v>
      </c>
      <c r="G766" s="36" t="s">
        <v>1450</v>
      </c>
      <c r="H766" s="36" t="s">
        <v>1114</v>
      </c>
      <c r="I766" s="36">
        <v>1</v>
      </c>
      <c r="J766" s="36" t="s">
        <v>5895</v>
      </c>
      <c r="K766" s="36" t="s">
        <v>8066</v>
      </c>
      <c r="L766" s="36" t="b">
        <v>0</v>
      </c>
    </row>
    <row r="767" spans="1:12" ht="12.75">
      <c r="A767" s="448">
        <v>45240.51746909722</v>
      </c>
      <c r="B767" s="449">
        <v>45239</v>
      </c>
      <c r="C767" s="36" t="s">
        <v>3383</v>
      </c>
      <c r="D767" s="450">
        <v>0.83333333333575865</v>
      </c>
      <c r="E767" s="36" t="s">
        <v>8067</v>
      </c>
      <c r="F767" s="36" t="s">
        <v>8068</v>
      </c>
      <c r="G767" s="36" t="s">
        <v>975</v>
      </c>
      <c r="H767" s="36" t="s">
        <v>8069</v>
      </c>
      <c r="I767" s="36">
        <v>1</v>
      </c>
      <c r="J767" s="36" t="s">
        <v>5895</v>
      </c>
      <c r="K767" s="36" t="s">
        <v>8070</v>
      </c>
      <c r="L767" s="36" t="b">
        <v>0</v>
      </c>
    </row>
    <row r="768" spans="1:12" ht="12.75">
      <c r="A768" s="448">
        <v>45240.580087048613</v>
      </c>
      <c r="B768" s="449">
        <v>45240</v>
      </c>
      <c r="C768" s="36" t="s">
        <v>3388</v>
      </c>
      <c r="D768" s="450">
        <v>0.75</v>
      </c>
      <c r="E768" s="36" t="s">
        <v>7475</v>
      </c>
      <c r="F768" s="36" t="s">
        <v>8071</v>
      </c>
      <c r="G768" s="36" t="s">
        <v>725</v>
      </c>
      <c r="H768" s="36" t="s">
        <v>1113</v>
      </c>
      <c r="I768" s="36">
        <v>2</v>
      </c>
      <c r="J768" s="36" t="s">
        <v>5895</v>
      </c>
      <c r="K768" s="36" t="s">
        <v>6210</v>
      </c>
      <c r="L768" s="36" t="b">
        <v>0</v>
      </c>
    </row>
    <row r="769" spans="1:12" ht="12.75">
      <c r="A769" s="448">
        <v>45241.455519039351</v>
      </c>
      <c r="B769" s="449">
        <v>45242</v>
      </c>
      <c r="C769" s="36" t="s">
        <v>3388</v>
      </c>
      <c r="D769" s="450">
        <v>0.79166666666424135</v>
      </c>
      <c r="E769" s="36" t="s">
        <v>8072</v>
      </c>
      <c r="F769" s="36" t="s">
        <v>8073</v>
      </c>
      <c r="G769" s="36" t="s">
        <v>601</v>
      </c>
      <c r="H769" s="36" t="s">
        <v>7901</v>
      </c>
      <c r="I769" s="36">
        <v>1</v>
      </c>
      <c r="J769" s="36" t="s">
        <v>5895</v>
      </c>
      <c r="K769" s="36" t="s">
        <v>8074</v>
      </c>
      <c r="L769" s="36" t="b">
        <v>0</v>
      </c>
    </row>
    <row r="770" spans="1:12" ht="12.75">
      <c r="A770" s="448">
        <v>45241.457660428241</v>
      </c>
      <c r="B770" s="449">
        <v>45242</v>
      </c>
      <c r="C770" s="36" t="s">
        <v>3388</v>
      </c>
      <c r="D770" s="450">
        <v>0.58333333333575865</v>
      </c>
      <c r="E770" s="36" t="s">
        <v>8075</v>
      </c>
      <c r="F770" s="36" t="s">
        <v>8076</v>
      </c>
      <c r="G770" s="36" t="s">
        <v>601</v>
      </c>
      <c r="H770" s="36" t="s">
        <v>178</v>
      </c>
      <c r="I770" s="36">
        <v>2</v>
      </c>
      <c r="J770" s="36" t="s">
        <v>5895</v>
      </c>
      <c r="K770" s="36" t="s">
        <v>6359</v>
      </c>
      <c r="L770" s="36" t="b">
        <v>0</v>
      </c>
    </row>
    <row r="771" spans="1:12" ht="12.75">
      <c r="A771" s="448">
        <v>45241.758660509258</v>
      </c>
      <c r="B771" s="449">
        <v>45241</v>
      </c>
      <c r="C771" s="36" t="s">
        <v>3388</v>
      </c>
      <c r="D771" s="450">
        <v>0.47916666666424135</v>
      </c>
      <c r="E771" s="36" t="s">
        <v>8077</v>
      </c>
      <c r="F771" s="36" t="s">
        <v>8078</v>
      </c>
      <c r="G771" s="36" t="s">
        <v>2010</v>
      </c>
      <c r="H771" s="36" t="s">
        <v>7929</v>
      </c>
      <c r="I771" s="36">
        <v>2</v>
      </c>
      <c r="J771" s="36" t="s">
        <v>5895</v>
      </c>
      <c r="K771" s="36" t="s">
        <v>8079</v>
      </c>
      <c r="L771" s="36" t="b">
        <v>0</v>
      </c>
    </row>
    <row r="772" spans="1:12" ht="12.75">
      <c r="A772" s="448">
        <v>45242.578791886575</v>
      </c>
      <c r="B772" s="449">
        <v>45242</v>
      </c>
      <c r="C772" s="36" t="s">
        <v>3383</v>
      </c>
      <c r="D772" s="450">
        <v>0.41666666666424135</v>
      </c>
      <c r="E772" s="36" t="s">
        <v>8080</v>
      </c>
      <c r="F772" s="36" t="s">
        <v>8081</v>
      </c>
      <c r="G772" s="36" t="s">
        <v>367</v>
      </c>
      <c r="H772" s="36" t="s">
        <v>1796</v>
      </c>
      <c r="I772" s="36">
        <v>1</v>
      </c>
      <c r="J772" s="36" t="s">
        <v>5895</v>
      </c>
      <c r="K772" s="36" t="s">
        <v>8082</v>
      </c>
      <c r="L772" s="36" t="b">
        <v>0</v>
      </c>
    </row>
    <row r="773" spans="1:12" ht="12.75">
      <c r="A773" s="448">
        <v>45242.80320065972</v>
      </c>
      <c r="B773" s="449">
        <v>45242</v>
      </c>
      <c r="C773" s="36" t="s">
        <v>3388</v>
      </c>
      <c r="D773" s="450">
        <v>0.41666666666424135</v>
      </c>
      <c r="E773" s="36" t="s">
        <v>8083</v>
      </c>
      <c r="F773" s="36" t="s">
        <v>8084</v>
      </c>
      <c r="G773" s="36" t="s">
        <v>7378</v>
      </c>
      <c r="H773" s="36" t="s">
        <v>8085</v>
      </c>
      <c r="I773" s="36">
        <v>1</v>
      </c>
      <c r="J773" s="36" t="s">
        <v>5895</v>
      </c>
      <c r="K773" s="36" t="s">
        <v>8086</v>
      </c>
      <c r="L773" s="36" t="b">
        <v>0</v>
      </c>
    </row>
    <row r="774" spans="1:12" ht="12.75">
      <c r="A774" s="448">
        <v>45244.747827141204</v>
      </c>
      <c r="B774" s="449">
        <v>45242</v>
      </c>
      <c r="C774" s="36" t="s">
        <v>3388</v>
      </c>
      <c r="D774" s="450">
        <v>0.45833333333575865</v>
      </c>
      <c r="E774" s="36" t="s">
        <v>7687</v>
      </c>
      <c r="F774" s="36" t="s">
        <v>8087</v>
      </c>
      <c r="G774" s="36" t="s">
        <v>1322</v>
      </c>
      <c r="H774" s="36" t="s">
        <v>7127</v>
      </c>
      <c r="I774" s="36">
        <v>2</v>
      </c>
      <c r="J774" s="36" t="s">
        <v>5895</v>
      </c>
      <c r="K774" s="36" t="s">
        <v>8088</v>
      </c>
      <c r="L774" s="36" t="b">
        <v>0</v>
      </c>
    </row>
    <row r="775" spans="1:12" ht="12.75">
      <c r="A775" s="448">
        <v>45244.759074375004</v>
      </c>
      <c r="B775" s="449">
        <v>45240</v>
      </c>
      <c r="C775" s="36" t="s">
        <v>3388</v>
      </c>
      <c r="D775" s="450">
        <v>0.75</v>
      </c>
      <c r="E775" s="36" t="s">
        <v>8089</v>
      </c>
      <c r="F775" s="36" t="s">
        <v>8090</v>
      </c>
      <c r="G775" s="36" t="s">
        <v>844</v>
      </c>
      <c r="H775" s="36" t="s">
        <v>1257</v>
      </c>
      <c r="I775" s="36">
        <v>1</v>
      </c>
      <c r="J775" s="36" t="s">
        <v>5895</v>
      </c>
      <c r="K775" s="36" t="s">
        <v>7474</v>
      </c>
      <c r="L775" s="36" t="b">
        <v>0</v>
      </c>
    </row>
    <row r="776" spans="1:12" ht="12.75">
      <c r="A776" s="448">
        <v>45244.777079594904</v>
      </c>
      <c r="B776" s="449">
        <v>45241</v>
      </c>
      <c r="C776" s="36" t="s">
        <v>3383</v>
      </c>
      <c r="D776" s="450">
        <v>0.8125</v>
      </c>
      <c r="E776" s="36" t="s">
        <v>8091</v>
      </c>
      <c r="F776" s="36" t="s">
        <v>8092</v>
      </c>
      <c r="G776" s="36" t="s">
        <v>8093</v>
      </c>
      <c r="H776" s="36" t="s">
        <v>7893</v>
      </c>
      <c r="I776" s="36">
        <v>1</v>
      </c>
      <c r="J776" s="36" t="s">
        <v>5895</v>
      </c>
      <c r="K776" s="36" t="s">
        <v>6122</v>
      </c>
      <c r="L776" s="36" t="b">
        <v>0</v>
      </c>
    </row>
    <row r="777" spans="1:12" ht="12.75">
      <c r="A777" s="448">
        <v>45244.777759710647</v>
      </c>
      <c r="B777" s="449">
        <v>45242</v>
      </c>
      <c r="C777" s="36" t="s">
        <v>3383</v>
      </c>
      <c r="D777" s="450">
        <v>0.79166666666424135</v>
      </c>
      <c r="E777" s="36" t="s">
        <v>8091</v>
      </c>
      <c r="F777" s="36" t="s">
        <v>8094</v>
      </c>
      <c r="G777" s="36" t="s">
        <v>8095</v>
      </c>
      <c r="H777" s="36" t="s">
        <v>8096</v>
      </c>
      <c r="I777" s="36">
        <v>2</v>
      </c>
      <c r="J777" s="36" t="s">
        <v>5895</v>
      </c>
      <c r="K777" s="36" t="s">
        <v>8097</v>
      </c>
      <c r="L777" s="36" t="b">
        <v>0</v>
      </c>
    </row>
    <row r="778" spans="1:12" ht="12.75">
      <c r="A778" s="448">
        <v>45245.797373645837</v>
      </c>
      <c r="B778" s="449">
        <v>45249</v>
      </c>
      <c r="C778" s="36" t="s">
        <v>3388</v>
      </c>
      <c r="D778" s="450">
        <v>0.41666666666424135</v>
      </c>
      <c r="E778" s="36" t="s">
        <v>8098</v>
      </c>
      <c r="F778" s="36" t="s">
        <v>8099</v>
      </c>
      <c r="G778" s="36" t="s">
        <v>1309</v>
      </c>
      <c r="H778" s="36" t="s">
        <v>5906</v>
      </c>
      <c r="I778" s="36">
        <v>1</v>
      </c>
      <c r="J778" s="36" t="s">
        <v>5895</v>
      </c>
      <c r="K778" s="36" t="s">
        <v>6406</v>
      </c>
      <c r="L778" s="36" t="b">
        <v>0</v>
      </c>
    </row>
    <row r="779" spans="1:12" ht="12.75">
      <c r="A779" s="448">
        <v>45245.802500358797</v>
      </c>
      <c r="B779" s="449">
        <v>45247</v>
      </c>
      <c r="C779" s="36" t="s">
        <v>3388</v>
      </c>
      <c r="D779" s="450">
        <v>0.75</v>
      </c>
      <c r="E779" s="36" t="s">
        <v>7129</v>
      </c>
      <c r="F779" s="36" t="s">
        <v>8100</v>
      </c>
      <c r="G779" s="36" t="s">
        <v>1309</v>
      </c>
      <c r="H779" s="36" t="s">
        <v>8101</v>
      </c>
      <c r="I779" s="36">
        <v>2</v>
      </c>
      <c r="J779" s="36" t="s">
        <v>5895</v>
      </c>
      <c r="K779" s="36" t="s">
        <v>6406</v>
      </c>
      <c r="L779" s="36" t="b">
        <v>0</v>
      </c>
    </row>
    <row r="780" spans="1:12" ht="12.75">
      <c r="A780" s="448">
        <v>45245.823958449073</v>
      </c>
      <c r="B780" s="449">
        <v>45241</v>
      </c>
      <c r="C780" s="36" t="s">
        <v>3388</v>
      </c>
      <c r="D780" s="450">
        <v>0.47916666666424135</v>
      </c>
      <c r="E780" s="36" t="s">
        <v>8102</v>
      </c>
      <c r="F780" s="36" t="s">
        <v>8103</v>
      </c>
      <c r="G780" s="36" t="s">
        <v>8104</v>
      </c>
      <c r="H780" s="36" t="s">
        <v>5906</v>
      </c>
      <c r="I780" s="36">
        <v>1</v>
      </c>
      <c r="J780" s="36" t="s">
        <v>5895</v>
      </c>
      <c r="K780" s="36" t="s">
        <v>8105</v>
      </c>
      <c r="L780" s="36" t="b">
        <v>0</v>
      </c>
    </row>
    <row r="781" spans="1:12" ht="12.75">
      <c r="A781" s="448">
        <v>45245.824811655097</v>
      </c>
      <c r="B781" s="449">
        <v>45241</v>
      </c>
      <c r="C781" s="36" t="s">
        <v>3388</v>
      </c>
      <c r="D781" s="450">
        <v>0.66666666666424135</v>
      </c>
      <c r="E781" s="36" t="s">
        <v>8106</v>
      </c>
      <c r="F781" s="36" t="s">
        <v>8107</v>
      </c>
      <c r="G781" s="36" t="s">
        <v>990</v>
      </c>
      <c r="H781" s="36" t="s">
        <v>5906</v>
      </c>
      <c r="I781" s="36">
        <v>2</v>
      </c>
      <c r="J781" s="36" t="s">
        <v>5895</v>
      </c>
      <c r="K781" s="36" t="s">
        <v>8105</v>
      </c>
      <c r="L781" s="36" t="b">
        <v>0</v>
      </c>
    </row>
    <row r="782" spans="1:12" ht="12.75">
      <c r="A782" s="448">
        <v>45245.843844456016</v>
      </c>
      <c r="B782" s="449">
        <v>45246</v>
      </c>
      <c r="C782" s="36" t="s">
        <v>3388</v>
      </c>
      <c r="D782" s="450">
        <v>0.75</v>
      </c>
      <c r="E782" s="36" t="s">
        <v>8108</v>
      </c>
      <c r="F782" s="36" t="s">
        <v>8109</v>
      </c>
      <c r="G782" s="36" t="s">
        <v>2330</v>
      </c>
      <c r="H782" s="36" t="s">
        <v>8110</v>
      </c>
      <c r="I782" s="36">
        <v>1</v>
      </c>
      <c r="J782" s="36" t="s">
        <v>5895</v>
      </c>
      <c r="K782" s="36" t="s">
        <v>8111</v>
      </c>
      <c r="L782" s="36" t="b">
        <v>0</v>
      </c>
    </row>
    <row r="783" spans="1:12" ht="12.75">
      <c r="A783" s="448">
        <v>45246.721914097223</v>
      </c>
      <c r="B783" s="449">
        <v>45246</v>
      </c>
      <c r="C783" s="36" t="s">
        <v>3388</v>
      </c>
      <c r="D783" s="450">
        <v>0.79166666666424135</v>
      </c>
      <c r="E783" s="36" t="s">
        <v>8112</v>
      </c>
      <c r="F783" s="36" t="s">
        <v>7779</v>
      </c>
      <c r="G783" s="36" t="s">
        <v>1158</v>
      </c>
      <c r="H783" s="36" t="s">
        <v>725</v>
      </c>
      <c r="I783" s="36">
        <v>1</v>
      </c>
      <c r="J783" s="36" t="s">
        <v>5895</v>
      </c>
      <c r="K783" s="36" t="s">
        <v>8113</v>
      </c>
      <c r="L783" s="36" t="b">
        <v>0</v>
      </c>
    </row>
    <row r="784" spans="1:12" ht="12.75">
      <c r="A784" s="448">
        <v>45247.489840509261</v>
      </c>
      <c r="B784" s="449">
        <v>45247</v>
      </c>
      <c r="C784" s="36" t="s">
        <v>3388</v>
      </c>
      <c r="D784" s="450">
        <v>0.70833333333575865</v>
      </c>
      <c r="E784" s="36" t="s">
        <v>7626</v>
      </c>
      <c r="F784" s="36" t="s">
        <v>8114</v>
      </c>
      <c r="G784" s="36" t="s">
        <v>7559</v>
      </c>
      <c r="H784" s="36" t="s">
        <v>6927</v>
      </c>
      <c r="I784" s="36">
        <v>1</v>
      </c>
      <c r="J784" s="36" t="s">
        <v>6093</v>
      </c>
      <c r="K784" s="36" t="s">
        <v>8115</v>
      </c>
      <c r="L784" s="36" t="b">
        <v>0</v>
      </c>
    </row>
    <row r="785" spans="1:12" ht="12.75">
      <c r="A785" s="448">
        <v>45247.793688194448</v>
      </c>
      <c r="B785" s="449">
        <v>45241</v>
      </c>
      <c r="C785" s="36" t="s">
        <v>3383</v>
      </c>
      <c r="D785" s="450">
        <v>0.41666666666424135</v>
      </c>
      <c r="E785" s="36" t="s">
        <v>8116</v>
      </c>
      <c r="F785" s="36" t="s">
        <v>8117</v>
      </c>
      <c r="G785" s="36" t="s">
        <v>622</v>
      </c>
      <c r="H785" s="36" t="s">
        <v>1796</v>
      </c>
      <c r="I785" s="36">
        <v>1</v>
      </c>
      <c r="J785" s="36" t="s">
        <v>5895</v>
      </c>
      <c r="K785" s="36" t="s">
        <v>8118</v>
      </c>
      <c r="L785" s="36" t="b">
        <v>0</v>
      </c>
    </row>
    <row r="786" spans="1:12" ht="12.75">
      <c r="A786" s="448">
        <v>45247.795191712961</v>
      </c>
      <c r="B786" s="449">
        <v>45246</v>
      </c>
      <c r="C786" s="36" t="s">
        <v>3388</v>
      </c>
      <c r="D786" s="450">
        <v>0.70833333333575865</v>
      </c>
      <c r="E786" s="36" t="s">
        <v>7881</v>
      </c>
      <c r="F786" s="36" t="s">
        <v>8119</v>
      </c>
      <c r="G786" s="36" t="s">
        <v>6542</v>
      </c>
      <c r="H786" s="36" t="s">
        <v>8120</v>
      </c>
      <c r="I786" s="36">
        <v>1</v>
      </c>
      <c r="J786" s="36" t="s">
        <v>5895</v>
      </c>
      <c r="K786" s="36" t="s">
        <v>8121</v>
      </c>
      <c r="L786" s="36" t="b">
        <v>0</v>
      </c>
    </row>
    <row r="787" spans="1:12" ht="12.75">
      <c r="A787" s="448">
        <v>45247.796352974532</v>
      </c>
      <c r="B787" s="449">
        <v>45246</v>
      </c>
      <c r="C787" s="36" t="s">
        <v>3388</v>
      </c>
      <c r="D787" s="450">
        <v>0.77083333333575865</v>
      </c>
      <c r="E787" s="36" t="s">
        <v>7141</v>
      </c>
      <c r="F787" s="36" t="s">
        <v>8122</v>
      </c>
      <c r="G787" s="36" t="s">
        <v>6542</v>
      </c>
      <c r="H787" s="36" t="s">
        <v>8123</v>
      </c>
      <c r="I787" s="36">
        <v>2</v>
      </c>
      <c r="J787" s="36" t="s">
        <v>5895</v>
      </c>
      <c r="K787" s="36" t="s">
        <v>8124</v>
      </c>
      <c r="L787" s="36" t="b">
        <v>0</v>
      </c>
    </row>
    <row r="788" spans="1:12" ht="12.75">
      <c r="A788" s="448">
        <v>45247.824943935186</v>
      </c>
      <c r="B788" s="449">
        <v>45247</v>
      </c>
      <c r="C788" s="36" t="s">
        <v>3383</v>
      </c>
      <c r="D788" s="450">
        <v>0.75</v>
      </c>
      <c r="E788" s="36" t="s">
        <v>7494</v>
      </c>
      <c r="F788" s="36" t="s">
        <v>8125</v>
      </c>
      <c r="G788" s="36" t="s">
        <v>756</v>
      </c>
      <c r="H788" s="36" t="s">
        <v>2464</v>
      </c>
      <c r="I788" s="36">
        <v>1</v>
      </c>
      <c r="J788" s="36" t="s">
        <v>5895</v>
      </c>
      <c r="K788" s="36" t="s">
        <v>7349</v>
      </c>
      <c r="L788" s="36" t="b">
        <v>0</v>
      </c>
    </row>
    <row r="789" spans="1:12" ht="12.75">
      <c r="A789" s="448">
        <v>45247.826072974538</v>
      </c>
      <c r="B789" s="449">
        <v>45247</v>
      </c>
      <c r="C789" s="36" t="s">
        <v>3383</v>
      </c>
      <c r="D789" s="450">
        <v>0.81944444444525288</v>
      </c>
      <c r="E789" s="36" t="s">
        <v>8126</v>
      </c>
      <c r="F789" s="36" t="s">
        <v>8125</v>
      </c>
      <c r="G789" s="36" t="s">
        <v>756</v>
      </c>
      <c r="H789" s="36" t="s">
        <v>6977</v>
      </c>
      <c r="I789" s="36">
        <v>2</v>
      </c>
      <c r="J789" s="36" t="s">
        <v>5895</v>
      </c>
      <c r="K789" s="36" t="s">
        <v>7349</v>
      </c>
      <c r="L789" s="36" t="b">
        <v>0</v>
      </c>
    </row>
    <row r="790" spans="1:12" ht="12.75">
      <c r="A790" s="448">
        <v>45247.827221539352</v>
      </c>
      <c r="B790" s="449">
        <v>45247</v>
      </c>
      <c r="C790" s="36" t="s">
        <v>3388</v>
      </c>
      <c r="D790" s="450">
        <v>0.70486111110949423</v>
      </c>
      <c r="E790" s="36" t="s">
        <v>8127</v>
      </c>
      <c r="F790" s="36" t="s">
        <v>8128</v>
      </c>
      <c r="G790" s="36" t="s">
        <v>756</v>
      </c>
      <c r="H790" s="36" t="s">
        <v>8129</v>
      </c>
      <c r="I790" s="36">
        <v>1</v>
      </c>
      <c r="J790" s="36" t="s">
        <v>5895</v>
      </c>
      <c r="K790" s="36" t="s">
        <v>7349</v>
      </c>
      <c r="L790" s="36" t="b">
        <v>0</v>
      </c>
    </row>
    <row r="791" spans="1:12" ht="12.75">
      <c r="A791" s="448">
        <v>45247.96505806713</v>
      </c>
      <c r="B791" s="449">
        <v>45248</v>
      </c>
      <c r="C791" s="36" t="s">
        <v>3388</v>
      </c>
      <c r="D791" s="450">
        <v>0.5</v>
      </c>
      <c r="E791" s="36" t="s">
        <v>7751</v>
      </c>
      <c r="F791" s="36" t="s">
        <v>8130</v>
      </c>
      <c r="G791" s="36" t="s">
        <v>1158</v>
      </c>
      <c r="H791" s="36" t="s">
        <v>725</v>
      </c>
      <c r="I791" s="36">
        <v>2</v>
      </c>
      <c r="J791" s="36" t="s">
        <v>5895</v>
      </c>
      <c r="K791" s="36" t="s">
        <v>8113</v>
      </c>
      <c r="L791" s="36" t="b">
        <v>0</v>
      </c>
    </row>
    <row r="792" spans="1:12" ht="12.75">
      <c r="A792" s="448">
        <v>45247.966356122684</v>
      </c>
      <c r="B792" s="449">
        <v>45248</v>
      </c>
      <c r="C792" s="36" t="s">
        <v>3388</v>
      </c>
      <c r="D792" s="450">
        <v>0.5625</v>
      </c>
      <c r="E792" s="36" t="s">
        <v>8131</v>
      </c>
      <c r="F792" s="36" t="s">
        <v>8132</v>
      </c>
      <c r="G792" s="36" t="s">
        <v>7613</v>
      </c>
      <c r="H792" s="36" t="s">
        <v>7815</v>
      </c>
      <c r="I792" s="36">
        <v>3</v>
      </c>
      <c r="J792" s="36" t="s">
        <v>5895</v>
      </c>
      <c r="K792" s="36" t="s">
        <v>8113</v>
      </c>
      <c r="L792" s="36" t="b">
        <v>0</v>
      </c>
    </row>
    <row r="793" spans="1:12" ht="12.75">
      <c r="A793" s="448">
        <v>45248.414465196758</v>
      </c>
      <c r="B793" s="449">
        <v>45247</v>
      </c>
      <c r="C793" s="36" t="s">
        <v>3388</v>
      </c>
      <c r="D793" s="450">
        <v>0.75</v>
      </c>
      <c r="E793" s="36" t="s">
        <v>8133</v>
      </c>
      <c r="F793" s="36" t="s">
        <v>8134</v>
      </c>
      <c r="G793" s="36" t="s">
        <v>1113</v>
      </c>
      <c r="H793" s="36" t="s">
        <v>6928</v>
      </c>
      <c r="I793" s="36">
        <v>1</v>
      </c>
      <c r="J793" s="36" t="s">
        <v>5895</v>
      </c>
      <c r="K793" s="36" t="s">
        <v>8135</v>
      </c>
      <c r="L793" s="36" t="b">
        <v>0</v>
      </c>
    </row>
    <row r="794" spans="1:12" ht="12.75">
      <c r="A794" s="448">
        <v>45248.576136759264</v>
      </c>
      <c r="B794" s="449">
        <v>45250</v>
      </c>
      <c r="C794" s="36" t="s">
        <v>12</v>
      </c>
      <c r="D794" s="450">
        <v>0.70833333333575865</v>
      </c>
      <c r="E794" s="36" t="s">
        <v>7881</v>
      </c>
      <c r="F794" s="36">
        <v>19</v>
      </c>
      <c r="G794" s="36" t="s">
        <v>1340</v>
      </c>
      <c r="H794" s="36" t="s">
        <v>485</v>
      </c>
      <c r="I794" s="36">
        <v>1</v>
      </c>
      <c r="J794" s="36" t="s">
        <v>6093</v>
      </c>
      <c r="K794" s="36" t="s">
        <v>8136</v>
      </c>
      <c r="L794" s="36" t="b">
        <v>0</v>
      </c>
    </row>
    <row r="795" spans="1:12" ht="12.75">
      <c r="A795" s="448">
        <v>45248.821508460649</v>
      </c>
      <c r="B795" s="449">
        <v>45254</v>
      </c>
      <c r="C795" s="36" t="s">
        <v>12</v>
      </c>
      <c r="D795" s="450">
        <v>0.83333333333575865</v>
      </c>
      <c r="E795" s="36" t="s">
        <v>8137</v>
      </c>
      <c r="F795" s="36" t="s">
        <v>8138</v>
      </c>
      <c r="G795" s="36" t="s">
        <v>1063</v>
      </c>
      <c r="H795" s="36" t="s">
        <v>821</v>
      </c>
      <c r="I795" s="36">
        <v>1</v>
      </c>
      <c r="J795" s="36" t="s">
        <v>5895</v>
      </c>
      <c r="K795" s="36" t="s">
        <v>8139</v>
      </c>
      <c r="L795" s="36" t="b">
        <v>0</v>
      </c>
    </row>
    <row r="796" spans="1:12" ht="12.75">
      <c r="A796" s="448">
        <v>45248.82375737268</v>
      </c>
      <c r="B796" s="449">
        <v>45255</v>
      </c>
      <c r="C796" s="36" t="s">
        <v>12</v>
      </c>
      <c r="D796" s="450">
        <v>0.4375</v>
      </c>
      <c r="E796" s="36" t="s">
        <v>8140</v>
      </c>
      <c r="F796" s="36" t="s">
        <v>8141</v>
      </c>
      <c r="G796" s="36" t="s">
        <v>1063</v>
      </c>
      <c r="H796" s="36" t="s">
        <v>821</v>
      </c>
      <c r="I796" s="36">
        <v>2</v>
      </c>
      <c r="J796" s="36" t="s">
        <v>5895</v>
      </c>
      <c r="K796" s="36" t="s">
        <v>8139</v>
      </c>
      <c r="L796" s="36" t="b">
        <v>0</v>
      </c>
    </row>
    <row r="797" spans="1:12" ht="12.75">
      <c r="A797" s="448">
        <v>45248.828922523149</v>
      </c>
      <c r="B797" s="449">
        <v>45255</v>
      </c>
      <c r="C797" s="36" t="s">
        <v>12</v>
      </c>
      <c r="D797" s="450">
        <v>0.66666666666424135</v>
      </c>
      <c r="E797" s="36" t="s">
        <v>7946</v>
      </c>
      <c r="F797" s="36" t="s">
        <v>8142</v>
      </c>
      <c r="G797" s="36" t="s">
        <v>1063</v>
      </c>
      <c r="H797" s="36" t="s">
        <v>821</v>
      </c>
      <c r="I797" s="36">
        <v>3</v>
      </c>
      <c r="J797" s="36" t="s">
        <v>5895</v>
      </c>
      <c r="K797" s="36" t="s">
        <v>8139</v>
      </c>
      <c r="L797" s="36" t="b">
        <v>0</v>
      </c>
    </row>
    <row r="798" spans="1:12" ht="12.75">
      <c r="A798" s="448">
        <v>45249.836945405092</v>
      </c>
      <c r="B798" s="449">
        <v>45249</v>
      </c>
      <c r="C798" s="36" t="s">
        <v>3388</v>
      </c>
      <c r="D798" s="450">
        <v>0.45833333333575865</v>
      </c>
      <c r="E798" s="36" t="s">
        <v>7687</v>
      </c>
      <c r="F798" s="36" t="s">
        <v>8143</v>
      </c>
      <c r="G798" s="36" t="s">
        <v>1322</v>
      </c>
      <c r="H798" s="36" t="s">
        <v>517</v>
      </c>
      <c r="I798" s="36">
        <v>3</v>
      </c>
      <c r="J798" s="36" t="s">
        <v>5895</v>
      </c>
      <c r="K798" s="36" t="s">
        <v>7834</v>
      </c>
      <c r="L798" s="36" t="b">
        <v>0</v>
      </c>
    </row>
    <row r="799" spans="1:12" ht="12.75">
      <c r="A799" s="448">
        <v>45249.863107696758</v>
      </c>
      <c r="B799" s="449">
        <v>45249</v>
      </c>
      <c r="C799" s="36" t="s">
        <v>3388</v>
      </c>
      <c r="D799" s="450">
        <v>0.41666666666424135</v>
      </c>
      <c r="E799" s="36" t="s">
        <v>8144</v>
      </c>
      <c r="F799" s="36" t="s">
        <v>8145</v>
      </c>
      <c r="G799" s="36" t="s">
        <v>1209</v>
      </c>
      <c r="H799" s="36" t="s">
        <v>1483</v>
      </c>
      <c r="I799" s="36">
        <v>1</v>
      </c>
      <c r="J799" s="36" t="s">
        <v>5895</v>
      </c>
      <c r="K799" s="36" t="s">
        <v>5896</v>
      </c>
      <c r="L799" s="36" t="b">
        <v>0</v>
      </c>
    </row>
    <row r="800" spans="1:12" ht="12.75">
      <c r="A800" s="448">
        <v>45249.86477487268</v>
      </c>
      <c r="B800" s="449">
        <v>45249</v>
      </c>
      <c r="C800" s="36" t="s">
        <v>3388</v>
      </c>
      <c r="D800" s="450">
        <v>0.45833333333575865</v>
      </c>
      <c r="E800" s="36" t="s">
        <v>8146</v>
      </c>
      <c r="F800" s="36" t="s">
        <v>8147</v>
      </c>
      <c r="G800" s="36" t="s">
        <v>1209</v>
      </c>
      <c r="H800" s="36" t="s">
        <v>1483</v>
      </c>
      <c r="I800" s="36">
        <v>2</v>
      </c>
      <c r="J800" s="36" t="s">
        <v>5895</v>
      </c>
      <c r="K800" s="36" t="s">
        <v>5896</v>
      </c>
      <c r="L800" s="36" t="b">
        <v>0</v>
      </c>
    </row>
    <row r="801" spans="1:12" ht="12.75">
      <c r="A801" s="448">
        <v>45250.878362048607</v>
      </c>
      <c r="B801" s="449">
        <v>45246</v>
      </c>
      <c r="C801" s="36" t="s">
        <v>3388</v>
      </c>
      <c r="D801" s="450">
        <v>0.79166666666424135</v>
      </c>
      <c r="E801" s="36" t="s">
        <v>7847</v>
      </c>
      <c r="F801" s="36" t="s">
        <v>8148</v>
      </c>
      <c r="G801" s="36" t="s">
        <v>7127</v>
      </c>
      <c r="H801" s="36" t="s">
        <v>8149</v>
      </c>
      <c r="I801" s="36">
        <v>1</v>
      </c>
      <c r="J801" s="36" t="s">
        <v>5895</v>
      </c>
      <c r="K801" s="36" t="s">
        <v>8150</v>
      </c>
      <c r="L801" s="36" t="b">
        <v>0</v>
      </c>
    </row>
    <row r="802" spans="1:12" ht="12.75">
      <c r="A802" s="448">
        <v>45250.879959305559</v>
      </c>
      <c r="B802" s="449">
        <v>45247</v>
      </c>
      <c r="C802" s="36" t="s">
        <v>3388</v>
      </c>
      <c r="D802" s="450">
        <v>0.66666666666424135</v>
      </c>
      <c r="E802" s="36" t="s">
        <v>7485</v>
      </c>
      <c r="F802" s="36" t="s">
        <v>8151</v>
      </c>
      <c r="G802" s="36" t="s">
        <v>7127</v>
      </c>
      <c r="H802" s="36" t="s">
        <v>7815</v>
      </c>
      <c r="I802" s="36">
        <v>2</v>
      </c>
      <c r="J802" s="36" t="s">
        <v>5895</v>
      </c>
      <c r="K802" s="36" t="s">
        <v>8150</v>
      </c>
      <c r="L802" s="36" t="b">
        <v>0</v>
      </c>
    </row>
    <row r="803" spans="1:12" ht="12.75">
      <c r="A803" s="448">
        <v>45250.881156493051</v>
      </c>
      <c r="B803" s="449">
        <v>45247</v>
      </c>
      <c r="C803" s="36" t="s">
        <v>3388</v>
      </c>
      <c r="D803" s="450">
        <v>0.70833333333575865</v>
      </c>
      <c r="E803" s="36" t="s">
        <v>7851</v>
      </c>
      <c r="F803" s="36" t="s">
        <v>8152</v>
      </c>
      <c r="G803" s="36" t="s">
        <v>7127</v>
      </c>
      <c r="H803" s="36" t="s">
        <v>6315</v>
      </c>
      <c r="I803" s="36">
        <v>3</v>
      </c>
      <c r="J803" s="36" t="s">
        <v>5895</v>
      </c>
      <c r="K803" s="36" t="s">
        <v>8150</v>
      </c>
      <c r="L803" s="36" t="b">
        <v>0</v>
      </c>
    </row>
    <row r="804" spans="1:12" ht="12.75">
      <c r="A804" s="448">
        <v>45250.882480162036</v>
      </c>
      <c r="B804" s="449">
        <v>45248</v>
      </c>
      <c r="C804" s="36" t="s">
        <v>3388</v>
      </c>
      <c r="D804" s="450">
        <v>0.47916666666424135</v>
      </c>
      <c r="E804" s="36" t="s">
        <v>7853</v>
      </c>
      <c r="F804" s="36" t="s">
        <v>8153</v>
      </c>
      <c r="G804" s="36" t="s">
        <v>7127</v>
      </c>
      <c r="H804" s="36" t="s">
        <v>3473</v>
      </c>
      <c r="I804" s="36">
        <v>4</v>
      </c>
      <c r="J804" s="36" t="s">
        <v>5895</v>
      </c>
      <c r="K804" s="36" t="s">
        <v>8150</v>
      </c>
      <c r="L804" s="36" t="b">
        <v>0</v>
      </c>
    </row>
    <row r="805" spans="1:12" ht="12.75">
      <c r="A805" s="448">
        <v>45250.883570254635</v>
      </c>
      <c r="B805" s="449">
        <v>45249</v>
      </c>
      <c r="C805" s="36" t="s">
        <v>3388</v>
      </c>
      <c r="D805" s="450">
        <v>0.41666666666424135</v>
      </c>
      <c r="E805" s="36" t="s">
        <v>7341</v>
      </c>
      <c r="F805" s="36" t="s">
        <v>8154</v>
      </c>
      <c r="G805" s="36" t="s">
        <v>7127</v>
      </c>
      <c r="H805" s="36" t="s">
        <v>6128</v>
      </c>
      <c r="I805" s="36">
        <v>5</v>
      </c>
      <c r="J805" s="36" t="s">
        <v>5895</v>
      </c>
      <c r="K805" s="36" t="s">
        <v>8150</v>
      </c>
      <c r="L805" s="36" t="b">
        <v>0</v>
      </c>
    </row>
    <row r="806" spans="1:12" ht="12.75">
      <c r="A806" s="448">
        <v>45250.884553900461</v>
      </c>
      <c r="B806" s="449">
        <v>45250</v>
      </c>
      <c r="C806" s="36" t="s">
        <v>3388</v>
      </c>
      <c r="D806" s="450">
        <v>0.8125</v>
      </c>
      <c r="E806" s="36" t="s">
        <v>8155</v>
      </c>
      <c r="F806" s="36" t="s">
        <v>8156</v>
      </c>
      <c r="G806" s="36" t="s">
        <v>7127</v>
      </c>
      <c r="H806" s="36" t="s">
        <v>7800</v>
      </c>
      <c r="I806" s="36">
        <v>6</v>
      </c>
      <c r="J806" s="36" t="s">
        <v>5895</v>
      </c>
      <c r="K806" s="36" t="s">
        <v>8150</v>
      </c>
      <c r="L806" s="36" t="b">
        <v>0</v>
      </c>
    </row>
    <row r="807" spans="1:12" ht="12.75">
      <c r="A807" s="448">
        <v>45251.501243263891</v>
      </c>
      <c r="B807" s="449">
        <v>45251</v>
      </c>
      <c r="C807" s="36" t="s">
        <v>3383</v>
      </c>
      <c r="D807" s="450">
        <v>0.77083333333575865</v>
      </c>
      <c r="E807" s="36" t="s">
        <v>8157</v>
      </c>
      <c r="F807" s="36" t="s">
        <v>8158</v>
      </c>
      <c r="G807" s="36" t="s">
        <v>738</v>
      </c>
      <c r="H807" s="36" t="s">
        <v>8159</v>
      </c>
      <c r="I807" s="36">
        <v>1</v>
      </c>
      <c r="J807" s="36" t="s">
        <v>5895</v>
      </c>
      <c r="K807" s="36" t="s">
        <v>8160</v>
      </c>
      <c r="L807" s="36" t="b">
        <v>0</v>
      </c>
    </row>
    <row r="808" spans="1:12" ht="12.75">
      <c r="A808" s="448">
        <v>45251.696206307868</v>
      </c>
      <c r="B808" s="449">
        <v>45251</v>
      </c>
      <c r="C808" s="36" t="s">
        <v>12</v>
      </c>
      <c r="D808" s="450">
        <v>0.70833333333575865</v>
      </c>
      <c r="E808" s="36" t="s">
        <v>8161</v>
      </c>
      <c r="F808" s="36" t="s">
        <v>8162</v>
      </c>
      <c r="G808" s="36" t="s">
        <v>286</v>
      </c>
      <c r="H808" s="36" t="s">
        <v>680</v>
      </c>
      <c r="I808" s="36">
        <v>1</v>
      </c>
      <c r="J808" s="36" t="s">
        <v>5895</v>
      </c>
      <c r="K808" s="36" t="s">
        <v>8163</v>
      </c>
      <c r="L808" s="36" t="b">
        <v>0</v>
      </c>
    </row>
    <row r="809" spans="1:12" ht="12.75">
      <c r="A809" s="448">
        <v>45251.785517905097</v>
      </c>
      <c r="B809" s="449">
        <v>45246</v>
      </c>
      <c r="C809" s="36" t="s">
        <v>3388</v>
      </c>
      <c r="D809" s="450">
        <v>0.75</v>
      </c>
      <c r="E809" s="36" t="s">
        <v>7524</v>
      </c>
      <c r="F809" s="36" t="s">
        <v>8164</v>
      </c>
      <c r="G809" s="36" t="s">
        <v>1128</v>
      </c>
      <c r="H809" s="36" t="s">
        <v>5906</v>
      </c>
      <c r="I809" s="36">
        <v>2</v>
      </c>
      <c r="J809" s="36" t="s">
        <v>5895</v>
      </c>
      <c r="K809" s="36" t="s">
        <v>6122</v>
      </c>
      <c r="L809" s="36" t="b">
        <v>0</v>
      </c>
    </row>
    <row r="810" spans="1:12" ht="12.75">
      <c r="A810" s="448">
        <v>45251.78779736111</v>
      </c>
      <c r="B810" s="449">
        <v>45246</v>
      </c>
      <c r="C810" s="36" t="s">
        <v>3388</v>
      </c>
      <c r="D810" s="450">
        <v>0.79166666666424135</v>
      </c>
      <c r="E810" s="36" t="s">
        <v>8165</v>
      </c>
      <c r="F810" s="36" t="s">
        <v>8166</v>
      </c>
      <c r="G810" s="36" t="s">
        <v>1128</v>
      </c>
      <c r="H810" s="36" t="s">
        <v>6363</v>
      </c>
      <c r="I810" s="36">
        <v>3</v>
      </c>
      <c r="J810" s="36" t="s">
        <v>5895</v>
      </c>
      <c r="K810" s="36" t="s">
        <v>6122</v>
      </c>
      <c r="L810" s="36" t="b">
        <v>0</v>
      </c>
    </row>
    <row r="811" spans="1:12" ht="12.75">
      <c r="A811" s="448">
        <v>45251.789318414347</v>
      </c>
      <c r="B811" s="449">
        <v>45249</v>
      </c>
      <c r="C811" s="36" t="s">
        <v>3388</v>
      </c>
      <c r="D811" s="450">
        <v>0.41666666666424135</v>
      </c>
      <c r="E811" s="36" t="s">
        <v>7524</v>
      </c>
      <c r="F811" s="36" t="s">
        <v>8167</v>
      </c>
      <c r="G811" s="36" t="s">
        <v>1128</v>
      </c>
      <c r="H811" s="36" t="s">
        <v>8168</v>
      </c>
      <c r="I811" s="36">
        <v>4</v>
      </c>
      <c r="J811" s="36" t="s">
        <v>5895</v>
      </c>
      <c r="K811" s="36" t="s">
        <v>7766</v>
      </c>
      <c r="L811" s="36" t="b">
        <v>0</v>
      </c>
    </row>
    <row r="812" spans="1:12" ht="12.75">
      <c r="A812" s="448">
        <v>45251.790423969913</v>
      </c>
      <c r="B812" s="449">
        <v>45249</v>
      </c>
      <c r="C812" s="36" t="s">
        <v>3388</v>
      </c>
      <c r="D812" s="450">
        <v>0.79166666666424135</v>
      </c>
      <c r="E812" s="36" t="s">
        <v>8169</v>
      </c>
      <c r="F812" s="36" t="s">
        <v>8170</v>
      </c>
      <c r="G812" s="36" t="s">
        <v>1128</v>
      </c>
      <c r="H812" s="36" t="s">
        <v>1322</v>
      </c>
      <c r="I812" s="36">
        <v>5</v>
      </c>
      <c r="J812" s="36" t="s">
        <v>5895</v>
      </c>
      <c r="K812" s="36" t="s">
        <v>7766</v>
      </c>
      <c r="L812" s="36" t="b">
        <v>0</v>
      </c>
    </row>
    <row r="813" spans="1:12" ht="12.75">
      <c r="A813" s="448">
        <v>45252.454956793983</v>
      </c>
      <c r="B813" s="449">
        <v>45251</v>
      </c>
      <c r="C813" s="36" t="s">
        <v>12</v>
      </c>
      <c r="D813" s="450">
        <v>0.77083333333575865</v>
      </c>
      <c r="E813" s="36" t="s">
        <v>8171</v>
      </c>
      <c r="F813" s="36" t="s">
        <v>8172</v>
      </c>
      <c r="G813" s="36" t="s">
        <v>286</v>
      </c>
      <c r="H813" s="36" t="s">
        <v>682</v>
      </c>
      <c r="I813" s="36">
        <v>2</v>
      </c>
      <c r="J813" s="36" t="s">
        <v>5895</v>
      </c>
      <c r="K813" s="36" t="s">
        <v>8173</v>
      </c>
      <c r="L813" s="36" t="b">
        <v>0</v>
      </c>
    </row>
    <row r="814" spans="1:12" ht="12.75">
      <c r="A814" s="448">
        <v>45252.538967812499</v>
      </c>
      <c r="B814" s="449">
        <v>45251</v>
      </c>
      <c r="C814" s="36" t="s">
        <v>3388</v>
      </c>
      <c r="D814" s="450">
        <v>0.79166666666424135</v>
      </c>
      <c r="E814" s="36" t="s">
        <v>8174</v>
      </c>
      <c r="F814" s="36" t="s">
        <v>8175</v>
      </c>
      <c r="G814" s="36" t="s">
        <v>8176</v>
      </c>
      <c r="H814" s="36" t="s">
        <v>7567</v>
      </c>
      <c r="I814" s="36">
        <v>3</v>
      </c>
      <c r="J814" s="36" t="s">
        <v>5895</v>
      </c>
      <c r="K814" s="36" t="s">
        <v>5943</v>
      </c>
      <c r="L814" s="36" t="b">
        <v>0</v>
      </c>
    </row>
    <row r="815" spans="1:12" ht="12.75">
      <c r="A815" s="448">
        <v>45252.600281597217</v>
      </c>
      <c r="B815" s="449">
        <v>45252</v>
      </c>
      <c r="C815" s="36" t="s">
        <v>3388</v>
      </c>
      <c r="D815" s="450">
        <v>0.75</v>
      </c>
      <c r="E815" s="36" t="s">
        <v>6513</v>
      </c>
      <c r="F815" s="36" t="s">
        <v>8177</v>
      </c>
      <c r="G815" s="36" t="s">
        <v>6154</v>
      </c>
      <c r="H815" s="36" t="s">
        <v>7613</v>
      </c>
      <c r="I815" s="36">
        <v>2</v>
      </c>
      <c r="J815" s="36" t="s">
        <v>5895</v>
      </c>
      <c r="K815" s="36" t="s">
        <v>8178</v>
      </c>
      <c r="L815" s="36" t="b">
        <v>0</v>
      </c>
    </row>
    <row r="816" spans="1:12" ht="12.75">
      <c r="A816" s="448">
        <v>45252.608292581019</v>
      </c>
      <c r="B816" s="449">
        <v>45252</v>
      </c>
      <c r="C816" s="36" t="s">
        <v>3388</v>
      </c>
      <c r="D816" s="450">
        <v>0.8125</v>
      </c>
      <c r="E816" s="36" t="s">
        <v>6516</v>
      </c>
      <c r="F816" s="36" t="s">
        <v>8179</v>
      </c>
      <c r="G816" s="36" t="s">
        <v>6154</v>
      </c>
      <c r="H816" s="36" t="s">
        <v>7613</v>
      </c>
      <c r="I816" s="36">
        <v>3</v>
      </c>
      <c r="J816" s="36" t="s">
        <v>5895</v>
      </c>
      <c r="K816" s="36" t="s">
        <v>8178</v>
      </c>
      <c r="L816" s="36" t="b">
        <v>0</v>
      </c>
    </row>
    <row r="817" spans="1:12" ht="12.75">
      <c r="A817" s="448">
        <v>45252.637670358796</v>
      </c>
      <c r="B817" s="449">
        <v>36121</v>
      </c>
      <c r="C817" s="36" t="s">
        <v>3388</v>
      </c>
      <c r="D817" s="450">
        <v>0.75</v>
      </c>
      <c r="E817" s="36" t="s">
        <v>8180</v>
      </c>
      <c r="F817" s="36" t="s">
        <v>8181</v>
      </c>
      <c r="G817" s="36" t="s">
        <v>8182</v>
      </c>
      <c r="H817" s="36" t="s">
        <v>8183</v>
      </c>
      <c r="I817" s="36">
        <v>2</v>
      </c>
      <c r="J817" s="36" t="s">
        <v>5895</v>
      </c>
      <c r="K817" s="36" t="s">
        <v>8184</v>
      </c>
      <c r="L817" s="36" t="b">
        <v>0</v>
      </c>
    </row>
    <row r="818" spans="1:12" ht="12.75">
      <c r="A818" s="448">
        <v>45252.784768032405</v>
      </c>
      <c r="B818" s="449">
        <v>45252</v>
      </c>
      <c r="C818" s="36" t="s">
        <v>3383</v>
      </c>
      <c r="D818" s="450">
        <v>0.83333333333575865</v>
      </c>
      <c r="E818" s="36" t="s">
        <v>8185</v>
      </c>
      <c r="F818" s="36" t="s">
        <v>8186</v>
      </c>
      <c r="G818" s="36" t="s">
        <v>756</v>
      </c>
      <c r="H818" s="36" t="s">
        <v>7945</v>
      </c>
      <c r="I818" s="36">
        <v>3</v>
      </c>
      <c r="J818" s="36" t="s">
        <v>5895</v>
      </c>
      <c r="K818" s="36" t="s">
        <v>8187</v>
      </c>
      <c r="L818" s="36" t="b">
        <v>0</v>
      </c>
    </row>
    <row r="819" spans="1:12" ht="12.75">
      <c r="A819" s="448">
        <v>45253.874923287032</v>
      </c>
      <c r="B819" s="449">
        <v>45255</v>
      </c>
      <c r="C819" s="36" t="s">
        <v>14</v>
      </c>
      <c r="D819" s="450">
        <v>0.75</v>
      </c>
      <c r="E819" s="36" t="s">
        <v>8188</v>
      </c>
      <c r="F819" s="36">
        <v>16</v>
      </c>
      <c r="G819" s="36" t="s">
        <v>2007</v>
      </c>
      <c r="H819" s="36" t="s">
        <v>8189</v>
      </c>
      <c r="I819" s="36">
        <v>1</v>
      </c>
      <c r="J819" s="36" t="s">
        <v>5895</v>
      </c>
      <c r="K819" s="36" t="s">
        <v>8190</v>
      </c>
      <c r="L819" s="36" t="b">
        <v>0</v>
      </c>
    </row>
    <row r="820" spans="1:12" ht="12.75">
      <c r="A820" s="448">
        <v>45254.600382893521</v>
      </c>
      <c r="B820" s="449">
        <v>45253</v>
      </c>
      <c r="C820" s="36" t="s">
        <v>3388</v>
      </c>
      <c r="D820" s="450">
        <v>0.79166666666424135</v>
      </c>
      <c r="E820" s="36" t="s">
        <v>8112</v>
      </c>
      <c r="F820" s="36" t="s">
        <v>8191</v>
      </c>
      <c r="G820" s="36" t="s">
        <v>1158</v>
      </c>
      <c r="H820" s="36" t="s">
        <v>8149</v>
      </c>
      <c r="I820" s="36">
        <v>4</v>
      </c>
      <c r="J820" s="36" t="s">
        <v>5895</v>
      </c>
      <c r="K820" s="36" t="s">
        <v>8192</v>
      </c>
      <c r="L820" s="36" t="b">
        <v>0</v>
      </c>
    </row>
    <row r="821" spans="1:12" ht="12.75">
      <c r="A821" s="448">
        <v>45254.737753437497</v>
      </c>
      <c r="B821" s="449">
        <v>45254</v>
      </c>
      <c r="C821" s="36" t="s">
        <v>12</v>
      </c>
      <c r="D821" s="450">
        <v>0.79166666666424135</v>
      </c>
      <c r="E821" s="36" t="s">
        <v>8193</v>
      </c>
      <c r="F821" s="36" t="s">
        <v>8194</v>
      </c>
      <c r="G821" s="36" t="s">
        <v>445</v>
      </c>
      <c r="H821" s="36" t="s">
        <v>6570</v>
      </c>
      <c r="I821" s="36">
        <v>1</v>
      </c>
      <c r="J821" s="36" t="s">
        <v>5895</v>
      </c>
      <c r="K821" s="36" t="s">
        <v>8195</v>
      </c>
      <c r="L821" s="36" t="b">
        <v>0</v>
      </c>
    </row>
    <row r="822" spans="1:12" ht="12.75">
      <c r="A822" s="448">
        <v>45255.434338576393</v>
      </c>
      <c r="B822" s="449" t="s">
        <v>8196</v>
      </c>
      <c r="C822" s="36" t="s">
        <v>3383</v>
      </c>
      <c r="D822" s="450">
        <v>0.41666666666424135</v>
      </c>
      <c r="E822" s="36" t="s">
        <v>8197</v>
      </c>
      <c r="F822" s="36" t="s">
        <v>8198</v>
      </c>
      <c r="G822" s="36" t="s">
        <v>536</v>
      </c>
      <c r="H822" s="36" t="s">
        <v>8199</v>
      </c>
      <c r="I822" s="36">
        <v>1</v>
      </c>
      <c r="J822" s="36" t="s">
        <v>5895</v>
      </c>
      <c r="K822" s="36" t="s">
        <v>8200</v>
      </c>
      <c r="L822" s="36" t="b">
        <v>0</v>
      </c>
    </row>
    <row r="823" spans="1:12" ht="12.75">
      <c r="A823" s="448">
        <v>45255.644821064816</v>
      </c>
      <c r="B823" s="449">
        <v>45257</v>
      </c>
      <c r="C823" s="36" t="s">
        <v>3388</v>
      </c>
      <c r="D823" s="450">
        <v>0.79166666666424135</v>
      </c>
      <c r="E823" s="36" t="s">
        <v>8201</v>
      </c>
      <c r="F823" s="36" t="s">
        <v>8202</v>
      </c>
      <c r="G823" s="36" t="s">
        <v>1069</v>
      </c>
      <c r="H823" s="36" t="s">
        <v>1158</v>
      </c>
      <c r="I823" s="36">
        <v>2</v>
      </c>
      <c r="J823" s="36" t="s">
        <v>5895</v>
      </c>
      <c r="K823" s="36" t="s">
        <v>8203</v>
      </c>
      <c r="L823" s="36" t="b">
        <v>0</v>
      </c>
    </row>
    <row r="824" spans="1:12" ht="12.75">
      <c r="A824" s="448">
        <v>45255.646438981479</v>
      </c>
      <c r="B824" s="449">
        <v>45258</v>
      </c>
      <c r="C824" s="36" t="s">
        <v>3388</v>
      </c>
      <c r="D824" s="450">
        <v>0.75</v>
      </c>
      <c r="E824" s="36" t="s">
        <v>8204</v>
      </c>
      <c r="F824" s="36" t="s">
        <v>8205</v>
      </c>
      <c r="G824" s="36" t="s">
        <v>1069</v>
      </c>
      <c r="H824" s="36" t="s">
        <v>1907</v>
      </c>
      <c r="I824" s="36">
        <v>3</v>
      </c>
      <c r="J824" s="36" t="s">
        <v>5895</v>
      </c>
      <c r="K824" s="36" t="s">
        <v>8203</v>
      </c>
      <c r="L824" s="36" t="b">
        <v>0</v>
      </c>
    </row>
    <row r="825" spans="1:12" ht="12.75">
      <c r="A825" s="448">
        <v>45255.647861446763</v>
      </c>
      <c r="B825" s="449">
        <v>45255</v>
      </c>
      <c r="C825" s="36" t="s">
        <v>3388</v>
      </c>
      <c r="D825" s="450">
        <v>0.79166666666424135</v>
      </c>
      <c r="E825" s="36" t="s">
        <v>8206</v>
      </c>
      <c r="F825" s="36" t="s">
        <v>6491</v>
      </c>
      <c r="G825" s="36" t="s">
        <v>1069</v>
      </c>
      <c r="H825" s="36" t="s">
        <v>1113</v>
      </c>
      <c r="I825" s="36">
        <v>4</v>
      </c>
      <c r="J825" s="36" t="s">
        <v>5895</v>
      </c>
      <c r="K825" s="36" t="s">
        <v>8203</v>
      </c>
      <c r="L825" s="36" t="b">
        <v>0</v>
      </c>
    </row>
    <row r="826" spans="1:12" ht="12.75">
      <c r="A826" s="448">
        <v>45255.649467349533</v>
      </c>
      <c r="B826" s="449">
        <v>45259</v>
      </c>
      <c r="C826" s="36" t="s">
        <v>3388</v>
      </c>
      <c r="D826" s="450">
        <v>0.70833333333575865</v>
      </c>
      <c r="E826" s="36" t="s">
        <v>8207</v>
      </c>
      <c r="F826" s="36" t="s">
        <v>8208</v>
      </c>
      <c r="G826" s="36" t="s">
        <v>1069</v>
      </c>
      <c r="H826" s="36" t="s">
        <v>1119</v>
      </c>
      <c r="I826" s="36">
        <v>5</v>
      </c>
      <c r="J826" s="36" t="s">
        <v>5895</v>
      </c>
      <c r="K826" s="36" t="s">
        <v>8203</v>
      </c>
      <c r="L826" s="36" t="b">
        <v>0</v>
      </c>
    </row>
    <row r="827" spans="1:12" ht="12.75">
      <c r="A827" s="448">
        <v>45255.651073252317</v>
      </c>
      <c r="B827" s="449">
        <v>45259</v>
      </c>
      <c r="C827" s="36" t="s">
        <v>3388</v>
      </c>
      <c r="D827" s="450">
        <v>0.75</v>
      </c>
      <c r="E827" s="36" t="s">
        <v>8209</v>
      </c>
      <c r="F827" s="36" t="s">
        <v>6491</v>
      </c>
      <c r="G827" s="36" t="s">
        <v>1069</v>
      </c>
      <c r="H827" s="36" t="s">
        <v>1158</v>
      </c>
      <c r="I827" s="36">
        <v>6</v>
      </c>
      <c r="J827" s="36" t="s">
        <v>5895</v>
      </c>
      <c r="K827" s="36" t="s">
        <v>8203</v>
      </c>
      <c r="L827" s="36" t="b">
        <v>0</v>
      </c>
    </row>
    <row r="828" spans="1:12" ht="12.75">
      <c r="A828" s="448">
        <v>45255.653663564815</v>
      </c>
      <c r="B828" s="449">
        <v>45260</v>
      </c>
      <c r="C828" s="36" t="s">
        <v>3388</v>
      </c>
      <c r="D828" s="450">
        <v>0.75</v>
      </c>
      <c r="E828" s="36" t="s">
        <v>8210</v>
      </c>
      <c r="F828" s="36" t="s">
        <v>8211</v>
      </c>
      <c r="G828" s="36" t="s">
        <v>1069</v>
      </c>
      <c r="H828" s="36" t="s">
        <v>1113</v>
      </c>
      <c r="I828" s="36">
        <v>7</v>
      </c>
      <c r="J828" s="36" t="s">
        <v>5895</v>
      </c>
      <c r="K828" s="36" t="s">
        <v>8203</v>
      </c>
      <c r="L828" s="36" t="b">
        <v>0</v>
      </c>
    </row>
    <row r="829" spans="1:12" ht="12.75">
      <c r="A829" s="448">
        <v>45255.654908958335</v>
      </c>
      <c r="B829" s="449">
        <v>45255</v>
      </c>
      <c r="C829" s="36" t="s">
        <v>3388</v>
      </c>
      <c r="D829" s="450">
        <v>0.8125</v>
      </c>
      <c r="E829" s="36" t="s">
        <v>8212</v>
      </c>
      <c r="F829" s="36" t="s">
        <v>8213</v>
      </c>
      <c r="G829" s="36" t="s">
        <v>1069</v>
      </c>
      <c r="H829" s="36" t="s">
        <v>8214</v>
      </c>
      <c r="I829" s="36">
        <v>8</v>
      </c>
      <c r="J829" s="36" t="s">
        <v>5895</v>
      </c>
      <c r="K829" s="36" t="s">
        <v>8203</v>
      </c>
      <c r="L829" s="36" t="b">
        <v>0</v>
      </c>
    </row>
    <row r="830" spans="1:12" ht="12.75">
      <c r="A830" s="448">
        <v>45255.656163900465</v>
      </c>
      <c r="B830" s="449">
        <v>45254</v>
      </c>
      <c r="C830" s="36" t="s">
        <v>3388</v>
      </c>
      <c r="D830" s="450">
        <v>0.70833333333575865</v>
      </c>
      <c r="E830" s="36" t="s">
        <v>8215</v>
      </c>
      <c r="F830" s="36" t="s">
        <v>6491</v>
      </c>
      <c r="G830" s="36" t="s">
        <v>1069</v>
      </c>
      <c r="H830" s="36" t="s">
        <v>1113</v>
      </c>
      <c r="I830" s="36">
        <v>1</v>
      </c>
      <c r="J830" s="36" t="s">
        <v>5895</v>
      </c>
      <c r="K830" s="36" t="s">
        <v>8216</v>
      </c>
      <c r="L830" s="36" t="b">
        <v>0</v>
      </c>
    </row>
    <row r="831" spans="1:12" ht="12.75">
      <c r="A831" s="448">
        <v>45255.686098437502</v>
      </c>
      <c r="B831" s="449">
        <v>45255</v>
      </c>
      <c r="C831" s="36" t="s">
        <v>12</v>
      </c>
      <c r="D831" s="450">
        <v>0.79166666666424135</v>
      </c>
      <c r="E831" s="36" t="s">
        <v>8217</v>
      </c>
      <c r="F831" s="36" t="s">
        <v>8218</v>
      </c>
      <c r="G831" s="36" t="s">
        <v>7263</v>
      </c>
      <c r="H831" s="36" t="s">
        <v>8219</v>
      </c>
      <c r="I831" s="36">
        <v>1</v>
      </c>
      <c r="J831" s="36" t="s">
        <v>5895</v>
      </c>
      <c r="K831" s="36" t="s">
        <v>8220</v>
      </c>
      <c r="L831" s="36" t="b">
        <v>0</v>
      </c>
    </row>
    <row r="832" spans="1:12" ht="12.75">
      <c r="A832" s="448">
        <v>45255.929821689817</v>
      </c>
      <c r="B832" s="449">
        <v>45255</v>
      </c>
      <c r="C832" s="36" t="s">
        <v>3383</v>
      </c>
      <c r="D832" s="450">
        <v>0.8125</v>
      </c>
      <c r="E832" s="36" t="s">
        <v>8221</v>
      </c>
      <c r="F832" s="36" t="s">
        <v>8222</v>
      </c>
      <c r="G832" s="36" t="s">
        <v>2366</v>
      </c>
      <c r="H832" s="36" t="s">
        <v>7669</v>
      </c>
      <c r="I832" s="36">
        <v>1</v>
      </c>
      <c r="J832" s="36" t="s">
        <v>5895</v>
      </c>
      <c r="K832" s="36" t="s">
        <v>8223</v>
      </c>
      <c r="L832" s="36" t="b">
        <v>0</v>
      </c>
    </row>
    <row r="833" spans="1:12" ht="12.75">
      <c r="A833" s="448">
        <v>45257.626127314812</v>
      </c>
      <c r="B833" s="449">
        <v>45257</v>
      </c>
      <c r="C833" s="36" t="s">
        <v>3388</v>
      </c>
      <c r="D833" s="450">
        <v>0.75</v>
      </c>
      <c r="E833" s="36" t="s">
        <v>8224</v>
      </c>
      <c r="F833" s="36" t="s">
        <v>8225</v>
      </c>
      <c r="G833" s="36" t="s">
        <v>576</v>
      </c>
      <c r="H833" s="36" t="s">
        <v>517</v>
      </c>
      <c r="I833" s="36">
        <v>1</v>
      </c>
      <c r="J833" s="36" t="s">
        <v>5895</v>
      </c>
      <c r="K833" s="36" t="s">
        <v>8226</v>
      </c>
      <c r="L833" s="36" t="b">
        <v>0</v>
      </c>
    </row>
    <row r="834" spans="1:12" ht="12.75">
      <c r="A834" s="448">
        <v>45257.890440196759</v>
      </c>
      <c r="B834" s="449">
        <v>45258</v>
      </c>
      <c r="C834" s="36" t="s">
        <v>12</v>
      </c>
      <c r="D834" s="450">
        <v>0.75</v>
      </c>
      <c r="E834" s="36" t="s">
        <v>8227</v>
      </c>
      <c r="F834" s="36" t="s">
        <v>8228</v>
      </c>
      <c r="G834" s="36" t="s">
        <v>760</v>
      </c>
      <c r="H834" s="36" t="s">
        <v>6570</v>
      </c>
      <c r="I834" s="36">
        <v>1</v>
      </c>
      <c r="J834" s="36" t="s">
        <v>5895</v>
      </c>
      <c r="K834" s="36" t="s">
        <v>8229</v>
      </c>
      <c r="L834" s="36" t="b">
        <v>0</v>
      </c>
    </row>
    <row r="835" spans="1:12" ht="12.75">
      <c r="A835" s="448">
        <v>45257.891444745372</v>
      </c>
      <c r="B835" s="449">
        <v>45258</v>
      </c>
      <c r="C835" s="36" t="s">
        <v>12</v>
      </c>
      <c r="D835" s="450">
        <v>0.79861111110949423</v>
      </c>
      <c r="E835" s="36" t="s">
        <v>8230</v>
      </c>
      <c r="F835" s="36" t="s">
        <v>8231</v>
      </c>
      <c r="G835" s="36" t="s">
        <v>760</v>
      </c>
      <c r="H835" s="36" t="s">
        <v>8232</v>
      </c>
      <c r="I835" s="36">
        <v>2</v>
      </c>
      <c r="J835" s="36" t="s">
        <v>5895</v>
      </c>
      <c r="K835" s="36" t="s">
        <v>8229</v>
      </c>
      <c r="L835" s="36" t="b">
        <v>0</v>
      </c>
    </row>
    <row r="836" spans="1:12" ht="12.75">
      <c r="A836" s="448">
        <v>45258.843842581016</v>
      </c>
      <c r="B836" s="449">
        <v>45254</v>
      </c>
      <c r="C836" s="36" t="s">
        <v>3388</v>
      </c>
      <c r="D836" s="450">
        <v>0.75</v>
      </c>
      <c r="E836" s="36" t="s">
        <v>8233</v>
      </c>
      <c r="F836" s="36" t="s">
        <v>7476</v>
      </c>
      <c r="G836" s="36" t="s">
        <v>1319</v>
      </c>
      <c r="H836" s="36" t="s">
        <v>8234</v>
      </c>
      <c r="I836" s="36">
        <v>2</v>
      </c>
      <c r="J836" s="36" t="s">
        <v>5895</v>
      </c>
      <c r="K836" s="36" t="s">
        <v>8235</v>
      </c>
      <c r="L836" s="36" t="b">
        <v>0</v>
      </c>
    </row>
    <row r="837" spans="1:12" ht="12.75">
      <c r="A837" s="448">
        <v>45258.846028888889</v>
      </c>
      <c r="B837" s="449">
        <v>45239</v>
      </c>
      <c r="C837" s="36" t="s">
        <v>3388</v>
      </c>
      <c r="D837" s="450">
        <v>0.79166666666424135</v>
      </c>
      <c r="E837" s="36" t="s">
        <v>8236</v>
      </c>
      <c r="F837" s="36" t="s">
        <v>8237</v>
      </c>
      <c r="G837" s="36" t="s">
        <v>1319</v>
      </c>
      <c r="H837" s="36" t="s">
        <v>6198</v>
      </c>
      <c r="I837" s="36">
        <v>1</v>
      </c>
      <c r="J837" s="36" t="s">
        <v>5895</v>
      </c>
      <c r="K837" s="36" t="s">
        <v>8235</v>
      </c>
      <c r="L837" s="36" t="b">
        <v>0</v>
      </c>
    </row>
    <row r="838" spans="1:12" ht="12.75">
      <c r="A838" s="448">
        <v>45259.428059826387</v>
      </c>
      <c r="B838" s="449">
        <v>45256</v>
      </c>
      <c r="C838" s="36" t="s">
        <v>13</v>
      </c>
      <c r="D838" s="450">
        <v>0.77083333333575865</v>
      </c>
      <c r="E838" s="36" t="s">
        <v>8238</v>
      </c>
      <c r="F838" s="36">
        <v>23</v>
      </c>
      <c r="G838" s="36" t="s">
        <v>944</v>
      </c>
      <c r="H838" s="36" t="s">
        <v>6265</v>
      </c>
      <c r="I838" s="36">
        <v>1</v>
      </c>
      <c r="J838" s="36" t="s">
        <v>5895</v>
      </c>
      <c r="K838" s="36" t="s">
        <v>8239</v>
      </c>
      <c r="L838" s="36" t="b">
        <v>0</v>
      </c>
    </row>
    <row r="839" spans="1:12" ht="12.75">
      <c r="A839" s="448">
        <v>45259.493907476848</v>
      </c>
      <c r="B839" s="449" t="s">
        <v>8240</v>
      </c>
      <c r="C839" s="36" t="s">
        <v>14</v>
      </c>
      <c r="D839" s="450">
        <v>0.54166666666424135</v>
      </c>
      <c r="E839" s="36" t="s">
        <v>8241</v>
      </c>
      <c r="F839" s="36" t="s">
        <v>8242</v>
      </c>
      <c r="G839" s="36" t="s">
        <v>8243</v>
      </c>
      <c r="H839" s="36" t="s">
        <v>1653</v>
      </c>
      <c r="I839" s="36">
        <v>1</v>
      </c>
      <c r="J839" s="36" t="s">
        <v>5895</v>
      </c>
      <c r="K839" s="36" t="s">
        <v>8244</v>
      </c>
      <c r="L839" s="36" t="b">
        <v>0</v>
      </c>
    </row>
    <row r="840" spans="1:12" ht="12.75">
      <c r="A840" s="448">
        <v>45259.49710043981</v>
      </c>
      <c r="B840" s="449" t="s">
        <v>8245</v>
      </c>
      <c r="C840" s="36" t="s">
        <v>14</v>
      </c>
      <c r="D840" s="450">
        <v>0.70833333333575865</v>
      </c>
      <c r="E840" s="36" t="s">
        <v>8246</v>
      </c>
      <c r="F840" s="36" t="s">
        <v>8247</v>
      </c>
      <c r="G840" s="36" t="s">
        <v>1867</v>
      </c>
      <c r="H840" s="36" t="s">
        <v>8248</v>
      </c>
      <c r="I840" s="36">
        <v>2</v>
      </c>
      <c r="J840" s="36" t="s">
        <v>5895</v>
      </c>
      <c r="K840" s="36" t="s">
        <v>8249</v>
      </c>
      <c r="L840" s="36" t="b">
        <v>0</v>
      </c>
    </row>
    <row r="841" spans="1:12" ht="12.75">
      <c r="A841" s="448">
        <v>45259.500784374999</v>
      </c>
      <c r="B841" s="449" t="s">
        <v>8245</v>
      </c>
      <c r="C841" s="36" t="s">
        <v>14</v>
      </c>
      <c r="D841" s="450">
        <v>0.75</v>
      </c>
      <c r="E841" s="36" t="s">
        <v>8250</v>
      </c>
      <c r="F841" s="36" t="s">
        <v>8251</v>
      </c>
      <c r="G841" s="36" t="s">
        <v>8243</v>
      </c>
      <c r="H841" s="36" t="s">
        <v>1653</v>
      </c>
      <c r="I841" s="36">
        <v>3</v>
      </c>
      <c r="J841" s="36" t="s">
        <v>5895</v>
      </c>
      <c r="K841" s="36" t="s">
        <v>8252</v>
      </c>
      <c r="L841" s="36" t="b">
        <v>0</v>
      </c>
    </row>
    <row r="842" spans="1:12" ht="12.75">
      <c r="A842" s="448">
        <v>45259.557115648146</v>
      </c>
      <c r="B842" s="449">
        <v>45259</v>
      </c>
      <c r="C842" s="36" t="s">
        <v>3388</v>
      </c>
      <c r="D842" s="450">
        <v>0.75</v>
      </c>
      <c r="E842" s="36" t="s">
        <v>8253</v>
      </c>
      <c r="F842" s="36" t="s">
        <v>8181</v>
      </c>
      <c r="G842" s="36" t="s">
        <v>1878</v>
      </c>
      <c r="H842" s="36" t="s">
        <v>7815</v>
      </c>
      <c r="I842" s="36">
        <v>1</v>
      </c>
      <c r="J842" s="36" t="s">
        <v>5895</v>
      </c>
      <c r="K842" s="36" t="s">
        <v>7349</v>
      </c>
      <c r="L842" s="36" t="b">
        <v>0</v>
      </c>
    </row>
    <row r="843" spans="1:12" ht="12.75">
      <c r="A843" s="448">
        <v>45259.55813424768</v>
      </c>
      <c r="B843" s="449">
        <v>45259</v>
      </c>
      <c r="C843" s="36" t="s">
        <v>3388</v>
      </c>
      <c r="D843" s="450">
        <v>0.8125</v>
      </c>
      <c r="E843" s="36" t="s">
        <v>8254</v>
      </c>
      <c r="F843" s="36" t="s">
        <v>8255</v>
      </c>
      <c r="G843" s="36" t="s">
        <v>1878</v>
      </c>
      <c r="H843" s="36" t="s">
        <v>7815</v>
      </c>
      <c r="I843" s="36">
        <v>2</v>
      </c>
      <c r="J843" s="36" t="s">
        <v>5895</v>
      </c>
      <c r="K843" s="36" t="s">
        <v>7349</v>
      </c>
      <c r="L843" s="36" t="b">
        <v>0</v>
      </c>
    </row>
    <row r="844" spans="1:12" ht="12.75">
      <c r="A844" s="448">
        <v>45260.081078229166</v>
      </c>
      <c r="B844" s="449">
        <v>45260</v>
      </c>
      <c r="C844" s="36" t="s">
        <v>3388</v>
      </c>
      <c r="D844" s="450">
        <v>0.75</v>
      </c>
      <c r="E844" s="36" t="s">
        <v>7450</v>
      </c>
      <c r="F844" s="36" t="s">
        <v>8256</v>
      </c>
      <c r="G844" s="36" t="s">
        <v>8257</v>
      </c>
      <c r="H844" s="36" t="s">
        <v>1680</v>
      </c>
      <c r="I844" s="36">
        <v>1</v>
      </c>
      <c r="J844" s="36" t="s">
        <v>5895</v>
      </c>
      <c r="K844" s="36" t="s">
        <v>5943</v>
      </c>
      <c r="L844" s="36" t="b">
        <v>0</v>
      </c>
    </row>
    <row r="845" spans="1:12" ht="12.75">
      <c r="A845" s="448">
        <v>45260.183366319441</v>
      </c>
      <c r="B845" s="449">
        <v>45244</v>
      </c>
      <c r="C845" s="36" t="s">
        <v>3388</v>
      </c>
      <c r="D845" s="450">
        <v>0.77083333333575865</v>
      </c>
      <c r="E845" s="36" t="s">
        <v>7458</v>
      </c>
      <c r="F845" s="36" t="s">
        <v>8258</v>
      </c>
      <c r="G845" s="36" t="s">
        <v>6587</v>
      </c>
      <c r="H845" s="36" t="s">
        <v>7815</v>
      </c>
      <c r="I845" s="36">
        <v>1</v>
      </c>
      <c r="J845" s="36" t="s">
        <v>5895</v>
      </c>
      <c r="K845" s="36" t="s">
        <v>8259</v>
      </c>
      <c r="L845" s="36" t="b">
        <v>0</v>
      </c>
    </row>
    <row r="846" spans="1:12" ht="12.75">
      <c r="A846" s="448">
        <v>45260.185401076393</v>
      </c>
      <c r="B846" s="449">
        <v>45244</v>
      </c>
      <c r="C846" s="36" t="s">
        <v>3388</v>
      </c>
      <c r="D846" s="450">
        <v>0.83333333333575865</v>
      </c>
      <c r="E846" s="36" t="s">
        <v>8260</v>
      </c>
      <c r="F846" s="36" t="s">
        <v>7090</v>
      </c>
      <c r="G846" s="36" t="s">
        <v>7274</v>
      </c>
      <c r="H846" s="36" t="s">
        <v>5906</v>
      </c>
      <c r="I846" s="36">
        <v>2</v>
      </c>
      <c r="J846" s="36" t="s">
        <v>5895</v>
      </c>
      <c r="K846" s="36" t="s">
        <v>8259</v>
      </c>
      <c r="L846" s="36" t="b">
        <v>0</v>
      </c>
    </row>
    <row r="847" spans="1:12" ht="12.75">
      <c r="A847" s="448">
        <v>45260.186797546296</v>
      </c>
      <c r="B847" s="449">
        <v>45245</v>
      </c>
      <c r="C847" s="36" t="s">
        <v>3388</v>
      </c>
      <c r="D847" s="450">
        <v>0.83333333333575865</v>
      </c>
      <c r="E847" s="36" t="s">
        <v>7656</v>
      </c>
      <c r="F847" s="36" t="s">
        <v>8261</v>
      </c>
      <c r="G847" s="36" t="s">
        <v>7274</v>
      </c>
      <c r="H847" s="36" t="s">
        <v>7815</v>
      </c>
      <c r="I847" s="36">
        <v>3</v>
      </c>
      <c r="J847" s="36" t="s">
        <v>5895</v>
      </c>
      <c r="K847" s="36" t="s">
        <v>8259</v>
      </c>
      <c r="L847" s="36" t="b">
        <v>0</v>
      </c>
    </row>
    <row r="848" spans="1:12" ht="12.75">
      <c r="A848" s="448">
        <v>45260.188274571759</v>
      </c>
      <c r="B848" s="449">
        <v>45246</v>
      </c>
      <c r="C848" s="36" t="s">
        <v>3388</v>
      </c>
      <c r="D848" s="450">
        <v>0.75</v>
      </c>
      <c r="E848" s="36" t="s">
        <v>8262</v>
      </c>
      <c r="F848" s="36" t="s">
        <v>8263</v>
      </c>
      <c r="G848" s="36" t="s">
        <v>7274</v>
      </c>
      <c r="H848" s="36" t="s">
        <v>6363</v>
      </c>
      <c r="I848" s="36">
        <v>4</v>
      </c>
      <c r="J848" s="36" t="s">
        <v>5895</v>
      </c>
      <c r="K848" s="36" t="s">
        <v>8259</v>
      </c>
      <c r="L848" s="36" t="b">
        <v>0</v>
      </c>
    </row>
    <row r="849" spans="1:12" ht="12.75">
      <c r="A849" s="448">
        <v>45260.479558472223</v>
      </c>
      <c r="B849" s="449">
        <v>45259</v>
      </c>
      <c r="C849" s="36" t="s">
        <v>12</v>
      </c>
      <c r="D849" s="450">
        <v>6.25E-2</v>
      </c>
      <c r="E849" s="36" t="s">
        <v>8032</v>
      </c>
      <c r="F849" s="36" t="s">
        <v>8264</v>
      </c>
      <c r="G849" s="36" t="s">
        <v>6096</v>
      </c>
      <c r="H849" s="36" t="s">
        <v>8265</v>
      </c>
      <c r="I849" s="36">
        <v>1</v>
      </c>
      <c r="J849" s="36" t="s">
        <v>5895</v>
      </c>
      <c r="K849" s="36" t="s">
        <v>8266</v>
      </c>
      <c r="L849" s="36" t="b">
        <v>0</v>
      </c>
    </row>
    <row r="850" spans="1:12" ht="12.75">
      <c r="A850" s="448">
        <v>45260.53173289352</v>
      </c>
      <c r="B850" s="449">
        <v>45259</v>
      </c>
      <c r="C850" s="36" t="s">
        <v>3383</v>
      </c>
      <c r="D850" s="450">
        <v>0.66666666666424135</v>
      </c>
      <c r="E850" s="36" t="s">
        <v>7875</v>
      </c>
      <c r="F850" s="36" t="s">
        <v>8267</v>
      </c>
      <c r="G850" s="36" t="s">
        <v>860</v>
      </c>
      <c r="H850" s="36" t="s">
        <v>6328</v>
      </c>
      <c r="I850" s="36">
        <v>1</v>
      </c>
      <c r="J850" s="36" t="s">
        <v>5895</v>
      </c>
      <c r="K850" s="36" t="s">
        <v>8268</v>
      </c>
      <c r="L850" s="36" t="b">
        <v>0</v>
      </c>
    </row>
    <row r="851" spans="1:12" ht="12.75">
      <c r="A851" s="448">
        <v>45260.549203460643</v>
      </c>
      <c r="B851" s="449">
        <v>45260</v>
      </c>
      <c r="C851" s="36" t="s">
        <v>3388</v>
      </c>
      <c r="D851" s="450">
        <v>0.70833333333575865</v>
      </c>
      <c r="E851" s="36" t="s">
        <v>6966</v>
      </c>
      <c r="F851" s="36" t="s">
        <v>8269</v>
      </c>
      <c r="G851" s="36" t="s">
        <v>4154</v>
      </c>
      <c r="H851" s="36" t="s">
        <v>8270</v>
      </c>
      <c r="I851" s="36">
        <v>4</v>
      </c>
      <c r="J851" s="36" t="s">
        <v>5895</v>
      </c>
      <c r="K851" s="36" t="s">
        <v>8271</v>
      </c>
      <c r="L851" s="36" t="b">
        <v>0</v>
      </c>
    </row>
    <row r="852" spans="1:12" ht="12.75">
      <c r="A852" s="448">
        <v>45260.550878819442</v>
      </c>
      <c r="B852" s="449">
        <v>45260</v>
      </c>
      <c r="C852" s="36" t="s">
        <v>3388</v>
      </c>
      <c r="D852" s="450">
        <v>0.79166666666424135</v>
      </c>
      <c r="E852" s="36" t="s">
        <v>8272</v>
      </c>
      <c r="F852" s="36" t="s">
        <v>8273</v>
      </c>
      <c r="G852" s="36" t="s">
        <v>4154</v>
      </c>
      <c r="H852" s="36" t="s">
        <v>6492</v>
      </c>
      <c r="I852" s="36">
        <v>4</v>
      </c>
      <c r="J852" s="36" t="s">
        <v>5895</v>
      </c>
      <c r="K852" s="36" t="s">
        <v>8271</v>
      </c>
      <c r="L852" s="36" t="b">
        <v>0</v>
      </c>
    </row>
    <row r="853" spans="1:12" ht="12.75">
      <c r="A853" s="448">
        <v>45260.598902951388</v>
      </c>
      <c r="B853" s="449">
        <v>45260</v>
      </c>
      <c r="C853" s="36" t="s">
        <v>3388</v>
      </c>
      <c r="D853" s="450">
        <v>0.75</v>
      </c>
      <c r="E853" s="36" t="s">
        <v>8274</v>
      </c>
      <c r="F853" s="36" t="s">
        <v>8202</v>
      </c>
      <c r="G853" s="36" t="s">
        <v>1878</v>
      </c>
      <c r="H853" s="36" t="s">
        <v>8275</v>
      </c>
      <c r="I853" s="36">
        <v>3</v>
      </c>
      <c r="J853" s="36" t="s">
        <v>5895</v>
      </c>
      <c r="K853" s="36" t="s">
        <v>7349</v>
      </c>
      <c r="L853" s="36" t="b">
        <v>0</v>
      </c>
    </row>
    <row r="854" spans="1:12" ht="12.75">
      <c r="A854" s="448">
        <v>45260.599384803238</v>
      </c>
      <c r="B854" s="449">
        <v>45260</v>
      </c>
      <c r="C854" s="36" t="s">
        <v>3388</v>
      </c>
      <c r="D854" s="450">
        <v>0.79166666666424135</v>
      </c>
      <c r="E854" s="36" t="s">
        <v>8276</v>
      </c>
      <c r="F854" s="36" t="s">
        <v>8277</v>
      </c>
      <c r="G854" s="36" t="s">
        <v>1878</v>
      </c>
      <c r="H854" s="36" t="s">
        <v>8275</v>
      </c>
      <c r="I854" s="36">
        <v>4</v>
      </c>
      <c r="J854" s="36" t="s">
        <v>5895</v>
      </c>
      <c r="K854" s="36" t="s">
        <v>7349</v>
      </c>
      <c r="L854" s="36" t="b">
        <v>0</v>
      </c>
    </row>
    <row r="855" spans="1:12" ht="12.75">
      <c r="A855" s="448">
        <v>45260.721493333331</v>
      </c>
      <c r="B855" s="449">
        <v>45263</v>
      </c>
      <c r="C855" s="36" t="s">
        <v>3388</v>
      </c>
      <c r="D855" s="450">
        <v>0.75</v>
      </c>
      <c r="E855" s="36" t="s">
        <v>8278</v>
      </c>
      <c r="F855" s="36" t="s">
        <v>8279</v>
      </c>
      <c r="G855" s="36" t="s">
        <v>1392</v>
      </c>
      <c r="H855" s="36" t="s">
        <v>1416</v>
      </c>
      <c r="I855" s="36">
        <v>1</v>
      </c>
      <c r="J855" s="36" t="s">
        <v>5895</v>
      </c>
      <c r="K855" s="36" t="s">
        <v>8280</v>
      </c>
      <c r="L855" s="36" t="b">
        <v>0</v>
      </c>
    </row>
    <row r="856" spans="1:12" ht="12.75">
      <c r="A856" s="448">
        <v>45260.722671041665</v>
      </c>
      <c r="B856" s="449">
        <v>45264</v>
      </c>
      <c r="C856" s="36" t="s">
        <v>3388</v>
      </c>
      <c r="D856" s="450">
        <v>0.77083333333575865</v>
      </c>
      <c r="E856" s="36" t="s">
        <v>8281</v>
      </c>
      <c r="F856" s="36" t="s">
        <v>8282</v>
      </c>
      <c r="G856" s="36" t="s">
        <v>1392</v>
      </c>
      <c r="H856" s="36" t="s">
        <v>1416</v>
      </c>
      <c r="I856" s="36">
        <v>1</v>
      </c>
      <c r="J856" s="36" t="s">
        <v>5895</v>
      </c>
      <c r="K856" s="36" t="s">
        <v>8280</v>
      </c>
      <c r="L856" s="36" t="b">
        <v>0</v>
      </c>
    </row>
    <row r="857" spans="1:12" ht="12.75">
      <c r="A857" s="448">
        <v>45260.723459976856</v>
      </c>
      <c r="B857" s="449">
        <v>45270</v>
      </c>
      <c r="C857" s="36" t="s">
        <v>3388</v>
      </c>
      <c r="D857" s="450">
        <v>0.41666666666424135</v>
      </c>
      <c r="E857" s="36" t="s">
        <v>8283</v>
      </c>
      <c r="F857" s="36" t="s">
        <v>8284</v>
      </c>
      <c r="G857" s="36" t="s">
        <v>1392</v>
      </c>
      <c r="H857" s="36" t="s">
        <v>1416</v>
      </c>
      <c r="I857" s="36">
        <v>2</v>
      </c>
      <c r="J857" s="36" t="s">
        <v>5895</v>
      </c>
      <c r="K857" s="36" t="s">
        <v>8280</v>
      </c>
      <c r="L857" s="36" t="b">
        <v>0</v>
      </c>
    </row>
    <row r="858" spans="1:12" ht="12.75">
      <c r="A858" s="448">
        <v>45260.724247118051</v>
      </c>
      <c r="B858" s="449">
        <v>45270</v>
      </c>
      <c r="C858" s="36" t="s">
        <v>3388</v>
      </c>
      <c r="D858" s="450">
        <v>0.45833333333575865</v>
      </c>
      <c r="E858" s="36" t="s">
        <v>6173</v>
      </c>
      <c r="F858" s="36" t="s">
        <v>8285</v>
      </c>
      <c r="G858" s="36" t="s">
        <v>1392</v>
      </c>
      <c r="H858" s="36" t="s">
        <v>1416</v>
      </c>
      <c r="I858" s="36">
        <v>3</v>
      </c>
      <c r="J858" s="36" t="s">
        <v>5895</v>
      </c>
      <c r="K858" s="36" t="s">
        <v>8286</v>
      </c>
      <c r="L858" s="36" t="b">
        <v>0</v>
      </c>
    </row>
    <row r="859" spans="1:12" ht="12.75">
      <c r="A859" s="448">
        <v>45260.741950324074</v>
      </c>
      <c r="B859" s="449">
        <v>45260</v>
      </c>
      <c r="C859" s="36" t="s">
        <v>3388</v>
      </c>
      <c r="D859" s="450">
        <v>0.75</v>
      </c>
      <c r="E859" s="36" t="s">
        <v>7798</v>
      </c>
      <c r="F859" s="36" t="s">
        <v>8287</v>
      </c>
      <c r="G859" s="36" t="s">
        <v>8288</v>
      </c>
      <c r="H859" s="36" t="s">
        <v>8289</v>
      </c>
      <c r="I859" s="36">
        <v>2</v>
      </c>
      <c r="J859" s="36" t="s">
        <v>5895</v>
      </c>
      <c r="K859" s="36" t="s">
        <v>8290</v>
      </c>
      <c r="L859" s="36" t="b">
        <v>0</v>
      </c>
    </row>
    <row r="860" spans="1:12" ht="12.75">
      <c r="A860" s="448">
        <v>45261.020030231477</v>
      </c>
      <c r="B860" s="449">
        <v>45260</v>
      </c>
      <c r="C860" s="36" t="s">
        <v>3388</v>
      </c>
      <c r="D860" s="450">
        <v>0.75</v>
      </c>
      <c r="E860" s="36" t="s">
        <v>7974</v>
      </c>
      <c r="F860" s="36" t="s">
        <v>8291</v>
      </c>
      <c r="G860" s="36" t="s">
        <v>1483</v>
      </c>
      <c r="H860" s="36" t="s">
        <v>8292</v>
      </c>
      <c r="I860" s="36">
        <v>1</v>
      </c>
      <c r="J860" s="36" t="s">
        <v>5895</v>
      </c>
      <c r="K860" s="36" t="s">
        <v>8293</v>
      </c>
      <c r="L860" s="36" t="b">
        <v>0</v>
      </c>
    </row>
    <row r="861" spans="1:12" ht="12.75">
      <c r="A861" s="448">
        <v>45261.47256469907</v>
      </c>
      <c r="B861" s="449">
        <v>45262</v>
      </c>
      <c r="C861" s="36" t="s">
        <v>14</v>
      </c>
      <c r="D861" s="450">
        <v>0.41666666666424135</v>
      </c>
      <c r="E861" s="36" t="s">
        <v>8294</v>
      </c>
      <c r="F861" s="36" t="s">
        <v>8295</v>
      </c>
      <c r="G861" s="36" t="s">
        <v>8296</v>
      </c>
      <c r="H861" s="36" t="s">
        <v>2830</v>
      </c>
      <c r="I861" s="36">
        <v>1</v>
      </c>
      <c r="J861" s="36" t="s">
        <v>5895</v>
      </c>
      <c r="K861" s="36" t="s">
        <v>8297</v>
      </c>
      <c r="L861" s="36" t="b">
        <v>0</v>
      </c>
    </row>
    <row r="862" spans="1:12" ht="12.75">
      <c r="A862" s="448">
        <v>45261.757994293977</v>
      </c>
      <c r="B862" s="449">
        <v>45261</v>
      </c>
      <c r="C862" s="36" t="s">
        <v>3388</v>
      </c>
      <c r="D862" s="450">
        <v>0.75</v>
      </c>
      <c r="E862" s="36" t="s">
        <v>8298</v>
      </c>
      <c r="F862" s="36" t="s">
        <v>8299</v>
      </c>
      <c r="G862" s="36" t="s">
        <v>1878</v>
      </c>
      <c r="H862" s="36" t="s">
        <v>2357</v>
      </c>
      <c r="I862" s="36">
        <v>1</v>
      </c>
      <c r="J862" s="36" t="s">
        <v>5895</v>
      </c>
      <c r="K862" s="36" t="s">
        <v>7349</v>
      </c>
      <c r="L862" s="36" t="b">
        <v>0</v>
      </c>
    </row>
    <row r="863" spans="1:12" ht="12.75">
      <c r="A863" s="448">
        <v>45261.759006400462</v>
      </c>
      <c r="B863" s="449">
        <v>45261</v>
      </c>
      <c r="C863" s="36" t="s">
        <v>3388</v>
      </c>
      <c r="D863" s="450">
        <v>0.79166666666424135</v>
      </c>
      <c r="E863" s="36" t="s">
        <v>8300</v>
      </c>
      <c r="F863" s="36" t="s">
        <v>8301</v>
      </c>
      <c r="G863" s="36" t="s">
        <v>1878</v>
      </c>
      <c r="H863" s="36" t="s">
        <v>1119</v>
      </c>
      <c r="I863" s="36">
        <v>2</v>
      </c>
      <c r="J863" s="36" t="s">
        <v>5895</v>
      </c>
      <c r="K863" s="36" t="s">
        <v>7349</v>
      </c>
      <c r="L863" s="36" t="b">
        <v>0</v>
      </c>
    </row>
    <row r="864" spans="1:12" ht="12.75">
      <c r="A864" s="448">
        <v>45261.876472997683</v>
      </c>
      <c r="B864" s="449">
        <v>45262</v>
      </c>
      <c r="C864" s="36" t="s">
        <v>3383</v>
      </c>
      <c r="D864" s="450">
        <v>0.83333333333575865</v>
      </c>
      <c r="E864" s="36" t="s">
        <v>8302</v>
      </c>
      <c r="F864" s="36" t="s">
        <v>8303</v>
      </c>
      <c r="G864" s="36" t="s">
        <v>2112</v>
      </c>
      <c r="H864" s="36" t="s">
        <v>8304</v>
      </c>
      <c r="I864" s="36">
        <v>1</v>
      </c>
      <c r="J864" s="36" t="s">
        <v>5895</v>
      </c>
      <c r="K864" s="36" t="s">
        <v>5943</v>
      </c>
      <c r="L864" s="36" t="b">
        <v>0</v>
      </c>
    </row>
    <row r="865" spans="1:12" ht="12.75">
      <c r="A865" s="448">
        <v>45262.747660486115</v>
      </c>
      <c r="B865" s="449">
        <v>45261</v>
      </c>
      <c r="C865" s="36" t="s">
        <v>3383</v>
      </c>
      <c r="D865" s="450">
        <v>0.75</v>
      </c>
      <c r="E865" s="36" t="s">
        <v>8305</v>
      </c>
      <c r="F865" s="36" t="s">
        <v>8306</v>
      </c>
      <c r="G865" s="36" t="s">
        <v>2339</v>
      </c>
      <c r="H865" s="36" t="s">
        <v>659</v>
      </c>
      <c r="I865" s="36">
        <v>1</v>
      </c>
      <c r="J865" s="36" t="s">
        <v>5895</v>
      </c>
      <c r="K865" s="36" t="s">
        <v>8307</v>
      </c>
      <c r="L865" s="36" t="b">
        <v>0</v>
      </c>
    </row>
    <row r="866" spans="1:12" ht="12.75">
      <c r="A866" s="448">
        <v>45262.812638240735</v>
      </c>
      <c r="B866" s="449">
        <v>45262</v>
      </c>
      <c r="C866" s="36" t="s">
        <v>3388</v>
      </c>
      <c r="D866" s="450">
        <v>0.81944444444525288</v>
      </c>
      <c r="E866" s="36" t="s">
        <v>8308</v>
      </c>
      <c r="F866" s="36" t="s">
        <v>8255</v>
      </c>
      <c r="G866" s="36" t="s">
        <v>1322</v>
      </c>
      <c r="H866" s="36" t="s">
        <v>1128</v>
      </c>
      <c r="I866" s="36">
        <v>1</v>
      </c>
      <c r="J866" s="36" t="s">
        <v>5895</v>
      </c>
      <c r="K866" s="36" t="s">
        <v>5923</v>
      </c>
      <c r="L866" s="36" t="b">
        <v>0</v>
      </c>
    </row>
    <row r="867" spans="1:12" ht="12.75">
      <c r="A867" s="448">
        <v>45262.985913865741</v>
      </c>
      <c r="B867" s="449">
        <v>45262</v>
      </c>
      <c r="C867" s="36" t="s">
        <v>3388</v>
      </c>
      <c r="D867" s="450">
        <v>0.47916666666424135</v>
      </c>
      <c r="E867" s="36" t="s">
        <v>8046</v>
      </c>
      <c r="F867" s="36" t="s">
        <v>8309</v>
      </c>
      <c r="G867" s="36" t="s">
        <v>2257</v>
      </c>
      <c r="H867" s="36" t="s">
        <v>517</v>
      </c>
      <c r="I867" s="36">
        <v>1</v>
      </c>
      <c r="J867" s="36" t="s">
        <v>5895</v>
      </c>
      <c r="K867" s="36" t="s">
        <v>8310</v>
      </c>
      <c r="L867" s="36" t="b">
        <v>0</v>
      </c>
    </row>
    <row r="868" spans="1:12" ht="12.75">
      <c r="A868" s="448">
        <v>45262.987861666668</v>
      </c>
      <c r="B868" s="449">
        <v>45262</v>
      </c>
      <c r="C868" s="36" t="s">
        <v>3388</v>
      </c>
      <c r="D868" s="450">
        <v>0.5625</v>
      </c>
      <c r="E868" s="36" t="s">
        <v>8311</v>
      </c>
      <c r="F868" s="36" t="s">
        <v>8047</v>
      </c>
      <c r="G868" s="36" t="s">
        <v>2257</v>
      </c>
      <c r="H868" s="36" t="s">
        <v>517</v>
      </c>
      <c r="I868" s="36">
        <v>2</v>
      </c>
      <c r="J868" s="36" t="s">
        <v>5895</v>
      </c>
      <c r="K868" s="36" t="s">
        <v>8312</v>
      </c>
      <c r="L868" s="36" t="b">
        <v>0</v>
      </c>
    </row>
    <row r="869" spans="1:12" ht="12.75">
      <c r="A869" s="448">
        <v>45265.739611111116</v>
      </c>
      <c r="B869" s="449">
        <v>45263</v>
      </c>
      <c r="C869" s="36" t="s">
        <v>3388</v>
      </c>
      <c r="D869" s="450">
        <v>0.41666666666424135</v>
      </c>
      <c r="E869" s="36" t="s">
        <v>7279</v>
      </c>
      <c r="F869" s="36" t="s">
        <v>8313</v>
      </c>
      <c r="G869" s="36" t="s">
        <v>1322</v>
      </c>
      <c r="H869" s="36" t="s">
        <v>5906</v>
      </c>
      <c r="I869" s="36">
        <v>2</v>
      </c>
      <c r="J869" s="36" t="s">
        <v>5895</v>
      </c>
      <c r="K869" s="36" t="s">
        <v>7349</v>
      </c>
      <c r="L869" s="36" t="b">
        <v>0</v>
      </c>
    </row>
    <row r="870" spans="1:12" ht="12.75">
      <c r="A870" s="448">
        <v>45265.740930173612</v>
      </c>
      <c r="B870" s="449">
        <v>45263</v>
      </c>
      <c r="C870" s="36" t="s">
        <v>3388</v>
      </c>
      <c r="D870" s="450">
        <v>0.45833333333575865</v>
      </c>
      <c r="E870" s="36" t="s">
        <v>7687</v>
      </c>
      <c r="F870" s="36" t="s">
        <v>8314</v>
      </c>
      <c r="G870" s="36" t="s">
        <v>1322</v>
      </c>
      <c r="H870" s="36" t="s">
        <v>7127</v>
      </c>
      <c r="I870" s="36">
        <v>3</v>
      </c>
      <c r="J870" s="36" t="s">
        <v>5895</v>
      </c>
      <c r="K870" s="36" t="s">
        <v>7834</v>
      </c>
      <c r="L870" s="36" t="b">
        <v>0</v>
      </c>
    </row>
    <row r="871" spans="1:12" ht="12.75">
      <c r="A871" s="448">
        <v>45265.742102627315</v>
      </c>
      <c r="B871" s="449">
        <v>45264</v>
      </c>
      <c r="C871" s="36" t="s">
        <v>3388</v>
      </c>
      <c r="D871" s="450">
        <v>0.79166666666424135</v>
      </c>
      <c r="E871" s="36" t="s">
        <v>7774</v>
      </c>
      <c r="F871" s="36" t="s">
        <v>8315</v>
      </c>
      <c r="G871" s="36" t="s">
        <v>1322</v>
      </c>
      <c r="H871" s="36" t="s">
        <v>1128</v>
      </c>
      <c r="I871" s="36">
        <v>4</v>
      </c>
      <c r="J871" s="36" t="s">
        <v>5895</v>
      </c>
      <c r="K871" s="36" t="s">
        <v>5923</v>
      </c>
      <c r="L871" s="36" t="b">
        <v>0</v>
      </c>
    </row>
    <row r="872" spans="1:12" ht="12.75">
      <c r="A872" s="448">
        <v>45266.606757326386</v>
      </c>
      <c r="B872" s="449">
        <v>45266</v>
      </c>
      <c r="C872" s="36" t="s">
        <v>3388</v>
      </c>
      <c r="D872" s="450">
        <v>0.79166666666424135</v>
      </c>
      <c r="E872" s="36" t="s">
        <v>8316</v>
      </c>
      <c r="F872" s="36" t="s">
        <v>8317</v>
      </c>
      <c r="G872" s="36" t="s">
        <v>725</v>
      </c>
      <c r="H872" s="36" t="s">
        <v>1158</v>
      </c>
      <c r="I872" s="36">
        <v>1</v>
      </c>
      <c r="J872" s="36" t="s">
        <v>5895</v>
      </c>
      <c r="K872" s="36" t="s">
        <v>5943</v>
      </c>
      <c r="L872" s="36" t="b">
        <v>0</v>
      </c>
    </row>
    <row r="873" spans="1:12" ht="12.75">
      <c r="A873" s="448">
        <v>45266.921120763887</v>
      </c>
      <c r="B873" s="449">
        <v>45266</v>
      </c>
      <c r="C873" s="36" t="s">
        <v>14</v>
      </c>
      <c r="D873" s="450">
        <v>0.75</v>
      </c>
      <c r="E873" s="36" t="s">
        <v>8318</v>
      </c>
      <c r="F873" s="36" t="s">
        <v>8319</v>
      </c>
      <c r="G873" s="36" t="s">
        <v>440</v>
      </c>
      <c r="H873" s="36" t="s">
        <v>8320</v>
      </c>
      <c r="I873" s="36">
        <v>1</v>
      </c>
      <c r="J873" s="36" t="s">
        <v>5895</v>
      </c>
      <c r="K873" s="36" t="s">
        <v>7191</v>
      </c>
      <c r="L873" s="36" t="b">
        <v>0</v>
      </c>
    </row>
    <row r="874" spans="1:12" ht="12.75">
      <c r="A874" s="448">
        <v>45266.927707048613</v>
      </c>
      <c r="B874" s="449">
        <v>45263</v>
      </c>
      <c r="C874" s="36" t="s">
        <v>3388</v>
      </c>
      <c r="D874" s="450">
        <v>0.45833333333575865</v>
      </c>
      <c r="E874" s="36" t="s">
        <v>7329</v>
      </c>
      <c r="F874" s="36" t="s">
        <v>8321</v>
      </c>
      <c r="G874" s="36" t="s">
        <v>1042</v>
      </c>
      <c r="H874" s="36" t="s">
        <v>8322</v>
      </c>
      <c r="I874" s="36">
        <v>1</v>
      </c>
      <c r="J874" s="36" t="s">
        <v>5895</v>
      </c>
      <c r="K874" s="36" t="s">
        <v>5923</v>
      </c>
      <c r="L874" s="36" t="b">
        <v>0</v>
      </c>
    </row>
    <row r="875" spans="1:12" ht="12.75">
      <c r="A875" s="448">
        <v>45266.928624722219</v>
      </c>
      <c r="B875" s="449">
        <v>45263</v>
      </c>
      <c r="C875" s="36" t="s">
        <v>3388</v>
      </c>
      <c r="D875" s="450">
        <v>0.51041666666424135</v>
      </c>
      <c r="E875" s="36" t="s">
        <v>8323</v>
      </c>
      <c r="F875" s="36" t="s">
        <v>8324</v>
      </c>
      <c r="G875" s="36" t="s">
        <v>1042</v>
      </c>
      <c r="H875" s="36" t="s">
        <v>8325</v>
      </c>
      <c r="I875" s="36">
        <v>2</v>
      </c>
      <c r="J875" s="36" t="s">
        <v>5895</v>
      </c>
      <c r="K875" s="36" t="s">
        <v>5923</v>
      </c>
      <c r="L875" s="36" t="b">
        <v>0</v>
      </c>
    </row>
    <row r="876" spans="1:12" ht="12.75">
      <c r="A876" s="448">
        <v>45266.941635983792</v>
      </c>
      <c r="B876" s="449">
        <v>45632</v>
      </c>
      <c r="C876" s="36" t="s">
        <v>3383</v>
      </c>
      <c r="D876" s="450">
        <v>0.75</v>
      </c>
      <c r="E876" s="36" t="s">
        <v>8326</v>
      </c>
      <c r="F876" s="36" t="s">
        <v>8327</v>
      </c>
      <c r="G876" s="36" t="s">
        <v>367</v>
      </c>
      <c r="H876" s="36" t="s">
        <v>7893</v>
      </c>
      <c r="I876" s="36">
        <v>1</v>
      </c>
      <c r="J876" s="36" t="s">
        <v>5895</v>
      </c>
      <c r="K876" s="36" t="s">
        <v>8328</v>
      </c>
      <c r="L876" s="36" t="b">
        <v>0</v>
      </c>
    </row>
    <row r="877" spans="1:12" ht="12.75">
      <c r="A877" s="448">
        <v>45267.382965034718</v>
      </c>
      <c r="B877" s="449">
        <v>45267</v>
      </c>
      <c r="C877" s="36" t="s">
        <v>3383</v>
      </c>
      <c r="D877" s="450">
        <v>0.75</v>
      </c>
      <c r="E877" s="36" t="s">
        <v>8329</v>
      </c>
      <c r="F877" s="36" t="s">
        <v>8330</v>
      </c>
      <c r="G877" s="36" t="s">
        <v>1755</v>
      </c>
      <c r="H877" s="36" t="s">
        <v>8331</v>
      </c>
      <c r="I877" s="36">
        <v>1</v>
      </c>
      <c r="J877" s="36" t="s">
        <v>5895</v>
      </c>
      <c r="K877" s="36" t="s">
        <v>8332</v>
      </c>
      <c r="L877" s="36" t="b">
        <v>0</v>
      </c>
    </row>
    <row r="878" spans="1:12" ht="12.75">
      <c r="A878" s="448">
        <v>45267.706946180551</v>
      </c>
      <c r="B878" s="449">
        <v>45243</v>
      </c>
      <c r="C878" s="36" t="s">
        <v>3388</v>
      </c>
      <c r="D878" s="450">
        <v>0.8125</v>
      </c>
      <c r="E878" s="36" t="s">
        <v>8333</v>
      </c>
      <c r="F878" s="36" t="s">
        <v>8334</v>
      </c>
      <c r="G878" s="36" t="s">
        <v>1907</v>
      </c>
      <c r="H878" s="36" t="s">
        <v>7613</v>
      </c>
      <c r="I878" s="36">
        <v>1</v>
      </c>
      <c r="J878" s="36" t="s">
        <v>5895</v>
      </c>
      <c r="K878" s="36" t="s">
        <v>8335</v>
      </c>
      <c r="L878" s="36" t="b">
        <v>0</v>
      </c>
    </row>
    <row r="879" spans="1:12" ht="12.75">
      <c r="A879" s="448">
        <v>45267.848934467591</v>
      </c>
      <c r="B879" s="449">
        <v>45267</v>
      </c>
      <c r="C879" s="36" t="s">
        <v>3388</v>
      </c>
      <c r="D879" s="450">
        <v>0.75</v>
      </c>
      <c r="E879" s="36" t="s">
        <v>8336</v>
      </c>
      <c r="F879" s="36" t="s">
        <v>8337</v>
      </c>
      <c r="G879" s="36" t="s">
        <v>1319</v>
      </c>
      <c r="H879" s="36" t="s">
        <v>8008</v>
      </c>
      <c r="I879" s="36">
        <v>1</v>
      </c>
      <c r="J879" s="36" t="s">
        <v>5895</v>
      </c>
      <c r="K879" s="36" t="s">
        <v>78</v>
      </c>
      <c r="L879" s="36" t="b">
        <v>0</v>
      </c>
    </row>
    <row r="880" spans="1:12" ht="12.75">
      <c r="A880" s="448">
        <v>45267.892642245366</v>
      </c>
      <c r="B880" s="449">
        <v>45267</v>
      </c>
      <c r="C880" s="36" t="s">
        <v>3388</v>
      </c>
      <c r="D880" s="450">
        <v>0.79166666666424135</v>
      </c>
      <c r="E880" s="36" t="s">
        <v>7847</v>
      </c>
      <c r="F880" s="36" t="s">
        <v>8338</v>
      </c>
      <c r="G880" s="36" t="s">
        <v>7127</v>
      </c>
      <c r="H880" s="36" t="s">
        <v>8149</v>
      </c>
      <c r="I880" s="36">
        <v>1</v>
      </c>
      <c r="J880" s="36" t="s">
        <v>5895</v>
      </c>
      <c r="K880" s="36" t="s">
        <v>8339</v>
      </c>
      <c r="L880" s="36" t="b">
        <v>0</v>
      </c>
    </row>
    <row r="881" spans="1:12" ht="12.75">
      <c r="A881" s="448">
        <v>45267.894960775462</v>
      </c>
      <c r="B881" s="449">
        <v>45268</v>
      </c>
      <c r="C881" s="36" t="s">
        <v>3388</v>
      </c>
      <c r="D881" s="450">
        <v>0.70833333333575865</v>
      </c>
      <c r="E881" s="36" t="s">
        <v>7485</v>
      </c>
      <c r="F881" s="36" t="s">
        <v>8340</v>
      </c>
      <c r="G881" s="36" t="s">
        <v>7127</v>
      </c>
      <c r="H881" s="36" t="s">
        <v>7815</v>
      </c>
      <c r="I881" s="36">
        <v>2</v>
      </c>
      <c r="J881" s="36" t="s">
        <v>5895</v>
      </c>
      <c r="K881" s="36" t="s">
        <v>8339</v>
      </c>
      <c r="L881" s="36" t="b">
        <v>0</v>
      </c>
    </row>
    <row r="882" spans="1:12" ht="12.75">
      <c r="A882" s="448">
        <v>45267.897020833334</v>
      </c>
      <c r="B882" s="449">
        <v>45268</v>
      </c>
      <c r="C882" s="36" t="s">
        <v>3388</v>
      </c>
      <c r="D882" s="450">
        <v>0.75</v>
      </c>
      <c r="E882" s="36" t="s">
        <v>7851</v>
      </c>
      <c r="F882" s="36" t="s">
        <v>8341</v>
      </c>
      <c r="G882" s="36" t="s">
        <v>7127</v>
      </c>
      <c r="H882" s="36" t="s">
        <v>3386</v>
      </c>
      <c r="I882" s="36">
        <v>3</v>
      </c>
      <c r="J882" s="36" t="s">
        <v>5895</v>
      </c>
      <c r="K882" s="36" t="s">
        <v>8339</v>
      </c>
      <c r="L882" s="36" t="b">
        <v>0</v>
      </c>
    </row>
    <row r="883" spans="1:12" ht="12.75">
      <c r="A883" s="448">
        <v>45267.89832954861</v>
      </c>
      <c r="B883" s="449">
        <v>45269</v>
      </c>
      <c r="C883" s="36" t="s">
        <v>3388</v>
      </c>
      <c r="D883" s="450">
        <v>0.48611111110949423</v>
      </c>
      <c r="E883" s="36" t="s">
        <v>7853</v>
      </c>
      <c r="F883" s="36" t="s">
        <v>8342</v>
      </c>
      <c r="G883" s="36" t="s">
        <v>7127</v>
      </c>
      <c r="H883" s="36" t="s">
        <v>6315</v>
      </c>
      <c r="I883" s="36">
        <v>4</v>
      </c>
      <c r="J883" s="36" t="s">
        <v>5895</v>
      </c>
      <c r="K883" s="36" t="s">
        <v>8339</v>
      </c>
      <c r="L883" s="36" t="b">
        <v>0</v>
      </c>
    </row>
    <row r="884" spans="1:12" ht="12.75">
      <c r="A884" s="448">
        <v>45267.899645219906</v>
      </c>
      <c r="B884" s="449">
        <v>45270</v>
      </c>
      <c r="C884" s="36" t="s">
        <v>3388</v>
      </c>
      <c r="D884" s="450">
        <v>0.41666666666424135</v>
      </c>
      <c r="E884" s="36" t="s">
        <v>7341</v>
      </c>
      <c r="F884" s="36" t="s">
        <v>8208</v>
      </c>
      <c r="G884" s="36" t="s">
        <v>7127</v>
      </c>
      <c r="H884" s="36" t="s">
        <v>8149</v>
      </c>
      <c r="I884" s="36">
        <v>5</v>
      </c>
      <c r="J884" s="36" t="s">
        <v>5895</v>
      </c>
      <c r="K884" s="36" t="s">
        <v>8339</v>
      </c>
      <c r="L884" s="36" t="b">
        <v>0</v>
      </c>
    </row>
    <row r="885" spans="1:12" ht="12.75">
      <c r="A885" s="448">
        <v>45267.925196678239</v>
      </c>
      <c r="B885" s="449">
        <v>45268</v>
      </c>
      <c r="C885" s="36" t="s">
        <v>3388</v>
      </c>
      <c r="D885" s="450">
        <v>0.75</v>
      </c>
      <c r="E885" s="36" t="s">
        <v>7129</v>
      </c>
      <c r="F885" s="36" t="s">
        <v>8343</v>
      </c>
      <c r="G885" s="36" t="s">
        <v>8176</v>
      </c>
      <c r="H885" s="36" t="s">
        <v>8344</v>
      </c>
      <c r="I885" s="36">
        <v>1</v>
      </c>
      <c r="J885" s="36" t="s">
        <v>5895</v>
      </c>
      <c r="K885" s="36" t="s">
        <v>8345</v>
      </c>
      <c r="L885" s="36" t="b">
        <v>0</v>
      </c>
    </row>
    <row r="886" spans="1:12" ht="12.75">
      <c r="A886" s="448">
        <v>45269.414006331019</v>
      </c>
      <c r="B886" s="449">
        <v>45268</v>
      </c>
      <c r="C886" s="36" t="s">
        <v>3388</v>
      </c>
      <c r="D886" s="450">
        <v>0.8125</v>
      </c>
      <c r="E886" s="36" t="s">
        <v>8346</v>
      </c>
      <c r="F886" s="36" t="s">
        <v>8347</v>
      </c>
      <c r="G886" s="36" t="s">
        <v>3845</v>
      </c>
      <c r="H886" s="36" t="s">
        <v>5906</v>
      </c>
      <c r="I886" s="36">
        <v>1</v>
      </c>
      <c r="J886" s="36" t="s">
        <v>5895</v>
      </c>
      <c r="K886" s="36" t="s">
        <v>5923</v>
      </c>
      <c r="L886" s="36" t="b">
        <v>0</v>
      </c>
    </row>
    <row r="887" spans="1:12" ht="12.75">
      <c r="A887" s="448">
        <v>45269.415565833333</v>
      </c>
      <c r="B887" s="449">
        <v>45269</v>
      </c>
      <c r="C887" s="36" t="s">
        <v>3388</v>
      </c>
      <c r="D887" s="450">
        <v>0.41666666666424135</v>
      </c>
      <c r="E887" s="36" t="s">
        <v>8346</v>
      </c>
      <c r="F887" s="36" t="s">
        <v>8347</v>
      </c>
      <c r="G887" s="36" t="s">
        <v>3845</v>
      </c>
      <c r="H887" s="36" t="s">
        <v>5906</v>
      </c>
      <c r="I887" s="36">
        <v>2</v>
      </c>
      <c r="J887" s="36" t="s">
        <v>5895</v>
      </c>
      <c r="K887" s="36" t="s">
        <v>5923</v>
      </c>
      <c r="L887" s="36" t="b">
        <v>0</v>
      </c>
    </row>
    <row r="888" spans="1:12" ht="12.75">
      <c r="A888" s="448">
        <v>45269.416957928246</v>
      </c>
      <c r="B888" s="449">
        <v>45269</v>
      </c>
      <c r="C888" s="36" t="s">
        <v>3388</v>
      </c>
      <c r="D888" s="450">
        <v>0.48611111110949423</v>
      </c>
      <c r="E888" s="36" t="s">
        <v>8346</v>
      </c>
      <c r="F888" s="36" t="s">
        <v>8347</v>
      </c>
      <c r="G888" s="36" t="s">
        <v>3845</v>
      </c>
      <c r="H888" s="36" t="s">
        <v>5906</v>
      </c>
      <c r="I888" s="36">
        <v>3</v>
      </c>
      <c r="J888" s="36" t="s">
        <v>5895</v>
      </c>
      <c r="K888" s="36" t="s">
        <v>5923</v>
      </c>
      <c r="L888" s="36" t="b">
        <v>0</v>
      </c>
    </row>
    <row r="889" spans="1:12" ht="12.75">
      <c r="A889" s="448">
        <v>45270.716740451389</v>
      </c>
      <c r="B889" s="449">
        <v>45270</v>
      </c>
      <c r="C889" s="36" t="s">
        <v>3388</v>
      </c>
      <c r="D889" s="450">
        <v>0.79166666666424135</v>
      </c>
      <c r="E889" s="36" t="s">
        <v>8348</v>
      </c>
      <c r="F889" s="36" t="s">
        <v>8349</v>
      </c>
      <c r="G889" s="36" t="s">
        <v>1907</v>
      </c>
      <c r="H889" s="36" t="s">
        <v>8350</v>
      </c>
      <c r="I889" s="36" t="s">
        <v>8351</v>
      </c>
      <c r="J889" s="36" t="s">
        <v>5895</v>
      </c>
      <c r="K889" s="36" t="s">
        <v>5923</v>
      </c>
      <c r="L889" s="36" t="b">
        <v>0</v>
      </c>
    </row>
    <row r="890" spans="1:12" ht="12.75">
      <c r="A890" s="448">
        <v>45270.882155416664</v>
      </c>
      <c r="B890" s="449">
        <v>45264</v>
      </c>
      <c r="C890" s="36" t="s">
        <v>3383</v>
      </c>
      <c r="D890" s="450">
        <v>0.66666666666424135</v>
      </c>
      <c r="E890" s="36" t="s">
        <v>8352</v>
      </c>
      <c r="F890" s="36" t="s">
        <v>8353</v>
      </c>
      <c r="G890" s="36" t="s">
        <v>7016</v>
      </c>
      <c r="H890" s="36" t="s">
        <v>772</v>
      </c>
      <c r="I890" s="36">
        <v>1</v>
      </c>
      <c r="J890" s="36" t="s">
        <v>5895</v>
      </c>
      <c r="K890" s="36" t="s">
        <v>8354</v>
      </c>
      <c r="L890" s="36" t="b">
        <v>0</v>
      </c>
    </row>
    <row r="891" spans="1:12" ht="12.75">
      <c r="A891" s="448">
        <v>45270.88812210648</v>
      </c>
      <c r="B891" s="449">
        <v>45267</v>
      </c>
      <c r="C891" s="36" t="s">
        <v>3383</v>
      </c>
      <c r="D891" s="450">
        <v>0.83333333333575865</v>
      </c>
      <c r="E891" s="36" t="s">
        <v>8355</v>
      </c>
      <c r="F891" s="36" t="s">
        <v>8356</v>
      </c>
      <c r="G891" s="36" t="s">
        <v>7016</v>
      </c>
      <c r="H891" s="36" t="s">
        <v>6113</v>
      </c>
      <c r="I891" s="36" t="s">
        <v>8357</v>
      </c>
      <c r="J891" s="36" t="s">
        <v>5895</v>
      </c>
      <c r="K891" s="36" t="s">
        <v>8358</v>
      </c>
      <c r="L891" s="36" t="b">
        <v>0</v>
      </c>
    </row>
    <row r="892" spans="1:12" ht="12.75">
      <c r="A892" s="448">
        <v>45270.891180185186</v>
      </c>
      <c r="B892" s="449">
        <v>45269</v>
      </c>
      <c r="C892" s="36" t="s">
        <v>3383</v>
      </c>
      <c r="D892" s="450">
        <v>0.41666666666424135</v>
      </c>
      <c r="E892" s="36" t="s">
        <v>8359</v>
      </c>
      <c r="F892" s="36" t="s">
        <v>8360</v>
      </c>
      <c r="G892" s="36" t="s">
        <v>7016</v>
      </c>
      <c r="H892" s="36" t="s">
        <v>8361</v>
      </c>
      <c r="I892" s="36" t="s">
        <v>8362</v>
      </c>
      <c r="J892" s="36" t="s">
        <v>5895</v>
      </c>
      <c r="K892" s="36" t="s">
        <v>8363</v>
      </c>
      <c r="L892" s="36" t="b">
        <v>0</v>
      </c>
    </row>
    <row r="893" spans="1:12" ht="12.75">
      <c r="A893" s="448">
        <v>45271.792278912035</v>
      </c>
      <c r="B893" s="449">
        <v>45271</v>
      </c>
      <c r="C893" s="36" t="s">
        <v>3383</v>
      </c>
      <c r="D893" s="450">
        <v>0.79166666666424135</v>
      </c>
      <c r="E893" s="36" t="s">
        <v>8091</v>
      </c>
      <c r="F893" s="36" t="s">
        <v>7192</v>
      </c>
      <c r="G893" s="36" t="s">
        <v>8364</v>
      </c>
      <c r="H893" s="36" t="s">
        <v>8365</v>
      </c>
      <c r="I893" s="36">
        <v>1</v>
      </c>
      <c r="J893" s="36" t="s">
        <v>5895</v>
      </c>
      <c r="K893" s="36" t="s">
        <v>8366</v>
      </c>
      <c r="L893" s="36" t="b">
        <v>0</v>
      </c>
    </row>
    <row r="894" spans="1:12" ht="12.75">
      <c r="A894" s="448">
        <v>45272.789547870372</v>
      </c>
      <c r="B894" s="449">
        <v>45273</v>
      </c>
      <c r="C894" s="36" t="s">
        <v>3388</v>
      </c>
      <c r="D894" s="450">
        <v>0.77777777778101154</v>
      </c>
      <c r="E894" s="36" t="s">
        <v>8367</v>
      </c>
      <c r="F894" s="36" t="s">
        <v>8368</v>
      </c>
      <c r="G894" s="36" t="s">
        <v>1288</v>
      </c>
      <c r="H894" s="36" t="s">
        <v>2333</v>
      </c>
      <c r="I894" s="36">
        <v>1</v>
      </c>
      <c r="J894" s="36" t="s">
        <v>5895</v>
      </c>
      <c r="K894" s="36" t="s">
        <v>5943</v>
      </c>
      <c r="L894" s="36" t="b">
        <v>0</v>
      </c>
    </row>
    <row r="895" spans="1:12" ht="12.75">
      <c r="A895" s="448">
        <v>45272.791314814815</v>
      </c>
      <c r="B895" s="449">
        <v>45275</v>
      </c>
      <c r="C895" s="36" t="s">
        <v>3388</v>
      </c>
      <c r="D895" s="450">
        <v>0.75</v>
      </c>
      <c r="E895" s="36" t="s">
        <v>6411</v>
      </c>
      <c r="F895" s="36" t="s">
        <v>8369</v>
      </c>
      <c r="G895" s="36" t="s">
        <v>1288</v>
      </c>
      <c r="H895" s="36" t="s">
        <v>8370</v>
      </c>
      <c r="I895" s="36">
        <v>2</v>
      </c>
      <c r="J895" s="36" t="s">
        <v>5895</v>
      </c>
      <c r="K895" s="36" t="s">
        <v>5943</v>
      </c>
      <c r="L895" s="36" t="b">
        <v>0</v>
      </c>
    </row>
    <row r="896" spans="1:12" ht="12.75">
      <c r="A896" s="448">
        <v>45272.870636898151</v>
      </c>
      <c r="B896" s="449">
        <v>45272</v>
      </c>
      <c r="C896" s="36" t="s">
        <v>3388</v>
      </c>
      <c r="D896" s="450">
        <v>0.75</v>
      </c>
      <c r="E896" s="36" t="s">
        <v>7916</v>
      </c>
      <c r="F896" s="36" t="s">
        <v>8371</v>
      </c>
      <c r="G896" s="36" t="s">
        <v>7127</v>
      </c>
      <c r="H896" s="36" t="s">
        <v>8149</v>
      </c>
      <c r="I896" s="36">
        <v>6</v>
      </c>
      <c r="J896" s="36" t="s">
        <v>5895</v>
      </c>
      <c r="K896" s="36" t="s">
        <v>78</v>
      </c>
      <c r="L896" s="36" t="b">
        <v>0</v>
      </c>
    </row>
    <row r="897" spans="1:12" ht="12.75">
      <c r="A897" s="448">
        <v>45272.949359513892</v>
      </c>
      <c r="B897" s="449">
        <v>45276</v>
      </c>
      <c r="C897" s="36" t="s">
        <v>3383</v>
      </c>
      <c r="D897" s="450">
        <v>0.8125</v>
      </c>
      <c r="E897" s="36" t="s">
        <v>8372</v>
      </c>
      <c r="F897" s="36">
        <v>16</v>
      </c>
      <c r="G897" s="36" t="s">
        <v>2363</v>
      </c>
      <c r="H897" s="36" t="s">
        <v>8373</v>
      </c>
      <c r="I897" s="36">
        <v>1</v>
      </c>
      <c r="J897" s="36" t="s">
        <v>5895</v>
      </c>
      <c r="K897" s="36" t="s">
        <v>8374</v>
      </c>
      <c r="L897" s="36" t="b">
        <v>0</v>
      </c>
    </row>
    <row r="898" spans="1:12" ht="12.75">
      <c r="A898" s="448">
        <v>45273.013401886579</v>
      </c>
      <c r="B898" s="449">
        <v>45268</v>
      </c>
      <c r="C898" s="36" t="s">
        <v>3383</v>
      </c>
      <c r="D898" s="450">
        <v>0.75</v>
      </c>
      <c r="E898" s="36" t="s">
        <v>8375</v>
      </c>
      <c r="F898" s="36" t="s">
        <v>8376</v>
      </c>
      <c r="G898" s="36" t="s">
        <v>6537</v>
      </c>
      <c r="H898" s="36" t="s">
        <v>1103</v>
      </c>
      <c r="I898" s="36">
        <v>1</v>
      </c>
      <c r="J898" s="36" t="s">
        <v>5895</v>
      </c>
      <c r="K898" s="36" t="s">
        <v>8377</v>
      </c>
      <c r="L898" s="36" t="b">
        <v>0</v>
      </c>
    </row>
    <row r="899" spans="1:12" ht="12.75">
      <c r="A899" s="448">
        <v>45273.647410219906</v>
      </c>
      <c r="B899" s="449">
        <v>45273</v>
      </c>
      <c r="C899" s="36" t="s">
        <v>3388</v>
      </c>
      <c r="D899" s="450">
        <v>0.79166666666424135</v>
      </c>
      <c r="E899" s="36" t="s">
        <v>8378</v>
      </c>
      <c r="F899" s="36" t="s">
        <v>8379</v>
      </c>
      <c r="G899" s="36" t="s">
        <v>7339</v>
      </c>
      <c r="H899" s="36" t="s">
        <v>7630</v>
      </c>
      <c r="I899" s="36">
        <v>1</v>
      </c>
      <c r="J899" s="36" t="s">
        <v>5895</v>
      </c>
      <c r="K899" s="36" t="s">
        <v>8380</v>
      </c>
      <c r="L899" s="36" t="b">
        <v>0</v>
      </c>
    </row>
    <row r="900" spans="1:12" ht="12.75">
      <c r="A900" s="448">
        <v>45274.596374189816</v>
      </c>
      <c r="B900" s="449">
        <v>45267</v>
      </c>
      <c r="C900" s="36" t="s">
        <v>13</v>
      </c>
      <c r="D900" s="450">
        <v>0.75</v>
      </c>
      <c r="E900" s="36" t="s">
        <v>8381</v>
      </c>
      <c r="F900" s="36">
        <v>14</v>
      </c>
      <c r="G900" s="36" t="s">
        <v>8382</v>
      </c>
      <c r="H900" s="36" t="s">
        <v>8383</v>
      </c>
      <c r="I900" s="36">
        <v>1</v>
      </c>
      <c r="J900" s="36" t="s">
        <v>5895</v>
      </c>
      <c r="K900" s="36" t="s">
        <v>8384</v>
      </c>
      <c r="L900" s="36" t="b">
        <v>0</v>
      </c>
    </row>
    <row r="901" spans="1:12" ht="12.75">
      <c r="A901" s="448">
        <v>45274.841896446756</v>
      </c>
      <c r="B901" s="449">
        <v>45274</v>
      </c>
      <c r="C901" s="36" t="s">
        <v>3388</v>
      </c>
      <c r="D901" s="450">
        <v>0.79166666666424135</v>
      </c>
      <c r="E901" s="36" t="s">
        <v>8385</v>
      </c>
      <c r="F901" s="36" t="s">
        <v>8386</v>
      </c>
      <c r="G901" s="36" t="s">
        <v>8387</v>
      </c>
      <c r="H901" s="36" t="s">
        <v>1322</v>
      </c>
      <c r="I901" s="36">
        <v>1</v>
      </c>
      <c r="J901" s="36" t="s">
        <v>5895</v>
      </c>
      <c r="K901" s="36" t="s">
        <v>7191</v>
      </c>
      <c r="L901" s="36" t="b">
        <v>0</v>
      </c>
    </row>
    <row r="902" spans="1:12" ht="12.75">
      <c r="A902" s="448">
        <v>45275.096010520836</v>
      </c>
      <c r="B902" s="449">
        <v>45274</v>
      </c>
      <c r="C902" s="36" t="s">
        <v>3388</v>
      </c>
      <c r="D902" s="450">
        <v>0.66666666666424135</v>
      </c>
      <c r="E902" s="36" t="s">
        <v>8388</v>
      </c>
      <c r="F902" s="36" t="s">
        <v>8389</v>
      </c>
      <c r="G902" s="36" t="s">
        <v>1042</v>
      </c>
      <c r="H902" s="36" t="s">
        <v>8149</v>
      </c>
      <c r="I902" s="36">
        <v>3</v>
      </c>
      <c r="J902" s="36" t="s">
        <v>5895</v>
      </c>
      <c r="K902" s="36" t="s">
        <v>8390</v>
      </c>
      <c r="L902" s="36" t="b">
        <v>0</v>
      </c>
    </row>
    <row r="903" spans="1:12" ht="12.75">
      <c r="A903" s="448">
        <v>45275.603461979168</v>
      </c>
      <c r="B903" s="449">
        <v>45277</v>
      </c>
      <c r="C903" s="36" t="s">
        <v>3388</v>
      </c>
      <c r="D903" s="450">
        <v>0.41666666666424135</v>
      </c>
      <c r="E903" s="36" t="s">
        <v>7279</v>
      </c>
      <c r="F903" s="36" t="s">
        <v>8391</v>
      </c>
      <c r="G903" s="36" t="s">
        <v>1172</v>
      </c>
      <c r="H903" s="36" t="s">
        <v>741</v>
      </c>
      <c r="I903" s="36">
        <v>1</v>
      </c>
      <c r="J903" s="36" t="s">
        <v>5895</v>
      </c>
      <c r="K903" s="36" t="s">
        <v>8392</v>
      </c>
      <c r="L903" s="36" t="b">
        <v>0</v>
      </c>
    </row>
    <row r="904" spans="1:12" ht="12.75">
      <c r="A904" s="448">
        <v>45276.919335486113</v>
      </c>
      <c r="B904" s="449">
        <v>45276</v>
      </c>
      <c r="C904" s="36" t="s">
        <v>3388</v>
      </c>
      <c r="D904" s="450">
        <v>0.85416666666424135</v>
      </c>
      <c r="E904" s="36" t="s">
        <v>8393</v>
      </c>
      <c r="F904" s="36" t="s">
        <v>8394</v>
      </c>
      <c r="G904" s="36" t="s">
        <v>8395</v>
      </c>
      <c r="H904" s="36" t="s">
        <v>8396</v>
      </c>
      <c r="I904" s="36">
        <v>1</v>
      </c>
      <c r="J904" s="36" t="s">
        <v>5895</v>
      </c>
      <c r="K904" s="36" t="s">
        <v>8045</v>
      </c>
      <c r="L904" s="36" t="b">
        <v>0</v>
      </c>
    </row>
    <row r="905" spans="1:12" ht="12.75">
      <c r="A905" s="448">
        <v>45276.993095185186</v>
      </c>
      <c r="B905" s="449">
        <v>45280</v>
      </c>
      <c r="C905" s="36" t="s">
        <v>13</v>
      </c>
      <c r="D905" s="450">
        <v>0.70833333333575865</v>
      </c>
      <c r="E905" s="36" t="s">
        <v>8397</v>
      </c>
      <c r="F905" s="36" t="s">
        <v>8398</v>
      </c>
      <c r="G905" s="36" t="s">
        <v>6682</v>
      </c>
      <c r="H905" s="36" t="s">
        <v>8399</v>
      </c>
      <c r="I905" s="36">
        <v>1</v>
      </c>
      <c r="J905" s="36" t="s">
        <v>5895</v>
      </c>
      <c r="K905" s="36" t="s">
        <v>8400</v>
      </c>
      <c r="L905" s="36" t="b">
        <v>0</v>
      </c>
    </row>
    <row r="906" spans="1:12" ht="12.75">
      <c r="A906" s="448">
        <v>45276.994815335653</v>
      </c>
      <c r="B906" s="449">
        <v>45280</v>
      </c>
      <c r="C906" s="36" t="s">
        <v>13</v>
      </c>
      <c r="D906" s="450">
        <v>0.79166666666424135</v>
      </c>
      <c r="E906" s="36" t="s">
        <v>8401</v>
      </c>
      <c r="F906" s="36" t="s">
        <v>8402</v>
      </c>
      <c r="G906" s="36" t="s">
        <v>6682</v>
      </c>
      <c r="H906" s="36" t="s">
        <v>8403</v>
      </c>
      <c r="I906" s="36">
        <v>2</v>
      </c>
      <c r="J906" s="36" t="s">
        <v>5895</v>
      </c>
      <c r="K906" s="36" t="s">
        <v>8404</v>
      </c>
      <c r="L906" s="36" t="b">
        <v>0</v>
      </c>
    </row>
    <row r="907" spans="1:12" ht="12.75">
      <c r="A907" s="448">
        <v>45277.441221562505</v>
      </c>
      <c r="B907" s="449">
        <v>45277</v>
      </c>
      <c r="C907" s="36" t="s">
        <v>3388</v>
      </c>
      <c r="D907" s="450">
        <v>0.41666666666424135</v>
      </c>
      <c r="E907" s="36" t="s">
        <v>8405</v>
      </c>
      <c r="F907" s="36" t="s">
        <v>8406</v>
      </c>
      <c r="G907" s="36" t="s">
        <v>2010</v>
      </c>
      <c r="H907" s="36" t="s">
        <v>8149</v>
      </c>
      <c r="I907" s="36">
        <v>1</v>
      </c>
      <c r="J907" s="36" t="s">
        <v>5895</v>
      </c>
      <c r="K907" s="36" t="s">
        <v>5943</v>
      </c>
      <c r="L907" s="36" t="b">
        <v>0</v>
      </c>
    </row>
    <row r="908" spans="1:12" ht="12.75">
      <c r="A908" s="448">
        <v>45277.442244467587</v>
      </c>
      <c r="B908" s="449">
        <v>45277</v>
      </c>
      <c r="C908" s="36" t="s">
        <v>3388</v>
      </c>
      <c r="D908" s="450">
        <v>0.45833333333575865</v>
      </c>
      <c r="E908" s="36" t="s">
        <v>8015</v>
      </c>
      <c r="F908" s="36" t="s">
        <v>8407</v>
      </c>
      <c r="G908" s="36" t="s">
        <v>2010</v>
      </c>
      <c r="H908" s="36" t="s">
        <v>8149</v>
      </c>
      <c r="I908" s="36">
        <v>1</v>
      </c>
      <c r="J908" s="36" t="s">
        <v>5895</v>
      </c>
      <c r="K908" s="36" t="s">
        <v>5943</v>
      </c>
      <c r="L908" s="36" t="b">
        <v>0</v>
      </c>
    </row>
    <row r="909" spans="1:12" ht="12.75">
      <c r="A909" s="448">
        <v>45277.455842199073</v>
      </c>
      <c r="B909" s="449">
        <v>45277</v>
      </c>
      <c r="C909" s="36" t="s">
        <v>3383</v>
      </c>
      <c r="D909" s="450">
        <v>0.79166666666424135</v>
      </c>
      <c r="E909" s="36" t="s">
        <v>7958</v>
      </c>
      <c r="F909" s="36" t="s">
        <v>8408</v>
      </c>
      <c r="G909" s="36" t="s">
        <v>8409</v>
      </c>
      <c r="H909" s="36" t="s">
        <v>8410</v>
      </c>
      <c r="I909" s="36">
        <v>1</v>
      </c>
      <c r="J909" s="36" t="s">
        <v>5895</v>
      </c>
      <c r="K909" s="36" t="s">
        <v>6501</v>
      </c>
      <c r="L909" s="36" t="b">
        <v>0</v>
      </c>
    </row>
    <row r="910" spans="1:12" ht="12.75">
      <c r="A910" s="448">
        <v>45277.475201921297</v>
      </c>
      <c r="B910" s="449">
        <v>45277</v>
      </c>
      <c r="C910" s="36" t="s">
        <v>3388</v>
      </c>
      <c r="D910" s="450">
        <v>0.41666666666424135</v>
      </c>
      <c r="E910" s="36" t="s">
        <v>8411</v>
      </c>
      <c r="F910" s="36" t="s">
        <v>8412</v>
      </c>
      <c r="G910" s="36" t="s">
        <v>8413</v>
      </c>
      <c r="H910" s="36" t="s">
        <v>551</v>
      </c>
      <c r="I910" s="36">
        <v>1</v>
      </c>
      <c r="J910" s="36" t="s">
        <v>5895</v>
      </c>
      <c r="K910" s="36" t="s">
        <v>8414</v>
      </c>
      <c r="L910" s="36" t="b">
        <v>0</v>
      </c>
    </row>
    <row r="911" spans="1:12" ht="12.75">
      <c r="A911" s="448">
        <v>45277.84483055555</v>
      </c>
      <c r="B911" s="449">
        <v>45277</v>
      </c>
      <c r="C911" s="36" t="s">
        <v>3388</v>
      </c>
      <c r="D911" s="450">
        <v>0.45833333333575865</v>
      </c>
      <c r="E911" s="36" t="s">
        <v>8415</v>
      </c>
      <c r="F911" s="36" t="s">
        <v>8416</v>
      </c>
      <c r="G911" s="36" t="s">
        <v>1128</v>
      </c>
      <c r="H911" s="36" t="s">
        <v>1222</v>
      </c>
      <c r="I911" s="36">
        <v>1</v>
      </c>
      <c r="J911" s="36" t="s">
        <v>5895</v>
      </c>
      <c r="K911" s="36" t="s">
        <v>7196</v>
      </c>
      <c r="L911" s="36" t="b">
        <v>0</v>
      </c>
    </row>
    <row r="912" spans="1:12" ht="12.75">
      <c r="A912" s="448">
        <v>45277.852060092591</v>
      </c>
      <c r="B912" s="449">
        <v>45276</v>
      </c>
      <c r="C912" s="36" t="s">
        <v>3383</v>
      </c>
      <c r="D912" s="450">
        <v>0.45833333333575865</v>
      </c>
      <c r="E912" s="36" t="s">
        <v>8417</v>
      </c>
      <c r="F912" s="36" t="s">
        <v>8418</v>
      </c>
      <c r="G912" s="36" t="s">
        <v>7016</v>
      </c>
      <c r="H912" s="36" t="s">
        <v>8419</v>
      </c>
      <c r="I912" s="36" t="s">
        <v>8420</v>
      </c>
      <c r="J912" s="36" t="s">
        <v>5895</v>
      </c>
      <c r="K912" s="36" t="s">
        <v>8421</v>
      </c>
      <c r="L912" s="36" t="b">
        <v>0</v>
      </c>
    </row>
    <row r="913" spans="1:12" ht="12.75">
      <c r="A913" s="448">
        <v>45278.695108969907</v>
      </c>
      <c r="B913" s="449">
        <v>45277</v>
      </c>
      <c r="C913" s="36" t="s">
        <v>3388</v>
      </c>
      <c r="D913" s="450">
        <v>0.41666666666424135</v>
      </c>
      <c r="E913" s="36" t="s">
        <v>7279</v>
      </c>
      <c r="F913" s="36" t="s">
        <v>8422</v>
      </c>
      <c r="G913" s="36" t="s">
        <v>1322</v>
      </c>
      <c r="H913" s="36" t="s">
        <v>8423</v>
      </c>
      <c r="I913" s="36">
        <v>5</v>
      </c>
      <c r="J913" s="36" t="s">
        <v>5895</v>
      </c>
      <c r="K913" s="36" t="s">
        <v>8424</v>
      </c>
      <c r="L913" s="36" t="b">
        <v>0</v>
      </c>
    </row>
    <row r="914" spans="1:12" ht="12.75">
      <c r="A914" s="448">
        <v>45278.696707488431</v>
      </c>
      <c r="B914" s="449">
        <v>45277</v>
      </c>
      <c r="C914" s="36" t="s">
        <v>3388</v>
      </c>
      <c r="D914" s="450">
        <v>0.45833333333575865</v>
      </c>
      <c r="E914" s="36" t="s">
        <v>7687</v>
      </c>
      <c r="F914" s="36" t="s">
        <v>8425</v>
      </c>
      <c r="G914" s="36" t="s">
        <v>1322</v>
      </c>
      <c r="H914" s="36" t="s">
        <v>3522</v>
      </c>
      <c r="I914" s="36">
        <v>6</v>
      </c>
      <c r="J914" s="36" t="s">
        <v>5895</v>
      </c>
      <c r="K914" s="36" t="s">
        <v>8426</v>
      </c>
      <c r="L914" s="36" t="b">
        <v>0</v>
      </c>
    </row>
    <row r="915" spans="1:12" ht="12.75">
      <c r="A915" s="448">
        <v>45278.747253657406</v>
      </c>
      <c r="B915" s="449">
        <v>45279</v>
      </c>
      <c r="C915" s="36" t="s">
        <v>3388</v>
      </c>
      <c r="D915" s="450">
        <v>0.79166666666424135</v>
      </c>
      <c r="E915" s="36" t="s">
        <v>8174</v>
      </c>
      <c r="F915" s="36" t="s">
        <v>8427</v>
      </c>
      <c r="G915" s="36" t="s">
        <v>1309</v>
      </c>
      <c r="H915" s="36" t="s">
        <v>8428</v>
      </c>
      <c r="I915" s="36">
        <v>2</v>
      </c>
      <c r="J915" s="36" t="s">
        <v>5895</v>
      </c>
      <c r="K915" s="36" t="s">
        <v>6122</v>
      </c>
      <c r="L915" s="36" t="b">
        <v>0</v>
      </c>
    </row>
    <row r="916" spans="1:12" ht="12.75">
      <c r="A916" s="448">
        <v>45279.730036527777</v>
      </c>
      <c r="B916" s="449">
        <v>45276</v>
      </c>
      <c r="C916" s="36" t="s">
        <v>3388</v>
      </c>
      <c r="D916" s="450">
        <v>0.85416666666424135</v>
      </c>
      <c r="E916" s="36" t="s">
        <v>8429</v>
      </c>
      <c r="F916" s="36" t="s">
        <v>8430</v>
      </c>
      <c r="G916" s="36" t="s">
        <v>2396</v>
      </c>
      <c r="H916" s="36" t="s">
        <v>6363</v>
      </c>
      <c r="I916" s="36">
        <v>1</v>
      </c>
      <c r="J916" s="36" t="s">
        <v>5895</v>
      </c>
      <c r="K916" s="36" t="s">
        <v>8431</v>
      </c>
      <c r="L916" s="36" t="b">
        <v>0</v>
      </c>
    </row>
    <row r="917" spans="1:12" ht="12.75">
      <c r="A917" s="448">
        <v>45279.871228842589</v>
      </c>
      <c r="B917" s="449">
        <v>45272</v>
      </c>
      <c r="C917" s="36" t="s">
        <v>3383</v>
      </c>
      <c r="D917" s="450">
        <v>0.79166666666424135</v>
      </c>
      <c r="E917" s="36" t="s">
        <v>8432</v>
      </c>
      <c r="F917" s="36" t="s">
        <v>8433</v>
      </c>
      <c r="G917" s="36" t="s">
        <v>536</v>
      </c>
      <c r="H917" s="36" t="s">
        <v>1011</v>
      </c>
      <c r="I917" s="36">
        <v>1</v>
      </c>
      <c r="J917" s="36" t="s">
        <v>5895</v>
      </c>
      <c r="K917" s="36" t="s">
        <v>8434</v>
      </c>
      <c r="L917" s="36" t="b">
        <v>0</v>
      </c>
    </row>
    <row r="918" spans="1:12" ht="12.75">
      <c r="A918" s="448">
        <v>45280.582089641204</v>
      </c>
      <c r="B918" s="449">
        <v>45282</v>
      </c>
      <c r="C918" s="36" t="s">
        <v>3388</v>
      </c>
      <c r="D918" s="450">
        <v>0.75</v>
      </c>
      <c r="E918" s="36" t="s">
        <v>6411</v>
      </c>
      <c r="F918" s="36" t="s">
        <v>8435</v>
      </c>
      <c r="G918" s="36" t="s">
        <v>1288</v>
      </c>
      <c r="H918" s="36" t="s">
        <v>2357</v>
      </c>
      <c r="I918" s="36">
        <v>3</v>
      </c>
      <c r="J918" s="36" t="s">
        <v>5895</v>
      </c>
      <c r="K918" s="36" t="s">
        <v>8436</v>
      </c>
      <c r="L918" s="36" t="b">
        <v>0</v>
      </c>
    </row>
    <row r="919" spans="1:12" ht="12.75">
      <c r="A919" s="448">
        <v>45280.605599999995</v>
      </c>
      <c r="B919" s="449">
        <v>45278</v>
      </c>
      <c r="C919" s="36" t="s">
        <v>3383</v>
      </c>
      <c r="D919" s="450">
        <v>0.75</v>
      </c>
      <c r="E919" s="36" t="s">
        <v>7680</v>
      </c>
      <c r="F919" s="36">
        <v>45</v>
      </c>
      <c r="G919" s="36" t="s">
        <v>1501</v>
      </c>
      <c r="H919" s="36" t="s">
        <v>861</v>
      </c>
      <c r="I919" s="36">
        <v>1</v>
      </c>
      <c r="J919" s="36" t="s">
        <v>5895</v>
      </c>
      <c r="K919" s="36" t="s">
        <v>8437</v>
      </c>
      <c r="L919" s="36" t="b">
        <v>0</v>
      </c>
    </row>
    <row r="920" spans="1:12" ht="12.75">
      <c r="A920" s="448">
        <v>45280.663196712965</v>
      </c>
      <c r="B920" s="449">
        <v>45279</v>
      </c>
      <c r="C920" s="36" t="s">
        <v>3383</v>
      </c>
      <c r="D920" s="450">
        <v>0.6875</v>
      </c>
      <c r="E920" s="36" t="s">
        <v>8438</v>
      </c>
      <c r="F920" s="36" t="s">
        <v>8439</v>
      </c>
      <c r="G920" s="36" t="s">
        <v>498</v>
      </c>
      <c r="H920" s="36" t="s">
        <v>8440</v>
      </c>
      <c r="I920" s="36">
        <v>1</v>
      </c>
      <c r="J920" s="36" t="s">
        <v>5895</v>
      </c>
      <c r="K920" s="36" t="s">
        <v>7065</v>
      </c>
      <c r="L920" s="36" t="b">
        <v>0</v>
      </c>
    </row>
    <row r="921" spans="1:12" ht="12.75">
      <c r="A921" s="448">
        <v>45280.663521527778</v>
      </c>
      <c r="B921" s="449">
        <v>45270</v>
      </c>
      <c r="C921" s="36" t="s">
        <v>3388</v>
      </c>
      <c r="D921" s="450">
        <v>0.45833333333575865</v>
      </c>
      <c r="E921" s="36" t="s">
        <v>7298</v>
      </c>
      <c r="F921" s="36" t="s">
        <v>8441</v>
      </c>
      <c r="G921" s="36" t="s">
        <v>1305</v>
      </c>
      <c r="H921" s="36" t="s">
        <v>3522</v>
      </c>
      <c r="I921" s="36">
        <v>1</v>
      </c>
      <c r="J921" s="36" t="s">
        <v>5895</v>
      </c>
      <c r="K921" s="36" t="s">
        <v>8442</v>
      </c>
      <c r="L921" s="36" t="b">
        <v>0</v>
      </c>
    </row>
    <row r="922" spans="1:12" ht="12.75">
      <c r="A922" s="448">
        <v>45280.832062858797</v>
      </c>
      <c r="B922" s="449">
        <v>45279</v>
      </c>
      <c r="C922" s="36" t="s">
        <v>3383</v>
      </c>
      <c r="D922" s="450">
        <v>0.75</v>
      </c>
      <c r="E922" s="36" t="s">
        <v>8443</v>
      </c>
      <c r="F922" s="36" t="s">
        <v>8444</v>
      </c>
      <c r="G922" s="36" t="s">
        <v>498</v>
      </c>
      <c r="H922" s="36" t="s">
        <v>8445</v>
      </c>
      <c r="I922" s="36">
        <v>2</v>
      </c>
      <c r="J922" s="36" t="s">
        <v>5895</v>
      </c>
      <c r="K922" s="36" t="s">
        <v>7065</v>
      </c>
      <c r="L922" s="36" t="b">
        <v>0</v>
      </c>
    </row>
    <row r="923" spans="1:12" ht="12.75">
      <c r="A923" s="448">
        <v>45280.834545636579</v>
      </c>
      <c r="B923" s="449">
        <v>45279</v>
      </c>
      <c r="C923" s="36" t="s">
        <v>3383</v>
      </c>
      <c r="D923" s="450">
        <v>0.8125</v>
      </c>
      <c r="E923" s="36" t="s">
        <v>8446</v>
      </c>
      <c r="F923" s="36" t="s">
        <v>8447</v>
      </c>
      <c r="G923" s="36" t="s">
        <v>498</v>
      </c>
      <c r="H923" s="36" t="s">
        <v>292</v>
      </c>
      <c r="I923" s="36">
        <v>3</v>
      </c>
      <c r="J923" s="36" t="s">
        <v>5895</v>
      </c>
      <c r="K923" s="36" t="s">
        <v>8448</v>
      </c>
      <c r="L923" s="36" t="b">
        <v>0</v>
      </c>
    </row>
    <row r="924" spans="1:12" ht="12.75">
      <c r="A924" s="448">
        <v>45280.841142777776</v>
      </c>
      <c r="B924" s="449">
        <v>45280</v>
      </c>
      <c r="C924" s="36" t="s">
        <v>3383</v>
      </c>
      <c r="D924" s="450">
        <v>0.66666666666424135</v>
      </c>
      <c r="E924" s="36" t="s">
        <v>8449</v>
      </c>
      <c r="F924" s="36" t="s">
        <v>8450</v>
      </c>
      <c r="G924" s="36" t="s">
        <v>6537</v>
      </c>
      <c r="H924" s="36" t="s">
        <v>8451</v>
      </c>
      <c r="I924" s="36">
        <v>4</v>
      </c>
      <c r="J924" s="36" t="s">
        <v>5895</v>
      </c>
      <c r="K924" s="36" t="s">
        <v>8187</v>
      </c>
      <c r="L924" s="36" t="b">
        <v>0</v>
      </c>
    </row>
    <row r="925" spans="1:12" ht="12.75">
      <c r="A925" s="448">
        <v>45280.89221179398</v>
      </c>
      <c r="B925" s="449">
        <v>45281</v>
      </c>
      <c r="C925" s="36" t="s">
        <v>3388</v>
      </c>
      <c r="D925" s="450">
        <v>0.75</v>
      </c>
      <c r="E925" s="36" t="s">
        <v>8108</v>
      </c>
      <c r="F925" s="36" t="s">
        <v>8452</v>
      </c>
      <c r="G925" s="36" t="s">
        <v>2330</v>
      </c>
      <c r="H925" s="36" t="s">
        <v>8387</v>
      </c>
      <c r="I925" s="36">
        <v>1</v>
      </c>
      <c r="J925" s="36" t="s">
        <v>5895</v>
      </c>
      <c r="K925" s="36" t="s">
        <v>8453</v>
      </c>
      <c r="L925" s="36" t="b">
        <v>0</v>
      </c>
    </row>
    <row r="926" spans="1:12" ht="12.75">
      <c r="A926" s="448">
        <v>45280.991445821761</v>
      </c>
      <c r="B926" s="449">
        <v>45273</v>
      </c>
      <c r="C926" s="36" t="s">
        <v>3388</v>
      </c>
      <c r="D926" s="450">
        <v>0.75</v>
      </c>
      <c r="E926" s="36" t="s">
        <v>8454</v>
      </c>
      <c r="F926" s="36" t="s">
        <v>7280</v>
      </c>
      <c r="G926" s="36" t="s">
        <v>7274</v>
      </c>
      <c r="H926" s="36" t="s">
        <v>8455</v>
      </c>
      <c r="I926" s="36">
        <v>1</v>
      </c>
      <c r="J926" s="36" t="s">
        <v>5895</v>
      </c>
      <c r="K926" s="36" t="s">
        <v>8456</v>
      </c>
      <c r="L926" s="36" t="b">
        <v>0</v>
      </c>
    </row>
    <row r="927" spans="1:12" ht="12.75">
      <c r="A927" s="448">
        <v>45280.99249931713</v>
      </c>
      <c r="B927" s="449">
        <v>45273</v>
      </c>
      <c r="C927" s="36" t="s">
        <v>3388</v>
      </c>
      <c r="D927" s="450">
        <v>0.83333333333575865</v>
      </c>
      <c r="E927" s="36" t="s">
        <v>7656</v>
      </c>
      <c r="F927" s="36" t="s">
        <v>8457</v>
      </c>
      <c r="G927" s="36" t="s">
        <v>7274</v>
      </c>
      <c r="H927" s="36" t="s">
        <v>5906</v>
      </c>
      <c r="I927" s="36">
        <v>1</v>
      </c>
      <c r="J927" s="36" t="s">
        <v>5895</v>
      </c>
      <c r="K927" s="36" t="s">
        <v>8456</v>
      </c>
      <c r="L927" s="36" t="b">
        <v>0</v>
      </c>
    </row>
    <row r="928" spans="1:12" ht="12.75">
      <c r="A928" s="448">
        <v>45281.596341504628</v>
      </c>
      <c r="B928" s="449">
        <v>45281</v>
      </c>
      <c r="C928" s="36" t="s">
        <v>12</v>
      </c>
      <c r="D928" s="450">
        <v>0.79166666666424135</v>
      </c>
      <c r="E928" s="36" t="s">
        <v>8458</v>
      </c>
      <c r="F928" s="36">
        <v>23</v>
      </c>
      <c r="G928" s="36" t="s">
        <v>582</v>
      </c>
      <c r="H928" s="36" t="s">
        <v>8248</v>
      </c>
      <c r="I928" s="36">
        <v>1</v>
      </c>
      <c r="J928" s="36" t="s">
        <v>5895</v>
      </c>
      <c r="K928" s="36" t="s">
        <v>8459</v>
      </c>
      <c r="L928" s="36" t="b">
        <v>0</v>
      </c>
    </row>
    <row r="929" spans="1:12" ht="12.75">
      <c r="A929" s="448">
        <v>45281.89629689815</v>
      </c>
      <c r="B929" s="449">
        <v>45281</v>
      </c>
      <c r="C929" s="36" t="s">
        <v>3383</v>
      </c>
      <c r="D929" s="450">
        <v>0.81944444444525288</v>
      </c>
      <c r="E929" s="36" t="s">
        <v>8460</v>
      </c>
      <c r="F929" s="36" t="s">
        <v>8461</v>
      </c>
      <c r="G929" s="36" t="s">
        <v>6484</v>
      </c>
      <c r="H929" s="36" t="s">
        <v>860</v>
      </c>
      <c r="I929" s="36">
        <v>1</v>
      </c>
      <c r="J929" s="36" t="s">
        <v>5895</v>
      </c>
      <c r="K929" s="36" t="s">
        <v>5943</v>
      </c>
      <c r="L929" s="36" t="b">
        <v>0</v>
      </c>
    </row>
    <row r="930" spans="1:12" ht="12.75">
      <c r="A930" s="448">
        <v>45282.764601006944</v>
      </c>
      <c r="B930" s="449">
        <v>45282</v>
      </c>
      <c r="C930" s="36" t="s">
        <v>12</v>
      </c>
      <c r="D930" s="450">
        <v>0.79166666666424135</v>
      </c>
      <c r="E930" s="36" t="s">
        <v>8193</v>
      </c>
      <c r="F930" s="36" t="s">
        <v>8462</v>
      </c>
      <c r="G930" s="36" t="s">
        <v>445</v>
      </c>
      <c r="H930" s="36" t="s">
        <v>8463</v>
      </c>
      <c r="I930" s="36">
        <v>1</v>
      </c>
      <c r="J930" s="36" t="s">
        <v>5895</v>
      </c>
      <c r="K930" s="36" t="s">
        <v>8464</v>
      </c>
      <c r="L930" s="36" t="b">
        <v>0</v>
      </c>
    </row>
    <row r="931" spans="1:12" ht="12.75">
      <c r="A931" s="448">
        <v>45283.392028333328</v>
      </c>
      <c r="B931" s="449">
        <v>45284</v>
      </c>
      <c r="C931" s="36" t="s">
        <v>3388</v>
      </c>
      <c r="D931" s="450">
        <v>0.41666666666424135</v>
      </c>
      <c r="E931" s="36" t="s">
        <v>7436</v>
      </c>
      <c r="F931" s="36" t="s">
        <v>8465</v>
      </c>
      <c r="G931" s="36" t="s">
        <v>1666</v>
      </c>
      <c r="H931" s="36" t="s">
        <v>1055</v>
      </c>
      <c r="I931" s="36">
        <v>1</v>
      </c>
      <c r="J931" s="36" t="s">
        <v>5895</v>
      </c>
      <c r="K931" s="36" t="s">
        <v>8466</v>
      </c>
      <c r="L931" s="36" t="b">
        <v>0</v>
      </c>
    </row>
    <row r="932" spans="1:12" ht="12.75">
      <c r="A932" s="448">
        <v>45283.393151064811</v>
      </c>
      <c r="B932" s="449">
        <v>45284</v>
      </c>
      <c r="C932" s="36" t="s">
        <v>3388</v>
      </c>
      <c r="D932" s="450">
        <v>0.5</v>
      </c>
      <c r="E932" s="36" t="s">
        <v>8467</v>
      </c>
      <c r="F932" s="36" t="s">
        <v>8468</v>
      </c>
      <c r="G932" s="36" t="s">
        <v>1666</v>
      </c>
      <c r="H932" s="36" t="s">
        <v>6315</v>
      </c>
      <c r="I932" s="36">
        <v>2</v>
      </c>
      <c r="J932" s="36" t="s">
        <v>5895</v>
      </c>
      <c r="K932" s="36" t="s">
        <v>8469</v>
      </c>
      <c r="L932" s="36" t="b">
        <v>0</v>
      </c>
    </row>
    <row r="933" spans="1:12" ht="12.75">
      <c r="A933" s="448">
        <v>45283.690932662037</v>
      </c>
      <c r="B933" s="449">
        <v>45253</v>
      </c>
      <c r="C933" s="36" t="s">
        <v>3383</v>
      </c>
      <c r="D933" s="450">
        <v>0.75</v>
      </c>
      <c r="E933" s="36" t="s">
        <v>8470</v>
      </c>
      <c r="F933" s="36" t="s">
        <v>8471</v>
      </c>
      <c r="G933" s="36" t="s">
        <v>560</v>
      </c>
      <c r="H933" s="36" t="s">
        <v>2638</v>
      </c>
      <c r="I933" s="36">
        <v>1</v>
      </c>
      <c r="J933" s="36" t="s">
        <v>5895</v>
      </c>
      <c r="K933" s="36" t="s">
        <v>8472</v>
      </c>
      <c r="L933" s="36" t="b">
        <v>0</v>
      </c>
    </row>
    <row r="934" spans="1:12" ht="12.75">
      <c r="A934" s="448">
        <v>45284.505867025466</v>
      </c>
      <c r="B934" s="449">
        <v>45276</v>
      </c>
      <c r="C934" s="36" t="s">
        <v>12</v>
      </c>
      <c r="D934" s="450">
        <v>0.45833333333575865</v>
      </c>
      <c r="E934" s="36" t="s">
        <v>8473</v>
      </c>
      <c r="F934" s="36">
        <v>46</v>
      </c>
      <c r="G934" s="36" t="s">
        <v>148</v>
      </c>
      <c r="H934" s="36" t="s">
        <v>8474</v>
      </c>
      <c r="I934" s="36">
        <v>1</v>
      </c>
      <c r="J934" s="36" t="s">
        <v>5895</v>
      </c>
      <c r="K934" s="36" t="s">
        <v>8475</v>
      </c>
      <c r="L934" s="36" t="b">
        <v>0</v>
      </c>
    </row>
    <row r="935" spans="1:12" ht="12.75">
      <c r="A935" s="448">
        <v>45284.516603472221</v>
      </c>
      <c r="B935" s="449">
        <v>45276</v>
      </c>
      <c r="C935" s="36" t="s">
        <v>3383</v>
      </c>
      <c r="D935" s="450">
        <v>0.45833333333575865</v>
      </c>
      <c r="E935" s="36" t="s">
        <v>8476</v>
      </c>
      <c r="F935" s="36" t="s">
        <v>8477</v>
      </c>
      <c r="G935" s="36" t="s">
        <v>4036</v>
      </c>
      <c r="H935" s="36" t="s">
        <v>7970</v>
      </c>
      <c r="I935" s="36">
        <v>1</v>
      </c>
      <c r="J935" s="36" t="s">
        <v>5895</v>
      </c>
      <c r="K935" s="36" t="s">
        <v>6698</v>
      </c>
      <c r="L935" s="36" t="b">
        <v>0</v>
      </c>
    </row>
    <row r="936" spans="1:12" ht="12.75">
      <c r="A936" s="448">
        <v>45284.517564340276</v>
      </c>
      <c r="B936" s="449">
        <v>45277</v>
      </c>
      <c r="C936" s="36" t="s">
        <v>3383</v>
      </c>
      <c r="D936" s="450">
        <v>0.4375</v>
      </c>
      <c r="E936" s="36" t="s">
        <v>8476</v>
      </c>
      <c r="F936" s="36" t="s">
        <v>8478</v>
      </c>
      <c r="G936" s="36" t="s">
        <v>4036</v>
      </c>
      <c r="H936" s="36" t="s">
        <v>8479</v>
      </c>
      <c r="I936" s="36">
        <v>2</v>
      </c>
      <c r="J936" s="36" t="s">
        <v>5895</v>
      </c>
      <c r="K936" s="36" t="s">
        <v>6698</v>
      </c>
      <c r="L936" s="36" t="b">
        <v>0</v>
      </c>
    </row>
    <row r="937" spans="1:12" ht="12.75">
      <c r="A937" s="448">
        <v>45285.693844016205</v>
      </c>
      <c r="B937" s="449">
        <v>45286</v>
      </c>
      <c r="C937" s="36" t="s">
        <v>12</v>
      </c>
      <c r="D937" s="450">
        <v>0.79166666666424135</v>
      </c>
      <c r="E937" s="36" t="s">
        <v>8040</v>
      </c>
      <c r="F937" s="36">
        <v>61</v>
      </c>
      <c r="G937" s="36" t="s">
        <v>1231</v>
      </c>
      <c r="H937" s="36" t="s">
        <v>8480</v>
      </c>
      <c r="I937" s="36">
        <v>1</v>
      </c>
      <c r="J937" s="36" t="s">
        <v>5895</v>
      </c>
      <c r="K937" s="36" t="s">
        <v>5896</v>
      </c>
      <c r="L937" s="36" t="b">
        <v>0</v>
      </c>
    </row>
    <row r="938" spans="1:12" ht="12.75">
      <c r="A938" s="448">
        <v>45286.687706643519</v>
      </c>
      <c r="B938" s="449">
        <v>45295</v>
      </c>
      <c r="C938" s="36" t="s">
        <v>3383</v>
      </c>
      <c r="D938" s="450">
        <v>0.79166666666424135</v>
      </c>
      <c r="E938" s="36" t="s">
        <v>8481</v>
      </c>
      <c r="F938" s="36" t="s">
        <v>8482</v>
      </c>
      <c r="G938" s="36" t="s">
        <v>1833</v>
      </c>
      <c r="H938" s="36" t="s">
        <v>8483</v>
      </c>
      <c r="I938" s="36">
        <v>1</v>
      </c>
      <c r="J938" s="36" t="s">
        <v>5895</v>
      </c>
      <c r="K938" s="36" t="s">
        <v>8484</v>
      </c>
      <c r="L938" s="36" t="b">
        <v>0</v>
      </c>
    </row>
    <row r="939" spans="1:12" ht="12.75">
      <c r="A939" s="448">
        <v>45286.743053495375</v>
      </c>
      <c r="B939" s="449">
        <v>45284</v>
      </c>
      <c r="C939" s="36" t="s">
        <v>3388</v>
      </c>
      <c r="D939" s="450">
        <v>0.41666666666424135</v>
      </c>
      <c r="E939" s="36" t="s">
        <v>7279</v>
      </c>
      <c r="F939" s="36" t="s">
        <v>8485</v>
      </c>
      <c r="G939" s="36" t="s">
        <v>1322</v>
      </c>
      <c r="H939" s="36" t="s">
        <v>8486</v>
      </c>
      <c r="I939" s="36">
        <v>7</v>
      </c>
      <c r="J939" s="36" t="s">
        <v>5895</v>
      </c>
      <c r="K939" s="36" t="s">
        <v>8487</v>
      </c>
      <c r="L939" s="36" t="b">
        <v>0</v>
      </c>
    </row>
    <row r="940" spans="1:12" ht="12.75">
      <c r="A940" s="448">
        <v>45286.744479259258</v>
      </c>
      <c r="B940" s="449">
        <v>45284</v>
      </c>
      <c r="C940" s="36" t="s">
        <v>3388</v>
      </c>
      <c r="D940" s="450">
        <v>0.45833333333575865</v>
      </c>
      <c r="E940" s="36" t="s">
        <v>7687</v>
      </c>
      <c r="F940" s="36" t="s">
        <v>8488</v>
      </c>
      <c r="G940" s="36" t="s">
        <v>1322</v>
      </c>
      <c r="H940" s="36" t="s">
        <v>3522</v>
      </c>
      <c r="I940" s="36">
        <v>8</v>
      </c>
      <c r="J940" s="36" t="s">
        <v>5895</v>
      </c>
      <c r="K940" s="36" t="s">
        <v>8487</v>
      </c>
      <c r="L940" s="36" t="b">
        <v>0</v>
      </c>
    </row>
    <row r="941" spans="1:12" ht="12.75">
      <c r="A941" s="448">
        <v>45286.760659988431</v>
      </c>
      <c r="B941" s="449">
        <v>45283</v>
      </c>
      <c r="C941" s="36" t="s">
        <v>3383</v>
      </c>
      <c r="D941" s="450">
        <v>0.41666666666424135</v>
      </c>
      <c r="E941" s="36" t="s">
        <v>8489</v>
      </c>
      <c r="F941" s="36" t="s">
        <v>8490</v>
      </c>
      <c r="G941" s="36" t="s">
        <v>2339</v>
      </c>
      <c r="H941" s="36" t="s">
        <v>7724</v>
      </c>
      <c r="I941" s="36">
        <v>2</v>
      </c>
      <c r="J941" s="36" t="s">
        <v>5895</v>
      </c>
      <c r="K941" s="36" t="s">
        <v>8491</v>
      </c>
      <c r="L941" s="36" t="b">
        <v>0</v>
      </c>
    </row>
    <row r="942" spans="1:12" ht="12.75">
      <c r="A942" s="448">
        <v>45286.763857893515</v>
      </c>
      <c r="B942" s="449">
        <v>45282</v>
      </c>
      <c r="C942" s="36" t="s">
        <v>3383</v>
      </c>
      <c r="D942" s="450">
        <v>0.75</v>
      </c>
      <c r="E942" s="36" t="s">
        <v>8305</v>
      </c>
      <c r="F942" s="36" t="s">
        <v>8492</v>
      </c>
      <c r="G942" s="36" t="s">
        <v>2339</v>
      </c>
      <c r="H942" s="36" t="s">
        <v>2454</v>
      </c>
      <c r="I942" s="36">
        <v>3</v>
      </c>
      <c r="J942" s="36" t="s">
        <v>5895</v>
      </c>
      <c r="K942" s="36" t="s">
        <v>8493</v>
      </c>
      <c r="L942" s="36" t="b">
        <v>0</v>
      </c>
    </row>
    <row r="943" spans="1:12" ht="12.75">
      <c r="A943" s="448">
        <v>45286.765627025467</v>
      </c>
      <c r="B943" s="449">
        <v>45283</v>
      </c>
      <c r="C943" s="36" t="s">
        <v>3383</v>
      </c>
      <c r="D943" s="450">
        <v>0.83333333333575865</v>
      </c>
      <c r="E943" s="36" t="s">
        <v>8494</v>
      </c>
      <c r="F943" s="36" t="s">
        <v>8495</v>
      </c>
      <c r="G943" s="36" t="s">
        <v>2339</v>
      </c>
      <c r="H943" s="36" t="s">
        <v>8059</v>
      </c>
      <c r="I943" s="36">
        <v>4</v>
      </c>
      <c r="J943" s="36" t="s">
        <v>5895</v>
      </c>
      <c r="K943" s="36" t="s">
        <v>8491</v>
      </c>
      <c r="L943" s="36" t="b">
        <v>0</v>
      </c>
    </row>
    <row r="944" spans="1:12" ht="12.75">
      <c r="A944" s="448">
        <v>45286.863491203709</v>
      </c>
      <c r="B944" s="449">
        <v>45285</v>
      </c>
      <c r="C944" s="36" t="s">
        <v>3383</v>
      </c>
      <c r="D944" s="450">
        <v>0.75</v>
      </c>
      <c r="E944" s="36" t="s">
        <v>8496</v>
      </c>
      <c r="F944" s="36">
        <v>3</v>
      </c>
      <c r="G944" s="36" t="s">
        <v>7724</v>
      </c>
      <c r="H944" s="36" t="s">
        <v>8497</v>
      </c>
      <c r="I944" s="36">
        <v>1</v>
      </c>
      <c r="J944" s="36" t="s">
        <v>5895</v>
      </c>
      <c r="K944" s="36" t="s">
        <v>8498</v>
      </c>
      <c r="L944" s="36" t="b">
        <v>0</v>
      </c>
    </row>
    <row r="945" spans="1:12" ht="12.75">
      <c r="A945" s="448">
        <v>45288.792634328704</v>
      </c>
      <c r="B945" s="449">
        <v>45292</v>
      </c>
      <c r="C945" s="36" t="s">
        <v>3383</v>
      </c>
      <c r="D945" s="450">
        <v>0.75</v>
      </c>
      <c r="E945" s="36" t="s">
        <v>8499</v>
      </c>
      <c r="F945" s="36" t="s">
        <v>8500</v>
      </c>
      <c r="G945" s="36" t="s">
        <v>6537</v>
      </c>
      <c r="H945" s="36" t="s">
        <v>8501</v>
      </c>
      <c r="I945" s="36">
        <v>1</v>
      </c>
      <c r="J945" s="36" t="s">
        <v>5895</v>
      </c>
      <c r="K945" s="36" t="s">
        <v>6996</v>
      </c>
      <c r="L945" s="36" t="b">
        <v>0</v>
      </c>
    </row>
    <row r="946" spans="1:12" ht="12.75">
      <c r="A946" s="448">
        <v>45288.793743622686</v>
      </c>
      <c r="B946" s="449">
        <v>45292</v>
      </c>
      <c r="C946" s="36" t="s">
        <v>3383</v>
      </c>
      <c r="D946" s="450">
        <v>0.8125</v>
      </c>
      <c r="E946" s="36" t="s">
        <v>8502</v>
      </c>
      <c r="F946" s="36" t="s">
        <v>8503</v>
      </c>
      <c r="G946" s="36" t="s">
        <v>6537</v>
      </c>
      <c r="H946" s="36" t="s">
        <v>8501</v>
      </c>
      <c r="I946" s="36">
        <v>2</v>
      </c>
      <c r="J946" s="36" t="s">
        <v>5895</v>
      </c>
      <c r="K946" s="36" t="s">
        <v>8504</v>
      </c>
      <c r="L946" s="36" t="b">
        <v>0</v>
      </c>
    </row>
    <row r="947" spans="1:12" ht="12.75">
      <c r="A947" s="448">
        <v>45288.795449432873</v>
      </c>
      <c r="B947" s="449">
        <v>45293</v>
      </c>
      <c r="C947" s="36" t="s">
        <v>3383</v>
      </c>
      <c r="D947" s="450">
        <v>0.6875</v>
      </c>
      <c r="E947" s="36" t="s">
        <v>8505</v>
      </c>
      <c r="F947" s="36" t="s">
        <v>8506</v>
      </c>
      <c r="G947" s="36" t="s">
        <v>498</v>
      </c>
      <c r="H947" s="36" t="s">
        <v>1870</v>
      </c>
      <c r="I947" s="36">
        <v>3</v>
      </c>
      <c r="J947" s="36" t="s">
        <v>5895</v>
      </c>
      <c r="K947" s="36" t="s">
        <v>8504</v>
      </c>
      <c r="L947" s="36" t="b">
        <v>0</v>
      </c>
    </row>
    <row r="948" spans="1:12" ht="12.75">
      <c r="A948" s="448">
        <v>45288.79635326389</v>
      </c>
      <c r="B948" s="449">
        <v>45294</v>
      </c>
      <c r="C948" s="36" t="s">
        <v>3383</v>
      </c>
      <c r="D948" s="450">
        <v>0.66666666666424135</v>
      </c>
      <c r="E948" s="36" t="s">
        <v>8507</v>
      </c>
      <c r="F948" s="36" t="s">
        <v>8508</v>
      </c>
      <c r="G948" s="36" t="s">
        <v>6537</v>
      </c>
      <c r="H948" s="36" t="s">
        <v>1870</v>
      </c>
      <c r="I948" s="36">
        <v>4</v>
      </c>
      <c r="J948" s="36" t="s">
        <v>5895</v>
      </c>
      <c r="K948" s="36" t="s">
        <v>8504</v>
      </c>
      <c r="L948" s="36" t="b">
        <v>0</v>
      </c>
    </row>
    <row r="949" spans="1:12" ht="12.75">
      <c r="A949" s="448">
        <v>45288.797518657404</v>
      </c>
      <c r="B949" s="449">
        <v>45293</v>
      </c>
      <c r="C949" s="36" t="s">
        <v>3383</v>
      </c>
      <c r="D949" s="450">
        <v>0.8125</v>
      </c>
      <c r="E949" s="36" t="s">
        <v>8037</v>
      </c>
      <c r="F949" s="36" t="s">
        <v>7056</v>
      </c>
      <c r="G949" s="36" t="s">
        <v>498</v>
      </c>
      <c r="H949" s="36" t="s">
        <v>8509</v>
      </c>
      <c r="I949" s="36">
        <v>5</v>
      </c>
      <c r="J949" s="36" t="s">
        <v>5895</v>
      </c>
      <c r="K949" s="36" t="s">
        <v>8504</v>
      </c>
      <c r="L949" s="36" t="b">
        <v>0</v>
      </c>
    </row>
    <row r="950" spans="1:12" ht="12.75">
      <c r="A950" s="448">
        <v>45288.798575393521</v>
      </c>
      <c r="B950" s="449">
        <v>45297</v>
      </c>
      <c r="C950" s="36" t="s">
        <v>3383</v>
      </c>
      <c r="D950" s="450">
        <v>0.41666666666424135</v>
      </c>
      <c r="E950" s="36" t="s">
        <v>7146</v>
      </c>
      <c r="F950" s="36" t="s">
        <v>8510</v>
      </c>
      <c r="G950" s="36" t="s">
        <v>498</v>
      </c>
      <c r="H950" s="36" t="s">
        <v>8511</v>
      </c>
      <c r="I950" s="36">
        <v>6</v>
      </c>
      <c r="J950" s="36" t="s">
        <v>5895</v>
      </c>
      <c r="K950" s="36" t="s">
        <v>8504</v>
      </c>
      <c r="L950" s="36" t="b">
        <v>0</v>
      </c>
    </row>
    <row r="951" spans="1:12" ht="12.75">
      <c r="A951" s="448">
        <v>45288.799669791668</v>
      </c>
      <c r="B951" s="449">
        <v>45299</v>
      </c>
      <c r="C951" s="36" t="s">
        <v>3383</v>
      </c>
      <c r="D951" s="450">
        <v>0.75</v>
      </c>
      <c r="E951" s="36" t="s">
        <v>7063</v>
      </c>
      <c r="F951" s="36" t="s">
        <v>8512</v>
      </c>
      <c r="G951" s="36" t="s">
        <v>6537</v>
      </c>
      <c r="H951" s="36" t="s">
        <v>6995</v>
      </c>
      <c r="I951" s="36">
        <v>7</v>
      </c>
      <c r="J951" s="36" t="s">
        <v>5895</v>
      </c>
      <c r="K951" s="36" t="s">
        <v>8504</v>
      </c>
      <c r="L951" s="36" t="b">
        <v>0</v>
      </c>
    </row>
    <row r="952" spans="1:12" ht="12.75">
      <c r="A952" s="448">
        <v>45288.802153715282</v>
      </c>
      <c r="B952" s="449">
        <v>45299</v>
      </c>
      <c r="C952" s="36" t="s">
        <v>3383</v>
      </c>
      <c r="D952" s="450">
        <v>0.8125</v>
      </c>
      <c r="E952" s="36" t="s">
        <v>8502</v>
      </c>
      <c r="F952" s="36" t="s">
        <v>8513</v>
      </c>
      <c r="G952" s="36" t="s">
        <v>6537</v>
      </c>
      <c r="H952" s="36" t="s">
        <v>6995</v>
      </c>
      <c r="I952" s="36">
        <v>8</v>
      </c>
      <c r="J952" s="36" t="s">
        <v>5895</v>
      </c>
      <c r="K952" s="36" t="s">
        <v>8504</v>
      </c>
      <c r="L952" s="36" t="b">
        <v>0</v>
      </c>
    </row>
    <row r="953" spans="1:12" ht="12.75">
      <c r="A953" s="448">
        <v>45288.804328310187</v>
      </c>
      <c r="B953" s="449">
        <v>45300</v>
      </c>
      <c r="C953" s="36" t="s">
        <v>3383</v>
      </c>
      <c r="D953" s="450">
        <v>0.6875</v>
      </c>
      <c r="E953" s="36" t="s">
        <v>8505</v>
      </c>
      <c r="F953" s="36" t="s">
        <v>8514</v>
      </c>
      <c r="G953" s="36" t="s">
        <v>498</v>
      </c>
      <c r="H953" s="36" t="s">
        <v>6995</v>
      </c>
      <c r="I953" s="36">
        <v>9</v>
      </c>
      <c r="J953" s="36" t="s">
        <v>5895</v>
      </c>
      <c r="K953" s="36" t="s">
        <v>6996</v>
      </c>
      <c r="L953" s="36" t="b">
        <v>0</v>
      </c>
    </row>
    <row r="954" spans="1:12" ht="12.75">
      <c r="A954" s="448">
        <v>45288.805630393515</v>
      </c>
      <c r="B954" s="449">
        <v>45301</v>
      </c>
      <c r="C954" s="36" t="s">
        <v>3383</v>
      </c>
      <c r="D954" s="450">
        <v>0.66666666666424135</v>
      </c>
      <c r="E954" s="36" t="s">
        <v>8507</v>
      </c>
      <c r="F954" s="36" t="s">
        <v>8515</v>
      </c>
      <c r="G954" s="36" t="s">
        <v>6537</v>
      </c>
      <c r="H954" s="36" t="s">
        <v>8509</v>
      </c>
      <c r="I954" s="36">
        <v>9</v>
      </c>
      <c r="J954" s="36" t="s">
        <v>5895</v>
      </c>
      <c r="K954" s="36" t="s">
        <v>8504</v>
      </c>
      <c r="L954" s="36" t="b">
        <v>0</v>
      </c>
    </row>
    <row r="955" spans="1:12" ht="12.75">
      <c r="A955" s="448">
        <v>45289.635095659723</v>
      </c>
      <c r="B955" s="449">
        <v>45294</v>
      </c>
      <c r="C955" s="36" t="s">
        <v>3383</v>
      </c>
      <c r="D955" s="450">
        <v>0.75</v>
      </c>
      <c r="E955" s="36" t="s">
        <v>8516</v>
      </c>
      <c r="F955" s="36" t="s">
        <v>8517</v>
      </c>
      <c r="G955" s="36" t="s">
        <v>1833</v>
      </c>
      <c r="H955" s="36" t="s">
        <v>7893</v>
      </c>
      <c r="I955" s="36">
        <v>2</v>
      </c>
      <c r="J955" s="36" t="s">
        <v>5895</v>
      </c>
      <c r="K955" s="36" t="s">
        <v>8484</v>
      </c>
      <c r="L955" s="36" t="b">
        <v>0</v>
      </c>
    </row>
    <row r="956" spans="1:12" ht="12.75">
      <c r="A956" s="448">
        <v>45290.685469027776</v>
      </c>
      <c r="B956" s="449">
        <v>45290</v>
      </c>
      <c r="C956" s="36" t="s">
        <v>3383</v>
      </c>
      <c r="D956" s="450">
        <v>0.83333333333575865</v>
      </c>
      <c r="E956" s="36" t="s">
        <v>8518</v>
      </c>
      <c r="F956" s="36" t="s">
        <v>8519</v>
      </c>
      <c r="G956" s="36" t="s">
        <v>8520</v>
      </c>
      <c r="H956" s="36" t="s">
        <v>1882</v>
      </c>
      <c r="I956" s="36">
        <v>2</v>
      </c>
      <c r="J956" s="36" t="s">
        <v>5895</v>
      </c>
      <c r="K956" s="36" t="s">
        <v>6242</v>
      </c>
      <c r="L956" s="36" t="b">
        <v>0</v>
      </c>
    </row>
    <row r="957" spans="1:12" ht="12.75">
      <c r="A957" s="448">
        <v>45290.791813738426</v>
      </c>
      <c r="B957" s="449">
        <v>45292</v>
      </c>
      <c r="C957" s="36" t="s">
        <v>12</v>
      </c>
      <c r="D957" s="450">
        <v>0.75</v>
      </c>
      <c r="E957" s="36" t="s">
        <v>8521</v>
      </c>
      <c r="F957" s="36" t="s">
        <v>8522</v>
      </c>
      <c r="G957" s="36" t="s">
        <v>2628</v>
      </c>
      <c r="H957" s="36" t="s">
        <v>196</v>
      </c>
      <c r="I957" s="36">
        <v>1</v>
      </c>
      <c r="J957" s="36" t="s">
        <v>5895</v>
      </c>
      <c r="K957" s="36" t="s">
        <v>8523</v>
      </c>
      <c r="L957" s="36" t="b">
        <v>0</v>
      </c>
    </row>
    <row r="958" spans="1:12" ht="12.75">
      <c r="A958" s="448">
        <v>45291.7681103125</v>
      </c>
      <c r="B958" s="449">
        <v>45293</v>
      </c>
      <c r="C958" s="36" t="s">
        <v>3383</v>
      </c>
      <c r="D958" s="450">
        <v>0.75</v>
      </c>
      <c r="E958" s="36" t="s">
        <v>8061</v>
      </c>
      <c r="F958" s="36" t="s">
        <v>7020</v>
      </c>
      <c r="G958" s="36" t="s">
        <v>6537</v>
      </c>
      <c r="H958" s="36" t="s">
        <v>8524</v>
      </c>
      <c r="I958" s="36">
        <v>10</v>
      </c>
      <c r="J958" s="36" t="s">
        <v>5895</v>
      </c>
      <c r="K958" s="36" t="s">
        <v>6996</v>
      </c>
      <c r="L958" s="36" t="b">
        <v>0</v>
      </c>
    </row>
    <row r="959" spans="1:12" ht="12.75">
      <c r="A959" s="448">
        <v>45291.769600717591</v>
      </c>
      <c r="B959" s="449">
        <v>45294</v>
      </c>
      <c r="C959" s="36" t="s">
        <v>3383</v>
      </c>
      <c r="D959" s="450">
        <v>0.75</v>
      </c>
      <c r="E959" s="36" t="s">
        <v>8525</v>
      </c>
      <c r="F959" s="36" t="s">
        <v>8526</v>
      </c>
      <c r="G959" s="36" t="s">
        <v>498</v>
      </c>
      <c r="H959" s="36" t="s">
        <v>8527</v>
      </c>
      <c r="I959" s="36">
        <v>11</v>
      </c>
      <c r="J959" s="36" t="s">
        <v>5895</v>
      </c>
      <c r="K959" s="36" t="s">
        <v>8504</v>
      </c>
      <c r="L959" s="36" t="b">
        <v>0</v>
      </c>
    </row>
    <row r="960" spans="1:12" ht="12.75">
      <c r="A960" s="448">
        <v>45291.770600023148</v>
      </c>
      <c r="B960" s="449">
        <v>45301</v>
      </c>
      <c r="C960" s="36" t="s">
        <v>3383</v>
      </c>
      <c r="D960" s="450">
        <v>0.75</v>
      </c>
      <c r="E960" s="36" t="s">
        <v>8525</v>
      </c>
      <c r="F960" s="36" t="s">
        <v>8528</v>
      </c>
      <c r="G960" s="36" t="s">
        <v>498</v>
      </c>
      <c r="H960" s="36" t="s">
        <v>8527</v>
      </c>
      <c r="I960" s="36">
        <v>12</v>
      </c>
      <c r="J960" s="36" t="s">
        <v>5895</v>
      </c>
      <c r="K960" s="36" t="s">
        <v>8504</v>
      </c>
      <c r="L960" s="36" t="b">
        <v>0</v>
      </c>
    </row>
    <row r="961" spans="1:12" ht="12.75">
      <c r="A961" s="448">
        <v>45291.772831261573</v>
      </c>
      <c r="B961" s="449">
        <v>45296</v>
      </c>
      <c r="C961" s="36" t="s">
        <v>3383</v>
      </c>
      <c r="D961" s="450">
        <v>0.75</v>
      </c>
      <c r="E961" s="36" t="s">
        <v>8375</v>
      </c>
      <c r="F961" s="36" t="s">
        <v>8529</v>
      </c>
      <c r="G961" s="36" t="s">
        <v>498</v>
      </c>
      <c r="H961" s="36" t="s">
        <v>8530</v>
      </c>
      <c r="I961" s="36">
        <v>13</v>
      </c>
      <c r="J961" s="36" t="s">
        <v>5895</v>
      </c>
      <c r="K961" s="36" t="s">
        <v>8504</v>
      </c>
      <c r="L961" s="36" t="b">
        <v>0</v>
      </c>
    </row>
    <row r="962" spans="1:12" ht="12.75">
      <c r="A962" s="448">
        <v>45291.774963807868</v>
      </c>
      <c r="B962" s="449">
        <v>45297</v>
      </c>
      <c r="C962" s="36" t="s">
        <v>3383</v>
      </c>
      <c r="D962" s="450">
        <v>0.5</v>
      </c>
      <c r="E962" s="36" t="s">
        <v>8375</v>
      </c>
      <c r="F962" s="36" t="s">
        <v>8531</v>
      </c>
      <c r="G962" s="36" t="s">
        <v>498</v>
      </c>
      <c r="H962" s="36" t="s">
        <v>8530</v>
      </c>
      <c r="I962" s="36">
        <v>14</v>
      </c>
      <c r="J962" s="36" t="s">
        <v>5895</v>
      </c>
      <c r="K962" s="36" t="s">
        <v>6996</v>
      </c>
      <c r="L962" s="36" t="b">
        <v>0</v>
      </c>
    </row>
    <row r="963" spans="1:12" ht="12.75">
      <c r="A963" s="448">
        <v>45291.776132673607</v>
      </c>
      <c r="B963" s="449">
        <v>45298</v>
      </c>
      <c r="C963" s="36" t="s">
        <v>3383</v>
      </c>
      <c r="D963" s="450">
        <v>0.41666666666424135</v>
      </c>
      <c r="E963" s="36" t="s">
        <v>8532</v>
      </c>
      <c r="F963" s="36" t="s">
        <v>8533</v>
      </c>
      <c r="G963" s="36" t="s">
        <v>6537</v>
      </c>
      <c r="H963" s="36" t="s">
        <v>8530</v>
      </c>
      <c r="I963" s="36">
        <v>15</v>
      </c>
      <c r="J963" s="36" t="s">
        <v>5895</v>
      </c>
      <c r="K963" s="36" t="s">
        <v>8504</v>
      </c>
      <c r="L963" s="36" t="b">
        <v>0</v>
      </c>
    </row>
    <row r="964" spans="1:12" ht="12.75">
      <c r="A964" s="448">
        <v>45292.646569722223</v>
      </c>
      <c r="B964" s="449">
        <v>45284</v>
      </c>
      <c r="C964" s="36" t="s">
        <v>8534</v>
      </c>
      <c r="D964" s="450">
        <v>0.70833333333575865</v>
      </c>
      <c r="E964" s="36" t="s">
        <v>8535</v>
      </c>
      <c r="F964" s="36" t="s">
        <v>8536</v>
      </c>
      <c r="G964" s="36" t="s">
        <v>2641</v>
      </c>
      <c r="H964" s="36" t="s">
        <v>6104</v>
      </c>
      <c r="I964" s="36">
        <v>1</v>
      </c>
      <c r="J964" s="36" t="s">
        <v>5895</v>
      </c>
      <c r="K964" s="36" t="s">
        <v>8537</v>
      </c>
      <c r="L964" s="36" t="b">
        <v>0</v>
      </c>
    </row>
    <row r="965" spans="1:12" ht="12.75">
      <c r="A965" s="448">
        <v>45292.795080405092</v>
      </c>
      <c r="B965" s="449">
        <v>45284</v>
      </c>
      <c r="C965" s="36" t="s">
        <v>3388</v>
      </c>
      <c r="D965" s="450">
        <v>0.45833333333575865</v>
      </c>
      <c r="E965" s="36" t="s">
        <v>8415</v>
      </c>
      <c r="F965" s="36" t="s">
        <v>8538</v>
      </c>
      <c r="G965" s="36" t="s">
        <v>1128</v>
      </c>
      <c r="H965" s="36" t="s">
        <v>8539</v>
      </c>
      <c r="I965" s="36">
        <v>1</v>
      </c>
      <c r="J965" s="36" t="s">
        <v>5895</v>
      </c>
      <c r="K965" s="36" t="s">
        <v>8540</v>
      </c>
      <c r="L965" s="36" t="b">
        <v>0</v>
      </c>
    </row>
    <row r="966" spans="1:12" ht="12.75">
      <c r="A966" s="448">
        <v>45292.795437581022</v>
      </c>
      <c r="B966" s="449">
        <v>45283</v>
      </c>
      <c r="C966" s="36" t="s">
        <v>3383</v>
      </c>
      <c r="D966" s="450">
        <v>0.83333333333575865</v>
      </c>
      <c r="E966" s="36" t="s">
        <v>8541</v>
      </c>
      <c r="F966" s="36" t="s">
        <v>8542</v>
      </c>
      <c r="G966" s="36" t="s">
        <v>8543</v>
      </c>
      <c r="H966" s="36" t="s">
        <v>1848</v>
      </c>
      <c r="I966" s="36">
        <v>1</v>
      </c>
      <c r="J966" s="36" t="s">
        <v>5895</v>
      </c>
      <c r="K966" s="36" t="s">
        <v>6271</v>
      </c>
      <c r="L966" s="36" t="b">
        <v>0</v>
      </c>
    </row>
    <row r="967" spans="1:12" ht="12.75">
      <c r="A967" s="448">
        <v>45292.797315393516</v>
      </c>
      <c r="B967" s="449">
        <v>45284</v>
      </c>
      <c r="C967" s="36" t="s">
        <v>3388</v>
      </c>
      <c r="D967" s="450">
        <v>0.79166666666424135</v>
      </c>
      <c r="E967" s="36" t="s">
        <v>8544</v>
      </c>
      <c r="F967" s="36" t="s">
        <v>8545</v>
      </c>
      <c r="G967" s="36" t="s">
        <v>1128</v>
      </c>
      <c r="H967" s="36" t="s">
        <v>5906</v>
      </c>
      <c r="I967" s="36">
        <v>2</v>
      </c>
      <c r="J967" s="36" t="s">
        <v>5895</v>
      </c>
      <c r="K967" s="36" t="s">
        <v>8540</v>
      </c>
      <c r="L967" s="36" t="b">
        <v>0</v>
      </c>
    </row>
    <row r="968" spans="1:12" ht="12.75">
      <c r="A968" s="448">
        <v>45292.799263622685</v>
      </c>
      <c r="B968" s="449">
        <v>45284</v>
      </c>
      <c r="C968" s="36" t="s">
        <v>3388</v>
      </c>
      <c r="D968" s="450">
        <v>0.83333333333575865</v>
      </c>
      <c r="E968" s="36" t="s">
        <v>8546</v>
      </c>
      <c r="F968" s="36" t="s">
        <v>8547</v>
      </c>
      <c r="G968" s="36" t="s">
        <v>1128</v>
      </c>
      <c r="H968" s="36" t="s">
        <v>8539</v>
      </c>
      <c r="I968" s="36" t="s">
        <v>8548</v>
      </c>
      <c r="J968" s="36" t="s">
        <v>5895</v>
      </c>
      <c r="K968" s="36" t="s">
        <v>8540</v>
      </c>
      <c r="L968" s="36" t="b">
        <v>0</v>
      </c>
    </row>
    <row r="969" spans="1:12" ht="12.75">
      <c r="A969" s="448">
        <v>45293.863665960649</v>
      </c>
      <c r="B969" s="449">
        <v>45293</v>
      </c>
      <c r="C969" s="36" t="s">
        <v>3388</v>
      </c>
      <c r="D969" s="450">
        <v>0.86111111110949423</v>
      </c>
      <c r="E969" s="36" t="s">
        <v>8549</v>
      </c>
      <c r="F969" s="36" t="s">
        <v>8550</v>
      </c>
      <c r="G969" s="36" t="s">
        <v>1322</v>
      </c>
      <c r="H969" s="36" t="s">
        <v>5946</v>
      </c>
      <c r="I969" s="36">
        <v>1</v>
      </c>
      <c r="J969" s="36" t="s">
        <v>5895</v>
      </c>
      <c r="K969" s="36" t="s">
        <v>5923</v>
      </c>
      <c r="L969" s="36" t="b">
        <v>0</v>
      </c>
    </row>
    <row r="970" spans="1:12" ht="12.75">
      <c r="A970" s="448">
        <v>45293.902991770832</v>
      </c>
      <c r="B970" s="449">
        <v>45291</v>
      </c>
      <c r="C970" s="36" t="s">
        <v>3388</v>
      </c>
      <c r="D970" s="450">
        <v>0.45833333333575865</v>
      </c>
      <c r="E970" s="36" t="s">
        <v>7687</v>
      </c>
      <c r="F970" s="36" t="s">
        <v>8551</v>
      </c>
      <c r="G970" s="36" t="s">
        <v>1322</v>
      </c>
      <c r="H970" s="36" t="s">
        <v>3522</v>
      </c>
      <c r="I970" s="36">
        <v>9</v>
      </c>
      <c r="J970" s="36" t="s">
        <v>6093</v>
      </c>
      <c r="K970" s="36" t="s">
        <v>8552</v>
      </c>
      <c r="L970" s="36" t="b">
        <v>0</v>
      </c>
    </row>
    <row r="971" spans="1:12" ht="12.75">
      <c r="A971" s="448">
        <v>45293.906753796298</v>
      </c>
      <c r="B971" s="449">
        <v>45297</v>
      </c>
      <c r="C971" s="36" t="s">
        <v>12</v>
      </c>
      <c r="D971" s="450">
        <v>0.66666666666424135</v>
      </c>
      <c r="E971" s="36" t="s">
        <v>8553</v>
      </c>
      <c r="F971" s="36" t="s">
        <v>8554</v>
      </c>
      <c r="G971" s="36" t="s">
        <v>1022</v>
      </c>
      <c r="H971" s="36" t="s">
        <v>8555</v>
      </c>
      <c r="I971" s="36">
        <v>1</v>
      </c>
      <c r="J971" s="36" t="s">
        <v>5895</v>
      </c>
      <c r="K971" s="36" t="s">
        <v>8556</v>
      </c>
      <c r="L971" s="36" t="b">
        <v>0</v>
      </c>
    </row>
    <row r="972" spans="1:12" ht="12.75">
      <c r="A972" s="448">
        <v>45293.908886261575</v>
      </c>
      <c r="B972" s="449">
        <v>45298</v>
      </c>
      <c r="C972" s="36" t="s">
        <v>12</v>
      </c>
      <c r="D972" s="450">
        <v>0.66666666666424135</v>
      </c>
      <c r="E972" s="36" t="s">
        <v>8553</v>
      </c>
      <c r="F972" s="36" t="s">
        <v>8557</v>
      </c>
      <c r="G972" s="36" t="s">
        <v>1022</v>
      </c>
      <c r="H972" s="36" t="s">
        <v>8555</v>
      </c>
      <c r="I972" s="36">
        <v>2</v>
      </c>
      <c r="J972" s="36" t="s">
        <v>5895</v>
      </c>
      <c r="K972" s="36" t="s">
        <v>8558</v>
      </c>
      <c r="L972" s="36" t="b">
        <v>0</v>
      </c>
    </row>
    <row r="973" spans="1:12" ht="12.75">
      <c r="A973" s="448">
        <v>45294.541232164353</v>
      </c>
      <c r="B973" s="449">
        <v>45297</v>
      </c>
      <c r="C973" s="36" t="s">
        <v>3383</v>
      </c>
      <c r="D973" s="450">
        <v>0.83333333333575865</v>
      </c>
      <c r="E973" s="36" t="s">
        <v>8559</v>
      </c>
      <c r="F973" s="36" t="s">
        <v>8560</v>
      </c>
      <c r="G973" s="36" t="s">
        <v>2625</v>
      </c>
      <c r="H973" s="36" t="s">
        <v>2509</v>
      </c>
      <c r="I973" s="36">
        <v>1</v>
      </c>
      <c r="J973" s="36" t="s">
        <v>5895</v>
      </c>
      <c r="K973" s="36" t="s">
        <v>8561</v>
      </c>
      <c r="L973" s="36" t="b">
        <v>0</v>
      </c>
    </row>
    <row r="974" spans="1:12" ht="12.75">
      <c r="A974" s="448">
        <v>45294.543798425926</v>
      </c>
      <c r="B974" s="449">
        <v>45304</v>
      </c>
      <c r="C974" s="36" t="s">
        <v>3383</v>
      </c>
      <c r="D974" s="450">
        <v>0.41666666666424135</v>
      </c>
      <c r="E974" s="36" t="s">
        <v>8562</v>
      </c>
      <c r="F974" s="36" t="s">
        <v>8563</v>
      </c>
      <c r="G974" s="36" t="s">
        <v>2625</v>
      </c>
      <c r="H974" s="36" t="s">
        <v>8564</v>
      </c>
      <c r="I974" s="36">
        <v>2</v>
      </c>
      <c r="J974" s="36" t="s">
        <v>5895</v>
      </c>
      <c r="K974" s="36" t="s">
        <v>8565</v>
      </c>
      <c r="L974" s="36" t="b">
        <v>0</v>
      </c>
    </row>
    <row r="975" spans="1:12" ht="12.75">
      <c r="A975" s="448">
        <v>45294.790169907406</v>
      </c>
      <c r="B975" s="449">
        <v>45294</v>
      </c>
      <c r="C975" s="36" t="s">
        <v>3383</v>
      </c>
      <c r="D975" s="450">
        <v>0.81597222221898846</v>
      </c>
      <c r="E975" s="36" t="s">
        <v>8566</v>
      </c>
      <c r="F975" s="36" t="s">
        <v>8567</v>
      </c>
      <c r="G975" s="36" t="s">
        <v>756</v>
      </c>
      <c r="H975" s="36" t="s">
        <v>8568</v>
      </c>
      <c r="I975" s="36">
        <v>1</v>
      </c>
      <c r="J975" s="36" t="s">
        <v>5895</v>
      </c>
      <c r="K975" s="36" t="s">
        <v>7196</v>
      </c>
      <c r="L975" s="36" t="b">
        <v>0</v>
      </c>
    </row>
    <row r="976" spans="1:12" ht="12.75">
      <c r="A976" s="448">
        <v>45294.877356736106</v>
      </c>
      <c r="B976" s="449">
        <v>45304</v>
      </c>
      <c r="C976" s="36" t="s">
        <v>3383</v>
      </c>
      <c r="D976" s="450">
        <v>0.83333333333575865</v>
      </c>
      <c r="E976" s="36" t="s">
        <v>8559</v>
      </c>
      <c r="F976" s="36" t="s">
        <v>8569</v>
      </c>
      <c r="G976" s="36" t="s">
        <v>2625</v>
      </c>
      <c r="H976" s="36" t="s">
        <v>2487</v>
      </c>
      <c r="I976" s="36">
        <v>3</v>
      </c>
      <c r="J976" s="36" t="s">
        <v>5895</v>
      </c>
      <c r="K976" s="36" t="s">
        <v>8565</v>
      </c>
      <c r="L976" s="36" t="b">
        <v>0</v>
      </c>
    </row>
    <row r="977" spans="1:12" ht="12.75">
      <c r="A977" s="448">
        <v>45295.592608993058</v>
      </c>
      <c r="B977" s="449">
        <v>45289</v>
      </c>
      <c r="C977" s="36" t="s">
        <v>3383</v>
      </c>
      <c r="D977" s="450">
        <v>0.75</v>
      </c>
      <c r="E977" s="36" t="s">
        <v>8570</v>
      </c>
      <c r="F977" s="36" t="s">
        <v>8571</v>
      </c>
      <c r="G977" s="36" t="s">
        <v>2380</v>
      </c>
      <c r="H977" s="36" t="s">
        <v>1870</v>
      </c>
      <c r="I977" s="36">
        <v>1</v>
      </c>
      <c r="J977" s="36" t="s">
        <v>5895</v>
      </c>
      <c r="K977" s="36" t="s">
        <v>8572</v>
      </c>
      <c r="L977" s="36" t="b">
        <v>0</v>
      </c>
    </row>
    <row r="978" spans="1:12" ht="12.75">
      <c r="A978" s="448">
        <v>45295.772307974534</v>
      </c>
      <c r="B978" s="449">
        <v>45290</v>
      </c>
      <c r="C978" s="36" t="s">
        <v>12</v>
      </c>
      <c r="D978" s="450">
        <v>0.66666666666424135</v>
      </c>
      <c r="E978" s="36" t="s">
        <v>7946</v>
      </c>
      <c r="F978" s="36" t="s">
        <v>8573</v>
      </c>
      <c r="G978" s="36" t="s">
        <v>6402</v>
      </c>
      <c r="H978" s="36" t="s">
        <v>6880</v>
      </c>
      <c r="I978" s="36">
        <v>1</v>
      </c>
      <c r="J978" s="36" t="s">
        <v>5895</v>
      </c>
      <c r="K978" s="36" t="s">
        <v>8574</v>
      </c>
      <c r="L978" s="36" t="b">
        <v>0</v>
      </c>
    </row>
    <row r="979" spans="1:12" ht="12.75">
      <c r="A979" s="448">
        <v>45295.774321898149</v>
      </c>
      <c r="B979" s="449">
        <v>45291</v>
      </c>
      <c r="C979" s="36" t="s">
        <v>12</v>
      </c>
      <c r="D979" s="450">
        <v>0.66666666666424135</v>
      </c>
      <c r="E979" s="36" t="s">
        <v>7946</v>
      </c>
      <c r="F979" s="36" t="s">
        <v>8575</v>
      </c>
      <c r="G979" s="36" t="s">
        <v>6402</v>
      </c>
      <c r="H979" s="36" t="s">
        <v>8576</v>
      </c>
      <c r="I979" s="36">
        <v>2</v>
      </c>
      <c r="J979" s="36" t="s">
        <v>5895</v>
      </c>
      <c r="K979" s="36" t="s">
        <v>8139</v>
      </c>
      <c r="L979" s="36" t="b">
        <v>0</v>
      </c>
    </row>
    <row r="980" spans="1:12" ht="12.75">
      <c r="A980" s="448">
        <v>45295.934917256949</v>
      </c>
      <c r="B980" s="449">
        <v>45297</v>
      </c>
      <c r="C980" s="36" t="s">
        <v>3383</v>
      </c>
      <c r="D980" s="450">
        <v>0.41666666666424135</v>
      </c>
      <c r="E980" s="36" t="s">
        <v>8116</v>
      </c>
      <c r="F980" s="36" t="s">
        <v>8577</v>
      </c>
      <c r="G980" s="36" t="s">
        <v>2625</v>
      </c>
      <c r="H980" s="36" t="s">
        <v>8530</v>
      </c>
      <c r="I980" s="36">
        <v>2</v>
      </c>
      <c r="J980" s="36" t="s">
        <v>5895</v>
      </c>
      <c r="K980" s="36" t="s">
        <v>8565</v>
      </c>
      <c r="L980" s="36" t="b">
        <v>0</v>
      </c>
    </row>
    <row r="981" spans="1:12" ht="12.75">
      <c r="A981" s="448">
        <v>45295.975761527778</v>
      </c>
      <c r="B981" s="449">
        <v>45295</v>
      </c>
      <c r="C981" s="36" t="s">
        <v>3383</v>
      </c>
      <c r="D981" s="450">
        <v>0.75</v>
      </c>
      <c r="E981" s="36" t="s">
        <v>8578</v>
      </c>
      <c r="F981" s="36">
        <v>20</v>
      </c>
      <c r="G981" s="36" t="s">
        <v>2366</v>
      </c>
      <c r="H981" s="36" t="s">
        <v>2370</v>
      </c>
      <c r="I981" s="36">
        <v>1</v>
      </c>
      <c r="J981" s="36" t="s">
        <v>5895</v>
      </c>
      <c r="K981" s="36" t="s">
        <v>8579</v>
      </c>
      <c r="L981" s="36" t="b">
        <v>0</v>
      </c>
    </row>
    <row r="982" spans="1:12" ht="12.75">
      <c r="A982" s="448">
        <v>45296.389157546291</v>
      </c>
      <c r="B982" s="449">
        <v>45295</v>
      </c>
      <c r="C982" s="36" t="s">
        <v>3383</v>
      </c>
      <c r="D982" s="450">
        <v>0.79166666666424135</v>
      </c>
      <c r="E982" s="36" t="s">
        <v>8580</v>
      </c>
      <c r="F982" s="36" t="s">
        <v>8581</v>
      </c>
      <c r="G982" s="36" t="s">
        <v>2475</v>
      </c>
      <c r="H982" s="36" t="s">
        <v>6113</v>
      </c>
      <c r="I982" s="36">
        <v>1</v>
      </c>
      <c r="J982" s="36" t="s">
        <v>5895</v>
      </c>
      <c r="K982" s="36" t="s">
        <v>8582</v>
      </c>
      <c r="L982" s="36" t="b">
        <v>0</v>
      </c>
    </row>
    <row r="983" spans="1:12" ht="12.75">
      <c r="A983" s="448">
        <v>45296.610226597222</v>
      </c>
      <c r="B983" s="449">
        <v>45297</v>
      </c>
      <c r="C983" s="36" t="s">
        <v>3383</v>
      </c>
      <c r="D983" s="450">
        <v>0.45833333333575865</v>
      </c>
      <c r="E983" s="36" t="s">
        <v>8583</v>
      </c>
      <c r="F983" s="36" t="s">
        <v>8584</v>
      </c>
      <c r="G983" s="36" t="s">
        <v>2798</v>
      </c>
      <c r="H983" s="36" t="s">
        <v>8585</v>
      </c>
      <c r="I983" s="36">
        <v>1</v>
      </c>
      <c r="J983" s="36" t="s">
        <v>5895</v>
      </c>
      <c r="K983" s="36" t="s">
        <v>8586</v>
      </c>
      <c r="L983" s="36" t="b">
        <v>0</v>
      </c>
    </row>
    <row r="984" spans="1:12" ht="12.75">
      <c r="A984" s="448">
        <v>45296.722139085643</v>
      </c>
      <c r="B984" s="449">
        <v>45297</v>
      </c>
      <c r="C984" s="36" t="s">
        <v>3383</v>
      </c>
      <c r="D984" s="450">
        <v>0.41666666666424135</v>
      </c>
      <c r="E984" s="36" t="s">
        <v>8587</v>
      </c>
      <c r="F984" s="36" t="s">
        <v>8588</v>
      </c>
      <c r="G984" s="36" t="s">
        <v>8589</v>
      </c>
      <c r="H984" s="36" t="s">
        <v>8590</v>
      </c>
      <c r="I984" s="36">
        <v>1</v>
      </c>
      <c r="J984" s="36" t="s">
        <v>5895</v>
      </c>
      <c r="K984" s="36" t="s">
        <v>8591</v>
      </c>
      <c r="L984" s="36" t="b">
        <v>0</v>
      </c>
    </row>
    <row r="985" spans="1:12" ht="12.75">
      <c r="A985" s="448">
        <v>45297.018459675921</v>
      </c>
      <c r="B985" s="449">
        <v>45296</v>
      </c>
      <c r="C985" s="36" t="s">
        <v>3388</v>
      </c>
      <c r="D985" s="450">
        <v>0.85416666666424135</v>
      </c>
      <c r="E985" s="36" t="s">
        <v>8592</v>
      </c>
      <c r="F985" s="36" t="s">
        <v>8593</v>
      </c>
      <c r="G985" s="36" t="s">
        <v>1042</v>
      </c>
      <c r="H985" s="36" t="s">
        <v>5906</v>
      </c>
      <c r="I985" s="36">
        <v>1</v>
      </c>
      <c r="J985" s="36" t="s">
        <v>5895</v>
      </c>
      <c r="K985" s="36" t="s">
        <v>5923</v>
      </c>
      <c r="L985" s="36" t="b">
        <v>0</v>
      </c>
    </row>
    <row r="986" spans="1:12" ht="12.75">
      <c r="A986" s="448">
        <v>45297.037546724532</v>
      </c>
      <c r="B986" s="449">
        <v>44929</v>
      </c>
      <c r="C986" s="36" t="s">
        <v>3383</v>
      </c>
      <c r="D986" s="450">
        <v>0.66666666666424135</v>
      </c>
      <c r="E986" s="36" t="s">
        <v>7875</v>
      </c>
      <c r="F986" s="36" t="s">
        <v>8594</v>
      </c>
      <c r="G986" s="36" t="s">
        <v>860</v>
      </c>
      <c r="H986" s="36" t="s">
        <v>8595</v>
      </c>
      <c r="I986" s="36">
        <v>1</v>
      </c>
      <c r="J986" s="36" t="s">
        <v>5895</v>
      </c>
      <c r="K986" s="36" t="s">
        <v>7196</v>
      </c>
      <c r="L986" s="36" t="b">
        <v>0</v>
      </c>
    </row>
    <row r="987" spans="1:12" ht="12.75">
      <c r="A987" s="448">
        <v>45297.331861030092</v>
      </c>
      <c r="B987" s="449">
        <v>45297</v>
      </c>
      <c r="C987" s="36" t="s">
        <v>12</v>
      </c>
      <c r="D987" s="450">
        <v>0.45833333333575865</v>
      </c>
      <c r="E987" s="36" t="s">
        <v>8473</v>
      </c>
      <c r="F987" s="36" t="s">
        <v>8596</v>
      </c>
      <c r="G987" s="36" t="s">
        <v>148</v>
      </c>
      <c r="H987" s="36" t="s">
        <v>1669</v>
      </c>
      <c r="I987" s="36">
        <v>1</v>
      </c>
      <c r="J987" s="36" t="s">
        <v>5895</v>
      </c>
      <c r="K987" s="36" t="s">
        <v>8597</v>
      </c>
      <c r="L987" s="36" t="b">
        <v>0</v>
      </c>
    </row>
    <row r="988" spans="1:12" ht="12.75">
      <c r="A988" s="448">
        <v>45297.871841747685</v>
      </c>
      <c r="B988" s="449">
        <v>45302</v>
      </c>
      <c r="C988" s="36" t="s">
        <v>3383</v>
      </c>
      <c r="D988" s="450">
        <v>0.79166666666424135</v>
      </c>
      <c r="E988" s="36" t="s">
        <v>8598</v>
      </c>
      <c r="F988" s="36" t="s">
        <v>8599</v>
      </c>
      <c r="G988" s="36" t="s">
        <v>2461</v>
      </c>
      <c r="H988" s="36" t="s">
        <v>8600</v>
      </c>
      <c r="I988" s="36">
        <v>1</v>
      </c>
      <c r="J988" s="36" t="s">
        <v>5895</v>
      </c>
      <c r="K988" s="36" t="s">
        <v>8601</v>
      </c>
      <c r="L988" s="36" t="b">
        <v>0</v>
      </c>
    </row>
    <row r="989" spans="1:12" ht="12.75">
      <c r="A989" s="448">
        <v>45297.872735729165</v>
      </c>
      <c r="B989" s="449">
        <v>45304</v>
      </c>
      <c r="C989" s="36" t="s">
        <v>3383</v>
      </c>
      <c r="D989" s="450">
        <v>0.79166666666424135</v>
      </c>
      <c r="E989" s="36" t="s">
        <v>8598</v>
      </c>
      <c r="F989" s="36" t="s">
        <v>8602</v>
      </c>
      <c r="G989" s="36" t="s">
        <v>2461</v>
      </c>
      <c r="H989" s="36" t="s">
        <v>8603</v>
      </c>
      <c r="I989" s="36">
        <v>2</v>
      </c>
      <c r="J989" s="36" t="s">
        <v>5895</v>
      </c>
      <c r="K989" s="36" t="s">
        <v>8601</v>
      </c>
      <c r="L989" s="36" t="b">
        <v>0</v>
      </c>
    </row>
    <row r="990" spans="1:12" ht="12.75">
      <c r="A990" s="448">
        <v>45297.931509803238</v>
      </c>
      <c r="B990" s="449">
        <v>45293</v>
      </c>
      <c r="C990" s="36" t="s">
        <v>14</v>
      </c>
      <c r="D990" s="450">
        <v>0.75</v>
      </c>
      <c r="E990" s="36" t="s">
        <v>8250</v>
      </c>
      <c r="F990" s="36" t="s">
        <v>8604</v>
      </c>
      <c r="G990" s="36" t="s">
        <v>8243</v>
      </c>
      <c r="H990" s="36" t="s">
        <v>2004</v>
      </c>
      <c r="I990" s="36">
        <v>1</v>
      </c>
      <c r="J990" s="36" t="s">
        <v>5895</v>
      </c>
      <c r="K990" s="36" t="s">
        <v>5943</v>
      </c>
      <c r="L990" s="36" t="b">
        <v>0</v>
      </c>
    </row>
    <row r="991" spans="1:12" ht="12.75">
      <c r="A991" s="448">
        <v>45297.932366400462</v>
      </c>
      <c r="B991" s="449">
        <v>45293</v>
      </c>
      <c r="C991" s="36" t="s">
        <v>14</v>
      </c>
      <c r="D991" s="450">
        <v>0.82291666666424135</v>
      </c>
      <c r="E991" s="36" t="s">
        <v>8605</v>
      </c>
      <c r="F991" s="36" t="s">
        <v>8606</v>
      </c>
      <c r="G991" s="36" t="s">
        <v>1867</v>
      </c>
      <c r="H991" s="36" t="s">
        <v>2004</v>
      </c>
      <c r="I991" s="36">
        <v>2</v>
      </c>
      <c r="J991" s="36" t="s">
        <v>5895</v>
      </c>
      <c r="K991" s="36" t="s">
        <v>5943</v>
      </c>
      <c r="L991" s="36" t="b">
        <v>0</v>
      </c>
    </row>
    <row r="992" spans="1:12" ht="12.75">
      <c r="A992" s="448">
        <v>45297.933538020836</v>
      </c>
      <c r="B992" s="449">
        <v>45295</v>
      </c>
      <c r="C992" s="36" t="s">
        <v>14</v>
      </c>
      <c r="D992" s="450">
        <v>0.79166666666424135</v>
      </c>
      <c r="E992" s="36" t="s">
        <v>8605</v>
      </c>
      <c r="F992" s="36" t="s">
        <v>8607</v>
      </c>
      <c r="G992" s="36" t="s">
        <v>8243</v>
      </c>
      <c r="H992" s="36" t="s">
        <v>1669</v>
      </c>
      <c r="I992" s="36">
        <v>3</v>
      </c>
      <c r="J992" s="36" t="s">
        <v>5895</v>
      </c>
      <c r="K992" s="36" t="s">
        <v>5943</v>
      </c>
      <c r="L992" s="36" t="b">
        <v>0</v>
      </c>
    </row>
    <row r="993" spans="1:12" ht="12.75">
      <c r="A993" s="448">
        <v>45297.934985</v>
      </c>
      <c r="B993" s="449">
        <v>45295</v>
      </c>
      <c r="C993" s="36" t="s">
        <v>14</v>
      </c>
      <c r="D993" s="450">
        <v>0.75</v>
      </c>
      <c r="E993" s="36" t="s">
        <v>8250</v>
      </c>
      <c r="F993" s="36" t="s">
        <v>8608</v>
      </c>
      <c r="G993" s="36" t="s">
        <v>8243</v>
      </c>
      <c r="H993" s="36" t="s">
        <v>8609</v>
      </c>
      <c r="I993" s="36">
        <v>4</v>
      </c>
      <c r="J993" s="36" t="s">
        <v>5895</v>
      </c>
      <c r="K993" s="36" t="s">
        <v>5943</v>
      </c>
      <c r="L993" s="36" t="b">
        <v>0</v>
      </c>
    </row>
    <row r="994" spans="1:12" ht="12.75">
      <c r="A994" s="448">
        <v>45299.687818078703</v>
      </c>
      <c r="B994" s="449">
        <v>45295</v>
      </c>
      <c r="C994" s="36" t="s">
        <v>3388</v>
      </c>
      <c r="D994" s="450">
        <v>0.79166666666424135</v>
      </c>
      <c r="E994" s="36" t="s">
        <v>8385</v>
      </c>
      <c r="F994" s="36" t="s">
        <v>8610</v>
      </c>
      <c r="G994" s="36" t="s">
        <v>2497</v>
      </c>
      <c r="H994" s="36" t="s">
        <v>2330</v>
      </c>
      <c r="I994" s="36">
        <v>1</v>
      </c>
      <c r="J994" s="36" t="s">
        <v>5895</v>
      </c>
      <c r="K994" s="36" t="s">
        <v>8611</v>
      </c>
      <c r="L994" s="36" t="b">
        <v>0</v>
      </c>
    </row>
    <row r="995" spans="1:12" ht="12.75">
      <c r="A995" s="448">
        <v>45299.809065416666</v>
      </c>
      <c r="B995" s="449">
        <v>45299</v>
      </c>
      <c r="C995" s="36" t="s">
        <v>3388</v>
      </c>
      <c r="D995" s="450">
        <v>0.79166666666424135</v>
      </c>
      <c r="E995" s="36" t="s">
        <v>7774</v>
      </c>
      <c r="F995" s="36" t="s">
        <v>8612</v>
      </c>
      <c r="G995" s="36" t="s">
        <v>1322</v>
      </c>
      <c r="H995" s="36" t="s">
        <v>6128</v>
      </c>
      <c r="I995" s="36">
        <v>2</v>
      </c>
      <c r="J995" s="36" t="s">
        <v>5895</v>
      </c>
      <c r="K995" s="36" t="s">
        <v>7349</v>
      </c>
      <c r="L995" s="36" t="b">
        <v>0</v>
      </c>
    </row>
    <row r="996" spans="1:12" ht="12.75">
      <c r="A996" s="448">
        <v>45299.834125254631</v>
      </c>
      <c r="B996" s="449">
        <v>45303</v>
      </c>
      <c r="C996" s="36" t="s">
        <v>3383</v>
      </c>
      <c r="D996" s="450">
        <v>0.75</v>
      </c>
      <c r="E996" s="36" t="s">
        <v>8613</v>
      </c>
      <c r="F996" s="36" t="s">
        <v>8614</v>
      </c>
      <c r="G996" s="36" t="s">
        <v>341</v>
      </c>
      <c r="H996" s="36" t="s">
        <v>2578</v>
      </c>
      <c r="I996" s="36">
        <v>1</v>
      </c>
      <c r="J996" s="36" t="s">
        <v>5895</v>
      </c>
      <c r="K996" s="36" t="s">
        <v>8615</v>
      </c>
      <c r="L996" s="36" t="b">
        <v>0</v>
      </c>
    </row>
    <row r="997" spans="1:12" ht="12.75">
      <c r="A997" s="448">
        <v>45300.329513680554</v>
      </c>
      <c r="B997" s="449">
        <v>45298</v>
      </c>
      <c r="C997" s="36" t="s">
        <v>3388</v>
      </c>
      <c r="D997" s="450">
        <v>0.45833333333575865</v>
      </c>
      <c r="E997" s="36" t="s">
        <v>8015</v>
      </c>
      <c r="F997" s="36" t="s">
        <v>8616</v>
      </c>
      <c r="G997" s="36" t="s">
        <v>2010</v>
      </c>
      <c r="H997" s="36" t="s">
        <v>6606</v>
      </c>
      <c r="I997" s="36">
        <v>1</v>
      </c>
      <c r="J997" s="36" t="s">
        <v>5895</v>
      </c>
      <c r="K997" s="36" t="s">
        <v>8617</v>
      </c>
      <c r="L997" s="36" t="b">
        <v>0</v>
      </c>
    </row>
    <row r="998" spans="1:12" ht="12.75">
      <c r="A998" s="448">
        <v>45300.330539340277</v>
      </c>
      <c r="B998" s="449">
        <v>45298</v>
      </c>
      <c r="C998" s="36" t="s">
        <v>3388</v>
      </c>
      <c r="D998" s="450">
        <v>0.41666666666424135</v>
      </c>
      <c r="E998" s="36" t="s">
        <v>8405</v>
      </c>
      <c r="F998" s="36" t="s">
        <v>8618</v>
      </c>
      <c r="G998" s="36" t="s">
        <v>2010</v>
      </c>
      <c r="H998" s="36" t="s">
        <v>8149</v>
      </c>
      <c r="I998" s="36">
        <v>1</v>
      </c>
      <c r="J998" s="36" t="s">
        <v>5895</v>
      </c>
      <c r="K998" s="36" t="s">
        <v>8617</v>
      </c>
      <c r="L998" s="36" t="b">
        <v>0</v>
      </c>
    </row>
    <row r="999" spans="1:12" ht="12.75">
      <c r="A999" s="448">
        <v>45301.462856307873</v>
      </c>
      <c r="B999" s="449">
        <v>45303</v>
      </c>
      <c r="C999" s="36" t="s">
        <v>13</v>
      </c>
      <c r="D999" s="450">
        <v>0.79166666666424135</v>
      </c>
      <c r="E999" s="36" t="s">
        <v>8619</v>
      </c>
      <c r="F999" s="36">
        <v>25</v>
      </c>
      <c r="G999" s="36" t="s">
        <v>8620</v>
      </c>
      <c r="H999" s="36" t="s">
        <v>354</v>
      </c>
      <c r="I999" s="36">
        <v>1</v>
      </c>
      <c r="J999" s="36" t="s">
        <v>5895</v>
      </c>
      <c r="K999" s="36" t="s">
        <v>8621</v>
      </c>
      <c r="L999" s="36" t="b">
        <v>0</v>
      </c>
    </row>
    <row r="1000" spans="1:12" ht="12.75">
      <c r="A1000" s="448">
        <v>45302.524041192126</v>
      </c>
      <c r="B1000" s="449">
        <v>45301</v>
      </c>
      <c r="C1000" s="36" t="s">
        <v>3388</v>
      </c>
      <c r="D1000" s="450">
        <v>0.75</v>
      </c>
      <c r="E1000" s="36" t="s">
        <v>8622</v>
      </c>
      <c r="F1000" s="36" t="s">
        <v>8623</v>
      </c>
      <c r="G1000" s="36" t="s">
        <v>2129</v>
      </c>
      <c r="H1000" s="36" t="s">
        <v>7613</v>
      </c>
      <c r="I1000" s="36">
        <v>1</v>
      </c>
      <c r="J1000" s="36" t="s">
        <v>5895</v>
      </c>
      <c r="K1000" s="36" t="s">
        <v>8624</v>
      </c>
      <c r="L1000" s="36" t="b">
        <v>0</v>
      </c>
    </row>
    <row r="1001" spans="1:12" ht="12.75">
      <c r="A1001" s="448">
        <v>45302.546605104166</v>
      </c>
      <c r="B1001" s="449" t="s">
        <v>8625</v>
      </c>
      <c r="C1001" s="36" t="s">
        <v>3383</v>
      </c>
      <c r="D1001" s="450">
        <v>0.66666666666424135</v>
      </c>
      <c r="E1001" s="36" t="s">
        <v>8626</v>
      </c>
      <c r="F1001" s="36" t="s">
        <v>8627</v>
      </c>
      <c r="G1001" s="36" t="s">
        <v>2188</v>
      </c>
      <c r="H1001" s="36" t="s">
        <v>8628</v>
      </c>
      <c r="I1001" s="36">
        <v>1</v>
      </c>
      <c r="J1001" s="36" t="s">
        <v>5895</v>
      </c>
      <c r="K1001" s="36" t="s">
        <v>8629</v>
      </c>
      <c r="L1001" s="36" t="b">
        <v>0</v>
      </c>
    </row>
    <row r="1002" spans="1:12" ht="12.75">
      <c r="A1002" s="448">
        <v>45302.582751817128</v>
      </c>
      <c r="B1002" s="449">
        <v>45299</v>
      </c>
      <c r="C1002" s="36" t="s">
        <v>3388</v>
      </c>
      <c r="D1002" s="450">
        <v>0.79166666666424135</v>
      </c>
      <c r="E1002" s="36" t="s">
        <v>8630</v>
      </c>
      <c r="F1002" s="36" t="s">
        <v>8631</v>
      </c>
      <c r="G1002" s="36" t="s">
        <v>1309</v>
      </c>
      <c r="H1002" s="36" t="s">
        <v>6606</v>
      </c>
      <c r="I1002" s="36">
        <v>1</v>
      </c>
      <c r="J1002" s="36" t="s">
        <v>5895</v>
      </c>
      <c r="K1002" s="36" t="s">
        <v>78</v>
      </c>
      <c r="L1002" s="36" t="b">
        <v>0</v>
      </c>
    </row>
    <row r="1003" spans="1:12" ht="12.75">
      <c r="A1003" s="448">
        <v>45302.584266122685</v>
      </c>
      <c r="B1003" s="449">
        <v>45300</v>
      </c>
      <c r="C1003" s="36" t="s">
        <v>3388</v>
      </c>
      <c r="D1003" s="450">
        <v>0.79166666666424135</v>
      </c>
      <c r="E1003" s="36" t="s">
        <v>8632</v>
      </c>
      <c r="F1003" s="36" t="s">
        <v>8633</v>
      </c>
      <c r="G1003" s="36" t="s">
        <v>1309</v>
      </c>
      <c r="H1003" s="36" t="s">
        <v>8634</v>
      </c>
      <c r="I1003" s="36">
        <v>2</v>
      </c>
      <c r="J1003" s="36" t="s">
        <v>5895</v>
      </c>
      <c r="K1003" s="36" t="s">
        <v>8635</v>
      </c>
      <c r="L1003" s="36" t="b">
        <v>0</v>
      </c>
    </row>
    <row r="1004" spans="1:12" ht="12.75">
      <c r="A1004" s="448">
        <v>45303.82978832176</v>
      </c>
      <c r="B1004" s="449">
        <v>45305</v>
      </c>
      <c r="C1004" s="36" t="s">
        <v>13</v>
      </c>
      <c r="D1004" s="450">
        <v>0.77083333333575865</v>
      </c>
      <c r="E1004" s="36" t="s">
        <v>8636</v>
      </c>
      <c r="F1004" s="36" t="s">
        <v>8637</v>
      </c>
      <c r="G1004" s="36" t="s">
        <v>8620</v>
      </c>
      <c r="H1004" s="36" t="s">
        <v>8638</v>
      </c>
      <c r="I1004" s="36">
        <v>2</v>
      </c>
      <c r="J1004" s="36" t="s">
        <v>5895</v>
      </c>
      <c r="K1004" s="36" t="s">
        <v>8621</v>
      </c>
      <c r="L1004" s="36" t="b">
        <v>0</v>
      </c>
    </row>
    <row r="1005" spans="1:12" ht="12.75">
      <c r="A1005" s="448">
        <v>45304.071348865742</v>
      </c>
      <c r="B1005" s="449">
        <v>45304</v>
      </c>
      <c r="C1005" s="36" t="s">
        <v>3388</v>
      </c>
      <c r="D1005" s="450">
        <v>0.5</v>
      </c>
      <c r="E1005" s="36" t="s">
        <v>7751</v>
      </c>
      <c r="F1005" s="36" t="s">
        <v>8639</v>
      </c>
      <c r="G1005" s="36" t="s">
        <v>1158</v>
      </c>
      <c r="H1005" s="36" t="s">
        <v>725</v>
      </c>
      <c r="I1005" s="36">
        <v>1</v>
      </c>
      <c r="J1005" s="36" t="s">
        <v>5895</v>
      </c>
      <c r="K1005" s="36" t="s">
        <v>7924</v>
      </c>
      <c r="L1005" s="36" t="b">
        <v>0</v>
      </c>
    </row>
    <row r="1006" spans="1:12" ht="12.75">
      <c r="A1006" s="448">
        <v>45304.072779155089</v>
      </c>
      <c r="B1006" s="449">
        <v>45304</v>
      </c>
      <c r="C1006" s="36" t="s">
        <v>3388</v>
      </c>
      <c r="D1006" s="450">
        <v>0.56597222221898846</v>
      </c>
      <c r="E1006" s="36" t="s">
        <v>8131</v>
      </c>
      <c r="F1006" s="36" t="s">
        <v>8640</v>
      </c>
      <c r="G1006" s="36" t="s">
        <v>1158</v>
      </c>
      <c r="H1006" s="36" t="s">
        <v>725</v>
      </c>
      <c r="I1006" s="36">
        <v>2</v>
      </c>
      <c r="J1006" s="36" t="s">
        <v>5895</v>
      </c>
      <c r="K1006" s="36" t="s">
        <v>7924</v>
      </c>
      <c r="L1006" s="36" t="b">
        <v>0</v>
      </c>
    </row>
    <row r="1007" spans="1:12" ht="12.75">
      <c r="A1007" s="448">
        <v>45304.07378608796</v>
      </c>
      <c r="B1007" s="449">
        <v>45304</v>
      </c>
      <c r="C1007" s="36" t="s">
        <v>3388</v>
      </c>
      <c r="D1007" s="450">
        <v>0.66666666666424135</v>
      </c>
      <c r="E1007" s="36" t="s">
        <v>8641</v>
      </c>
      <c r="F1007" s="36" t="s">
        <v>8642</v>
      </c>
      <c r="G1007" s="36" t="s">
        <v>1158</v>
      </c>
      <c r="H1007" s="36" t="s">
        <v>725</v>
      </c>
      <c r="I1007" s="36">
        <v>3</v>
      </c>
      <c r="J1007" s="36" t="s">
        <v>5895</v>
      </c>
      <c r="K1007" s="36" t="s">
        <v>5951</v>
      </c>
      <c r="L1007" s="36" t="b">
        <v>0</v>
      </c>
    </row>
    <row r="1008" spans="1:12" ht="12.75">
      <c r="A1008" s="448">
        <v>45304.736788877315</v>
      </c>
      <c r="B1008" s="449">
        <v>45304</v>
      </c>
      <c r="C1008" s="36" t="s">
        <v>3383</v>
      </c>
      <c r="D1008" s="450">
        <v>0.41666666666424135</v>
      </c>
      <c r="E1008" s="36" t="s">
        <v>8489</v>
      </c>
      <c r="F1008" s="36" t="s">
        <v>8643</v>
      </c>
      <c r="G1008" s="36" t="s">
        <v>2339</v>
      </c>
      <c r="H1008" s="36" t="s">
        <v>8644</v>
      </c>
      <c r="I1008" s="36">
        <v>1</v>
      </c>
      <c r="J1008" s="36" t="s">
        <v>5895</v>
      </c>
      <c r="K1008" s="36" t="s">
        <v>7349</v>
      </c>
      <c r="L1008" s="36" t="b">
        <v>0</v>
      </c>
    </row>
    <row r="1009" spans="1:12" ht="12.75">
      <c r="A1009" s="448">
        <v>45304.815041516209</v>
      </c>
      <c r="B1009" s="449">
        <v>45299</v>
      </c>
      <c r="C1009" s="36" t="s">
        <v>3383</v>
      </c>
      <c r="D1009" s="450">
        <v>0.70833333333575865</v>
      </c>
      <c r="E1009" s="36" t="s">
        <v>8645</v>
      </c>
      <c r="F1009" s="36" t="s">
        <v>8646</v>
      </c>
      <c r="G1009" s="36" t="s">
        <v>7165</v>
      </c>
      <c r="H1009" s="36" t="s">
        <v>6947</v>
      </c>
      <c r="I1009" s="36">
        <v>1</v>
      </c>
      <c r="J1009" s="36" t="s">
        <v>5895</v>
      </c>
      <c r="K1009" s="36" t="s">
        <v>8647</v>
      </c>
      <c r="L1009" s="36" t="b">
        <v>0</v>
      </c>
    </row>
    <row r="1010" spans="1:12" ht="12.75">
      <c r="A1010" s="448">
        <v>45305.532750486112</v>
      </c>
      <c r="B1010" s="449">
        <v>45306</v>
      </c>
      <c r="C1010" s="36" t="s">
        <v>3383</v>
      </c>
      <c r="D1010" s="450">
        <v>0.79166666666424135</v>
      </c>
      <c r="E1010" s="36" t="s">
        <v>8648</v>
      </c>
      <c r="F1010" s="36" t="s">
        <v>8649</v>
      </c>
      <c r="G1010" s="36" t="s">
        <v>8650</v>
      </c>
      <c r="H1010" s="36" t="s">
        <v>8651</v>
      </c>
      <c r="I1010" s="36">
        <v>1</v>
      </c>
      <c r="J1010" s="36" t="s">
        <v>5895</v>
      </c>
      <c r="K1010" s="36" t="s">
        <v>6255</v>
      </c>
      <c r="L1010" s="36" t="b">
        <v>0</v>
      </c>
    </row>
    <row r="1011" spans="1:12" ht="12.75">
      <c r="A1011" s="448">
        <v>45305.602101979166</v>
      </c>
      <c r="B1011" s="449">
        <v>45305</v>
      </c>
      <c r="C1011" s="36" t="s">
        <v>3388</v>
      </c>
      <c r="D1011" s="450">
        <v>0.79166666666424135</v>
      </c>
      <c r="E1011" s="36" t="s">
        <v>8652</v>
      </c>
      <c r="F1011" s="36" t="s">
        <v>8653</v>
      </c>
      <c r="G1011" s="36" t="s">
        <v>725</v>
      </c>
      <c r="H1011" s="36" t="s">
        <v>1158</v>
      </c>
      <c r="I1011" s="36">
        <v>1</v>
      </c>
      <c r="J1011" s="36" t="s">
        <v>5895</v>
      </c>
      <c r="K1011" s="36" t="s">
        <v>6122</v>
      </c>
      <c r="L1011" s="36" t="b">
        <v>0</v>
      </c>
    </row>
    <row r="1012" spans="1:12" ht="12.75">
      <c r="A1012" s="448">
        <v>45306.822396076386</v>
      </c>
      <c r="B1012" s="449">
        <v>45310</v>
      </c>
      <c r="C1012" s="36" t="s">
        <v>14</v>
      </c>
      <c r="D1012" s="450">
        <v>0.75</v>
      </c>
      <c r="E1012" s="36" t="s">
        <v>8654</v>
      </c>
      <c r="F1012" s="36" t="s">
        <v>8655</v>
      </c>
      <c r="G1012" s="36" t="s">
        <v>1677</v>
      </c>
      <c r="H1012" s="36" t="s">
        <v>8656</v>
      </c>
      <c r="I1012" s="36">
        <v>1</v>
      </c>
      <c r="J1012" s="36" t="s">
        <v>5895</v>
      </c>
      <c r="K1012" s="36" t="s">
        <v>5943</v>
      </c>
      <c r="L1012" s="36" t="b">
        <v>0</v>
      </c>
    </row>
    <row r="1013" spans="1:12" ht="12.75">
      <c r="A1013" s="448">
        <v>45306.914414803236</v>
      </c>
      <c r="B1013" s="449">
        <v>45307</v>
      </c>
      <c r="C1013" s="36" t="s">
        <v>11</v>
      </c>
      <c r="D1013" s="450">
        <v>0.8125</v>
      </c>
      <c r="E1013" s="36" t="s">
        <v>8657</v>
      </c>
      <c r="F1013" s="36">
        <v>17</v>
      </c>
      <c r="G1013" s="36" t="s">
        <v>8658</v>
      </c>
      <c r="H1013" s="36" t="s">
        <v>1969</v>
      </c>
      <c r="I1013" s="36">
        <v>1</v>
      </c>
      <c r="J1013" s="36" t="s">
        <v>5895</v>
      </c>
      <c r="K1013" s="36" t="s">
        <v>6122</v>
      </c>
      <c r="L1013" s="36" t="b">
        <v>0</v>
      </c>
    </row>
    <row r="1014" spans="1:12" ht="12.75">
      <c r="A1014" s="448">
        <v>45307.423156550925</v>
      </c>
      <c r="B1014" s="449">
        <v>45308</v>
      </c>
      <c r="C1014" s="36" t="s">
        <v>8534</v>
      </c>
      <c r="D1014" s="450">
        <v>0.70833333333575865</v>
      </c>
      <c r="E1014" s="36" t="s">
        <v>8659</v>
      </c>
      <c r="F1014" s="36" t="s">
        <v>8660</v>
      </c>
      <c r="G1014" s="36" t="s">
        <v>2782</v>
      </c>
      <c r="H1014" s="36" t="s">
        <v>2636</v>
      </c>
      <c r="I1014" s="36">
        <v>1</v>
      </c>
      <c r="J1014" s="36" t="s">
        <v>5895</v>
      </c>
      <c r="K1014" s="36" t="s">
        <v>8661</v>
      </c>
      <c r="L1014" s="36" t="b">
        <v>0</v>
      </c>
    </row>
    <row r="1015" spans="1:12" ht="12.75">
      <c r="A1015" s="448">
        <v>45308.519304560185</v>
      </c>
      <c r="B1015" s="449">
        <v>45308</v>
      </c>
      <c r="C1015" s="36" t="s">
        <v>3383</v>
      </c>
      <c r="D1015" s="450">
        <v>0.79166666666424135</v>
      </c>
      <c r="E1015" s="36" t="s">
        <v>8648</v>
      </c>
      <c r="F1015" s="36" t="s">
        <v>8662</v>
      </c>
      <c r="G1015" s="36" t="s">
        <v>8663</v>
      </c>
      <c r="H1015" s="36" t="s">
        <v>8664</v>
      </c>
      <c r="I1015" s="36">
        <v>2</v>
      </c>
      <c r="J1015" s="36" t="s">
        <v>5895</v>
      </c>
      <c r="K1015" s="36" t="s">
        <v>6255</v>
      </c>
      <c r="L1015" s="36" t="b">
        <v>0</v>
      </c>
    </row>
    <row r="1016" spans="1:12" ht="12.75">
      <c r="A1016" s="448">
        <v>45308.91705340278</v>
      </c>
      <c r="B1016" s="449">
        <v>45311</v>
      </c>
      <c r="C1016" s="36" t="s">
        <v>8534</v>
      </c>
      <c r="D1016" s="450">
        <v>0.5</v>
      </c>
      <c r="E1016" s="36" t="s">
        <v>8665</v>
      </c>
      <c r="F1016" s="36" t="s">
        <v>8666</v>
      </c>
      <c r="G1016" s="36" t="s">
        <v>2782</v>
      </c>
      <c r="H1016" s="36" t="s">
        <v>2636</v>
      </c>
      <c r="I1016" s="36">
        <v>2</v>
      </c>
      <c r="J1016" s="36" t="s">
        <v>5895</v>
      </c>
      <c r="K1016" s="36" t="s">
        <v>8667</v>
      </c>
      <c r="L1016" s="36" t="b">
        <v>0</v>
      </c>
    </row>
    <row r="1017" spans="1:12" ht="12.75">
      <c r="A1017" s="448">
        <v>45309.502929675931</v>
      </c>
      <c r="B1017" s="449">
        <v>45311</v>
      </c>
      <c r="C1017" s="36" t="s">
        <v>3383</v>
      </c>
      <c r="D1017" s="450">
        <v>0.41666666666424135</v>
      </c>
      <c r="E1017" s="36" t="s">
        <v>8668</v>
      </c>
      <c r="F1017" s="36" t="s">
        <v>8669</v>
      </c>
      <c r="G1017" s="36" t="s">
        <v>2887</v>
      </c>
      <c r="H1017" s="36" t="s">
        <v>756</v>
      </c>
      <c r="I1017" s="36">
        <v>1</v>
      </c>
      <c r="J1017" s="36" t="s">
        <v>5895</v>
      </c>
      <c r="K1017" s="36" t="s">
        <v>8670</v>
      </c>
      <c r="L1017" s="36" t="b">
        <v>0</v>
      </c>
    </row>
    <row r="1018" spans="1:12" ht="12.75">
      <c r="A1018" s="448">
        <v>45309.552748773145</v>
      </c>
      <c r="B1018" s="449">
        <v>45309</v>
      </c>
      <c r="C1018" s="36" t="s">
        <v>3388</v>
      </c>
      <c r="D1018" s="450">
        <v>0.75</v>
      </c>
      <c r="E1018" s="36" t="s">
        <v>8108</v>
      </c>
      <c r="F1018" s="36" t="s">
        <v>8671</v>
      </c>
      <c r="G1018" s="36" t="s">
        <v>2330</v>
      </c>
      <c r="H1018" s="36" t="s">
        <v>2497</v>
      </c>
      <c r="I1018" s="36">
        <v>1</v>
      </c>
      <c r="J1018" s="36" t="s">
        <v>5895</v>
      </c>
      <c r="K1018" s="36" t="s">
        <v>8672</v>
      </c>
      <c r="L1018" s="36" t="b">
        <v>0</v>
      </c>
    </row>
    <row r="1019" spans="1:12" ht="12.75">
      <c r="A1019" s="448">
        <v>45309.682240104172</v>
      </c>
      <c r="B1019" s="449">
        <v>45309</v>
      </c>
      <c r="C1019" s="36" t="s">
        <v>12</v>
      </c>
      <c r="D1019" s="450">
        <v>0.75</v>
      </c>
      <c r="E1019" s="36" t="s">
        <v>8673</v>
      </c>
      <c r="F1019" s="36" t="s">
        <v>8674</v>
      </c>
      <c r="G1019" s="36" t="s">
        <v>1637</v>
      </c>
      <c r="H1019" s="36" t="s">
        <v>1263</v>
      </c>
      <c r="I1019" s="36">
        <v>1</v>
      </c>
      <c r="J1019" s="36" t="s">
        <v>5895</v>
      </c>
      <c r="K1019" s="36" t="s">
        <v>8675</v>
      </c>
      <c r="L1019" s="36" t="b">
        <v>0</v>
      </c>
    </row>
    <row r="1020" spans="1:12" ht="12.75">
      <c r="A1020" s="448">
        <v>45309.690498020835</v>
      </c>
      <c r="B1020" s="449">
        <v>45302</v>
      </c>
      <c r="C1020" s="36" t="s">
        <v>8534</v>
      </c>
      <c r="D1020" s="450">
        <v>0.75</v>
      </c>
      <c r="E1020" s="36" t="s">
        <v>8676</v>
      </c>
      <c r="F1020" s="36" t="s">
        <v>8677</v>
      </c>
      <c r="G1020" s="36" t="s">
        <v>8678</v>
      </c>
      <c r="H1020" s="36" t="s">
        <v>8679</v>
      </c>
      <c r="I1020" s="36">
        <v>1</v>
      </c>
      <c r="J1020" s="36" t="s">
        <v>5895</v>
      </c>
      <c r="K1020" s="36" t="s">
        <v>7957</v>
      </c>
      <c r="L1020" s="36" t="b">
        <v>0</v>
      </c>
    </row>
    <row r="1021" spans="1:12" ht="12.75">
      <c r="A1021" s="448">
        <v>45309.738784039349</v>
      </c>
      <c r="B1021" s="449">
        <v>45309</v>
      </c>
      <c r="C1021" s="36" t="s">
        <v>3388</v>
      </c>
      <c r="D1021" s="450">
        <v>0.75</v>
      </c>
      <c r="E1021" s="36" t="s">
        <v>8680</v>
      </c>
      <c r="F1021" s="36" t="s">
        <v>8681</v>
      </c>
      <c r="G1021" s="36" t="s">
        <v>844</v>
      </c>
      <c r="H1021" s="36" t="s">
        <v>1257</v>
      </c>
      <c r="I1021" s="36">
        <v>1</v>
      </c>
      <c r="J1021" s="36" t="s">
        <v>5895</v>
      </c>
      <c r="K1021" s="36" t="s">
        <v>8682</v>
      </c>
      <c r="L1021" s="36" t="b">
        <v>0</v>
      </c>
    </row>
    <row r="1022" spans="1:12" ht="12.75">
      <c r="A1022" s="448">
        <v>45310.688189641209</v>
      </c>
      <c r="B1022" s="449">
        <v>45311</v>
      </c>
      <c r="C1022" s="36" t="s">
        <v>3388</v>
      </c>
      <c r="D1022" s="450">
        <v>0.47916666666424135</v>
      </c>
      <c r="E1022" s="36" t="s">
        <v>8683</v>
      </c>
      <c r="F1022" s="36" t="s">
        <v>8684</v>
      </c>
      <c r="G1022" s="36" t="s">
        <v>507</v>
      </c>
      <c r="H1022" s="36" t="s">
        <v>6315</v>
      </c>
      <c r="I1022" s="36">
        <v>1</v>
      </c>
      <c r="J1022" s="36" t="s">
        <v>5895</v>
      </c>
      <c r="K1022" s="36" t="s">
        <v>8685</v>
      </c>
      <c r="L1022" s="36" t="b">
        <v>0</v>
      </c>
    </row>
    <row r="1023" spans="1:12" ht="12.75">
      <c r="A1023" s="448">
        <v>45311.511867349538</v>
      </c>
      <c r="B1023" s="449">
        <v>45311</v>
      </c>
      <c r="C1023" s="36" t="s">
        <v>3388</v>
      </c>
      <c r="D1023" s="450">
        <v>0.48611111110949423</v>
      </c>
      <c r="E1023" s="36" t="s">
        <v>8686</v>
      </c>
      <c r="F1023" s="36" t="s">
        <v>8687</v>
      </c>
      <c r="G1023" s="36" t="s">
        <v>6542</v>
      </c>
      <c r="H1023" s="36" t="s">
        <v>8688</v>
      </c>
      <c r="I1023" s="36" t="s">
        <v>8689</v>
      </c>
      <c r="J1023" s="36" t="s">
        <v>5895</v>
      </c>
      <c r="K1023" s="36" t="s">
        <v>8690</v>
      </c>
      <c r="L1023" s="36" t="b">
        <v>0</v>
      </c>
    </row>
    <row r="1024" spans="1:12" ht="12.75">
      <c r="A1024" s="448">
        <v>45311.513116226852</v>
      </c>
      <c r="B1024" s="449">
        <v>45312</v>
      </c>
      <c r="C1024" s="36" t="s">
        <v>3388</v>
      </c>
      <c r="D1024" s="450">
        <v>0.41666666666424135</v>
      </c>
      <c r="E1024" s="36" t="s">
        <v>8691</v>
      </c>
      <c r="F1024" s="36" t="s">
        <v>8692</v>
      </c>
      <c r="G1024" s="36" t="s">
        <v>6542</v>
      </c>
      <c r="H1024" s="36" t="s">
        <v>8693</v>
      </c>
      <c r="I1024" s="36">
        <v>2</v>
      </c>
      <c r="J1024" s="36" t="s">
        <v>5895</v>
      </c>
      <c r="K1024" s="36" t="s">
        <v>7220</v>
      </c>
      <c r="L1024" s="36" t="b">
        <v>0</v>
      </c>
    </row>
    <row r="1025" spans="1:12" ht="12.75">
      <c r="A1025" s="448">
        <v>45311.61654091435</v>
      </c>
      <c r="B1025" s="449">
        <v>45311</v>
      </c>
      <c r="C1025" s="36" t="s">
        <v>3388</v>
      </c>
      <c r="D1025" s="450">
        <v>0.64583333333575865</v>
      </c>
      <c r="E1025" s="36" t="s">
        <v>8694</v>
      </c>
      <c r="F1025" s="36" t="s">
        <v>8695</v>
      </c>
      <c r="G1025" s="36" t="s">
        <v>1322</v>
      </c>
      <c r="H1025" s="36" t="s">
        <v>1113</v>
      </c>
      <c r="I1025" s="36">
        <v>3</v>
      </c>
      <c r="J1025" s="36" t="s">
        <v>5895</v>
      </c>
      <c r="K1025" s="36" t="s">
        <v>8696</v>
      </c>
      <c r="L1025" s="36" t="b">
        <v>0</v>
      </c>
    </row>
    <row r="1026" spans="1:12" ht="12.75">
      <c r="A1026" s="448">
        <v>45311.771290509263</v>
      </c>
      <c r="B1026" s="449">
        <v>45311</v>
      </c>
      <c r="C1026" s="36" t="s">
        <v>3388</v>
      </c>
      <c r="D1026" s="450">
        <v>0.41666666666424135</v>
      </c>
      <c r="E1026" s="36" t="s">
        <v>6870</v>
      </c>
      <c r="F1026" s="36">
        <v>36</v>
      </c>
      <c r="G1026" s="36" t="s">
        <v>1042</v>
      </c>
      <c r="H1026" s="36" t="s">
        <v>6606</v>
      </c>
      <c r="I1026" s="36">
        <v>1</v>
      </c>
      <c r="J1026" s="36" t="s">
        <v>5895</v>
      </c>
      <c r="K1026" s="36" t="s">
        <v>8697</v>
      </c>
      <c r="L1026" s="36" t="b">
        <v>0</v>
      </c>
    </row>
    <row r="1027" spans="1:12" ht="12.75">
      <c r="A1027" s="448">
        <v>45312.780548703704</v>
      </c>
      <c r="B1027" s="449">
        <v>45312</v>
      </c>
      <c r="C1027" s="36" t="s">
        <v>3388</v>
      </c>
      <c r="D1027" s="450">
        <v>0.75</v>
      </c>
      <c r="E1027" s="36" t="s">
        <v>6842</v>
      </c>
      <c r="F1027" s="36" t="s">
        <v>8698</v>
      </c>
      <c r="G1027" s="36" t="s">
        <v>1357</v>
      </c>
      <c r="H1027" s="36" t="s">
        <v>6315</v>
      </c>
      <c r="I1027" s="36">
        <v>1</v>
      </c>
      <c r="J1027" s="36" t="s">
        <v>5895</v>
      </c>
      <c r="K1027" s="36" t="s">
        <v>8699</v>
      </c>
      <c r="L1027" s="36" t="b">
        <v>0</v>
      </c>
    </row>
    <row r="1028" spans="1:12" ht="12.75">
      <c r="A1028" s="448">
        <v>45313.741987939815</v>
      </c>
      <c r="B1028" s="449">
        <v>45309</v>
      </c>
      <c r="C1028" s="36" t="s">
        <v>3388</v>
      </c>
      <c r="D1028" s="450">
        <v>0.79166666666424135</v>
      </c>
      <c r="E1028" s="36" t="s">
        <v>7847</v>
      </c>
      <c r="F1028" s="36" t="s">
        <v>8700</v>
      </c>
      <c r="G1028" s="36" t="s">
        <v>7127</v>
      </c>
      <c r="H1028" s="36" t="s">
        <v>8149</v>
      </c>
      <c r="I1028" s="36">
        <v>1</v>
      </c>
      <c r="J1028" s="36" t="s">
        <v>5895</v>
      </c>
      <c r="K1028" s="36" t="s">
        <v>8150</v>
      </c>
      <c r="L1028" s="36" t="b">
        <v>0</v>
      </c>
    </row>
    <row r="1029" spans="1:12" ht="12.75">
      <c r="A1029" s="448">
        <v>45313.743185891202</v>
      </c>
      <c r="B1029" s="449">
        <v>45310</v>
      </c>
      <c r="C1029" s="36" t="s">
        <v>3388</v>
      </c>
      <c r="D1029" s="450">
        <v>0.66666666666424135</v>
      </c>
      <c r="E1029" s="36" t="s">
        <v>7485</v>
      </c>
      <c r="F1029" s="36" t="s">
        <v>8701</v>
      </c>
      <c r="G1029" s="36" t="s">
        <v>7127</v>
      </c>
      <c r="H1029" s="36" t="s">
        <v>8149</v>
      </c>
      <c r="I1029" s="36">
        <v>2</v>
      </c>
      <c r="J1029" s="36" t="s">
        <v>5895</v>
      </c>
      <c r="K1029" s="36" t="s">
        <v>8150</v>
      </c>
      <c r="L1029" s="36" t="b">
        <v>0</v>
      </c>
    </row>
    <row r="1030" spans="1:12" ht="12.75">
      <c r="A1030" s="448">
        <v>45313.745001157411</v>
      </c>
      <c r="B1030" s="449">
        <v>45310</v>
      </c>
      <c r="C1030" s="36" t="s">
        <v>3388</v>
      </c>
      <c r="D1030" s="450">
        <v>0.70833333333575865</v>
      </c>
      <c r="E1030" s="36" t="s">
        <v>7851</v>
      </c>
      <c r="F1030" s="36" t="s">
        <v>8702</v>
      </c>
      <c r="G1030" s="36" t="s">
        <v>7127</v>
      </c>
      <c r="H1030" s="36" t="s">
        <v>6606</v>
      </c>
      <c r="I1030" s="36">
        <v>3</v>
      </c>
      <c r="J1030" s="36" t="s">
        <v>5895</v>
      </c>
      <c r="K1030" s="36" t="s">
        <v>8339</v>
      </c>
      <c r="L1030" s="36" t="b">
        <v>0</v>
      </c>
    </row>
    <row r="1031" spans="1:12" ht="12.75">
      <c r="A1031" s="448">
        <v>45313.746669166663</v>
      </c>
      <c r="B1031" s="449">
        <v>45311</v>
      </c>
      <c r="C1031" s="36" t="s">
        <v>3388</v>
      </c>
      <c r="D1031" s="450">
        <v>0.48611111110949423</v>
      </c>
      <c r="E1031" s="36" t="s">
        <v>7853</v>
      </c>
      <c r="F1031" s="36" t="s">
        <v>8703</v>
      </c>
      <c r="G1031" s="36" t="s">
        <v>7127</v>
      </c>
      <c r="H1031" s="36" t="s">
        <v>8149</v>
      </c>
      <c r="I1031" s="36">
        <v>4</v>
      </c>
      <c r="J1031" s="36" t="s">
        <v>5895</v>
      </c>
      <c r="K1031" s="36" t="s">
        <v>8150</v>
      </c>
      <c r="L1031" s="36" t="b">
        <v>0</v>
      </c>
    </row>
    <row r="1032" spans="1:12" ht="12.75">
      <c r="A1032" s="448">
        <v>45313.748777395835</v>
      </c>
      <c r="B1032" s="449">
        <v>45312</v>
      </c>
      <c r="C1032" s="36" t="s">
        <v>3388</v>
      </c>
      <c r="D1032" s="450">
        <v>0.41666666666424135</v>
      </c>
      <c r="E1032" s="36" t="s">
        <v>7341</v>
      </c>
      <c r="F1032" s="36" t="s">
        <v>8700</v>
      </c>
      <c r="G1032" s="36" t="s">
        <v>7127</v>
      </c>
      <c r="H1032" s="36" t="s">
        <v>8149</v>
      </c>
      <c r="I1032" s="36">
        <v>5</v>
      </c>
      <c r="J1032" s="36" t="s">
        <v>5895</v>
      </c>
      <c r="K1032" s="36" t="s">
        <v>8150</v>
      </c>
      <c r="L1032" s="36" t="b">
        <v>0</v>
      </c>
    </row>
    <row r="1033" spans="1:12" ht="12.75">
      <c r="A1033" s="448">
        <v>45313.881074201388</v>
      </c>
      <c r="B1033" s="449">
        <v>45313</v>
      </c>
      <c r="C1033" s="36" t="s">
        <v>8534</v>
      </c>
      <c r="D1033" s="450">
        <v>0.75</v>
      </c>
      <c r="E1033" s="36" t="s">
        <v>8704</v>
      </c>
      <c r="F1033" s="36" t="s">
        <v>8705</v>
      </c>
      <c r="G1033" s="36" t="s">
        <v>2641</v>
      </c>
      <c r="H1033" s="36" t="s">
        <v>2553</v>
      </c>
      <c r="I1033" s="36">
        <v>1</v>
      </c>
      <c r="J1033" s="36" t="s">
        <v>5895</v>
      </c>
      <c r="K1033" s="36" t="s">
        <v>8706</v>
      </c>
      <c r="L1033" s="36" t="b">
        <v>0</v>
      </c>
    </row>
    <row r="1034" spans="1:12" ht="12.75">
      <c r="A1034" s="448">
        <v>45314.60863563657</v>
      </c>
      <c r="B1034" s="449">
        <v>45314</v>
      </c>
      <c r="C1034" s="36" t="s">
        <v>3388</v>
      </c>
      <c r="D1034" s="450">
        <v>0.75</v>
      </c>
      <c r="E1034" s="36" t="s">
        <v>7916</v>
      </c>
      <c r="F1034" s="36" t="s">
        <v>8707</v>
      </c>
      <c r="G1034" s="36" t="s">
        <v>7127</v>
      </c>
      <c r="H1034" s="36" t="s">
        <v>6363</v>
      </c>
      <c r="I1034" s="36">
        <v>6</v>
      </c>
      <c r="J1034" s="36" t="s">
        <v>5895</v>
      </c>
      <c r="K1034" s="36" t="s">
        <v>7196</v>
      </c>
      <c r="L1034" s="36" t="b">
        <v>0</v>
      </c>
    </row>
    <row r="1035" spans="1:12" ht="12.75">
      <c r="A1035" s="448">
        <v>45315.353872233798</v>
      </c>
      <c r="B1035" s="449">
        <v>45314</v>
      </c>
      <c r="C1035" s="36" t="s">
        <v>3388</v>
      </c>
      <c r="D1035" s="450">
        <v>0.79166666666424135</v>
      </c>
      <c r="E1035" s="36" t="s">
        <v>8632</v>
      </c>
      <c r="F1035" s="36" t="s">
        <v>8708</v>
      </c>
      <c r="G1035" s="36" t="s">
        <v>1309</v>
      </c>
      <c r="H1035" s="36" t="s">
        <v>8709</v>
      </c>
      <c r="I1035" s="36">
        <v>3</v>
      </c>
      <c r="J1035" s="36" t="s">
        <v>5895</v>
      </c>
      <c r="K1035" s="36" t="s">
        <v>5943</v>
      </c>
      <c r="L1035" s="36" t="b">
        <v>0</v>
      </c>
    </row>
    <row r="1036" spans="1:12" ht="12.75">
      <c r="A1036" s="448">
        <v>45315.427718541665</v>
      </c>
      <c r="B1036" s="449">
        <v>45314</v>
      </c>
      <c r="C1036" s="36" t="s">
        <v>3383</v>
      </c>
      <c r="D1036" s="450">
        <v>0.8125</v>
      </c>
      <c r="E1036" s="36" t="s">
        <v>8710</v>
      </c>
      <c r="F1036" s="36">
        <v>26</v>
      </c>
      <c r="G1036" s="36" t="s">
        <v>7724</v>
      </c>
      <c r="H1036" s="36" t="s">
        <v>6113</v>
      </c>
      <c r="I1036" s="36">
        <v>1</v>
      </c>
      <c r="J1036" s="36" t="s">
        <v>5895</v>
      </c>
      <c r="K1036" s="36" t="s">
        <v>8711</v>
      </c>
      <c r="L1036" s="36" t="b">
        <v>0</v>
      </c>
    </row>
    <row r="1037" spans="1:12" ht="12.75">
      <c r="A1037" s="448">
        <v>45315.727946192128</v>
      </c>
      <c r="B1037" s="449">
        <v>45313</v>
      </c>
      <c r="C1037" s="36" t="s">
        <v>3388</v>
      </c>
      <c r="D1037" s="450">
        <v>0.8125</v>
      </c>
      <c r="E1037" s="36" t="s">
        <v>8712</v>
      </c>
      <c r="F1037" s="36" t="s">
        <v>8713</v>
      </c>
      <c r="G1037" s="36" t="s">
        <v>8714</v>
      </c>
      <c r="H1037" s="36" t="s">
        <v>6606</v>
      </c>
      <c r="I1037" s="36">
        <v>1</v>
      </c>
      <c r="J1037" s="36" t="s">
        <v>5895</v>
      </c>
      <c r="K1037" s="36" t="s">
        <v>7973</v>
      </c>
      <c r="L1037" s="36" t="b">
        <v>0</v>
      </c>
    </row>
    <row r="1038" spans="1:12" ht="12.75">
      <c r="A1038" s="448">
        <v>45315.90079133102</v>
      </c>
      <c r="B1038" s="449">
        <v>45316</v>
      </c>
      <c r="C1038" s="36" t="s">
        <v>3388</v>
      </c>
      <c r="D1038" s="450">
        <v>0.75</v>
      </c>
      <c r="E1038" s="36" t="s">
        <v>8715</v>
      </c>
      <c r="F1038" s="36" t="s">
        <v>8716</v>
      </c>
      <c r="G1038" s="36" t="s">
        <v>2432</v>
      </c>
      <c r="H1038" s="36" t="s">
        <v>8717</v>
      </c>
      <c r="I1038" s="36">
        <v>1</v>
      </c>
      <c r="J1038" s="36" t="s">
        <v>5895</v>
      </c>
      <c r="K1038" s="36" t="s">
        <v>8718</v>
      </c>
      <c r="L1038" s="36" t="b">
        <v>0</v>
      </c>
    </row>
    <row r="1039" spans="1:12" ht="12.75">
      <c r="A1039" s="448">
        <v>45315.902436377313</v>
      </c>
      <c r="B1039" s="449">
        <v>45316</v>
      </c>
      <c r="C1039" s="36" t="s">
        <v>3388</v>
      </c>
      <c r="D1039" s="450">
        <v>0.79166666666424135</v>
      </c>
      <c r="E1039" s="36" t="s">
        <v>8719</v>
      </c>
      <c r="F1039" s="36" t="s">
        <v>8720</v>
      </c>
      <c r="G1039" s="36" t="s">
        <v>2432</v>
      </c>
      <c r="H1039" s="36" t="s">
        <v>8721</v>
      </c>
      <c r="I1039" s="36">
        <v>2</v>
      </c>
      <c r="J1039" s="36" t="s">
        <v>5895</v>
      </c>
      <c r="K1039" s="36" t="s">
        <v>8718</v>
      </c>
      <c r="L1039" s="36" t="b">
        <v>0</v>
      </c>
    </row>
    <row r="1040" spans="1:12" ht="12.75">
      <c r="A1040" s="448">
        <v>45315.978630497688</v>
      </c>
      <c r="B1040" s="449">
        <v>45315</v>
      </c>
      <c r="C1040" s="36" t="s">
        <v>3383</v>
      </c>
      <c r="D1040" s="450">
        <v>0.70833333333575865</v>
      </c>
      <c r="E1040" s="36" t="s">
        <v>8722</v>
      </c>
      <c r="F1040" s="36" t="s">
        <v>8723</v>
      </c>
      <c r="G1040" s="36" t="s">
        <v>7016</v>
      </c>
      <c r="H1040" s="36" t="s">
        <v>8724</v>
      </c>
      <c r="I1040" s="36">
        <v>1</v>
      </c>
      <c r="J1040" s="36" t="s">
        <v>5895</v>
      </c>
      <c r="K1040" s="36" t="s">
        <v>8725</v>
      </c>
      <c r="L1040" s="36" t="b">
        <v>0</v>
      </c>
    </row>
    <row r="1041" spans="1:12" ht="12.75">
      <c r="A1041" s="448">
        <v>45317.814251226853</v>
      </c>
      <c r="B1041" s="449">
        <v>45314</v>
      </c>
      <c r="C1041" s="36" t="s">
        <v>3388</v>
      </c>
      <c r="D1041" s="450">
        <v>0.81944444444525288</v>
      </c>
      <c r="E1041" s="36" t="s">
        <v>7536</v>
      </c>
      <c r="F1041" s="36" t="s">
        <v>8726</v>
      </c>
      <c r="G1041" s="36" t="s">
        <v>1322</v>
      </c>
      <c r="H1041" s="36" t="s">
        <v>1113</v>
      </c>
      <c r="I1041" s="36">
        <v>4</v>
      </c>
      <c r="J1041" s="36" t="s">
        <v>5895</v>
      </c>
      <c r="K1041" s="36" t="s">
        <v>8727</v>
      </c>
      <c r="L1041" s="36" t="b">
        <v>0</v>
      </c>
    </row>
    <row r="1042" spans="1:12" ht="12.75">
      <c r="A1042" s="448">
        <v>45317.815340474539</v>
      </c>
      <c r="B1042" s="449">
        <v>45314</v>
      </c>
      <c r="C1042" s="36" t="s">
        <v>3388</v>
      </c>
      <c r="D1042" s="450">
        <v>0.86111111110949423</v>
      </c>
      <c r="E1042" s="36" t="s">
        <v>8549</v>
      </c>
      <c r="F1042" s="36" t="s">
        <v>8728</v>
      </c>
      <c r="G1042" s="36" t="s">
        <v>1322</v>
      </c>
      <c r="H1042" s="36" t="s">
        <v>1113</v>
      </c>
      <c r="I1042" s="36">
        <v>5</v>
      </c>
      <c r="J1042" s="36" t="s">
        <v>5895</v>
      </c>
      <c r="K1042" s="36" t="s">
        <v>8727</v>
      </c>
      <c r="L1042" s="36" t="b">
        <v>0</v>
      </c>
    </row>
    <row r="1043" spans="1:12" ht="12.75">
      <c r="A1043" s="448">
        <v>45318.049619398153</v>
      </c>
      <c r="B1043" s="449">
        <v>45318</v>
      </c>
      <c r="C1043" s="36" t="s">
        <v>12</v>
      </c>
      <c r="D1043" s="450">
        <v>0.79166666666424135</v>
      </c>
      <c r="E1043" s="36" t="s">
        <v>7242</v>
      </c>
      <c r="F1043" s="36" t="s">
        <v>8729</v>
      </c>
      <c r="G1043" s="36" t="s">
        <v>582</v>
      </c>
      <c r="H1043" s="36" t="s">
        <v>6241</v>
      </c>
      <c r="I1043" s="36">
        <v>1</v>
      </c>
      <c r="J1043" s="36" t="s">
        <v>5895</v>
      </c>
      <c r="K1043" s="36" t="s">
        <v>8730</v>
      </c>
      <c r="L1043" s="36" t="b">
        <v>0</v>
      </c>
    </row>
    <row r="1044" spans="1:12" ht="12.75">
      <c r="A1044" s="448">
        <v>45318.402314062499</v>
      </c>
      <c r="B1044" s="449">
        <v>45319</v>
      </c>
      <c r="C1044" s="36" t="s">
        <v>3388</v>
      </c>
      <c r="D1044" s="450">
        <v>0.41666666666424135</v>
      </c>
      <c r="E1044" s="36" t="s">
        <v>7553</v>
      </c>
      <c r="F1044" s="36" t="s">
        <v>8731</v>
      </c>
      <c r="G1044" s="36" t="s">
        <v>8732</v>
      </c>
      <c r="H1044" s="36" t="s">
        <v>8733</v>
      </c>
      <c r="I1044" s="36">
        <v>1</v>
      </c>
      <c r="J1044" s="36" t="s">
        <v>5895</v>
      </c>
      <c r="K1044" s="36" t="s">
        <v>7957</v>
      </c>
      <c r="L1044" s="36" t="b">
        <v>0</v>
      </c>
    </row>
    <row r="1045" spans="1:12" ht="12.75">
      <c r="A1045" s="448">
        <v>45318.477021296298</v>
      </c>
      <c r="B1045" s="449">
        <v>45318</v>
      </c>
      <c r="C1045" s="36" t="s">
        <v>3388</v>
      </c>
      <c r="D1045" s="450">
        <v>0.66666666666424135</v>
      </c>
      <c r="E1045" s="36" t="s">
        <v>8734</v>
      </c>
      <c r="F1045" s="36" t="s">
        <v>8735</v>
      </c>
      <c r="G1045" s="36" t="s">
        <v>7662</v>
      </c>
      <c r="H1045" s="36" t="s">
        <v>8123</v>
      </c>
      <c r="I1045" s="36">
        <v>4</v>
      </c>
      <c r="J1045" s="36" t="s">
        <v>5895</v>
      </c>
      <c r="K1045" s="36" t="s">
        <v>6242</v>
      </c>
      <c r="L1045" s="36" t="b">
        <v>0</v>
      </c>
    </row>
    <row r="1046" spans="1:12" ht="12.75">
      <c r="A1046" s="448">
        <v>45318.678749409723</v>
      </c>
      <c r="B1046" s="449">
        <v>45317</v>
      </c>
      <c r="C1046" s="36" t="s">
        <v>3383</v>
      </c>
      <c r="D1046" s="450">
        <v>0.75</v>
      </c>
      <c r="E1046" s="36" t="s">
        <v>8375</v>
      </c>
      <c r="F1046" s="36" t="s">
        <v>8736</v>
      </c>
      <c r="G1046" s="36" t="s">
        <v>498</v>
      </c>
      <c r="H1046" s="36" t="s">
        <v>1103</v>
      </c>
      <c r="I1046" s="36">
        <v>1</v>
      </c>
      <c r="J1046" s="36" t="s">
        <v>5895</v>
      </c>
      <c r="K1046" s="36" t="s">
        <v>8737</v>
      </c>
      <c r="L1046" s="36" t="b">
        <v>0</v>
      </c>
    </row>
    <row r="1047" spans="1:12" ht="12.75">
      <c r="A1047" s="448">
        <v>45318.858892442135</v>
      </c>
      <c r="B1047" s="449">
        <v>45316</v>
      </c>
      <c r="C1047" s="36" t="s">
        <v>3383</v>
      </c>
      <c r="D1047" s="450">
        <v>0.79166666666424135</v>
      </c>
      <c r="E1047" s="36" t="s">
        <v>8738</v>
      </c>
      <c r="F1047" s="36" t="s">
        <v>8739</v>
      </c>
      <c r="G1047" s="36" t="s">
        <v>2475</v>
      </c>
      <c r="H1047" s="36" t="s">
        <v>8585</v>
      </c>
      <c r="I1047" s="36">
        <v>2</v>
      </c>
      <c r="J1047" s="36" t="s">
        <v>5895</v>
      </c>
      <c r="K1047" s="36" t="s">
        <v>8740</v>
      </c>
      <c r="L1047" s="36" t="b">
        <v>0</v>
      </c>
    </row>
    <row r="1048" spans="1:12" ht="12.75">
      <c r="A1048" s="448">
        <v>45319.500571469907</v>
      </c>
      <c r="B1048" s="449">
        <v>45318</v>
      </c>
      <c r="C1048" s="36" t="s">
        <v>3383</v>
      </c>
      <c r="D1048" s="450">
        <v>0.75</v>
      </c>
      <c r="E1048" s="36" t="s">
        <v>8741</v>
      </c>
      <c r="F1048" s="36" t="s">
        <v>8742</v>
      </c>
      <c r="G1048" s="36" t="s">
        <v>560</v>
      </c>
      <c r="H1048" s="36" t="s">
        <v>2638</v>
      </c>
      <c r="I1048" s="36">
        <v>2</v>
      </c>
      <c r="J1048" s="36" t="s">
        <v>5895</v>
      </c>
      <c r="K1048" s="36" t="s">
        <v>8743</v>
      </c>
      <c r="L1048" s="36" t="b">
        <v>0</v>
      </c>
    </row>
    <row r="1049" spans="1:12" ht="12.75">
      <c r="A1049" s="448">
        <v>45319.501515763885</v>
      </c>
      <c r="B1049" s="449">
        <v>45318</v>
      </c>
      <c r="C1049" s="36" t="s">
        <v>3383</v>
      </c>
      <c r="D1049" s="450">
        <v>0.8125</v>
      </c>
      <c r="E1049" s="36" t="s">
        <v>8744</v>
      </c>
      <c r="F1049" s="36" t="s">
        <v>8745</v>
      </c>
      <c r="G1049" s="36" t="s">
        <v>560</v>
      </c>
      <c r="H1049" s="36" t="s">
        <v>2342</v>
      </c>
      <c r="I1049" s="36">
        <v>3</v>
      </c>
      <c r="J1049" s="36" t="s">
        <v>5895</v>
      </c>
      <c r="K1049" s="36" t="s">
        <v>8746</v>
      </c>
      <c r="L1049" s="36" t="b">
        <v>0</v>
      </c>
    </row>
    <row r="1050" spans="1:12" ht="12.75">
      <c r="A1050" s="448">
        <v>45319.51541334491</v>
      </c>
      <c r="B1050" s="449">
        <v>45318</v>
      </c>
      <c r="C1050" s="36" t="s">
        <v>3388</v>
      </c>
      <c r="D1050" s="450">
        <v>0.85416666666424135</v>
      </c>
      <c r="E1050" s="36" t="s">
        <v>8747</v>
      </c>
      <c r="F1050" s="36" t="s">
        <v>8748</v>
      </c>
      <c r="G1050" s="36" t="s">
        <v>1907</v>
      </c>
      <c r="H1050" s="36" t="s">
        <v>6128</v>
      </c>
      <c r="I1050" s="36">
        <v>1</v>
      </c>
      <c r="J1050" s="36" t="s">
        <v>5895</v>
      </c>
      <c r="K1050" s="36" t="s">
        <v>8749</v>
      </c>
      <c r="L1050" s="36" t="b">
        <v>0</v>
      </c>
    </row>
    <row r="1051" spans="1:12" ht="12.75">
      <c r="A1051" s="448">
        <v>45320.533531238427</v>
      </c>
      <c r="B1051" s="449">
        <v>45314</v>
      </c>
      <c r="C1051" s="36" t="s">
        <v>3388</v>
      </c>
      <c r="D1051" s="450">
        <v>0.79166666666424135</v>
      </c>
      <c r="E1051" s="36" t="s">
        <v>8750</v>
      </c>
      <c r="F1051" s="36" t="s">
        <v>8751</v>
      </c>
      <c r="G1051" s="36" t="s">
        <v>1309</v>
      </c>
      <c r="H1051" s="36" t="s">
        <v>8752</v>
      </c>
      <c r="I1051" s="36">
        <v>3</v>
      </c>
      <c r="J1051" s="36" t="s">
        <v>5895</v>
      </c>
      <c r="K1051" s="36" t="s">
        <v>6122</v>
      </c>
      <c r="L1051" s="36" t="b">
        <v>0</v>
      </c>
    </row>
    <row r="1052" spans="1:12" ht="12.75">
      <c r="A1052" s="448">
        <v>45320.658092361111</v>
      </c>
      <c r="B1052" s="449">
        <v>45319</v>
      </c>
      <c r="C1052" s="36" t="s">
        <v>3388</v>
      </c>
      <c r="D1052" s="450">
        <v>0.79166666666424135</v>
      </c>
      <c r="E1052" s="36" t="s">
        <v>8753</v>
      </c>
      <c r="F1052" s="36" t="s">
        <v>8754</v>
      </c>
      <c r="G1052" s="36" t="s">
        <v>1958</v>
      </c>
      <c r="H1052" s="36" t="s">
        <v>7901</v>
      </c>
      <c r="I1052" s="36">
        <v>1</v>
      </c>
      <c r="J1052" s="36" t="s">
        <v>5895</v>
      </c>
      <c r="K1052" s="36" t="s">
        <v>8755</v>
      </c>
      <c r="L1052" s="36" t="b">
        <v>0</v>
      </c>
    </row>
    <row r="1053" spans="1:12" ht="12.75">
      <c r="A1053" s="448">
        <v>45321.581466828706</v>
      </c>
      <c r="B1053" s="449">
        <v>45319</v>
      </c>
      <c r="C1053" s="36" t="s">
        <v>3388</v>
      </c>
      <c r="D1053" s="450">
        <v>0.45833333333575865</v>
      </c>
      <c r="E1053" s="36" t="s">
        <v>8415</v>
      </c>
      <c r="F1053" s="36" t="s">
        <v>8756</v>
      </c>
      <c r="G1053" s="36" t="s">
        <v>1128</v>
      </c>
      <c r="H1053" s="36" t="s">
        <v>1113</v>
      </c>
      <c r="I1053" s="36">
        <v>1</v>
      </c>
      <c r="J1053" s="36" t="s">
        <v>5895</v>
      </c>
      <c r="K1053" s="36" t="s">
        <v>6122</v>
      </c>
      <c r="L1053" s="36" t="b">
        <v>0</v>
      </c>
    </row>
    <row r="1054" spans="1:12" ht="12.75">
      <c r="A1054" s="448">
        <v>45321.69834195602</v>
      </c>
      <c r="B1054" s="449">
        <v>45330</v>
      </c>
      <c r="C1054" s="36" t="s">
        <v>3388</v>
      </c>
      <c r="D1054" s="450">
        <v>0.79166666666424135</v>
      </c>
      <c r="E1054" s="36" t="s">
        <v>8757</v>
      </c>
      <c r="F1054" s="36" t="s">
        <v>8758</v>
      </c>
      <c r="G1054" s="36" t="s">
        <v>7303</v>
      </c>
      <c r="H1054" s="36" t="s">
        <v>2594</v>
      </c>
      <c r="I1054" s="36">
        <v>1</v>
      </c>
      <c r="J1054" s="36" t="s">
        <v>5895</v>
      </c>
      <c r="K1054" s="36" t="s">
        <v>8759</v>
      </c>
      <c r="L1054" s="36" t="b">
        <v>0</v>
      </c>
    </row>
    <row r="1055" spans="1:12" ht="12.75">
      <c r="A1055" s="448">
        <v>45321.700904537036</v>
      </c>
      <c r="B1055" s="449">
        <v>45333</v>
      </c>
      <c r="C1055" s="36" t="s">
        <v>3388</v>
      </c>
      <c r="D1055" s="450">
        <v>0.41666666666424135</v>
      </c>
      <c r="E1055" s="36" t="s">
        <v>8760</v>
      </c>
      <c r="F1055" s="36" t="s">
        <v>8761</v>
      </c>
      <c r="G1055" s="36" t="s">
        <v>7303</v>
      </c>
      <c r="H1055" s="36" t="s">
        <v>2594</v>
      </c>
      <c r="I1055" s="36">
        <v>2</v>
      </c>
      <c r="J1055" s="36" t="s">
        <v>5895</v>
      </c>
      <c r="K1055" s="36" t="s">
        <v>8759</v>
      </c>
      <c r="L1055" s="36" t="b">
        <v>0</v>
      </c>
    </row>
    <row r="1056" spans="1:12" ht="12.75">
      <c r="A1056" s="448">
        <v>45321.704756585648</v>
      </c>
      <c r="B1056" s="449">
        <v>45332</v>
      </c>
      <c r="C1056" s="36" t="s">
        <v>3388</v>
      </c>
      <c r="D1056" s="450">
        <v>0.85416666666424135</v>
      </c>
      <c r="E1056" s="36" t="s">
        <v>8762</v>
      </c>
      <c r="F1056" s="36" t="s">
        <v>8763</v>
      </c>
      <c r="G1056" s="36" t="s">
        <v>7303</v>
      </c>
      <c r="H1056" s="36" t="s">
        <v>8764</v>
      </c>
      <c r="I1056" s="36">
        <v>3</v>
      </c>
      <c r="J1056" s="36" t="s">
        <v>5895</v>
      </c>
      <c r="K1056" s="36" t="s">
        <v>8765</v>
      </c>
      <c r="L1056" s="36" t="b">
        <v>0</v>
      </c>
    </row>
    <row r="1057" spans="1:12" ht="12.75">
      <c r="A1057" s="448">
        <v>45321.733168680556</v>
      </c>
      <c r="B1057" s="449">
        <v>45321</v>
      </c>
      <c r="C1057" s="36" t="s">
        <v>12</v>
      </c>
      <c r="D1057" s="450">
        <v>0.79166666666424135</v>
      </c>
      <c r="E1057" s="36" t="s">
        <v>8766</v>
      </c>
      <c r="F1057" s="36" t="s">
        <v>8767</v>
      </c>
      <c r="G1057" s="36" t="s">
        <v>2842</v>
      </c>
      <c r="H1057" s="36" t="s">
        <v>8768</v>
      </c>
      <c r="I1057" s="36">
        <v>1</v>
      </c>
      <c r="J1057" s="36" t="s">
        <v>5895</v>
      </c>
      <c r="K1057" s="36" t="s">
        <v>6183</v>
      </c>
      <c r="L1057" s="36" t="b">
        <v>0</v>
      </c>
    </row>
    <row r="1058" spans="1:12" ht="12.75">
      <c r="A1058" s="448">
        <v>45322.366145023145</v>
      </c>
      <c r="B1058" s="449">
        <v>45321</v>
      </c>
      <c r="C1058" s="36" t="s">
        <v>3388</v>
      </c>
      <c r="D1058" s="450">
        <v>0.75</v>
      </c>
      <c r="E1058" s="36" t="s">
        <v>8769</v>
      </c>
      <c r="F1058" s="36" t="s">
        <v>6317</v>
      </c>
      <c r="G1058" s="36" t="s">
        <v>7127</v>
      </c>
      <c r="H1058" s="36" t="s">
        <v>8149</v>
      </c>
      <c r="I1058" s="36">
        <v>7</v>
      </c>
      <c r="J1058" s="36" t="s">
        <v>5895</v>
      </c>
      <c r="K1058" s="36" t="s">
        <v>7196</v>
      </c>
      <c r="L1058" s="36" t="b">
        <v>0</v>
      </c>
    </row>
    <row r="1059" spans="1:12" ht="12.75">
      <c r="A1059" s="448">
        <v>45322.856537337968</v>
      </c>
      <c r="B1059" s="449" t="s">
        <v>8770</v>
      </c>
      <c r="C1059" s="36" t="s">
        <v>3383</v>
      </c>
      <c r="D1059" s="450">
        <v>0.77083333333575865</v>
      </c>
      <c r="E1059" s="36" t="s">
        <v>8771</v>
      </c>
      <c r="F1059" s="36">
        <v>9</v>
      </c>
      <c r="G1059" s="36" t="s">
        <v>2188</v>
      </c>
      <c r="H1059" s="36" t="s">
        <v>8772</v>
      </c>
      <c r="I1059" s="36">
        <v>1</v>
      </c>
      <c r="J1059" s="36" t="s">
        <v>5895</v>
      </c>
      <c r="K1059" s="36" t="s">
        <v>8773</v>
      </c>
      <c r="L1059" s="36" t="b">
        <v>0</v>
      </c>
    </row>
    <row r="1060" spans="1:12" ht="12.75">
      <c r="A1060" s="448">
        <v>45323.524626585648</v>
      </c>
      <c r="B1060" s="449">
        <v>45322</v>
      </c>
      <c r="C1060" s="36" t="s">
        <v>3388</v>
      </c>
      <c r="D1060" s="450">
        <v>0.75</v>
      </c>
      <c r="E1060" s="36" t="s">
        <v>7841</v>
      </c>
      <c r="F1060" s="36" t="s">
        <v>8774</v>
      </c>
      <c r="G1060" s="36" t="s">
        <v>7127</v>
      </c>
      <c r="H1060" s="36" t="s">
        <v>6363</v>
      </c>
      <c r="I1060" s="36">
        <v>7</v>
      </c>
      <c r="J1060" s="36" t="s">
        <v>5895</v>
      </c>
      <c r="K1060" s="36" t="s">
        <v>7196</v>
      </c>
      <c r="L1060" s="36" t="b">
        <v>0</v>
      </c>
    </row>
    <row r="1061" spans="1:12" ht="12.75">
      <c r="A1061" s="448">
        <v>45323.556857511576</v>
      </c>
      <c r="B1061" s="449" t="s">
        <v>8775</v>
      </c>
      <c r="C1061" s="36" t="s">
        <v>3383</v>
      </c>
      <c r="D1061" s="450">
        <v>0.70833333333575865</v>
      </c>
      <c r="E1061" s="36" t="s">
        <v>8776</v>
      </c>
      <c r="F1061" s="36">
        <v>10</v>
      </c>
      <c r="G1061" s="36" t="s">
        <v>2188</v>
      </c>
      <c r="H1061" s="36" t="s">
        <v>8777</v>
      </c>
      <c r="I1061" s="36">
        <v>2</v>
      </c>
      <c r="J1061" s="36" t="s">
        <v>5895</v>
      </c>
      <c r="K1061" s="36" t="s">
        <v>8778</v>
      </c>
      <c r="L1061" s="36" t="b">
        <v>0</v>
      </c>
    </row>
    <row r="1062" spans="1:12" ht="12.75">
      <c r="A1062" s="448">
        <v>45323.601584456017</v>
      </c>
      <c r="B1062" s="449">
        <v>45324</v>
      </c>
      <c r="C1062" s="36" t="s">
        <v>12</v>
      </c>
      <c r="D1062" s="450">
        <v>0.75</v>
      </c>
      <c r="E1062" s="36" t="s">
        <v>8779</v>
      </c>
      <c r="F1062" s="36" t="s">
        <v>8780</v>
      </c>
      <c r="G1062" s="36" t="s">
        <v>2143</v>
      </c>
      <c r="H1062" s="36" t="s">
        <v>1063</v>
      </c>
      <c r="I1062" s="36">
        <v>1</v>
      </c>
      <c r="J1062" s="36" t="s">
        <v>5895</v>
      </c>
      <c r="K1062" s="36" t="s">
        <v>8781</v>
      </c>
      <c r="L1062" s="36" t="b">
        <v>0</v>
      </c>
    </row>
    <row r="1063" spans="1:12" ht="12.75">
      <c r="A1063" s="448">
        <v>45323.607395659725</v>
      </c>
      <c r="B1063" s="449">
        <v>45325</v>
      </c>
      <c r="C1063" s="36" t="s">
        <v>12</v>
      </c>
      <c r="D1063" s="450">
        <v>0.41666666666424135</v>
      </c>
      <c r="E1063" s="36" t="s">
        <v>8782</v>
      </c>
      <c r="F1063" s="36" t="s">
        <v>8783</v>
      </c>
      <c r="G1063" s="36" t="s">
        <v>8784</v>
      </c>
      <c r="H1063" s="36" t="s">
        <v>6235</v>
      </c>
      <c r="I1063" s="36">
        <v>1</v>
      </c>
      <c r="J1063" s="36" t="s">
        <v>5895</v>
      </c>
      <c r="K1063" s="36" t="s">
        <v>8785</v>
      </c>
      <c r="L1063" s="36" t="b">
        <v>0</v>
      </c>
    </row>
    <row r="1064" spans="1:12" ht="12.75">
      <c r="A1064" s="448">
        <v>45323.668471076388</v>
      </c>
      <c r="B1064" s="449">
        <v>45323</v>
      </c>
      <c r="C1064" s="36" t="s">
        <v>3388</v>
      </c>
      <c r="D1064" s="450">
        <v>0.79166666666424135</v>
      </c>
      <c r="E1064" s="36" t="s">
        <v>7066</v>
      </c>
      <c r="F1064" s="36" t="s">
        <v>8786</v>
      </c>
      <c r="G1064" s="36" t="s">
        <v>1452</v>
      </c>
      <c r="H1064" s="36" t="s">
        <v>1113</v>
      </c>
      <c r="I1064" s="36" t="s">
        <v>1113</v>
      </c>
      <c r="J1064" s="36" t="s">
        <v>5895</v>
      </c>
      <c r="K1064" s="36" t="s">
        <v>8787</v>
      </c>
      <c r="L1064" s="36" t="b">
        <v>0</v>
      </c>
    </row>
    <row r="1065" spans="1:12" ht="12.75">
      <c r="A1065" s="448">
        <v>45323.837472002313</v>
      </c>
      <c r="B1065" s="449">
        <v>45325</v>
      </c>
      <c r="C1065" s="36" t="s">
        <v>3388</v>
      </c>
      <c r="D1065" s="450">
        <v>0.47916666666424135</v>
      </c>
      <c r="E1065" s="36" t="s">
        <v>8788</v>
      </c>
      <c r="F1065" s="36" t="s">
        <v>8789</v>
      </c>
      <c r="G1065" s="36" t="s">
        <v>8790</v>
      </c>
      <c r="H1065" s="36" t="s">
        <v>5906</v>
      </c>
      <c r="I1065" s="36">
        <v>1</v>
      </c>
      <c r="J1065" s="36" t="s">
        <v>5895</v>
      </c>
      <c r="K1065" s="36" t="s">
        <v>7827</v>
      </c>
      <c r="L1065" s="36" t="b">
        <v>0</v>
      </c>
    </row>
    <row r="1066" spans="1:12" ht="12.75">
      <c r="A1066" s="448">
        <v>45323.8407725</v>
      </c>
      <c r="B1066" s="449">
        <v>45318</v>
      </c>
      <c r="C1066" s="36" t="s">
        <v>3388</v>
      </c>
      <c r="D1066" s="450">
        <v>0.85416666666424135</v>
      </c>
      <c r="E1066" s="36" t="s">
        <v>8429</v>
      </c>
      <c r="F1066" s="36" t="s">
        <v>8791</v>
      </c>
      <c r="G1066" s="36" t="s">
        <v>2396</v>
      </c>
      <c r="H1066" s="36" t="s">
        <v>6363</v>
      </c>
      <c r="I1066" s="36">
        <v>1</v>
      </c>
      <c r="J1066" s="36" t="s">
        <v>5895</v>
      </c>
      <c r="K1066" s="36" t="s">
        <v>7349</v>
      </c>
      <c r="L1066" s="36" t="b">
        <v>0</v>
      </c>
    </row>
    <row r="1067" spans="1:12" ht="12.75">
      <c r="A1067" s="448">
        <v>45323.844378483795</v>
      </c>
      <c r="B1067" s="449">
        <v>45330</v>
      </c>
      <c r="C1067" s="36" t="s">
        <v>3388</v>
      </c>
      <c r="D1067" s="450">
        <v>0.75</v>
      </c>
      <c r="E1067" s="36" t="s">
        <v>8792</v>
      </c>
      <c r="F1067" s="36" t="s">
        <v>8793</v>
      </c>
      <c r="G1067" s="36" t="s">
        <v>7303</v>
      </c>
      <c r="H1067" s="36" t="s">
        <v>8764</v>
      </c>
      <c r="I1067" s="36">
        <v>4</v>
      </c>
      <c r="J1067" s="36" t="s">
        <v>5895</v>
      </c>
      <c r="K1067" s="36" t="s">
        <v>8759</v>
      </c>
      <c r="L1067" s="36" t="b">
        <v>0</v>
      </c>
    </row>
    <row r="1068" spans="1:12" ht="12.75">
      <c r="A1068" s="448">
        <v>45324.592794351847</v>
      </c>
      <c r="B1068" s="449">
        <v>45328</v>
      </c>
      <c r="C1068" s="36" t="s">
        <v>3383</v>
      </c>
      <c r="D1068" s="450">
        <v>0.79166666666424135</v>
      </c>
      <c r="E1068" s="36" t="s">
        <v>8794</v>
      </c>
      <c r="F1068" s="36" t="s">
        <v>8795</v>
      </c>
      <c r="G1068" s="36" t="s">
        <v>2248</v>
      </c>
      <c r="H1068" s="36" t="s">
        <v>8796</v>
      </c>
      <c r="I1068" s="36">
        <v>1</v>
      </c>
      <c r="J1068" s="36" t="s">
        <v>5895</v>
      </c>
      <c r="K1068" s="36" t="s">
        <v>8797</v>
      </c>
      <c r="L1068" s="36" t="b">
        <v>0</v>
      </c>
    </row>
    <row r="1069" spans="1:12" ht="12.75">
      <c r="A1069" s="448">
        <v>45324.628692083337</v>
      </c>
      <c r="B1069" s="449">
        <v>45325</v>
      </c>
      <c r="C1069" s="36" t="s">
        <v>13</v>
      </c>
      <c r="D1069" s="450">
        <v>0.41666666666424135</v>
      </c>
      <c r="E1069" s="36" t="s">
        <v>8798</v>
      </c>
      <c r="F1069" s="36" t="s">
        <v>8799</v>
      </c>
      <c r="G1069" s="36" t="s">
        <v>8800</v>
      </c>
      <c r="H1069" s="36" t="s">
        <v>8801</v>
      </c>
      <c r="I1069" s="36">
        <v>1</v>
      </c>
      <c r="J1069" s="36" t="s">
        <v>5895</v>
      </c>
      <c r="K1069" s="36" t="s">
        <v>6242</v>
      </c>
      <c r="L1069" s="36" t="b">
        <v>0</v>
      </c>
    </row>
    <row r="1070" spans="1:12" ht="12.75">
      <c r="A1070" s="448">
        <v>45325.52522826389</v>
      </c>
      <c r="B1070" s="449">
        <v>45326</v>
      </c>
      <c r="C1070" s="36" t="s">
        <v>3388</v>
      </c>
      <c r="D1070" s="450">
        <v>0.45833333333575865</v>
      </c>
      <c r="E1070" s="36" t="s">
        <v>8802</v>
      </c>
      <c r="F1070" s="36" t="s">
        <v>8803</v>
      </c>
      <c r="G1070" s="36" t="s">
        <v>8804</v>
      </c>
      <c r="H1070" s="36" t="s">
        <v>1483</v>
      </c>
      <c r="I1070" s="36">
        <v>1</v>
      </c>
      <c r="J1070" s="36" t="s">
        <v>5895</v>
      </c>
      <c r="K1070" s="36" t="s">
        <v>6210</v>
      </c>
      <c r="L1070" s="36" t="b">
        <v>0</v>
      </c>
    </row>
    <row r="1071" spans="1:12" ht="12.75">
      <c r="A1071" s="448">
        <v>45325.556352604166</v>
      </c>
      <c r="B1071" s="449">
        <v>45325</v>
      </c>
      <c r="C1071" s="36" t="s">
        <v>3388</v>
      </c>
      <c r="D1071" s="450">
        <v>0.56597222221898846</v>
      </c>
      <c r="E1071" s="36" t="s">
        <v>8131</v>
      </c>
      <c r="F1071" s="36" t="s">
        <v>8684</v>
      </c>
      <c r="G1071" s="36" t="s">
        <v>7613</v>
      </c>
      <c r="H1071" s="36" t="s">
        <v>3473</v>
      </c>
      <c r="I1071" s="36">
        <v>1</v>
      </c>
      <c r="J1071" s="36" t="s">
        <v>5895</v>
      </c>
      <c r="K1071" s="36" t="s">
        <v>6271</v>
      </c>
      <c r="L1071" s="36" t="b">
        <v>0</v>
      </c>
    </row>
    <row r="1072" spans="1:12" ht="12.75">
      <c r="A1072" s="448">
        <v>45325.57925988426</v>
      </c>
      <c r="B1072" s="449">
        <v>45325</v>
      </c>
      <c r="C1072" s="36" t="s">
        <v>3388</v>
      </c>
      <c r="D1072" s="450">
        <v>0.66666666666424135</v>
      </c>
      <c r="E1072" s="36" t="s">
        <v>8641</v>
      </c>
      <c r="F1072" s="36" t="s">
        <v>8805</v>
      </c>
      <c r="G1072" s="36" t="s">
        <v>7662</v>
      </c>
      <c r="H1072" s="36" t="s">
        <v>8123</v>
      </c>
      <c r="I1072" s="36">
        <v>2</v>
      </c>
      <c r="J1072" s="36" t="s">
        <v>5895</v>
      </c>
      <c r="K1072" s="36" t="s">
        <v>6271</v>
      </c>
      <c r="L1072" s="36" t="b">
        <v>0</v>
      </c>
    </row>
    <row r="1073" spans="1:12" ht="12.75">
      <c r="A1073" s="448">
        <v>45325.659289976851</v>
      </c>
      <c r="B1073" s="449">
        <v>45327</v>
      </c>
      <c r="C1073" s="36" t="s">
        <v>8534</v>
      </c>
      <c r="D1073" s="450">
        <v>6.25E-2</v>
      </c>
      <c r="E1073" s="36" t="s">
        <v>8806</v>
      </c>
      <c r="F1073" s="36" t="s">
        <v>8807</v>
      </c>
      <c r="G1073" s="36" t="s">
        <v>8808</v>
      </c>
      <c r="H1073" s="36" t="s">
        <v>8809</v>
      </c>
      <c r="I1073" s="36">
        <v>1</v>
      </c>
      <c r="J1073" s="36" t="s">
        <v>5895</v>
      </c>
      <c r="K1073" s="36" t="s">
        <v>8810</v>
      </c>
      <c r="L1073" s="36" t="b">
        <v>0</v>
      </c>
    </row>
    <row r="1074" spans="1:12" ht="12.75">
      <c r="A1074" s="448">
        <v>45325.754755902773</v>
      </c>
      <c r="B1074" s="449">
        <v>45325</v>
      </c>
      <c r="C1074" s="36" t="s">
        <v>12</v>
      </c>
      <c r="D1074" s="450">
        <v>0.79166666666424135</v>
      </c>
      <c r="E1074" s="36" t="s">
        <v>8811</v>
      </c>
      <c r="F1074" s="36" t="s">
        <v>8162</v>
      </c>
      <c r="G1074" s="36" t="s">
        <v>8812</v>
      </c>
      <c r="H1074" s="36" t="s">
        <v>1065</v>
      </c>
      <c r="I1074" s="36">
        <v>1</v>
      </c>
      <c r="J1074" s="36" t="s">
        <v>5895</v>
      </c>
      <c r="K1074" s="36" t="s">
        <v>8813</v>
      </c>
      <c r="L1074" s="36" t="b">
        <v>0</v>
      </c>
    </row>
    <row r="1075" spans="1:12" ht="12.75">
      <c r="A1075" s="448">
        <v>45325.855309537037</v>
      </c>
      <c r="B1075" s="449">
        <v>45325</v>
      </c>
      <c r="C1075" s="36" t="s">
        <v>3388</v>
      </c>
      <c r="D1075" s="450">
        <v>0.64583333333575865</v>
      </c>
      <c r="E1075" s="36" t="s">
        <v>8814</v>
      </c>
      <c r="F1075" s="36" t="s">
        <v>8815</v>
      </c>
      <c r="G1075" s="36" t="s">
        <v>1322</v>
      </c>
      <c r="H1075" s="36" t="s">
        <v>1069</v>
      </c>
      <c r="I1075" s="36">
        <v>1</v>
      </c>
      <c r="J1075" s="36" t="s">
        <v>5895</v>
      </c>
      <c r="K1075" s="36" t="s">
        <v>8816</v>
      </c>
      <c r="L1075" s="36" t="b">
        <v>0</v>
      </c>
    </row>
    <row r="1076" spans="1:12" ht="12.75">
      <c r="A1076" s="448">
        <v>45329.01441635417</v>
      </c>
      <c r="B1076" s="449">
        <v>45329</v>
      </c>
      <c r="C1076" s="36" t="s">
        <v>8534</v>
      </c>
      <c r="D1076" s="450">
        <v>0.70833333333575865</v>
      </c>
      <c r="E1076" s="36" t="s">
        <v>8817</v>
      </c>
      <c r="F1076" s="36" t="s">
        <v>8818</v>
      </c>
      <c r="G1076" s="36" t="s">
        <v>8819</v>
      </c>
      <c r="H1076" s="36" t="s">
        <v>8820</v>
      </c>
      <c r="I1076" s="36">
        <v>1</v>
      </c>
      <c r="J1076" s="36" t="s">
        <v>5895</v>
      </c>
      <c r="K1076" s="36" t="s">
        <v>8667</v>
      </c>
      <c r="L1076" s="36" t="b">
        <v>0</v>
      </c>
    </row>
    <row r="1077" spans="1:12" ht="12.75">
      <c r="A1077" s="448">
        <v>45329.016611689818</v>
      </c>
      <c r="B1077" s="449">
        <v>45332</v>
      </c>
      <c r="C1077" s="36" t="s">
        <v>8534</v>
      </c>
      <c r="D1077" s="450">
        <v>0.5</v>
      </c>
      <c r="E1077" s="36" t="s">
        <v>8665</v>
      </c>
      <c r="F1077" s="36" t="s">
        <v>8821</v>
      </c>
      <c r="G1077" s="36" t="s">
        <v>8819</v>
      </c>
      <c r="H1077" s="36" t="s">
        <v>8822</v>
      </c>
      <c r="I1077" s="36">
        <v>2</v>
      </c>
      <c r="J1077" s="36" t="s">
        <v>5895</v>
      </c>
      <c r="K1077" s="36" t="s">
        <v>8823</v>
      </c>
      <c r="L1077" s="36" t="b">
        <v>0</v>
      </c>
    </row>
    <row r="1078" spans="1:12" ht="12.75">
      <c r="A1078" s="448">
        <v>45329.508443125</v>
      </c>
      <c r="B1078" s="449">
        <v>45317</v>
      </c>
      <c r="C1078" s="36" t="s">
        <v>3383</v>
      </c>
      <c r="D1078" s="450">
        <v>0.75</v>
      </c>
      <c r="E1078" s="36" t="s">
        <v>8824</v>
      </c>
      <c r="F1078" s="36" t="s">
        <v>8825</v>
      </c>
      <c r="G1078" s="36" t="s">
        <v>860</v>
      </c>
      <c r="H1078" s="36" t="s">
        <v>7945</v>
      </c>
      <c r="I1078" s="36">
        <v>2</v>
      </c>
      <c r="J1078" s="36" t="s">
        <v>5895</v>
      </c>
      <c r="K1078" s="36" t="s">
        <v>8826</v>
      </c>
      <c r="L1078" s="36" t="b">
        <v>0</v>
      </c>
    </row>
    <row r="1079" spans="1:12" ht="12.75">
      <c r="A1079" s="448">
        <v>45329.509200740737</v>
      </c>
      <c r="B1079" s="449">
        <v>45318</v>
      </c>
      <c r="C1079" s="36" t="s">
        <v>3383</v>
      </c>
      <c r="D1079" s="450">
        <v>0.41666666666424135</v>
      </c>
      <c r="E1079" s="36" t="s">
        <v>8824</v>
      </c>
      <c r="F1079" s="36" t="s">
        <v>8827</v>
      </c>
      <c r="G1079" s="36" t="s">
        <v>860</v>
      </c>
      <c r="H1079" s="36" t="s">
        <v>1796</v>
      </c>
      <c r="I1079" s="36">
        <v>3</v>
      </c>
      <c r="J1079" s="36" t="s">
        <v>5895</v>
      </c>
      <c r="K1079" s="36" t="s">
        <v>8826</v>
      </c>
      <c r="L1079" s="36" t="b">
        <v>0</v>
      </c>
    </row>
    <row r="1080" spans="1:12" ht="12.75">
      <c r="A1080" s="448">
        <v>45329.510094074074</v>
      </c>
      <c r="B1080" s="449">
        <v>45321</v>
      </c>
      <c r="C1080" s="36" t="s">
        <v>3383</v>
      </c>
      <c r="D1080" s="450">
        <v>0.79166666666424135</v>
      </c>
      <c r="E1080" s="36" t="s">
        <v>8828</v>
      </c>
      <c r="F1080" s="36" t="s">
        <v>8829</v>
      </c>
      <c r="G1080" s="36" t="s">
        <v>860</v>
      </c>
      <c r="H1080" s="36" t="s">
        <v>8830</v>
      </c>
      <c r="I1080" s="36">
        <v>4</v>
      </c>
      <c r="J1080" s="36" t="s">
        <v>5895</v>
      </c>
      <c r="K1080" s="36" t="s">
        <v>8826</v>
      </c>
      <c r="L1080" s="36" t="b">
        <v>0</v>
      </c>
    </row>
    <row r="1081" spans="1:12" ht="12.75">
      <c r="A1081" s="448">
        <v>45329.511501157409</v>
      </c>
      <c r="B1081" s="449">
        <v>45322</v>
      </c>
      <c r="C1081" s="36" t="s">
        <v>3383</v>
      </c>
      <c r="D1081" s="450">
        <v>0.66666666666424135</v>
      </c>
      <c r="E1081" s="36" t="s">
        <v>7485</v>
      </c>
      <c r="F1081" s="36" t="s">
        <v>8829</v>
      </c>
      <c r="G1081" s="36" t="s">
        <v>860</v>
      </c>
      <c r="H1081" s="36" t="s">
        <v>8831</v>
      </c>
      <c r="I1081" s="36">
        <v>5</v>
      </c>
      <c r="J1081" s="36" t="s">
        <v>5895</v>
      </c>
      <c r="K1081" s="36" t="s">
        <v>8826</v>
      </c>
      <c r="L1081" s="36" t="b">
        <v>0</v>
      </c>
    </row>
    <row r="1082" spans="1:12" ht="12.75">
      <c r="A1082" s="448">
        <v>45329.518267893523</v>
      </c>
      <c r="B1082" s="449">
        <v>45324</v>
      </c>
      <c r="C1082" s="36" t="s">
        <v>3383</v>
      </c>
      <c r="D1082" s="450">
        <v>0.75</v>
      </c>
      <c r="E1082" s="36" t="s">
        <v>8824</v>
      </c>
      <c r="F1082" s="36" t="s">
        <v>8832</v>
      </c>
      <c r="G1082" s="36" t="s">
        <v>860</v>
      </c>
      <c r="H1082" s="36" t="s">
        <v>8833</v>
      </c>
      <c r="I1082" s="36">
        <v>1</v>
      </c>
      <c r="J1082" s="36" t="s">
        <v>5895</v>
      </c>
      <c r="K1082" s="36" t="s">
        <v>8826</v>
      </c>
      <c r="L1082" s="36" t="b">
        <v>0</v>
      </c>
    </row>
    <row r="1083" spans="1:12" ht="12.75">
      <c r="A1083" s="448">
        <v>45329.519135694442</v>
      </c>
      <c r="B1083" s="449">
        <v>45325</v>
      </c>
      <c r="C1083" s="36" t="s">
        <v>3383</v>
      </c>
      <c r="D1083" s="450">
        <v>0.41666666666424135</v>
      </c>
      <c r="E1083" s="36" t="s">
        <v>8824</v>
      </c>
      <c r="F1083" s="36" t="s">
        <v>8834</v>
      </c>
      <c r="G1083" s="36" t="s">
        <v>860</v>
      </c>
      <c r="H1083" s="36" t="s">
        <v>1796</v>
      </c>
      <c r="I1083" s="36">
        <v>2</v>
      </c>
      <c r="J1083" s="36" t="s">
        <v>5895</v>
      </c>
      <c r="K1083" s="36" t="s">
        <v>8826</v>
      </c>
      <c r="L1083" s="36" t="b">
        <v>0</v>
      </c>
    </row>
    <row r="1084" spans="1:12" ht="12.75">
      <c r="A1084" s="448">
        <v>45329.760675543977</v>
      </c>
      <c r="B1084" s="449">
        <v>45330</v>
      </c>
      <c r="C1084" s="36" t="s">
        <v>3388</v>
      </c>
      <c r="D1084" s="450">
        <v>0.75</v>
      </c>
      <c r="E1084" s="36" t="s">
        <v>8680</v>
      </c>
      <c r="F1084" s="36" t="s">
        <v>8835</v>
      </c>
      <c r="G1084" s="36" t="s">
        <v>844</v>
      </c>
      <c r="H1084" s="36" t="s">
        <v>1257</v>
      </c>
      <c r="I1084" s="36">
        <v>1</v>
      </c>
      <c r="J1084" s="36" t="s">
        <v>5895</v>
      </c>
      <c r="K1084" s="36" t="s">
        <v>8836</v>
      </c>
      <c r="L1084" s="36" t="b">
        <v>0</v>
      </c>
    </row>
    <row r="1085" spans="1:12" ht="12.75">
      <c r="A1085" s="448">
        <v>45329.922204039351</v>
      </c>
      <c r="B1085" s="449">
        <v>45332</v>
      </c>
      <c r="C1085" s="36" t="s">
        <v>3383</v>
      </c>
      <c r="D1085" s="450">
        <v>0.41666666666424135</v>
      </c>
      <c r="E1085" s="36" t="s">
        <v>8837</v>
      </c>
      <c r="F1085" s="36" t="s">
        <v>8838</v>
      </c>
      <c r="G1085" s="36" t="s">
        <v>2339</v>
      </c>
      <c r="H1085" s="36" t="s">
        <v>1796</v>
      </c>
      <c r="I1085" s="36">
        <v>1</v>
      </c>
      <c r="J1085" s="36" t="s">
        <v>6093</v>
      </c>
      <c r="K1085" s="36" t="s">
        <v>8839</v>
      </c>
      <c r="L1085" s="36" t="b">
        <v>0</v>
      </c>
    </row>
    <row r="1086" spans="1:12" ht="12.75">
      <c r="A1086" s="448">
        <v>45329.923024421296</v>
      </c>
      <c r="B1086" s="449">
        <v>45339</v>
      </c>
      <c r="C1086" s="36" t="s">
        <v>3383</v>
      </c>
      <c r="D1086" s="450">
        <v>0.41666666666424135</v>
      </c>
      <c r="E1086" s="36" t="s">
        <v>8837</v>
      </c>
      <c r="F1086" s="36" t="s">
        <v>8840</v>
      </c>
      <c r="G1086" s="36" t="s">
        <v>2339</v>
      </c>
      <c r="H1086" s="36" t="s">
        <v>8841</v>
      </c>
      <c r="I1086" s="36">
        <v>2</v>
      </c>
      <c r="J1086" s="36" t="s">
        <v>6093</v>
      </c>
      <c r="K1086" s="36" t="s">
        <v>8839</v>
      </c>
      <c r="L1086" s="36" t="b">
        <v>0</v>
      </c>
    </row>
    <row r="1087" spans="1:12" ht="12.75">
      <c r="A1087" s="448">
        <v>45329.923669050928</v>
      </c>
      <c r="B1087" s="449">
        <v>45346</v>
      </c>
      <c r="C1087" s="36" t="s">
        <v>3383</v>
      </c>
      <c r="D1087" s="450">
        <v>0.41666666666424135</v>
      </c>
      <c r="E1087" s="36" t="s">
        <v>8837</v>
      </c>
      <c r="F1087" s="36" t="s">
        <v>8842</v>
      </c>
      <c r="G1087" s="36" t="s">
        <v>2339</v>
      </c>
      <c r="H1087" s="36" t="s">
        <v>8841</v>
      </c>
      <c r="I1087" s="36">
        <v>3</v>
      </c>
      <c r="J1087" s="36" t="s">
        <v>6093</v>
      </c>
      <c r="K1087" s="36" t="s">
        <v>8839</v>
      </c>
      <c r="L1087" s="36" t="b">
        <v>0</v>
      </c>
    </row>
    <row r="1088" spans="1:12" ht="12.75">
      <c r="A1088" s="448">
        <v>45330.451713946764</v>
      </c>
      <c r="B1088" s="449">
        <v>45329</v>
      </c>
      <c r="C1088" s="36" t="s">
        <v>3388</v>
      </c>
      <c r="D1088" s="450">
        <v>0.70833333333575865</v>
      </c>
      <c r="E1088" s="36" t="s">
        <v>8843</v>
      </c>
      <c r="F1088" s="36" t="s">
        <v>8844</v>
      </c>
      <c r="G1088" s="36" t="s">
        <v>1305</v>
      </c>
      <c r="H1088" s="36" t="s">
        <v>6606</v>
      </c>
      <c r="I1088" s="36">
        <v>1</v>
      </c>
      <c r="J1088" s="36" t="s">
        <v>5895</v>
      </c>
      <c r="K1088" s="36" t="s">
        <v>8845</v>
      </c>
      <c r="L1088" s="36" t="b">
        <v>0</v>
      </c>
    </row>
    <row r="1089" spans="1:12" ht="12.75">
      <c r="A1089" s="448">
        <v>45330.452962233801</v>
      </c>
      <c r="B1089" s="449">
        <v>45329</v>
      </c>
      <c r="C1089" s="36" t="s">
        <v>3388</v>
      </c>
      <c r="D1089" s="450">
        <v>0.75</v>
      </c>
      <c r="E1089" s="36" t="s">
        <v>8846</v>
      </c>
      <c r="F1089" s="36" t="s">
        <v>8653</v>
      </c>
      <c r="G1089" s="36" t="s">
        <v>4049</v>
      </c>
      <c r="H1089" s="36" t="s">
        <v>3580</v>
      </c>
      <c r="I1089" s="36">
        <v>2</v>
      </c>
      <c r="J1089" s="36" t="s">
        <v>5895</v>
      </c>
      <c r="K1089" s="36" t="s">
        <v>7349</v>
      </c>
      <c r="L1089" s="36" t="b">
        <v>0</v>
      </c>
    </row>
    <row r="1090" spans="1:12" ht="12.75">
      <c r="A1090" s="448">
        <v>45330.453837395835</v>
      </c>
      <c r="B1090" s="449">
        <v>45329</v>
      </c>
      <c r="C1090" s="36" t="s">
        <v>3388</v>
      </c>
      <c r="D1090" s="450">
        <v>0.8125</v>
      </c>
      <c r="E1090" s="36" t="s">
        <v>8847</v>
      </c>
      <c r="F1090" s="36" t="s">
        <v>8848</v>
      </c>
      <c r="G1090" s="36" t="s">
        <v>4049</v>
      </c>
      <c r="H1090" s="36" t="s">
        <v>8849</v>
      </c>
      <c r="I1090" s="36">
        <v>3</v>
      </c>
      <c r="J1090" s="36" t="s">
        <v>5895</v>
      </c>
      <c r="K1090" s="36" t="s">
        <v>7349</v>
      </c>
      <c r="L1090" s="36" t="b">
        <v>0</v>
      </c>
    </row>
    <row r="1091" spans="1:12" ht="12.75">
      <c r="A1091" s="448">
        <v>45330.471299444442</v>
      </c>
      <c r="B1091" s="449">
        <v>45506</v>
      </c>
      <c r="C1091" s="36" t="s">
        <v>3388</v>
      </c>
      <c r="D1091" s="450">
        <v>0.75</v>
      </c>
      <c r="E1091" s="36" t="s">
        <v>7974</v>
      </c>
      <c r="F1091" s="36" t="s">
        <v>8850</v>
      </c>
      <c r="G1091" s="36" t="s">
        <v>1483</v>
      </c>
      <c r="H1091" s="36" t="s">
        <v>8851</v>
      </c>
      <c r="I1091" s="36">
        <v>1</v>
      </c>
      <c r="J1091" s="36" t="s">
        <v>5895</v>
      </c>
      <c r="K1091" s="36" t="s">
        <v>8852</v>
      </c>
      <c r="L1091" s="36" t="b">
        <v>0</v>
      </c>
    </row>
    <row r="1092" spans="1:12" ht="12.75">
      <c r="A1092" s="448">
        <v>45330.506975601849</v>
      </c>
      <c r="B1092" s="449">
        <v>45332</v>
      </c>
      <c r="C1092" s="36" t="s">
        <v>3383</v>
      </c>
      <c r="D1092" s="450">
        <v>0.41666666666424135</v>
      </c>
      <c r="E1092" s="36" t="s">
        <v>8853</v>
      </c>
      <c r="F1092" s="36" t="s">
        <v>8854</v>
      </c>
      <c r="G1092" s="36" t="s">
        <v>367</v>
      </c>
      <c r="H1092" s="36" t="s">
        <v>8855</v>
      </c>
      <c r="I1092" s="36">
        <v>1</v>
      </c>
      <c r="J1092" s="36" t="s">
        <v>5895</v>
      </c>
      <c r="K1092" s="36" t="s">
        <v>6070</v>
      </c>
      <c r="L1092" s="36" t="b">
        <v>0</v>
      </c>
    </row>
    <row r="1093" spans="1:12" ht="12.75">
      <c r="A1093" s="448">
        <v>45330.80770315972</v>
      </c>
      <c r="B1093" s="449">
        <v>45333</v>
      </c>
      <c r="C1093" s="36" t="s">
        <v>3388</v>
      </c>
      <c r="D1093" s="450">
        <v>0.41666666666424135</v>
      </c>
      <c r="E1093" s="36" t="s">
        <v>7279</v>
      </c>
      <c r="F1093" s="36" t="s">
        <v>8856</v>
      </c>
      <c r="G1093" s="36" t="s">
        <v>1172</v>
      </c>
      <c r="H1093" s="36" t="s">
        <v>1158</v>
      </c>
      <c r="I1093" s="36">
        <v>1</v>
      </c>
      <c r="J1093" s="36" t="s">
        <v>5895</v>
      </c>
      <c r="K1093" s="36" t="s">
        <v>8857</v>
      </c>
      <c r="L1093" s="36" t="b">
        <v>0</v>
      </c>
    </row>
    <row r="1094" spans="1:12" ht="12.75">
      <c r="A1094" s="448">
        <v>45331.710885833338</v>
      </c>
      <c r="B1094" s="449">
        <v>45332</v>
      </c>
      <c r="C1094" s="36" t="s">
        <v>3388</v>
      </c>
      <c r="D1094" s="450">
        <v>0.5</v>
      </c>
      <c r="E1094" s="36" t="s">
        <v>8824</v>
      </c>
      <c r="F1094" s="36" t="s">
        <v>8726</v>
      </c>
      <c r="G1094" s="36" t="s">
        <v>1474</v>
      </c>
      <c r="H1094" s="36" t="s">
        <v>1222</v>
      </c>
      <c r="I1094" s="36">
        <v>1</v>
      </c>
      <c r="J1094" s="36" t="s">
        <v>5895</v>
      </c>
      <c r="K1094" s="36" t="s">
        <v>8858</v>
      </c>
      <c r="L1094" s="36" t="b">
        <v>0</v>
      </c>
    </row>
    <row r="1095" spans="1:12" ht="12.75">
      <c r="A1095" s="448">
        <v>45332.879166122686</v>
      </c>
      <c r="B1095" s="449">
        <v>45332</v>
      </c>
      <c r="C1095" s="36" t="s">
        <v>3383</v>
      </c>
      <c r="D1095" s="450">
        <v>0.79166666666424135</v>
      </c>
      <c r="E1095" s="36" t="s">
        <v>8580</v>
      </c>
      <c r="F1095" s="36" t="s">
        <v>8859</v>
      </c>
      <c r="G1095" s="36" t="s">
        <v>2474</v>
      </c>
      <c r="H1095" s="36" t="s">
        <v>8059</v>
      </c>
      <c r="I1095" s="36">
        <v>1</v>
      </c>
      <c r="J1095" s="36" t="s">
        <v>5895</v>
      </c>
      <c r="K1095" s="36" t="s">
        <v>7196</v>
      </c>
      <c r="L1095" s="36" t="b">
        <v>0</v>
      </c>
    </row>
    <row r="1096" spans="1:12" ht="12.75">
      <c r="A1096" s="448">
        <v>45332.954300497688</v>
      </c>
      <c r="B1096" s="449">
        <v>45333</v>
      </c>
      <c r="C1096" s="36" t="s">
        <v>3388</v>
      </c>
      <c r="D1096" s="450">
        <v>0.41666666666424135</v>
      </c>
      <c r="E1096" s="36" t="s">
        <v>7146</v>
      </c>
      <c r="F1096" s="36">
        <v>41</v>
      </c>
      <c r="G1096" s="36" t="s">
        <v>6542</v>
      </c>
      <c r="H1096" s="36" t="s">
        <v>8860</v>
      </c>
      <c r="I1096" s="36">
        <v>2</v>
      </c>
      <c r="J1096" s="36" t="s">
        <v>5895</v>
      </c>
      <c r="K1096" s="36" t="s">
        <v>8861</v>
      </c>
      <c r="L1096" s="36" t="b">
        <v>0</v>
      </c>
    </row>
    <row r="1097" spans="1:12" ht="12.75">
      <c r="A1097" s="448">
        <v>45333.676620243059</v>
      </c>
      <c r="B1097" s="449">
        <v>45339</v>
      </c>
      <c r="C1097" s="36" t="s">
        <v>12</v>
      </c>
      <c r="D1097" s="450">
        <v>0.41666666666424135</v>
      </c>
      <c r="E1097" s="36" t="s">
        <v>8862</v>
      </c>
      <c r="F1097" s="36" t="s">
        <v>8863</v>
      </c>
      <c r="G1097" s="36" t="s">
        <v>6032</v>
      </c>
      <c r="H1097" s="36" t="s">
        <v>8864</v>
      </c>
      <c r="I1097" s="36">
        <v>1</v>
      </c>
      <c r="J1097" s="36" t="s">
        <v>5895</v>
      </c>
      <c r="K1097" s="36" t="s">
        <v>5983</v>
      </c>
      <c r="L1097" s="36" t="b">
        <v>0</v>
      </c>
    </row>
    <row r="1098" spans="1:12" ht="12.75">
      <c r="A1098" s="448">
        <v>45334.815135069446</v>
      </c>
      <c r="B1098" s="449">
        <v>45332</v>
      </c>
      <c r="C1098" s="36" t="s">
        <v>3388</v>
      </c>
      <c r="D1098" s="450">
        <v>0.89583333333575865</v>
      </c>
      <c r="E1098" s="36" t="s">
        <v>8865</v>
      </c>
      <c r="F1098" s="36" t="s">
        <v>8866</v>
      </c>
      <c r="G1098" s="36" t="s">
        <v>2962</v>
      </c>
      <c r="H1098" s="36" t="s">
        <v>5906</v>
      </c>
      <c r="I1098" s="36">
        <v>1</v>
      </c>
      <c r="J1098" s="36" t="s">
        <v>5895</v>
      </c>
      <c r="K1098" s="36" t="s">
        <v>8867</v>
      </c>
      <c r="L1098" s="36" t="b">
        <v>0</v>
      </c>
    </row>
    <row r="1099" spans="1:12" ht="12.75">
      <c r="A1099" s="448">
        <v>45336.003777141203</v>
      </c>
      <c r="B1099" s="449">
        <v>45334</v>
      </c>
      <c r="C1099" s="36" t="s">
        <v>3383</v>
      </c>
      <c r="D1099" s="450">
        <v>0.75</v>
      </c>
      <c r="E1099" s="36" t="s">
        <v>8868</v>
      </c>
      <c r="F1099" s="36" t="s">
        <v>8869</v>
      </c>
      <c r="G1099" s="36" t="s">
        <v>7724</v>
      </c>
      <c r="H1099" s="36" t="s">
        <v>8870</v>
      </c>
      <c r="I1099" s="36">
        <v>1</v>
      </c>
      <c r="J1099" s="36" t="s">
        <v>5895</v>
      </c>
      <c r="K1099" s="36" t="s">
        <v>6210</v>
      </c>
      <c r="L1099" s="36" t="b">
        <v>0</v>
      </c>
    </row>
    <row r="1100" spans="1:12" ht="12.75">
      <c r="A1100" s="448">
        <v>45336.686564710646</v>
      </c>
      <c r="B1100" s="449">
        <v>45337</v>
      </c>
      <c r="C1100" s="36" t="s">
        <v>3388</v>
      </c>
      <c r="D1100" s="450">
        <v>0.79166666666424135</v>
      </c>
      <c r="E1100" s="36" t="s">
        <v>7125</v>
      </c>
      <c r="F1100" s="36" t="s">
        <v>8871</v>
      </c>
      <c r="G1100" s="36" t="s">
        <v>7127</v>
      </c>
      <c r="H1100" s="36" t="s">
        <v>7047</v>
      </c>
      <c r="I1100" s="36">
        <v>1</v>
      </c>
      <c r="J1100" s="36" t="s">
        <v>5895</v>
      </c>
      <c r="K1100" s="36" t="s">
        <v>8150</v>
      </c>
      <c r="L1100" s="36" t="b">
        <v>0</v>
      </c>
    </row>
    <row r="1101" spans="1:12" ht="12.75">
      <c r="A1101" s="448">
        <v>45336.68776325231</v>
      </c>
      <c r="B1101" s="449">
        <v>45338</v>
      </c>
      <c r="C1101" s="36" t="s">
        <v>3388</v>
      </c>
      <c r="D1101" s="450">
        <v>0.70833333333575865</v>
      </c>
      <c r="E1101" s="36" t="s">
        <v>7851</v>
      </c>
      <c r="F1101" s="36" t="s">
        <v>8872</v>
      </c>
      <c r="G1101" s="36" t="s">
        <v>7127</v>
      </c>
      <c r="H1101" s="36" t="s">
        <v>5937</v>
      </c>
      <c r="I1101" s="36">
        <v>2</v>
      </c>
      <c r="J1101" s="36" t="s">
        <v>5895</v>
      </c>
      <c r="K1101" s="36" t="s">
        <v>8150</v>
      </c>
      <c r="L1101" s="36" t="b">
        <v>0</v>
      </c>
    </row>
    <row r="1102" spans="1:12" ht="12.75">
      <c r="A1102" s="448">
        <v>45336.69064429398</v>
      </c>
      <c r="B1102" s="449">
        <v>45339</v>
      </c>
      <c r="C1102" s="36" t="s">
        <v>3388</v>
      </c>
      <c r="D1102" s="450">
        <v>0.48611111110949423</v>
      </c>
      <c r="E1102" s="36" t="s">
        <v>8873</v>
      </c>
      <c r="F1102" s="36" t="s">
        <v>8874</v>
      </c>
      <c r="G1102" s="36" t="s">
        <v>7127</v>
      </c>
      <c r="H1102" s="36" t="s">
        <v>6315</v>
      </c>
      <c r="I1102" s="36">
        <v>3</v>
      </c>
      <c r="J1102" s="36" t="s">
        <v>5895</v>
      </c>
      <c r="K1102" s="36" t="s">
        <v>8150</v>
      </c>
      <c r="L1102" s="36" t="b">
        <v>0</v>
      </c>
    </row>
    <row r="1103" spans="1:12" ht="12.75">
      <c r="A1103" s="448">
        <v>45336.691633240742</v>
      </c>
      <c r="B1103" s="449">
        <v>45340</v>
      </c>
      <c r="C1103" s="36" t="s">
        <v>3388</v>
      </c>
      <c r="D1103" s="450">
        <v>0.41666666666424135</v>
      </c>
      <c r="E1103" s="36" t="s">
        <v>8875</v>
      </c>
      <c r="F1103" s="36" t="s">
        <v>6380</v>
      </c>
      <c r="G1103" s="36" t="s">
        <v>8876</v>
      </c>
      <c r="H1103" s="36" t="s">
        <v>8149</v>
      </c>
      <c r="I1103" s="36">
        <v>4</v>
      </c>
      <c r="J1103" s="36" t="s">
        <v>5895</v>
      </c>
      <c r="K1103" s="36" t="s">
        <v>8150</v>
      </c>
      <c r="L1103" s="36" t="b">
        <v>0</v>
      </c>
    </row>
    <row r="1104" spans="1:12" ht="12.75">
      <c r="A1104" s="448">
        <v>45336.973382337965</v>
      </c>
      <c r="B1104" s="449">
        <v>45337</v>
      </c>
      <c r="C1104" s="36" t="s">
        <v>3383</v>
      </c>
      <c r="D1104" s="450">
        <v>0.72916666666424135</v>
      </c>
      <c r="E1104" s="36" t="s">
        <v>8877</v>
      </c>
      <c r="F1104" s="36" t="s">
        <v>8878</v>
      </c>
      <c r="G1104" s="36" t="s">
        <v>1216</v>
      </c>
      <c r="H1104" s="36" t="s">
        <v>8879</v>
      </c>
      <c r="I1104" s="36">
        <v>1</v>
      </c>
      <c r="J1104" s="36" t="s">
        <v>5895</v>
      </c>
      <c r="K1104" s="36" t="s">
        <v>5943</v>
      </c>
      <c r="L1104" s="36" t="b">
        <v>0</v>
      </c>
    </row>
    <row r="1105" spans="1:12" ht="12.75">
      <c r="A1105" s="448">
        <v>45336.976882881943</v>
      </c>
      <c r="B1105" s="449">
        <v>45337</v>
      </c>
      <c r="C1105" s="36" t="s">
        <v>3383</v>
      </c>
      <c r="D1105" s="450">
        <v>0.72916666666424135</v>
      </c>
      <c r="E1105" s="36" t="s">
        <v>8877</v>
      </c>
      <c r="F1105" s="36" t="s">
        <v>8880</v>
      </c>
      <c r="G1105" s="36" t="s">
        <v>1216</v>
      </c>
      <c r="H1105" s="36" t="s">
        <v>8879</v>
      </c>
      <c r="I1105" s="36">
        <v>1</v>
      </c>
      <c r="J1105" s="36" t="s">
        <v>5895</v>
      </c>
      <c r="K1105" s="36" t="s">
        <v>6242</v>
      </c>
      <c r="L1105" s="36" t="b">
        <v>0</v>
      </c>
    </row>
    <row r="1106" spans="1:12" ht="12.75">
      <c r="A1106" s="448">
        <v>45337.667675081015</v>
      </c>
      <c r="B1106" s="449">
        <v>45329</v>
      </c>
      <c r="C1106" s="36" t="s">
        <v>3383</v>
      </c>
      <c r="D1106" s="450">
        <v>0.66666666666424135</v>
      </c>
      <c r="E1106" s="36" t="s">
        <v>8507</v>
      </c>
      <c r="F1106" s="36" t="s">
        <v>8881</v>
      </c>
      <c r="G1106" s="36" t="s">
        <v>6537</v>
      </c>
      <c r="H1106" s="36" t="s">
        <v>8882</v>
      </c>
      <c r="I1106" s="36">
        <v>1</v>
      </c>
      <c r="J1106" s="36" t="s">
        <v>5895</v>
      </c>
      <c r="K1106" s="36" t="s">
        <v>8883</v>
      </c>
      <c r="L1106" s="36" t="b">
        <v>0</v>
      </c>
    </row>
    <row r="1107" spans="1:12" ht="12.75">
      <c r="A1107" s="448">
        <v>45337.673227187501</v>
      </c>
      <c r="B1107" s="449">
        <v>45337</v>
      </c>
      <c r="C1107" s="36" t="s">
        <v>3383</v>
      </c>
      <c r="D1107" s="450">
        <v>0.75</v>
      </c>
      <c r="E1107" s="36" t="s">
        <v>8884</v>
      </c>
      <c r="F1107" s="36" t="s">
        <v>8885</v>
      </c>
      <c r="G1107" s="36" t="s">
        <v>2304</v>
      </c>
      <c r="H1107" s="36" t="s">
        <v>2339</v>
      </c>
      <c r="I1107" s="36">
        <v>1</v>
      </c>
      <c r="J1107" s="36" t="s">
        <v>5895</v>
      </c>
      <c r="K1107" s="36" t="s">
        <v>8886</v>
      </c>
      <c r="L1107" s="36" t="b">
        <v>0</v>
      </c>
    </row>
    <row r="1108" spans="1:12" ht="12.75">
      <c r="A1108" s="448">
        <v>45338.003147349533</v>
      </c>
      <c r="B1108" s="449">
        <v>45337</v>
      </c>
      <c r="C1108" s="36" t="s">
        <v>14</v>
      </c>
      <c r="D1108" s="450">
        <v>0.75</v>
      </c>
      <c r="E1108" s="36" t="s">
        <v>8887</v>
      </c>
      <c r="F1108" s="36" t="s">
        <v>8888</v>
      </c>
      <c r="G1108" s="36" t="s">
        <v>8889</v>
      </c>
      <c r="H1108" s="36" t="s">
        <v>1669</v>
      </c>
      <c r="I1108" s="36">
        <v>1</v>
      </c>
      <c r="J1108" s="36" t="s">
        <v>5895</v>
      </c>
      <c r="K1108" s="36" t="s">
        <v>8890</v>
      </c>
      <c r="L1108" s="36" t="b">
        <v>0</v>
      </c>
    </row>
    <row r="1109" spans="1:12" ht="12.75">
      <c r="A1109" s="448">
        <v>45338.729223217597</v>
      </c>
      <c r="B1109" s="449">
        <v>45337</v>
      </c>
      <c r="C1109" s="36" t="s">
        <v>3388</v>
      </c>
      <c r="D1109" s="450">
        <v>0.75</v>
      </c>
      <c r="E1109" s="36" t="s">
        <v>8891</v>
      </c>
      <c r="F1109" s="36" t="s">
        <v>8892</v>
      </c>
      <c r="G1109" s="36" t="s">
        <v>2129</v>
      </c>
      <c r="H1109" s="36" t="s">
        <v>8893</v>
      </c>
      <c r="I1109" s="36">
        <v>1</v>
      </c>
      <c r="J1109" s="36" t="s">
        <v>5895</v>
      </c>
      <c r="K1109" s="36" t="s">
        <v>8894</v>
      </c>
      <c r="L1109" s="36" t="b">
        <v>0</v>
      </c>
    </row>
    <row r="1110" spans="1:12" ht="12.75">
      <c r="A1110" s="448">
        <v>45338.861285983796</v>
      </c>
      <c r="B1110" s="449">
        <v>45349</v>
      </c>
      <c r="C1110" s="36" t="s">
        <v>3383</v>
      </c>
      <c r="D1110" s="450">
        <v>0.72916666666424135</v>
      </c>
      <c r="E1110" s="36" t="s">
        <v>8895</v>
      </c>
      <c r="F1110" s="36" t="s">
        <v>8896</v>
      </c>
      <c r="G1110" s="36" t="s">
        <v>756</v>
      </c>
      <c r="H1110" s="36" t="s">
        <v>860</v>
      </c>
      <c r="I1110" s="36">
        <v>1</v>
      </c>
      <c r="J1110" s="36" t="s">
        <v>5895</v>
      </c>
      <c r="K1110" s="36" t="s">
        <v>7153</v>
      </c>
      <c r="L1110" s="36" t="b">
        <v>0</v>
      </c>
    </row>
    <row r="1111" spans="1:12" ht="12.75">
      <c r="A1111" s="448">
        <v>45338.862083518514</v>
      </c>
      <c r="B1111" s="449">
        <v>45344</v>
      </c>
      <c r="C1111" s="36" t="s">
        <v>3383</v>
      </c>
      <c r="D1111" s="450">
        <v>0.72916666666424135</v>
      </c>
      <c r="E1111" s="36" t="s">
        <v>8895</v>
      </c>
      <c r="F1111" s="36" t="s">
        <v>8897</v>
      </c>
      <c r="G1111" s="36" t="s">
        <v>756</v>
      </c>
      <c r="H1111" s="36" t="s">
        <v>8898</v>
      </c>
      <c r="I1111" s="36">
        <v>2</v>
      </c>
      <c r="J1111" s="36" t="s">
        <v>5895</v>
      </c>
      <c r="K1111" s="36" t="s">
        <v>7153</v>
      </c>
      <c r="L1111" s="36" t="b">
        <v>0</v>
      </c>
    </row>
    <row r="1112" spans="1:12" ht="12.75">
      <c r="A1112" s="448">
        <v>45338.868454247684</v>
      </c>
      <c r="B1112" s="449">
        <v>45338</v>
      </c>
      <c r="C1112" s="36" t="s">
        <v>3388</v>
      </c>
      <c r="D1112" s="450">
        <v>0.66319444444525288</v>
      </c>
      <c r="E1112" s="36" t="s">
        <v>8899</v>
      </c>
      <c r="F1112" s="36" t="s">
        <v>8900</v>
      </c>
      <c r="G1112" s="36" t="s">
        <v>756</v>
      </c>
      <c r="H1112" s="36" t="s">
        <v>8901</v>
      </c>
      <c r="I1112" s="36">
        <v>1</v>
      </c>
      <c r="J1112" s="36" t="s">
        <v>5895</v>
      </c>
      <c r="K1112" s="36" t="s">
        <v>7153</v>
      </c>
      <c r="L1112" s="36" t="b">
        <v>0</v>
      </c>
    </row>
    <row r="1113" spans="1:12" ht="12.75">
      <c r="A1113" s="448">
        <v>45338.879606793984</v>
      </c>
      <c r="B1113" s="449">
        <v>45345</v>
      </c>
      <c r="C1113" s="36" t="s">
        <v>3383</v>
      </c>
      <c r="D1113" s="450">
        <v>0.75</v>
      </c>
      <c r="E1113" s="36" t="s">
        <v>7494</v>
      </c>
      <c r="F1113" s="36" t="s">
        <v>8902</v>
      </c>
      <c r="G1113" s="36" t="s">
        <v>756</v>
      </c>
      <c r="H1113" s="36" t="s">
        <v>8903</v>
      </c>
      <c r="I1113" s="36">
        <v>3</v>
      </c>
      <c r="J1113" s="36" t="s">
        <v>5895</v>
      </c>
      <c r="K1113" s="36" t="s">
        <v>7153</v>
      </c>
      <c r="L1113" s="36" t="b">
        <v>0</v>
      </c>
    </row>
    <row r="1114" spans="1:12" ht="12.75">
      <c r="A1114" s="448">
        <v>45338.880345682875</v>
      </c>
      <c r="B1114" s="449">
        <v>45345</v>
      </c>
      <c r="C1114" s="36" t="s">
        <v>3383</v>
      </c>
      <c r="D1114" s="450">
        <v>0.81944444444525288</v>
      </c>
      <c r="E1114" s="36" t="s">
        <v>8126</v>
      </c>
      <c r="F1114" s="36" t="s">
        <v>8904</v>
      </c>
      <c r="G1114" s="36" t="s">
        <v>756</v>
      </c>
      <c r="H1114" s="36" t="s">
        <v>8905</v>
      </c>
      <c r="I1114" s="36">
        <v>3</v>
      </c>
      <c r="J1114" s="36" t="s">
        <v>5895</v>
      </c>
      <c r="K1114" s="36" t="s">
        <v>7153</v>
      </c>
      <c r="L1114" s="36" t="b">
        <v>0</v>
      </c>
    </row>
    <row r="1115" spans="1:12" ht="12.75">
      <c r="A1115" s="448">
        <v>45338.982936157408</v>
      </c>
      <c r="B1115" s="449">
        <v>45339</v>
      </c>
      <c r="C1115" s="36" t="s">
        <v>3383</v>
      </c>
      <c r="D1115" s="450">
        <v>0.41666666666424135</v>
      </c>
      <c r="E1115" s="36" t="s">
        <v>8587</v>
      </c>
      <c r="F1115" s="36" t="s">
        <v>8906</v>
      </c>
      <c r="G1115" s="36" t="s">
        <v>8589</v>
      </c>
      <c r="H1115" s="36" t="s">
        <v>8590</v>
      </c>
      <c r="I1115" s="36">
        <v>1</v>
      </c>
      <c r="J1115" s="36" t="s">
        <v>5895</v>
      </c>
      <c r="K1115" s="36" t="s">
        <v>7220</v>
      </c>
      <c r="L1115" s="36" t="b">
        <v>0</v>
      </c>
    </row>
    <row r="1116" spans="1:12" ht="12.75">
      <c r="A1116" s="448">
        <v>45339.507042453704</v>
      </c>
      <c r="B1116" s="449">
        <v>45348</v>
      </c>
      <c r="C1116" s="36" t="s">
        <v>3383</v>
      </c>
      <c r="D1116" s="450">
        <v>0.75</v>
      </c>
      <c r="E1116" s="36" t="s">
        <v>8907</v>
      </c>
      <c r="F1116" s="36" t="s">
        <v>8908</v>
      </c>
      <c r="G1116" s="36" t="s">
        <v>756</v>
      </c>
      <c r="H1116" s="36" t="s">
        <v>8568</v>
      </c>
      <c r="I1116" s="36">
        <v>4</v>
      </c>
      <c r="J1116" s="36" t="s">
        <v>5895</v>
      </c>
      <c r="K1116" s="36" t="s">
        <v>6186</v>
      </c>
      <c r="L1116" s="36" t="b">
        <v>0</v>
      </c>
    </row>
    <row r="1117" spans="1:12" ht="12.75">
      <c r="A1117" s="448">
        <v>45339.762457256948</v>
      </c>
      <c r="B1117" s="449">
        <v>45339</v>
      </c>
      <c r="C1117" s="36" t="s">
        <v>3388</v>
      </c>
      <c r="D1117" s="450">
        <v>0.85416666666424135</v>
      </c>
      <c r="E1117" s="36" t="s">
        <v>8909</v>
      </c>
      <c r="F1117" s="36" t="s">
        <v>8910</v>
      </c>
      <c r="G1117" s="36" t="s">
        <v>8911</v>
      </c>
      <c r="H1117" s="36" t="s">
        <v>6363</v>
      </c>
      <c r="I1117" s="36">
        <v>1</v>
      </c>
      <c r="J1117" s="36" t="s">
        <v>5895</v>
      </c>
      <c r="K1117" s="36" t="s">
        <v>8912</v>
      </c>
      <c r="L1117" s="36" t="b">
        <v>0</v>
      </c>
    </row>
    <row r="1118" spans="1:12" ht="12.75">
      <c r="A1118" s="448">
        <v>45339.84638210648</v>
      </c>
      <c r="B1118" s="449">
        <v>45339</v>
      </c>
      <c r="C1118" s="36" t="s">
        <v>3388</v>
      </c>
      <c r="D1118" s="450">
        <v>0.47916666666424135</v>
      </c>
      <c r="E1118" s="36" t="s">
        <v>8913</v>
      </c>
      <c r="F1118" s="36" t="s">
        <v>8914</v>
      </c>
      <c r="G1118" s="36" t="s">
        <v>8915</v>
      </c>
      <c r="H1118" s="36" t="s">
        <v>1113</v>
      </c>
      <c r="I1118" s="36">
        <v>1</v>
      </c>
      <c r="J1118" s="36" t="s">
        <v>5895</v>
      </c>
      <c r="K1118" s="36" t="s">
        <v>8448</v>
      </c>
      <c r="L1118" s="36" t="b">
        <v>0</v>
      </c>
    </row>
    <row r="1119" spans="1:12" ht="12.75">
      <c r="A1119" s="448">
        <v>45340.407748090278</v>
      </c>
      <c r="B1119" s="449">
        <v>45340</v>
      </c>
      <c r="C1119" s="36" t="s">
        <v>3388</v>
      </c>
      <c r="D1119" s="450">
        <v>0.79166666666424135</v>
      </c>
      <c r="E1119" s="36" t="s">
        <v>8916</v>
      </c>
      <c r="F1119" s="36" t="s">
        <v>8917</v>
      </c>
      <c r="G1119" s="36" t="s">
        <v>725</v>
      </c>
      <c r="H1119" s="36" t="s">
        <v>2884</v>
      </c>
      <c r="I1119" s="36">
        <v>1</v>
      </c>
      <c r="J1119" s="36" t="s">
        <v>5895</v>
      </c>
      <c r="K1119" s="36" t="s">
        <v>8918</v>
      </c>
      <c r="L1119" s="36" t="b">
        <v>0</v>
      </c>
    </row>
    <row r="1120" spans="1:12" ht="12.75">
      <c r="A1120" s="448">
        <v>45340.84940767361</v>
      </c>
      <c r="B1120" s="449">
        <v>45340</v>
      </c>
      <c r="C1120" s="36" t="s">
        <v>12</v>
      </c>
      <c r="D1120" s="450">
        <v>0.41666666666424135</v>
      </c>
      <c r="E1120" s="36" t="s">
        <v>8919</v>
      </c>
      <c r="F1120" s="36" t="s">
        <v>8920</v>
      </c>
      <c r="G1120" s="36" t="s">
        <v>7588</v>
      </c>
      <c r="H1120" s="36" t="s">
        <v>6742</v>
      </c>
      <c r="I1120" s="36">
        <v>1</v>
      </c>
      <c r="J1120" s="36" t="s">
        <v>5895</v>
      </c>
      <c r="K1120" s="36" t="s">
        <v>6183</v>
      </c>
      <c r="L1120" s="36" t="b">
        <v>0</v>
      </c>
    </row>
    <row r="1121" spans="1:12" ht="12.75">
      <c r="A1121" s="448">
        <v>45341.4564412037</v>
      </c>
      <c r="B1121" s="449">
        <v>45338</v>
      </c>
      <c r="C1121" s="36" t="s">
        <v>3383</v>
      </c>
      <c r="D1121" s="450">
        <v>0.75</v>
      </c>
      <c r="E1121" s="36" t="s">
        <v>8921</v>
      </c>
      <c r="F1121" s="36" t="s">
        <v>8922</v>
      </c>
      <c r="G1121" s="36" t="s">
        <v>7724</v>
      </c>
      <c r="H1121" s="36" t="s">
        <v>8923</v>
      </c>
      <c r="I1121" s="36">
        <v>3</v>
      </c>
      <c r="J1121" s="36" t="s">
        <v>5895</v>
      </c>
      <c r="K1121" s="36" t="s">
        <v>8924</v>
      </c>
      <c r="L1121" s="36" t="b">
        <v>0</v>
      </c>
    </row>
    <row r="1122" spans="1:12" ht="12.75">
      <c r="A1122" s="448">
        <v>45341.56584476852</v>
      </c>
      <c r="B1122" s="449">
        <v>45339</v>
      </c>
      <c r="C1122" s="36" t="s">
        <v>3388</v>
      </c>
      <c r="D1122" s="450">
        <v>0.5</v>
      </c>
      <c r="E1122" s="36" t="s">
        <v>8925</v>
      </c>
      <c r="F1122" s="36" t="s">
        <v>8926</v>
      </c>
      <c r="G1122" s="36" t="s">
        <v>2612</v>
      </c>
      <c r="H1122" s="36" t="s">
        <v>8927</v>
      </c>
      <c r="I1122" s="36">
        <v>1</v>
      </c>
      <c r="J1122" s="36" t="s">
        <v>5895</v>
      </c>
      <c r="K1122" s="36" t="s">
        <v>8928</v>
      </c>
      <c r="L1122" s="36" t="b">
        <v>0</v>
      </c>
    </row>
    <row r="1123" spans="1:12" ht="12.75">
      <c r="A1123" s="448">
        <v>45341.68555574074</v>
      </c>
      <c r="B1123" s="449">
        <v>45341</v>
      </c>
      <c r="C1123" s="36" t="s">
        <v>3383</v>
      </c>
      <c r="D1123" s="450">
        <v>0.75</v>
      </c>
      <c r="E1123" s="36" t="s">
        <v>7914</v>
      </c>
      <c r="F1123" s="36" t="s">
        <v>8929</v>
      </c>
      <c r="G1123" s="36" t="s">
        <v>6537</v>
      </c>
      <c r="H1123" s="36" t="s">
        <v>8930</v>
      </c>
      <c r="I1123" s="36">
        <v>1</v>
      </c>
      <c r="J1123" s="36" t="s">
        <v>5895</v>
      </c>
      <c r="K1123" s="36" t="s">
        <v>8931</v>
      </c>
      <c r="L1123" s="36" t="b">
        <v>0</v>
      </c>
    </row>
    <row r="1124" spans="1:12" ht="12.75">
      <c r="A1124" s="448">
        <v>45341.687188923606</v>
      </c>
      <c r="B1124" s="449">
        <v>45341</v>
      </c>
      <c r="C1124" s="36" t="s">
        <v>3383</v>
      </c>
      <c r="D1124" s="450">
        <v>0.8125</v>
      </c>
      <c r="E1124" s="36" t="s">
        <v>8932</v>
      </c>
      <c r="F1124" s="36" t="s">
        <v>8933</v>
      </c>
      <c r="G1124" s="36" t="s">
        <v>6537</v>
      </c>
      <c r="H1124" s="36" t="s">
        <v>8934</v>
      </c>
      <c r="I1124" s="36">
        <v>2</v>
      </c>
      <c r="J1124" s="36" t="s">
        <v>5895</v>
      </c>
      <c r="K1124" s="36" t="s">
        <v>6989</v>
      </c>
      <c r="L1124" s="36" t="b">
        <v>0</v>
      </c>
    </row>
    <row r="1125" spans="1:12" ht="12.75">
      <c r="A1125" s="448">
        <v>45341.734448518517</v>
      </c>
      <c r="B1125" s="449">
        <v>45344</v>
      </c>
      <c r="C1125" s="36" t="s">
        <v>12</v>
      </c>
      <c r="D1125" s="450">
        <v>0.79166666666424135</v>
      </c>
      <c r="E1125" s="36" t="s">
        <v>8935</v>
      </c>
      <c r="F1125" s="36" t="s">
        <v>8936</v>
      </c>
      <c r="G1125" s="36" t="s">
        <v>1231</v>
      </c>
      <c r="H1125" s="36" t="s">
        <v>1669</v>
      </c>
      <c r="I1125" s="36">
        <v>1</v>
      </c>
      <c r="J1125" s="36" t="s">
        <v>5895</v>
      </c>
      <c r="K1125" s="36" t="s">
        <v>8937</v>
      </c>
      <c r="L1125" s="36" t="b">
        <v>0</v>
      </c>
    </row>
    <row r="1126" spans="1:12" ht="12.75">
      <c r="A1126" s="448">
        <v>45341.838579062503</v>
      </c>
      <c r="B1126" s="449">
        <v>45340</v>
      </c>
      <c r="C1126" s="36" t="s">
        <v>3388</v>
      </c>
      <c r="D1126" s="450">
        <v>0.41666666666424135</v>
      </c>
      <c r="E1126" s="36" t="s">
        <v>7279</v>
      </c>
      <c r="F1126" s="36" t="s">
        <v>8938</v>
      </c>
      <c r="G1126" s="36" t="s">
        <v>1322</v>
      </c>
      <c r="H1126" s="36" t="s">
        <v>8733</v>
      </c>
      <c r="I1126" s="36">
        <v>4</v>
      </c>
      <c r="J1126" s="36" t="s">
        <v>5895</v>
      </c>
      <c r="K1126" s="36" t="s">
        <v>8939</v>
      </c>
      <c r="L1126" s="36" t="b">
        <v>0</v>
      </c>
    </row>
    <row r="1127" spans="1:12" ht="12.75">
      <c r="A1127" s="448">
        <v>45341.972077268518</v>
      </c>
      <c r="B1127" s="449">
        <v>45328</v>
      </c>
      <c r="C1127" s="36" t="s">
        <v>8534</v>
      </c>
      <c r="D1127" s="450">
        <v>6.25E-2</v>
      </c>
      <c r="E1127" s="36" t="s">
        <v>8940</v>
      </c>
      <c r="F1127" s="36" t="s">
        <v>8941</v>
      </c>
      <c r="G1127" s="36" t="s">
        <v>8942</v>
      </c>
      <c r="H1127" s="36" t="s">
        <v>8819</v>
      </c>
      <c r="I1127" s="36" t="s">
        <v>8943</v>
      </c>
      <c r="J1127" s="36" t="s">
        <v>5895</v>
      </c>
      <c r="K1127" s="36" t="s">
        <v>6210</v>
      </c>
      <c r="L1127" s="36" t="b">
        <v>0</v>
      </c>
    </row>
    <row r="1128" spans="1:12" ht="12.75">
      <c r="A1128" s="448">
        <v>45342.560256747689</v>
      </c>
      <c r="B1128" s="449">
        <v>45346</v>
      </c>
      <c r="C1128" s="36" t="s">
        <v>12</v>
      </c>
      <c r="D1128" s="450">
        <v>0.45833333333575865</v>
      </c>
      <c r="E1128" s="36" t="s">
        <v>8944</v>
      </c>
      <c r="F1128" s="36" t="s">
        <v>8945</v>
      </c>
      <c r="G1128" s="36" t="s">
        <v>778</v>
      </c>
      <c r="H1128" s="36" t="s">
        <v>2149</v>
      </c>
      <c r="I1128" s="36">
        <v>1</v>
      </c>
      <c r="J1128" s="36" t="s">
        <v>5895</v>
      </c>
      <c r="K1128" s="36" t="s">
        <v>8946</v>
      </c>
      <c r="L1128" s="36" t="b">
        <v>0</v>
      </c>
    </row>
    <row r="1129" spans="1:12" ht="12.75">
      <c r="A1129" s="448">
        <v>45342.736685081021</v>
      </c>
      <c r="B1129" s="449">
        <v>45342</v>
      </c>
      <c r="C1129" s="36" t="s">
        <v>13</v>
      </c>
      <c r="D1129" s="450">
        <v>0.75</v>
      </c>
      <c r="E1129" s="36" t="s">
        <v>8947</v>
      </c>
      <c r="F1129" s="36" t="s">
        <v>8948</v>
      </c>
      <c r="G1129" s="36" t="s">
        <v>202</v>
      </c>
      <c r="H1129" s="36" t="s">
        <v>8949</v>
      </c>
      <c r="I1129" s="36">
        <v>1</v>
      </c>
      <c r="J1129" s="36" t="s">
        <v>5895</v>
      </c>
      <c r="K1129" s="36" t="s">
        <v>8950</v>
      </c>
      <c r="L1129" s="36" t="b">
        <v>0</v>
      </c>
    </row>
    <row r="1130" spans="1:12" ht="12.75">
      <c r="A1130" s="448">
        <v>45342.748060405094</v>
      </c>
      <c r="B1130" s="449">
        <v>45343</v>
      </c>
      <c r="C1130" s="36" t="s">
        <v>12</v>
      </c>
      <c r="D1130" s="450">
        <v>0.83333333333575865</v>
      </c>
      <c r="E1130" s="36" t="s">
        <v>8137</v>
      </c>
      <c r="F1130" s="36" t="s">
        <v>8951</v>
      </c>
      <c r="G1130" s="36" t="s">
        <v>1063</v>
      </c>
      <c r="H1130" s="36" t="s">
        <v>6880</v>
      </c>
      <c r="I1130" s="36">
        <v>1</v>
      </c>
      <c r="J1130" s="36" t="s">
        <v>5895</v>
      </c>
      <c r="K1130" s="36" t="s">
        <v>8139</v>
      </c>
      <c r="L1130" s="36" t="b">
        <v>0</v>
      </c>
    </row>
    <row r="1131" spans="1:12" ht="12.75">
      <c r="A1131" s="448">
        <v>45342.82589472222</v>
      </c>
      <c r="B1131" s="449">
        <v>45344</v>
      </c>
      <c r="C1131" s="36" t="s">
        <v>12</v>
      </c>
      <c r="D1131" s="450">
        <v>0.75</v>
      </c>
      <c r="E1131" s="36" t="s">
        <v>8952</v>
      </c>
      <c r="F1131" s="36" t="s">
        <v>8953</v>
      </c>
      <c r="G1131" s="36" t="s">
        <v>1063</v>
      </c>
      <c r="H1131" s="36" t="s">
        <v>821</v>
      </c>
      <c r="I1131" s="36">
        <v>2</v>
      </c>
      <c r="J1131" s="36" t="s">
        <v>5895</v>
      </c>
      <c r="K1131" s="36" t="s">
        <v>8139</v>
      </c>
      <c r="L1131" s="36" t="b">
        <v>0</v>
      </c>
    </row>
    <row r="1132" spans="1:12" ht="12.75">
      <c r="A1132" s="448">
        <v>45342.872769212961</v>
      </c>
      <c r="B1132" s="449">
        <v>45342</v>
      </c>
      <c r="C1132" s="36" t="s">
        <v>3383</v>
      </c>
      <c r="D1132" s="450">
        <v>0.79166666666424135</v>
      </c>
      <c r="E1132" s="36" t="s">
        <v>8877</v>
      </c>
      <c r="F1132" s="36" t="s">
        <v>8954</v>
      </c>
      <c r="G1132" s="36" t="s">
        <v>1216</v>
      </c>
      <c r="H1132" s="36" t="s">
        <v>8955</v>
      </c>
      <c r="I1132" s="36">
        <v>2</v>
      </c>
      <c r="J1132" s="36" t="s">
        <v>5895</v>
      </c>
      <c r="K1132" s="36" t="s">
        <v>8956</v>
      </c>
      <c r="L1132" s="36" t="b">
        <v>0</v>
      </c>
    </row>
    <row r="1133" spans="1:12" ht="12.75">
      <c r="A1133" s="448">
        <v>45342.921908425924</v>
      </c>
      <c r="B1133" s="449">
        <v>45328</v>
      </c>
      <c r="C1133" s="36" t="s">
        <v>3388</v>
      </c>
      <c r="D1133" s="450">
        <v>0.75</v>
      </c>
      <c r="E1133" s="36" t="s">
        <v>8957</v>
      </c>
      <c r="F1133" s="36" t="s">
        <v>8958</v>
      </c>
      <c r="G1133" s="36" t="s">
        <v>1128</v>
      </c>
      <c r="H1133" s="36" t="s">
        <v>2497</v>
      </c>
      <c r="I1133" s="36">
        <v>2</v>
      </c>
      <c r="J1133" s="36" t="s">
        <v>5895</v>
      </c>
      <c r="K1133" s="36" t="s">
        <v>6122</v>
      </c>
      <c r="L1133" s="36" t="b">
        <v>0</v>
      </c>
    </row>
    <row r="1134" spans="1:12" ht="12.75">
      <c r="A1134" s="448">
        <v>45342.928044305554</v>
      </c>
      <c r="B1134" s="449">
        <v>45328</v>
      </c>
      <c r="C1134" s="36" t="s">
        <v>3388</v>
      </c>
      <c r="D1134" s="450">
        <v>0.79166666666424135</v>
      </c>
      <c r="E1134" s="36" t="s">
        <v>8959</v>
      </c>
      <c r="F1134" s="36" t="s">
        <v>8960</v>
      </c>
      <c r="G1134" s="36" t="s">
        <v>1128</v>
      </c>
      <c r="H1134" s="36" t="s">
        <v>2651</v>
      </c>
      <c r="I1134" s="36">
        <v>3</v>
      </c>
      <c r="J1134" s="36" t="s">
        <v>5895</v>
      </c>
      <c r="K1134" s="36" t="s">
        <v>6122</v>
      </c>
      <c r="L1134" s="36" t="b">
        <v>0</v>
      </c>
    </row>
    <row r="1135" spans="1:12" ht="12.75">
      <c r="A1135" s="448">
        <v>45342.929435983795</v>
      </c>
      <c r="B1135" s="449">
        <v>45328</v>
      </c>
      <c r="C1135" s="36" t="s">
        <v>3388</v>
      </c>
      <c r="D1135" s="450">
        <v>0.85416666666424135</v>
      </c>
      <c r="E1135" s="36" t="s">
        <v>8961</v>
      </c>
      <c r="F1135" s="36" t="s">
        <v>8962</v>
      </c>
      <c r="G1135" s="36" t="s">
        <v>1128</v>
      </c>
      <c r="H1135" s="36" t="s">
        <v>2651</v>
      </c>
      <c r="I1135" s="36">
        <v>4</v>
      </c>
      <c r="J1135" s="36" t="s">
        <v>6093</v>
      </c>
      <c r="K1135" s="36" t="s">
        <v>8963</v>
      </c>
      <c r="L1135" s="36" t="b">
        <v>0</v>
      </c>
    </row>
    <row r="1136" spans="1:12" ht="12.75">
      <c r="A1136" s="448">
        <v>45342.931887766201</v>
      </c>
      <c r="B1136" s="449">
        <v>45330</v>
      </c>
      <c r="C1136" s="36" t="s">
        <v>3388</v>
      </c>
      <c r="D1136" s="450">
        <v>0.75</v>
      </c>
      <c r="E1136" s="36" t="s">
        <v>7764</v>
      </c>
      <c r="F1136" s="36">
        <v>22</v>
      </c>
      <c r="G1136" s="36" t="s">
        <v>1128</v>
      </c>
      <c r="H1136" s="36" t="s">
        <v>2497</v>
      </c>
      <c r="I1136" s="36">
        <v>5</v>
      </c>
      <c r="J1136" s="36" t="s">
        <v>5895</v>
      </c>
      <c r="K1136" s="36" t="s">
        <v>6122</v>
      </c>
      <c r="L1136" s="36" t="b">
        <v>0</v>
      </c>
    </row>
    <row r="1137" spans="1:12" ht="12.75">
      <c r="A1137" s="448">
        <v>45342.936146712964</v>
      </c>
      <c r="B1137" s="449">
        <v>45330</v>
      </c>
      <c r="C1137" s="36" t="s">
        <v>3388</v>
      </c>
      <c r="D1137" s="450">
        <v>0.79166666666424135</v>
      </c>
      <c r="E1137" s="36" t="s">
        <v>8964</v>
      </c>
      <c r="F1137" s="36">
        <v>32</v>
      </c>
      <c r="G1137" s="36" t="s">
        <v>1128</v>
      </c>
      <c r="H1137" s="36" t="s">
        <v>8851</v>
      </c>
      <c r="I1137" s="36">
        <v>6</v>
      </c>
      <c r="J1137" s="36" t="s">
        <v>5895</v>
      </c>
      <c r="K1137" s="36" t="s">
        <v>6122</v>
      </c>
      <c r="L1137" s="36" t="b">
        <v>0</v>
      </c>
    </row>
    <row r="1138" spans="1:12" ht="12.75">
      <c r="A1138" s="448">
        <v>45342.93765118056</v>
      </c>
      <c r="B1138" s="449">
        <v>45332</v>
      </c>
      <c r="C1138" s="36" t="s">
        <v>3388</v>
      </c>
      <c r="D1138" s="450">
        <v>0.41666666666424135</v>
      </c>
      <c r="E1138" s="36" t="s">
        <v>8965</v>
      </c>
      <c r="F1138" s="36" t="s">
        <v>8966</v>
      </c>
      <c r="G1138" s="36" t="s">
        <v>1128</v>
      </c>
      <c r="H1138" s="36" t="s">
        <v>6363</v>
      </c>
      <c r="I1138" s="36">
        <v>7</v>
      </c>
      <c r="J1138" s="36" t="s">
        <v>5895</v>
      </c>
      <c r="K1138" s="36" t="s">
        <v>6122</v>
      </c>
      <c r="L1138" s="36" t="b">
        <v>0</v>
      </c>
    </row>
    <row r="1139" spans="1:12" ht="12.75">
      <c r="A1139" s="448">
        <v>45342.940085983792</v>
      </c>
      <c r="B1139" s="449">
        <v>45332</v>
      </c>
      <c r="C1139" s="36" t="s">
        <v>3388</v>
      </c>
      <c r="D1139" s="450">
        <v>0.45833333333575865</v>
      </c>
      <c r="E1139" s="36" t="s">
        <v>8415</v>
      </c>
      <c r="F1139" s="36" t="s">
        <v>8967</v>
      </c>
      <c r="G1139" s="36" t="s">
        <v>1128</v>
      </c>
      <c r="H1139" s="36" t="s">
        <v>8851</v>
      </c>
      <c r="I1139" s="36">
        <v>8</v>
      </c>
      <c r="J1139" s="36" t="s">
        <v>5895</v>
      </c>
      <c r="K1139" s="36" t="s">
        <v>6122</v>
      </c>
      <c r="L1139" s="36" t="b">
        <v>0</v>
      </c>
    </row>
    <row r="1140" spans="1:12" ht="12.75">
      <c r="A1140" s="448">
        <v>45342.941490208337</v>
      </c>
      <c r="B1140" s="449">
        <v>45332</v>
      </c>
      <c r="C1140" s="36" t="s">
        <v>3388</v>
      </c>
      <c r="D1140" s="450">
        <v>0.79166666666424135</v>
      </c>
      <c r="E1140" s="36" t="s">
        <v>8544</v>
      </c>
      <c r="F1140" s="36">
        <v>24</v>
      </c>
      <c r="G1140" s="36" t="s">
        <v>1128</v>
      </c>
      <c r="H1140" s="36" t="s">
        <v>6363</v>
      </c>
      <c r="I1140" s="36">
        <v>9</v>
      </c>
      <c r="J1140" s="36" t="s">
        <v>5895</v>
      </c>
      <c r="K1140" s="36" t="s">
        <v>6122</v>
      </c>
      <c r="L1140" s="36" t="b">
        <v>0</v>
      </c>
    </row>
    <row r="1141" spans="1:12" ht="12.75">
      <c r="A1141" s="448">
        <v>45342.979688865744</v>
      </c>
      <c r="B1141" s="449">
        <v>45316</v>
      </c>
      <c r="C1141" s="36" t="s">
        <v>3388</v>
      </c>
      <c r="D1141" s="450">
        <v>0.75</v>
      </c>
      <c r="E1141" s="36" t="s">
        <v>8262</v>
      </c>
      <c r="F1141" s="36" t="s">
        <v>7390</v>
      </c>
      <c r="G1141" s="36" t="s">
        <v>7274</v>
      </c>
      <c r="H1141" s="36" t="s">
        <v>5906</v>
      </c>
      <c r="I1141" s="36">
        <v>1</v>
      </c>
      <c r="J1141" s="36" t="s">
        <v>5895</v>
      </c>
      <c r="K1141" s="36" t="s">
        <v>8968</v>
      </c>
      <c r="L1141" s="36" t="b">
        <v>0</v>
      </c>
    </row>
    <row r="1142" spans="1:12" ht="12.75">
      <c r="A1142" s="448">
        <v>45342.981134409725</v>
      </c>
      <c r="B1142" s="449">
        <v>45316</v>
      </c>
      <c r="C1142" s="36" t="s">
        <v>3388</v>
      </c>
      <c r="D1142" s="450">
        <v>0.83333333333575865</v>
      </c>
      <c r="E1142" s="36" t="s">
        <v>8587</v>
      </c>
      <c r="F1142" s="36" t="s">
        <v>8969</v>
      </c>
      <c r="G1142" s="36" t="s">
        <v>7274</v>
      </c>
      <c r="H1142" s="36" t="s">
        <v>5906</v>
      </c>
      <c r="I1142" s="36">
        <v>1</v>
      </c>
      <c r="J1142" s="36" t="s">
        <v>5895</v>
      </c>
      <c r="K1142" s="36" t="s">
        <v>8970</v>
      </c>
      <c r="L1142" s="36" t="b">
        <v>0</v>
      </c>
    </row>
    <row r="1143" spans="1:12" ht="12.75">
      <c r="A1143" s="448">
        <v>45343.544696111116</v>
      </c>
      <c r="B1143" s="449">
        <v>45344</v>
      </c>
      <c r="C1143" s="36" t="s">
        <v>14</v>
      </c>
      <c r="D1143" s="450">
        <v>0.79166666666424135</v>
      </c>
      <c r="E1143" s="36" t="s">
        <v>8971</v>
      </c>
      <c r="F1143" s="36" t="s">
        <v>8972</v>
      </c>
      <c r="G1143" s="36" t="s">
        <v>2491</v>
      </c>
      <c r="H1143" s="36" t="s">
        <v>818</v>
      </c>
      <c r="I1143" s="36">
        <v>1</v>
      </c>
      <c r="J1143" s="36" t="s">
        <v>5895</v>
      </c>
      <c r="K1143" s="36" t="s">
        <v>5943</v>
      </c>
      <c r="L1143" s="36" t="b">
        <v>0</v>
      </c>
    </row>
    <row r="1144" spans="1:12" ht="12.75">
      <c r="A1144" s="448">
        <v>45344.600417256945</v>
      </c>
      <c r="B1144" s="449">
        <v>45349</v>
      </c>
      <c r="C1144" s="36" t="s">
        <v>3383</v>
      </c>
      <c r="D1144" s="450">
        <v>0.72916666666424135</v>
      </c>
      <c r="E1144" s="36" t="s">
        <v>8973</v>
      </c>
      <c r="F1144" s="36" t="s">
        <v>8974</v>
      </c>
      <c r="G1144" s="36" t="s">
        <v>756</v>
      </c>
      <c r="H1144" s="36" t="s">
        <v>8879</v>
      </c>
      <c r="I1144" s="36">
        <v>4</v>
      </c>
      <c r="J1144" s="36" t="s">
        <v>5895</v>
      </c>
      <c r="K1144" s="36" t="s">
        <v>6186</v>
      </c>
      <c r="L1144" s="36" t="b">
        <v>0</v>
      </c>
    </row>
    <row r="1145" spans="1:12" ht="12.75">
      <c r="A1145" s="448">
        <v>45345.847386921298</v>
      </c>
      <c r="B1145" s="449">
        <v>45344</v>
      </c>
      <c r="C1145" s="36" t="s">
        <v>3383</v>
      </c>
      <c r="D1145" s="450">
        <v>0.75</v>
      </c>
      <c r="E1145" s="36" t="s">
        <v>8975</v>
      </c>
      <c r="F1145" s="36" t="s">
        <v>8976</v>
      </c>
      <c r="G1145" s="36" t="s">
        <v>7724</v>
      </c>
      <c r="H1145" s="36" t="s">
        <v>8059</v>
      </c>
      <c r="I1145" s="36">
        <v>6</v>
      </c>
      <c r="J1145" s="36" t="s">
        <v>5895</v>
      </c>
      <c r="K1145" s="36" t="s">
        <v>8977</v>
      </c>
      <c r="L1145" s="36" t="b">
        <v>0</v>
      </c>
    </row>
    <row r="1146" spans="1:12" ht="12.75">
      <c r="A1146" s="448">
        <v>45345.858658773148</v>
      </c>
      <c r="B1146" s="449">
        <v>45343</v>
      </c>
      <c r="C1146" s="36" t="s">
        <v>3383</v>
      </c>
      <c r="D1146" s="450">
        <v>0.79166666666424135</v>
      </c>
      <c r="E1146" s="36" t="s">
        <v>8978</v>
      </c>
      <c r="F1146" s="36" t="s">
        <v>8979</v>
      </c>
      <c r="G1146" s="36" t="s">
        <v>7724</v>
      </c>
      <c r="H1146" s="36" t="s">
        <v>8980</v>
      </c>
      <c r="I1146" s="36">
        <v>7</v>
      </c>
      <c r="J1146" s="36" t="s">
        <v>5895</v>
      </c>
      <c r="K1146" s="36" t="s">
        <v>8981</v>
      </c>
      <c r="L1146" s="36" t="b">
        <v>0</v>
      </c>
    </row>
    <row r="1147" spans="1:12" ht="12.75">
      <c r="A1147" s="448">
        <v>45346.832946909723</v>
      </c>
      <c r="B1147" s="449">
        <v>45344</v>
      </c>
      <c r="C1147" s="36" t="s">
        <v>3388</v>
      </c>
      <c r="D1147" s="450">
        <v>0.81944444444525288</v>
      </c>
      <c r="E1147" s="36" t="s">
        <v>8982</v>
      </c>
      <c r="F1147" s="36" t="s">
        <v>8315</v>
      </c>
      <c r="G1147" s="36" t="s">
        <v>1322</v>
      </c>
      <c r="H1147" s="36" t="s">
        <v>8983</v>
      </c>
      <c r="I1147" s="36">
        <v>5</v>
      </c>
      <c r="J1147" s="36" t="s">
        <v>5895</v>
      </c>
      <c r="K1147" s="36" t="s">
        <v>8984</v>
      </c>
      <c r="L1147" s="36" t="b">
        <v>0</v>
      </c>
    </row>
    <row r="1148" spans="1:12" ht="12.75">
      <c r="A1148" s="448">
        <v>45347.383489386571</v>
      </c>
      <c r="B1148" s="449">
        <v>45345</v>
      </c>
      <c r="C1148" s="36" t="s">
        <v>3388</v>
      </c>
      <c r="D1148" s="450">
        <v>0.75</v>
      </c>
      <c r="E1148" s="36" t="s">
        <v>8985</v>
      </c>
      <c r="F1148" s="36" t="s">
        <v>8986</v>
      </c>
      <c r="G1148" s="36" t="s">
        <v>725</v>
      </c>
      <c r="H1148" s="36" t="s">
        <v>1158</v>
      </c>
      <c r="I1148" s="36">
        <v>2</v>
      </c>
      <c r="J1148" s="36" t="s">
        <v>5895</v>
      </c>
      <c r="K1148" s="36" t="s">
        <v>8987</v>
      </c>
      <c r="L1148" s="36" t="b">
        <v>0</v>
      </c>
    </row>
    <row r="1149" spans="1:12" ht="12.75">
      <c r="A1149" s="448">
        <v>45347.636321053244</v>
      </c>
      <c r="B1149" s="449">
        <v>45347</v>
      </c>
      <c r="C1149" s="36" t="s">
        <v>3388</v>
      </c>
      <c r="D1149" s="450">
        <v>0.79166666666424135</v>
      </c>
      <c r="E1149" s="36" t="s">
        <v>8988</v>
      </c>
      <c r="F1149" s="36" t="s">
        <v>8989</v>
      </c>
      <c r="G1149" s="36" t="s">
        <v>2481</v>
      </c>
      <c r="H1149" s="36" t="s">
        <v>7613</v>
      </c>
      <c r="I1149" s="36">
        <v>1</v>
      </c>
      <c r="J1149" s="36" t="s">
        <v>5895</v>
      </c>
      <c r="K1149" s="36" t="s">
        <v>6210</v>
      </c>
      <c r="L1149" s="36" t="b">
        <v>0</v>
      </c>
    </row>
    <row r="1150" spans="1:12" ht="12.75">
      <c r="A1150" s="448">
        <v>45347.734468587965</v>
      </c>
      <c r="B1150" s="449">
        <v>45347</v>
      </c>
      <c r="C1150" s="36" t="s">
        <v>3383</v>
      </c>
      <c r="D1150" s="450">
        <v>0.79166666666424135</v>
      </c>
      <c r="E1150" s="36" t="s">
        <v>8990</v>
      </c>
      <c r="F1150" s="36" t="s">
        <v>8991</v>
      </c>
      <c r="G1150" s="36" t="s">
        <v>8409</v>
      </c>
      <c r="H1150" s="36" t="s">
        <v>6109</v>
      </c>
      <c r="I1150" s="36">
        <v>1</v>
      </c>
      <c r="J1150" s="36" t="s">
        <v>5895</v>
      </c>
      <c r="K1150" s="36" t="s">
        <v>5923</v>
      </c>
      <c r="L1150" s="36" t="b">
        <v>0</v>
      </c>
    </row>
    <row r="1151" spans="1:12" ht="12.75">
      <c r="A1151" s="448">
        <v>45347.922652800931</v>
      </c>
      <c r="B1151" s="449">
        <v>45345</v>
      </c>
      <c r="C1151" s="36" t="s">
        <v>3383</v>
      </c>
      <c r="D1151" s="450">
        <v>0.75</v>
      </c>
      <c r="E1151" s="36" t="s">
        <v>8992</v>
      </c>
      <c r="F1151" s="36" t="s">
        <v>8993</v>
      </c>
      <c r="G1151" s="36" t="s">
        <v>2366</v>
      </c>
      <c r="H1151" s="36" t="s">
        <v>6109</v>
      </c>
      <c r="I1151" s="36">
        <v>1</v>
      </c>
      <c r="J1151" s="36" t="s">
        <v>5895</v>
      </c>
      <c r="K1151" s="36" t="s">
        <v>8293</v>
      </c>
      <c r="L1151" s="36" t="b">
        <v>0</v>
      </c>
    </row>
    <row r="1152" spans="1:12" ht="12.75">
      <c r="A1152" s="448">
        <v>45348.544607233795</v>
      </c>
      <c r="B1152" s="449">
        <v>45348</v>
      </c>
      <c r="C1152" s="36" t="s">
        <v>3388</v>
      </c>
      <c r="D1152" s="450">
        <v>0.70833333333575865</v>
      </c>
      <c r="E1152" s="36" t="s">
        <v>8994</v>
      </c>
      <c r="F1152" s="36" t="s">
        <v>8995</v>
      </c>
      <c r="G1152" s="36" t="s">
        <v>2442</v>
      </c>
      <c r="H1152" s="36" t="s">
        <v>8733</v>
      </c>
      <c r="I1152" s="36">
        <v>1</v>
      </c>
      <c r="J1152" s="36" t="s">
        <v>5895</v>
      </c>
      <c r="K1152" s="36" t="s">
        <v>8996</v>
      </c>
      <c r="L1152" s="36" t="b">
        <v>0</v>
      </c>
    </row>
    <row r="1153" spans="1:12" ht="12.75">
      <c r="A1153" s="448">
        <v>45348.551104120372</v>
      </c>
      <c r="B1153" s="449">
        <v>45345</v>
      </c>
      <c r="C1153" s="36" t="s">
        <v>3388</v>
      </c>
      <c r="D1153" s="450">
        <v>0.66666666666424135</v>
      </c>
      <c r="E1153" s="36" t="s">
        <v>7485</v>
      </c>
      <c r="F1153" s="36" t="s">
        <v>8997</v>
      </c>
      <c r="G1153" s="36" t="s">
        <v>1042</v>
      </c>
      <c r="H1153" s="36" t="s">
        <v>8998</v>
      </c>
      <c r="I1153" s="36">
        <v>1</v>
      </c>
      <c r="J1153" s="36" t="s">
        <v>5895</v>
      </c>
      <c r="K1153" s="36" t="s">
        <v>5923</v>
      </c>
      <c r="L1153" s="36" t="b">
        <v>0</v>
      </c>
    </row>
    <row r="1154" spans="1:12" ht="12.75">
      <c r="A1154" s="448">
        <v>45348.552094537037</v>
      </c>
      <c r="B1154" s="449">
        <v>45345</v>
      </c>
      <c r="C1154" s="36" t="s">
        <v>3388</v>
      </c>
      <c r="D1154" s="450">
        <v>0.70833333333575865</v>
      </c>
      <c r="E1154" s="36" t="s">
        <v>7078</v>
      </c>
      <c r="F1154" s="36" t="s">
        <v>8999</v>
      </c>
      <c r="G1154" s="36" t="s">
        <v>1042</v>
      </c>
      <c r="H1154" s="36" t="s">
        <v>8998</v>
      </c>
      <c r="I1154" s="36">
        <v>2</v>
      </c>
      <c r="J1154" s="36" t="s">
        <v>5895</v>
      </c>
      <c r="K1154" s="36" t="s">
        <v>5923</v>
      </c>
      <c r="L1154" s="36" t="b">
        <v>0</v>
      </c>
    </row>
    <row r="1155" spans="1:12" ht="12.75">
      <c r="A1155" s="448">
        <v>45348.552830625005</v>
      </c>
      <c r="B1155" s="449">
        <v>45345</v>
      </c>
      <c r="C1155" s="36" t="s">
        <v>3388</v>
      </c>
      <c r="D1155" s="450">
        <v>0.75</v>
      </c>
      <c r="E1155" s="36" t="s">
        <v>9000</v>
      </c>
      <c r="F1155" s="36">
        <v>15</v>
      </c>
      <c r="G1155" s="36" t="s">
        <v>9001</v>
      </c>
      <c r="H1155" s="36" t="s">
        <v>8998</v>
      </c>
      <c r="I1155" s="36">
        <v>3</v>
      </c>
      <c r="J1155" s="36" t="s">
        <v>5895</v>
      </c>
      <c r="K1155" s="36" t="s">
        <v>5923</v>
      </c>
      <c r="L1155" s="36" t="b">
        <v>0</v>
      </c>
    </row>
    <row r="1156" spans="1:12" ht="12.75">
      <c r="A1156" s="448">
        <v>45348.553871597222</v>
      </c>
      <c r="B1156" s="449">
        <v>45345</v>
      </c>
      <c r="C1156" s="36" t="s">
        <v>3388</v>
      </c>
      <c r="D1156" s="450">
        <v>0.79166666666424135</v>
      </c>
      <c r="E1156" s="36" t="s">
        <v>9002</v>
      </c>
      <c r="F1156" s="36" t="s">
        <v>9003</v>
      </c>
      <c r="G1156" s="36" t="s">
        <v>1042</v>
      </c>
      <c r="H1156" s="36" t="s">
        <v>7630</v>
      </c>
      <c r="I1156" s="36">
        <v>4</v>
      </c>
      <c r="J1156" s="36" t="s">
        <v>5895</v>
      </c>
      <c r="K1156" s="36" t="s">
        <v>5923</v>
      </c>
      <c r="L1156" s="36" t="b">
        <v>0</v>
      </c>
    </row>
    <row r="1157" spans="1:12" ht="12.75">
      <c r="A1157" s="448">
        <v>45348.665648773152</v>
      </c>
      <c r="B1157" s="449">
        <v>45348</v>
      </c>
      <c r="C1157" s="36" t="s">
        <v>8534</v>
      </c>
      <c r="D1157" s="450">
        <v>6.25E-2</v>
      </c>
      <c r="E1157" s="36" t="s">
        <v>9004</v>
      </c>
      <c r="F1157" s="36" t="s">
        <v>9005</v>
      </c>
      <c r="G1157" s="36" t="s">
        <v>9006</v>
      </c>
      <c r="H1157" s="36" t="s">
        <v>9007</v>
      </c>
      <c r="I1157" s="36">
        <v>3</v>
      </c>
      <c r="J1157" s="36" t="s">
        <v>5895</v>
      </c>
      <c r="K1157" s="36" t="s">
        <v>9008</v>
      </c>
      <c r="L1157" s="36" t="b">
        <v>0</v>
      </c>
    </row>
    <row r="1158" spans="1:12" ht="12.75">
      <c r="A1158" s="448">
        <v>45349.59859952546</v>
      </c>
      <c r="B1158" s="449">
        <v>45349</v>
      </c>
      <c r="C1158" s="36" t="s">
        <v>3383</v>
      </c>
      <c r="D1158" s="450">
        <v>0.70833333333575865</v>
      </c>
      <c r="E1158" s="36" t="s">
        <v>9009</v>
      </c>
      <c r="F1158" s="36" t="s">
        <v>9010</v>
      </c>
      <c r="G1158" s="36" t="s">
        <v>2451</v>
      </c>
      <c r="H1158" s="36" t="s">
        <v>3047</v>
      </c>
      <c r="I1158" s="36">
        <v>1</v>
      </c>
      <c r="J1158" s="36" t="s">
        <v>5895</v>
      </c>
      <c r="K1158" s="36" t="s">
        <v>9011</v>
      </c>
      <c r="L1158" s="36" t="b">
        <v>0</v>
      </c>
    </row>
    <row r="1159" spans="1:12" ht="12.75">
      <c r="A1159" s="448">
        <v>45349.841533773149</v>
      </c>
      <c r="B1159" s="449">
        <v>45349</v>
      </c>
      <c r="C1159" s="36" t="s">
        <v>13</v>
      </c>
      <c r="D1159" s="450">
        <v>0.70833333333575865</v>
      </c>
      <c r="E1159" s="36" t="s">
        <v>9012</v>
      </c>
      <c r="F1159" s="36" t="s">
        <v>9013</v>
      </c>
      <c r="G1159" s="36" t="s">
        <v>1711</v>
      </c>
      <c r="H1159" s="36" t="s">
        <v>354</v>
      </c>
      <c r="I1159" s="36">
        <v>1</v>
      </c>
      <c r="J1159" s="36" t="s">
        <v>5895</v>
      </c>
      <c r="K1159" s="36" t="s">
        <v>9014</v>
      </c>
      <c r="L1159" s="36" t="b">
        <v>0</v>
      </c>
    </row>
    <row r="1160" spans="1:12" ht="12.75">
      <c r="A1160" s="448">
        <v>45349.842970428246</v>
      </c>
      <c r="B1160" s="449">
        <v>45349</v>
      </c>
      <c r="C1160" s="36" t="s">
        <v>13</v>
      </c>
      <c r="D1160" s="450">
        <v>0.75</v>
      </c>
      <c r="E1160" s="36" t="s">
        <v>9015</v>
      </c>
      <c r="F1160" s="36" t="s">
        <v>9016</v>
      </c>
      <c r="G1160" s="36" t="s">
        <v>1711</v>
      </c>
      <c r="H1160" s="36" t="s">
        <v>9017</v>
      </c>
      <c r="I1160" s="36">
        <v>2</v>
      </c>
      <c r="J1160" s="36" t="s">
        <v>5895</v>
      </c>
      <c r="K1160" s="36" t="s">
        <v>9014</v>
      </c>
      <c r="L1160" s="36" t="b">
        <v>0</v>
      </c>
    </row>
    <row r="1161" spans="1:12" ht="12.75">
      <c r="A1161" s="448">
        <v>45349.890630509261</v>
      </c>
      <c r="B1161" s="449">
        <v>45351</v>
      </c>
      <c r="C1161" s="36" t="s">
        <v>3383</v>
      </c>
      <c r="D1161" s="450">
        <v>0.75</v>
      </c>
      <c r="E1161" s="36" t="s">
        <v>9018</v>
      </c>
      <c r="F1161" s="36" t="s">
        <v>9019</v>
      </c>
      <c r="G1161" s="36" t="s">
        <v>220</v>
      </c>
      <c r="H1161" s="36" t="s">
        <v>8568</v>
      </c>
      <c r="I1161" s="36">
        <v>1</v>
      </c>
      <c r="J1161" s="36" t="s">
        <v>5895</v>
      </c>
      <c r="K1161" s="36" t="s">
        <v>9020</v>
      </c>
      <c r="L1161" s="36" t="b">
        <v>0</v>
      </c>
    </row>
    <row r="1162" spans="1:12" ht="12.75">
      <c r="A1162" s="448">
        <v>45350.509199699074</v>
      </c>
      <c r="B1162" s="449">
        <v>45351</v>
      </c>
      <c r="C1162" s="36" t="s">
        <v>3388</v>
      </c>
      <c r="D1162" s="450">
        <v>0.79166666666424135</v>
      </c>
      <c r="E1162" s="36" t="s">
        <v>9021</v>
      </c>
      <c r="F1162" s="36">
        <v>10</v>
      </c>
      <c r="G1162" s="36" t="s">
        <v>2651</v>
      </c>
      <c r="H1162" s="36" t="s">
        <v>9022</v>
      </c>
      <c r="I1162" s="36">
        <v>1</v>
      </c>
      <c r="J1162" s="36" t="s">
        <v>5895</v>
      </c>
      <c r="K1162" s="36" t="s">
        <v>6571</v>
      </c>
      <c r="L1162" s="36" t="b">
        <v>0</v>
      </c>
    </row>
    <row r="1163" spans="1:12" ht="12.75">
      <c r="A1163" s="448">
        <v>45350.720496087961</v>
      </c>
      <c r="B1163" s="449">
        <v>45355</v>
      </c>
      <c r="C1163" s="36" t="s">
        <v>12</v>
      </c>
      <c r="D1163" s="450">
        <v>0.75</v>
      </c>
      <c r="E1163" s="36" t="s">
        <v>9023</v>
      </c>
      <c r="F1163" s="36" t="s">
        <v>9024</v>
      </c>
      <c r="G1163" s="36" t="s">
        <v>9025</v>
      </c>
      <c r="H1163" s="36" t="s">
        <v>8248</v>
      </c>
      <c r="I1163" s="36">
        <v>1</v>
      </c>
      <c r="J1163" s="36" t="s">
        <v>6093</v>
      </c>
      <c r="K1163" s="36" t="s">
        <v>9026</v>
      </c>
      <c r="L1163" s="36" t="b">
        <v>0</v>
      </c>
    </row>
    <row r="1164" spans="1:12" ht="12.75">
      <c r="A1164" s="448">
        <v>45351.415401226855</v>
      </c>
      <c r="B1164" s="449">
        <v>45351</v>
      </c>
      <c r="C1164" s="36" t="s">
        <v>8534</v>
      </c>
      <c r="D1164" s="450">
        <v>0.75</v>
      </c>
      <c r="E1164" s="36" t="s">
        <v>9027</v>
      </c>
      <c r="F1164" s="36">
        <v>4</v>
      </c>
      <c r="G1164" s="36" t="s">
        <v>8809</v>
      </c>
      <c r="H1164" s="36" t="s">
        <v>9028</v>
      </c>
      <c r="I1164" s="36">
        <v>3</v>
      </c>
      <c r="J1164" s="36" t="s">
        <v>5895</v>
      </c>
      <c r="K1164" s="36" t="s">
        <v>9029</v>
      </c>
      <c r="L1164" s="36" t="b">
        <v>0</v>
      </c>
    </row>
    <row r="1165" spans="1:12" ht="12.75">
      <c r="A1165" s="448">
        <v>45351.662463645829</v>
      </c>
      <c r="B1165" s="449">
        <v>45352</v>
      </c>
      <c r="C1165" s="36" t="s">
        <v>3383</v>
      </c>
      <c r="D1165" s="450">
        <v>0.75</v>
      </c>
      <c r="E1165" s="36" t="s">
        <v>8305</v>
      </c>
      <c r="F1165" s="36" t="s">
        <v>9030</v>
      </c>
      <c r="G1165" s="36" t="s">
        <v>2339</v>
      </c>
      <c r="H1165" s="36" t="s">
        <v>9031</v>
      </c>
      <c r="I1165" s="36">
        <v>1</v>
      </c>
      <c r="J1165" s="36" t="s">
        <v>5895</v>
      </c>
      <c r="K1165" s="36" t="s">
        <v>78</v>
      </c>
      <c r="L1165" s="36" t="b">
        <v>0</v>
      </c>
    </row>
    <row r="1166" spans="1:12" ht="12.75">
      <c r="A1166" s="448">
        <v>45351.688841076393</v>
      </c>
      <c r="B1166" s="449">
        <v>45350</v>
      </c>
      <c r="C1166" s="36" t="s">
        <v>3388</v>
      </c>
      <c r="D1166" s="450">
        <v>0.75</v>
      </c>
      <c r="E1166" s="36" t="s">
        <v>8622</v>
      </c>
      <c r="F1166" s="36" t="s">
        <v>9032</v>
      </c>
      <c r="G1166" s="36" t="s">
        <v>9033</v>
      </c>
      <c r="H1166" s="36" t="s">
        <v>6198</v>
      </c>
      <c r="I1166" s="36">
        <v>2</v>
      </c>
      <c r="J1166" s="36" t="s">
        <v>5895</v>
      </c>
      <c r="K1166" s="36" t="s">
        <v>9034</v>
      </c>
      <c r="L1166" s="36" t="b">
        <v>0</v>
      </c>
    </row>
    <row r="1167" spans="1:12" ht="12.75">
      <c r="A1167" s="448">
        <v>45351.738668298611</v>
      </c>
      <c r="B1167" s="449">
        <v>45353</v>
      </c>
      <c r="C1167" s="36" t="s">
        <v>12</v>
      </c>
      <c r="D1167" s="450">
        <v>0.41666666666424135</v>
      </c>
      <c r="E1167" s="36" t="s">
        <v>9035</v>
      </c>
      <c r="F1167" s="36" t="s">
        <v>9036</v>
      </c>
      <c r="G1167" s="36" t="s">
        <v>9037</v>
      </c>
      <c r="H1167" s="36" t="s">
        <v>9038</v>
      </c>
      <c r="I1167" s="36">
        <v>1</v>
      </c>
      <c r="J1167" s="36" t="s">
        <v>5895</v>
      </c>
      <c r="K1167" s="36" t="s">
        <v>9039</v>
      </c>
      <c r="L1167" s="36" t="b">
        <v>0</v>
      </c>
    </row>
    <row r="1168" spans="1:12" ht="12.75">
      <c r="A1168" s="448">
        <v>45352.285763148146</v>
      </c>
      <c r="B1168" s="449">
        <v>45351</v>
      </c>
      <c r="C1168" s="36" t="s">
        <v>3388</v>
      </c>
      <c r="D1168" s="450">
        <v>0.75</v>
      </c>
      <c r="E1168" s="36" t="s">
        <v>9040</v>
      </c>
      <c r="F1168" s="36" t="s">
        <v>9041</v>
      </c>
      <c r="G1168" s="36" t="s">
        <v>1439</v>
      </c>
      <c r="H1168" s="36" t="s">
        <v>8851</v>
      </c>
      <c r="I1168" s="36">
        <v>1</v>
      </c>
      <c r="J1168" s="36" t="s">
        <v>5895</v>
      </c>
      <c r="K1168" s="36" t="s">
        <v>9042</v>
      </c>
      <c r="L1168" s="36" t="b">
        <v>0</v>
      </c>
    </row>
    <row r="1169" spans="1:12" ht="12.75">
      <c r="A1169" s="448">
        <v>45352.287634178239</v>
      </c>
      <c r="B1169" s="449">
        <v>45351</v>
      </c>
      <c r="C1169" s="36" t="s">
        <v>3388</v>
      </c>
      <c r="D1169" s="450">
        <v>0.79166666666424135</v>
      </c>
      <c r="E1169" s="36" t="s">
        <v>9043</v>
      </c>
      <c r="F1169" s="36" t="s">
        <v>9044</v>
      </c>
      <c r="G1169" s="36" t="s">
        <v>1439</v>
      </c>
      <c r="H1169" s="36" t="s">
        <v>8851</v>
      </c>
      <c r="I1169" s="36">
        <v>2</v>
      </c>
      <c r="J1169" s="36" t="s">
        <v>5895</v>
      </c>
      <c r="K1169" s="36" t="s">
        <v>9042</v>
      </c>
      <c r="L1169" s="36" t="b">
        <v>0</v>
      </c>
    </row>
    <row r="1170" spans="1:12" ht="12.75">
      <c r="A1170" s="448">
        <v>45352.486567650463</v>
      </c>
      <c r="B1170" s="449">
        <v>45351</v>
      </c>
      <c r="C1170" s="36" t="s">
        <v>3388</v>
      </c>
      <c r="D1170" s="450">
        <v>0.66666666666424135</v>
      </c>
      <c r="E1170" s="36" t="s">
        <v>9045</v>
      </c>
      <c r="F1170" s="36" t="s">
        <v>9046</v>
      </c>
      <c r="G1170" s="36" t="s">
        <v>7940</v>
      </c>
      <c r="H1170" s="36" t="s">
        <v>9047</v>
      </c>
      <c r="I1170" s="36">
        <v>1</v>
      </c>
      <c r="J1170" s="36" t="s">
        <v>5895</v>
      </c>
      <c r="K1170" s="36" t="s">
        <v>6242</v>
      </c>
      <c r="L1170" s="36" t="b">
        <v>0</v>
      </c>
    </row>
    <row r="1171" spans="1:12" ht="12.75">
      <c r="A1171" s="448">
        <v>45352.489228692131</v>
      </c>
      <c r="B1171" s="449">
        <v>45351</v>
      </c>
      <c r="C1171" s="36" t="s">
        <v>3388</v>
      </c>
      <c r="D1171" s="450">
        <v>0.75</v>
      </c>
      <c r="E1171" s="36" t="s">
        <v>9048</v>
      </c>
      <c r="F1171" s="36" t="s">
        <v>9049</v>
      </c>
      <c r="G1171" s="36" t="s">
        <v>1158</v>
      </c>
      <c r="H1171" s="36" t="s">
        <v>9047</v>
      </c>
      <c r="I1171" s="36">
        <v>2</v>
      </c>
      <c r="J1171" s="36" t="s">
        <v>5895</v>
      </c>
      <c r="K1171" s="36" t="s">
        <v>6242</v>
      </c>
      <c r="L1171" s="36" t="b">
        <v>0</v>
      </c>
    </row>
    <row r="1172" spans="1:12" ht="12.75">
      <c r="A1172" s="448">
        <v>45352.490353125002</v>
      </c>
      <c r="B1172" s="449">
        <v>45351</v>
      </c>
      <c r="C1172" s="36" t="s">
        <v>3388</v>
      </c>
      <c r="D1172" s="450">
        <v>0.79166666666424135</v>
      </c>
      <c r="E1172" s="36" t="s">
        <v>8112</v>
      </c>
      <c r="F1172" s="36" t="s">
        <v>9050</v>
      </c>
      <c r="G1172" s="36" t="s">
        <v>1158</v>
      </c>
      <c r="H1172" s="36" t="s">
        <v>9047</v>
      </c>
      <c r="I1172" s="36">
        <v>3</v>
      </c>
      <c r="J1172" s="36" t="s">
        <v>5895</v>
      </c>
      <c r="K1172" s="36" t="s">
        <v>6242</v>
      </c>
      <c r="L1172" s="36" t="b">
        <v>0</v>
      </c>
    </row>
    <row r="1173" spans="1:12" ht="12.75">
      <c r="A1173" s="448">
        <v>45352.861485162037</v>
      </c>
      <c r="B1173" s="449">
        <v>45353</v>
      </c>
      <c r="C1173" s="36" t="s">
        <v>3388</v>
      </c>
      <c r="D1173" s="450">
        <v>0.89583333333575865</v>
      </c>
      <c r="E1173" s="36" t="s">
        <v>8865</v>
      </c>
      <c r="F1173" s="36" t="s">
        <v>9051</v>
      </c>
      <c r="G1173" s="36" t="s">
        <v>2962</v>
      </c>
      <c r="H1173" s="36" t="s">
        <v>6606</v>
      </c>
      <c r="I1173" s="36">
        <v>1</v>
      </c>
      <c r="J1173" s="36" t="s">
        <v>5895</v>
      </c>
      <c r="K1173" s="36" t="s">
        <v>9052</v>
      </c>
      <c r="L1173" s="36" t="b">
        <v>0</v>
      </c>
    </row>
    <row r="1174" spans="1:12" ht="12.75">
      <c r="A1174" s="448">
        <v>45353.048486018517</v>
      </c>
      <c r="B1174" s="449">
        <v>45351</v>
      </c>
      <c r="C1174" s="36" t="s">
        <v>3388</v>
      </c>
      <c r="D1174" s="450">
        <v>0.75</v>
      </c>
      <c r="E1174" s="36" t="s">
        <v>9053</v>
      </c>
      <c r="F1174" s="36" t="s">
        <v>9054</v>
      </c>
      <c r="G1174" s="36" t="s">
        <v>2129</v>
      </c>
      <c r="H1174" s="36" t="s">
        <v>9055</v>
      </c>
      <c r="I1174" s="36">
        <v>1</v>
      </c>
      <c r="J1174" s="36" t="s">
        <v>5895</v>
      </c>
      <c r="K1174" s="36" t="s">
        <v>9056</v>
      </c>
      <c r="L1174" s="36" t="b">
        <v>0</v>
      </c>
    </row>
    <row r="1175" spans="1:12" ht="12.75">
      <c r="A1175" s="448">
        <v>45353.343401481485</v>
      </c>
      <c r="B1175" s="449">
        <v>45351</v>
      </c>
      <c r="C1175" s="36" t="s">
        <v>3388</v>
      </c>
      <c r="D1175" s="450">
        <v>0.75</v>
      </c>
      <c r="E1175" s="36" t="s">
        <v>9057</v>
      </c>
      <c r="F1175" s="36" t="s">
        <v>9058</v>
      </c>
      <c r="G1175" s="36" t="s">
        <v>1907</v>
      </c>
      <c r="H1175" s="36" t="s">
        <v>9059</v>
      </c>
      <c r="I1175" s="36">
        <v>1</v>
      </c>
      <c r="J1175" s="36" t="s">
        <v>5895</v>
      </c>
      <c r="K1175" s="36" t="s">
        <v>9060</v>
      </c>
      <c r="L1175" s="36" t="b">
        <v>0</v>
      </c>
    </row>
    <row r="1176" spans="1:12" ht="12.75">
      <c r="A1176" s="448">
        <v>45353.344517719903</v>
      </c>
      <c r="B1176" s="449">
        <v>45351</v>
      </c>
      <c r="C1176" s="36" t="s">
        <v>3388</v>
      </c>
      <c r="D1176" s="450">
        <v>0.79861111110949423</v>
      </c>
      <c r="E1176" s="36" t="s">
        <v>9061</v>
      </c>
      <c r="F1176" s="36" t="s">
        <v>7476</v>
      </c>
      <c r="G1176" s="36" t="s">
        <v>1907</v>
      </c>
      <c r="H1176" s="36" t="s">
        <v>9062</v>
      </c>
      <c r="I1176" s="36">
        <v>2</v>
      </c>
      <c r="J1176" s="36" t="s">
        <v>5895</v>
      </c>
      <c r="K1176" s="36" t="s">
        <v>9063</v>
      </c>
      <c r="L1176" s="36" t="b">
        <v>0</v>
      </c>
    </row>
    <row r="1177" spans="1:12" ht="12.75">
      <c r="A1177" s="448">
        <v>45353.495726608795</v>
      </c>
      <c r="B1177" s="449">
        <v>45354</v>
      </c>
      <c r="C1177" s="36" t="s">
        <v>14</v>
      </c>
      <c r="D1177" s="450">
        <v>0.41666666666424135</v>
      </c>
      <c r="E1177" s="36" t="s">
        <v>9064</v>
      </c>
      <c r="F1177" s="36" t="s">
        <v>9065</v>
      </c>
      <c r="G1177" s="36" t="s">
        <v>2742</v>
      </c>
      <c r="H1177" s="36" t="s">
        <v>9066</v>
      </c>
      <c r="I1177" s="36">
        <v>1</v>
      </c>
      <c r="J1177" s="36" t="s">
        <v>5895</v>
      </c>
      <c r="K1177" s="36" t="s">
        <v>9067</v>
      </c>
      <c r="L1177" s="36" t="b">
        <v>0</v>
      </c>
    </row>
    <row r="1178" spans="1:12" ht="12.75">
      <c r="A1178" s="448">
        <v>45353.87015047454</v>
      </c>
      <c r="B1178" s="449">
        <v>45353</v>
      </c>
      <c r="C1178" s="36" t="s">
        <v>13</v>
      </c>
      <c r="D1178" s="450">
        <v>6.25E-2</v>
      </c>
      <c r="E1178" s="36" t="s">
        <v>9068</v>
      </c>
      <c r="F1178" s="36">
        <v>13</v>
      </c>
      <c r="G1178" s="36" t="s">
        <v>520</v>
      </c>
      <c r="H1178" s="36" t="s">
        <v>9017</v>
      </c>
      <c r="I1178" s="36">
        <v>1</v>
      </c>
      <c r="J1178" s="36" t="s">
        <v>5895</v>
      </c>
      <c r="K1178" s="36" t="s">
        <v>9069</v>
      </c>
      <c r="L1178" s="36" t="b">
        <v>0</v>
      </c>
    </row>
    <row r="1179" spans="1:12" ht="12.75">
      <c r="A1179" s="448">
        <v>45354.388702037038</v>
      </c>
      <c r="B1179" s="449">
        <v>45354</v>
      </c>
      <c r="C1179" s="36" t="s">
        <v>3388</v>
      </c>
      <c r="D1179" s="450">
        <v>0.41666666666424135</v>
      </c>
      <c r="E1179" s="36" t="s">
        <v>8405</v>
      </c>
      <c r="F1179" s="36" t="s">
        <v>9070</v>
      </c>
      <c r="G1179" s="36" t="s">
        <v>2010</v>
      </c>
      <c r="H1179" s="36" t="s">
        <v>2257</v>
      </c>
      <c r="I1179" s="36">
        <v>1</v>
      </c>
      <c r="J1179" s="36" t="s">
        <v>5895</v>
      </c>
      <c r="K1179" s="36" t="s">
        <v>9071</v>
      </c>
      <c r="L1179" s="36" t="b">
        <v>0</v>
      </c>
    </row>
    <row r="1180" spans="1:12" ht="12.75">
      <c r="A1180" s="448">
        <v>45354.389901574075</v>
      </c>
      <c r="B1180" s="449">
        <v>45354</v>
      </c>
      <c r="C1180" s="36" t="s">
        <v>3388</v>
      </c>
      <c r="D1180" s="450">
        <v>0.45833333333575865</v>
      </c>
      <c r="E1180" s="36" t="s">
        <v>8015</v>
      </c>
      <c r="F1180" s="36" t="s">
        <v>9072</v>
      </c>
      <c r="G1180" s="36" t="s">
        <v>2010</v>
      </c>
      <c r="H1180" s="36" t="s">
        <v>2257</v>
      </c>
      <c r="I1180" s="36">
        <v>1</v>
      </c>
      <c r="J1180" s="36" t="s">
        <v>5895</v>
      </c>
      <c r="K1180" s="36" t="s">
        <v>9071</v>
      </c>
      <c r="L1180" s="36" t="b">
        <v>0</v>
      </c>
    </row>
    <row r="1181" spans="1:12" ht="12.75">
      <c r="A1181" s="448">
        <v>45354.587734745372</v>
      </c>
      <c r="B1181" s="449">
        <v>45353</v>
      </c>
      <c r="C1181" s="36" t="s">
        <v>3388</v>
      </c>
      <c r="D1181" s="450">
        <v>0.5</v>
      </c>
      <c r="E1181" s="36" t="s">
        <v>7751</v>
      </c>
      <c r="F1181" s="36" t="s">
        <v>8279</v>
      </c>
      <c r="G1181" s="36" t="s">
        <v>1158</v>
      </c>
      <c r="H1181" s="36" t="s">
        <v>5906</v>
      </c>
      <c r="I1181" s="36">
        <v>1</v>
      </c>
      <c r="J1181" s="36" t="s">
        <v>5895</v>
      </c>
      <c r="K1181" s="36" t="s">
        <v>9073</v>
      </c>
      <c r="L1181" s="36" t="b">
        <v>0</v>
      </c>
    </row>
    <row r="1182" spans="1:12" ht="12.75">
      <c r="A1182" s="448">
        <v>45354.58849253472</v>
      </c>
      <c r="B1182" s="449">
        <v>45353</v>
      </c>
      <c r="C1182" s="36" t="s">
        <v>3388</v>
      </c>
      <c r="D1182" s="450">
        <v>0.56597222221898846</v>
      </c>
      <c r="E1182" s="36" t="s">
        <v>8131</v>
      </c>
      <c r="F1182" s="36" t="s">
        <v>9074</v>
      </c>
      <c r="G1182" s="36" t="s">
        <v>1158</v>
      </c>
      <c r="H1182" s="36" t="s">
        <v>1113</v>
      </c>
      <c r="I1182" s="36">
        <v>2</v>
      </c>
      <c r="J1182" s="36" t="s">
        <v>5895</v>
      </c>
      <c r="K1182" s="36" t="s">
        <v>9073</v>
      </c>
      <c r="L1182" s="36" t="b">
        <v>0</v>
      </c>
    </row>
    <row r="1183" spans="1:12" ht="12.75">
      <c r="A1183" s="448">
        <v>45354.589257083338</v>
      </c>
      <c r="B1183" s="449">
        <v>45353</v>
      </c>
      <c r="C1183" s="36" t="s">
        <v>3388</v>
      </c>
      <c r="D1183" s="450">
        <v>0.66666666666424135</v>
      </c>
      <c r="E1183" s="36" t="s">
        <v>8641</v>
      </c>
      <c r="F1183" s="36" t="s">
        <v>9075</v>
      </c>
      <c r="G1183" s="36" t="s">
        <v>1158</v>
      </c>
      <c r="H1183" s="36" t="s">
        <v>1907</v>
      </c>
      <c r="I1183" s="36">
        <v>3</v>
      </c>
      <c r="J1183" s="36" t="s">
        <v>5895</v>
      </c>
      <c r="K1183" s="36" t="s">
        <v>9073</v>
      </c>
      <c r="L1183" s="36" t="b">
        <v>0</v>
      </c>
    </row>
    <row r="1184" spans="1:12" ht="12.75">
      <c r="A1184" s="448">
        <v>45354.851721435189</v>
      </c>
      <c r="B1184" s="449">
        <v>45355</v>
      </c>
      <c r="C1184" s="36" t="s">
        <v>3383</v>
      </c>
      <c r="D1184" s="450">
        <v>0.79166666666424135</v>
      </c>
      <c r="E1184" s="36" t="s">
        <v>9076</v>
      </c>
      <c r="F1184" s="36" t="s">
        <v>9077</v>
      </c>
      <c r="G1184" s="36" t="s">
        <v>9078</v>
      </c>
      <c r="H1184" s="36" t="s">
        <v>9079</v>
      </c>
      <c r="I1184" s="36">
        <v>1</v>
      </c>
      <c r="J1184" s="36" t="s">
        <v>5895</v>
      </c>
      <c r="K1184" s="36" t="s">
        <v>6838</v>
      </c>
      <c r="L1184" s="36" t="b">
        <v>0</v>
      </c>
    </row>
    <row r="1185" spans="1:12" ht="12.75">
      <c r="A1185" s="448">
        <v>45354.879048379633</v>
      </c>
      <c r="B1185" s="449">
        <v>45353</v>
      </c>
      <c r="C1185" s="36" t="s">
        <v>14</v>
      </c>
      <c r="D1185" s="450">
        <v>0.79166666666424135</v>
      </c>
      <c r="E1185" s="36" t="s">
        <v>9080</v>
      </c>
      <c r="F1185" s="36" t="s">
        <v>9081</v>
      </c>
      <c r="G1185" s="36" t="s">
        <v>9082</v>
      </c>
      <c r="H1185" s="36" t="s">
        <v>9083</v>
      </c>
      <c r="I1185" s="36">
        <v>1</v>
      </c>
      <c r="J1185" s="36" t="s">
        <v>5895</v>
      </c>
      <c r="K1185" s="36" t="s">
        <v>9084</v>
      </c>
      <c r="L1185" s="36" t="b">
        <v>0</v>
      </c>
    </row>
    <row r="1186" spans="1:12" ht="12.75">
      <c r="A1186" s="448">
        <v>45355.555681608792</v>
      </c>
      <c r="B1186" s="449">
        <v>45356</v>
      </c>
      <c r="C1186" s="36" t="s">
        <v>3383</v>
      </c>
      <c r="D1186" s="450">
        <v>0.79166666666424135</v>
      </c>
      <c r="E1186" s="36" t="s">
        <v>9018</v>
      </c>
      <c r="F1186" s="36" t="s">
        <v>9085</v>
      </c>
      <c r="G1186" s="36" t="s">
        <v>9086</v>
      </c>
      <c r="H1186" s="36" t="s">
        <v>3569</v>
      </c>
      <c r="I1186" s="36">
        <v>2</v>
      </c>
      <c r="J1186" s="36" t="s">
        <v>5895</v>
      </c>
      <c r="K1186" s="36" t="s">
        <v>6501</v>
      </c>
      <c r="L1186" s="36" t="b">
        <v>0</v>
      </c>
    </row>
    <row r="1187" spans="1:12" ht="12.75">
      <c r="A1187" s="448">
        <v>45355.858142754631</v>
      </c>
      <c r="B1187" s="449">
        <v>45352</v>
      </c>
      <c r="C1187" s="36" t="s">
        <v>3388</v>
      </c>
      <c r="D1187" s="450">
        <v>0.75</v>
      </c>
      <c r="E1187" s="36" t="s">
        <v>9087</v>
      </c>
      <c r="F1187" s="36" t="s">
        <v>9088</v>
      </c>
      <c r="G1187" s="36" t="s">
        <v>2497</v>
      </c>
      <c r="H1187" s="36" t="s">
        <v>2651</v>
      </c>
      <c r="I1187" s="36">
        <v>1</v>
      </c>
      <c r="J1187" s="36" t="s">
        <v>5895</v>
      </c>
      <c r="K1187" s="36" t="s">
        <v>6116</v>
      </c>
      <c r="L1187" s="36" t="b">
        <v>0</v>
      </c>
    </row>
    <row r="1188" spans="1:12" ht="12.75">
      <c r="A1188" s="448">
        <v>45356.509943287034</v>
      </c>
      <c r="B1188" s="449">
        <v>45354</v>
      </c>
      <c r="C1188" s="36" t="s">
        <v>3388</v>
      </c>
      <c r="D1188" s="450">
        <v>0.45833333333575865</v>
      </c>
      <c r="E1188" s="36" t="s">
        <v>8415</v>
      </c>
      <c r="F1188" s="36" t="s">
        <v>9089</v>
      </c>
      <c r="G1188" s="36" t="s">
        <v>1128</v>
      </c>
      <c r="H1188" s="36" t="s">
        <v>1322</v>
      </c>
      <c r="I1188" s="36">
        <v>1</v>
      </c>
      <c r="J1188" s="36" t="s">
        <v>5895</v>
      </c>
      <c r="K1188" s="36" t="s">
        <v>6122</v>
      </c>
      <c r="L1188" s="36" t="b">
        <v>0</v>
      </c>
    </row>
    <row r="1189" spans="1:12" ht="12.75">
      <c r="A1189" s="448">
        <v>45356.575890775464</v>
      </c>
      <c r="B1189" s="449">
        <v>45358</v>
      </c>
      <c r="C1189" s="36" t="s">
        <v>3383</v>
      </c>
      <c r="D1189" s="450">
        <v>0.79166666666424135</v>
      </c>
      <c r="E1189" s="36" t="s">
        <v>8580</v>
      </c>
      <c r="F1189" s="36" t="s">
        <v>9090</v>
      </c>
      <c r="G1189" s="36" t="s">
        <v>2474</v>
      </c>
      <c r="H1189" s="36" t="s">
        <v>3045</v>
      </c>
      <c r="I1189" s="36">
        <v>1</v>
      </c>
      <c r="J1189" s="36" t="s">
        <v>5895</v>
      </c>
      <c r="K1189" s="36" t="s">
        <v>9091</v>
      </c>
      <c r="L1189" s="36" t="b">
        <v>0</v>
      </c>
    </row>
    <row r="1190" spans="1:12" ht="12.75">
      <c r="A1190" s="448">
        <v>45356.628313634261</v>
      </c>
      <c r="B1190" s="449">
        <v>45379</v>
      </c>
      <c r="C1190" s="36" t="s">
        <v>8534</v>
      </c>
      <c r="D1190" s="450">
        <v>0.75</v>
      </c>
      <c r="E1190" s="36" t="s">
        <v>9004</v>
      </c>
      <c r="F1190" s="36" t="s">
        <v>9092</v>
      </c>
      <c r="G1190" s="36" t="s">
        <v>8808</v>
      </c>
      <c r="H1190" s="36" t="s">
        <v>9093</v>
      </c>
      <c r="I1190" s="36">
        <v>2</v>
      </c>
      <c r="J1190" s="36" t="s">
        <v>5895</v>
      </c>
      <c r="K1190" s="36" t="s">
        <v>9094</v>
      </c>
      <c r="L1190" s="36" t="b">
        <v>0</v>
      </c>
    </row>
    <row r="1191" spans="1:12" ht="12.75">
      <c r="A1191" s="448">
        <v>45357.846432222221</v>
      </c>
      <c r="B1191" s="449">
        <v>45357</v>
      </c>
      <c r="C1191" s="36" t="s">
        <v>3388</v>
      </c>
      <c r="D1191" s="450">
        <v>0.70833333333575865</v>
      </c>
      <c r="E1191" s="36" t="s">
        <v>9095</v>
      </c>
      <c r="F1191" s="36" t="s">
        <v>7323</v>
      </c>
      <c r="G1191" s="36" t="s">
        <v>1305</v>
      </c>
      <c r="H1191" s="36" t="s">
        <v>1222</v>
      </c>
      <c r="I1191" s="36">
        <v>1</v>
      </c>
      <c r="J1191" s="36" t="s">
        <v>5895</v>
      </c>
      <c r="K1191" s="36" t="s">
        <v>9096</v>
      </c>
      <c r="L1191" s="36" t="b">
        <v>0</v>
      </c>
    </row>
    <row r="1192" spans="1:12" ht="12.75">
      <c r="A1192" s="448">
        <v>45357.847208043982</v>
      </c>
      <c r="B1192" s="449">
        <v>45357</v>
      </c>
      <c r="C1192" s="36" t="s">
        <v>3388</v>
      </c>
      <c r="D1192" s="450">
        <v>0.75</v>
      </c>
      <c r="E1192" s="36" t="s">
        <v>9097</v>
      </c>
      <c r="F1192" s="36" t="s">
        <v>9098</v>
      </c>
      <c r="G1192" s="36" t="s">
        <v>4049</v>
      </c>
      <c r="H1192" s="36" t="s">
        <v>9062</v>
      </c>
      <c r="I1192" s="36">
        <v>2</v>
      </c>
      <c r="J1192" s="36" t="s">
        <v>5895</v>
      </c>
      <c r="K1192" s="36" t="s">
        <v>9099</v>
      </c>
      <c r="L1192" s="36" t="b">
        <v>0</v>
      </c>
    </row>
    <row r="1193" spans="1:12" ht="12.75">
      <c r="A1193" s="448">
        <v>45357.848181932874</v>
      </c>
      <c r="B1193" s="449">
        <v>45357</v>
      </c>
      <c r="C1193" s="36" t="s">
        <v>3388</v>
      </c>
      <c r="D1193" s="450">
        <v>0.8125</v>
      </c>
      <c r="E1193" s="36" t="s">
        <v>8847</v>
      </c>
      <c r="F1193" s="36" t="s">
        <v>9100</v>
      </c>
      <c r="G1193" s="36" t="s">
        <v>4049</v>
      </c>
      <c r="H1193" s="36" t="s">
        <v>8860</v>
      </c>
      <c r="I1193" s="36">
        <v>3</v>
      </c>
      <c r="J1193" s="36" t="s">
        <v>5895</v>
      </c>
      <c r="K1193" s="36" t="s">
        <v>9101</v>
      </c>
      <c r="L1193" s="36" t="b">
        <v>0</v>
      </c>
    </row>
    <row r="1194" spans="1:12" ht="12.75">
      <c r="A1194" s="448">
        <v>45358.073835034724</v>
      </c>
      <c r="B1194" s="449">
        <v>45357</v>
      </c>
      <c r="C1194" s="36" t="s">
        <v>3388</v>
      </c>
      <c r="D1194" s="450">
        <v>0.70833333333575865</v>
      </c>
      <c r="E1194" s="36" t="s">
        <v>9102</v>
      </c>
      <c r="F1194" s="36" t="s">
        <v>9103</v>
      </c>
      <c r="G1194" s="36" t="s">
        <v>1042</v>
      </c>
      <c r="H1194" s="36" t="s">
        <v>9104</v>
      </c>
      <c r="I1194" s="36">
        <v>1</v>
      </c>
      <c r="J1194" s="36" t="s">
        <v>5895</v>
      </c>
      <c r="K1194" s="36" t="s">
        <v>5943</v>
      </c>
      <c r="L1194" s="36" t="b">
        <v>0</v>
      </c>
    </row>
    <row r="1195" spans="1:12" ht="12.75">
      <c r="A1195" s="448">
        <v>45358.264169780094</v>
      </c>
      <c r="B1195" s="449">
        <v>45357</v>
      </c>
      <c r="C1195" s="36" t="s">
        <v>3388</v>
      </c>
      <c r="D1195" s="450">
        <v>0.75</v>
      </c>
      <c r="E1195" s="36" t="s">
        <v>8622</v>
      </c>
      <c r="F1195" s="36" t="s">
        <v>9054</v>
      </c>
      <c r="G1195" s="36" t="s">
        <v>9033</v>
      </c>
      <c r="H1195" s="36" t="s">
        <v>9105</v>
      </c>
      <c r="I1195" s="36">
        <v>1</v>
      </c>
      <c r="J1195" s="36" t="s">
        <v>5895</v>
      </c>
      <c r="K1195" s="36" t="s">
        <v>9106</v>
      </c>
      <c r="L1195" s="36" t="b">
        <v>0</v>
      </c>
    </row>
    <row r="1196" spans="1:12" ht="12.75">
      <c r="A1196" s="448">
        <v>45358.273745717597</v>
      </c>
      <c r="B1196" s="449">
        <v>45358</v>
      </c>
      <c r="C1196" s="36" t="s">
        <v>3388</v>
      </c>
      <c r="D1196" s="450">
        <v>0.75</v>
      </c>
      <c r="E1196" s="36" t="s">
        <v>9107</v>
      </c>
      <c r="F1196" s="36" t="s">
        <v>9108</v>
      </c>
      <c r="G1196" s="36" t="s">
        <v>2129</v>
      </c>
      <c r="H1196" s="36" t="s">
        <v>9055</v>
      </c>
      <c r="I1196" s="36">
        <v>2</v>
      </c>
      <c r="J1196" s="36" t="s">
        <v>5895</v>
      </c>
      <c r="K1196" s="36" t="s">
        <v>9106</v>
      </c>
      <c r="L1196" s="36" t="b">
        <v>0</v>
      </c>
    </row>
    <row r="1197" spans="1:12" ht="12.75">
      <c r="A1197" s="448">
        <v>45358.696613275461</v>
      </c>
      <c r="B1197" s="449">
        <v>45360</v>
      </c>
      <c r="C1197" s="36" t="s">
        <v>3383</v>
      </c>
      <c r="D1197" s="450">
        <v>0.41666666666424135</v>
      </c>
      <c r="E1197" s="36" t="s">
        <v>9109</v>
      </c>
      <c r="F1197" s="36" t="s">
        <v>8306</v>
      </c>
      <c r="G1197" s="36" t="s">
        <v>9110</v>
      </c>
      <c r="H1197" s="36" t="s">
        <v>9111</v>
      </c>
      <c r="I1197" s="36">
        <v>1</v>
      </c>
      <c r="J1197" s="36" t="s">
        <v>5895</v>
      </c>
      <c r="K1197" s="36" t="s">
        <v>9112</v>
      </c>
      <c r="L1197" s="36" t="b">
        <v>0</v>
      </c>
    </row>
    <row r="1198" spans="1:12" ht="12.75">
      <c r="A1198" s="448">
        <v>45358.96586423611</v>
      </c>
      <c r="B1198" s="449">
        <v>45358</v>
      </c>
      <c r="C1198" s="36" t="s">
        <v>3383</v>
      </c>
      <c r="D1198" s="450">
        <v>0.75</v>
      </c>
      <c r="E1198" s="36" t="s">
        <v>9113</v>
      </c>
      <c r="F1198" s="36">
        <v>11</v>
      </c>
      <c r="G1198" s="36" t="s">
        <v>9114</v>
      </c>
      <c r="H1198" s="36" t="s">
        <v>2509</v>
      </c>
      <c r="I1198" s="36">
        <v>1</v>
      </c>
      <c r="J1198" s="36" t="s">
        <v>5895</v>
      </c>
      <c r="K1198" s="36" t="s">
        <v>6789</v>
      </c>
      <c r="L1198" s="36" t="b">
        <v>0</v>
      </c>
    </row>
    <row r="1199" spans="1:12" ht="12.75">
      <c r="A1199" s="448">
        <v>45359.758671423609</v>
      </c>
      <c r="B1199" s="449">
        <v>45360</v>
      </c>
      <c r="C1199" s="36" t="s">
        <v>3388</v>
      </c>
      <c r="D1199" s="450">
        <v>0.48611111110949423</v>
      </c>
      <c r="E1199" s="36" t="s">
        <v>7853</v>
      </c>
      <c r="F1199" s="36" t="s">
        <v>9115</v>
      </c>
      <c r="G1199" s="36" t="s">
        <v>7127</v>
      </c>
      <c r="H1199" s="36" t="s">
        <v>6315</v>
      </c>
      <c r="I1199" s="36">
        <v>1</v>
      </c>
      <c r="J1199" s="36" t="s">
        <v>5895</v>
      </c>
      <c r="K1199" s="36" t="s">
        <v>8150</v>
      </c>
      <c r="L1199" s="36" t="b">
        <v>0</v>
      </c>
    </row>
    <row r="1200" spans="1:12" ht="12.75">
      <c r="A1200" s="448">
        <v>45359.778059027776</v>
      </c>
      <c r="B1200" s="449">
        <v>45360</v>
      </c>
      <c r="C1200" s="36" t="s">
        <v>3383</v>
      </c>
      <c r="D1200" s="450">
        <v>0.41666666666424135</v>
      </c>
      <c r="E1200" s="36" t="s">
        <v>9116</v>
      </c>
      <c r="F1200" s="36" t="s">
        <v>9117</v>
      </c>
      <c r="G1200" s="36" t="s">
        <v>9078</v>
      </c>
      <c r="H1200" s="36" t="s">
        <v>9118</v>
      </c>
      <c r="I1200" s="36">
        <v>2</v>
      </c>
      <c r="J1200" s="36" t="s">
        <v>5895</v>
      </c>
      <c r="K1200" s="36" t="s">
        <v>6838</v>
      </c>
      <c r="L1200" s="36" t="b">
        <v>0</v>
      </c>
    </row>
    <row r="1201" spans="1:12" ht="12.75">
      <c r="A1201" s="448">
        <v>45360.499506018517</v>
      </c>
      <c r="B1201" s="449">
        <v>45360</v>
      </c>
      <c r="C1201" s="36" t="s">
        <v>3383</v>
      </c>
      <c r="D1201" s="450">
        <v>0.83333333333575865</v>
      </c>
      <c r="E1201" s="36" t="s">
        <v>9119</v>
      </c>
      <c r="F1201" s="36" t="s">
        <v>9120</v>
      </c>
      <c r="G1201" s="36" t="s">
        <v>2112</v>
      </c>
      <c r="H1201" s="36" t="s">
        <v>9121</v>
      </c>
      <c r="I1201" s="36">
        <v>1</v>
      </c>
      <c r="J1201" s="36" t="s">
        <v>5895</v>
      </c>
      <c r="K1201" s="36" t="s">
        <v>9122</v>
      </c>
      <c r="L1201" s="36" t="b">
        <v>0</v>
      </c>
    </row>
    <row r="1202" spans="1:12" ht="12.75">
      <c r="A1202" s="448">
        <v>45360.63875283565</v>
      </c>
      <c r="B1202" s="449">
        <v>45360</v>
      </c>
      <c r="C1202" s="36" t="s">
        <v>3388</v>
      </c>
      <c r="D1202" s="450">
        <v>0.85416666666424135</v>
      </c>
      <c r="E1202" s="36" t="s">
        <v>8909</v>
      </c>
      <c r="F1202" s="36" t="s">
        <v>9123</v>
      </c>
      <c r="G1202" s="36" t="s">
        <v>9124</v>
      </c>
      <c r="H1202" s="36" t="s">
        <v>9125</v>
      </c>
      <c r="I1202" s="36">
        <v>1</v>
      </c>
      <c r="J1202" s="36" t="s">
        <v>5895</v>
      </c>
      <c r="K1202" s="36" t="s">
        <v>9126</v>
      </c>
      <c r="L1202" s="36" t="b">
        <v>0</v>
      </c>
    </row>
    <row r="1203" spans="1:12" ht="12.75">
      <c r="A1203" s="448">
        <v>45360.78630688657</v>
      </c>
      <c r="B1203" s="449">
        <v>45361</v>
      </c>
      <c r="C1203" s="36" t="s">
        <v>3388</v>
      </c>
      <c r="D1203" s="450">
        <v>0.70833333333575865</v>
      </c>
      <c r="E1203" s="36" t="s">
        <v>9127</v>
      </c>
      <c r="F1203" s="36" t="s">
        <v>9128</v>
      </c>
      <c r="G1203" s="36" t="s">
        <v>1152</v>
      </c>
      <c r="H1203" s="36" t="s">
        <v>7815</v>
      </c>
      <c r="I1203" s="36">
        <v>1</v>
      </c>
      <c r="J1203" s="36" t="s">
        <v>5895</v>
      </c>
      <c r="K1203" s="36" t="s">
        <v>9129</v>
      </c>
      <c r="L1203" s="36" t="b">
        <v>0</v>
      </c>
    </row>
    <row r="1204" spans="1:12" ht="12.75">
      <c r="A1204" s="448">
        <v>45360.920128703699</v>
      </c>
      <c r="B1204" s="449">
        <v>45360</v>
      </c>
      <c r="C1204" s="36" t="s">
        <v>3388</v>
      </c>
      <c r="D1204" s="450">
        <v>0.64583333333575865</v>
      </c>
      <c r="E1204" s="36" t="s">
        <v>8694</v>
      </c>
      <c r="F1204" s="36" t="s">
        <v>9130</v>
      </c>
      <c r="G1204" s="36" t="s">
        <v>1322</v>
      </c>
      <c r="H1204" s="36" t="s">
        <v>1907</v>
      </c>
      <c r="I1204" s="36">
        <v>1</v>
      </c>
      <c r="J1204" s="36" t="s">
        <v>5895</v>
      </c>
      <c r="K1204" s="36" t="s">
        <v>5923</v>
      </c>
      <c r="L1204" s="36" t="b">
        <v>0</v>
      </c>
    </row>
    <row r="1205" spans="1:12" ht="12.75">
      <c r="A1205" s="448">
        <v>45361.697159340278</v>
      </c>
      <c r="B1205" s="449">
        <v>45360</v>
      </c>
      <c r="C1205" s="36" t="s">
        <v>3383</v>
      </c>
      <c r="D1205" s="450">
        <v>0.8125</v>
      </c>
      <c r="E1205" s="36" t="s">
        <v>8221</v>
      </c>
      <c r="F1205" s="36">
        <v>6</v>
      </c>
      <c r="G1205" s="36" t="s">
        <v>2366</v>
      </c>
      <c r="H1205" s="36" t="s">
        <v>9131</v>
      </c>
      <c r="I1205" s="36">
        <v>2</v>
      </c>
      <c r="J1205" s="36" t="s">
        <v>5895</v>
      </c>
      <c r="K1205" s="36" t="s">
        <v>8293</v>
      </c>
      <c r="L1205" s="36" t="b">
        <v>0</v>
      </c>
    </row>
    <row r="1206" spans="1:12" ht="12.75">
      <c r="A1206" s="448">
        <v>45361.779688576389</v>
      </c>
      <c r="B1206" s="449">
        <v>45361</v>
      </c>
      <c r="C1206" s="36" t="s">
        <v>3388</v>
      </c>
      <c r="D1206" s="450">
        <v>0.79166666666424135</v>
      </c>
      <c r="E1206" s="36" t="s">
        <v>9132</v>
      </c>
      <c r="F1206" s="36" t="s">
        <v>9133</v>
      </c>
      <c r="G1206" s="36" t="s">
        <v>1907</v>
      </c>
      <c r="H1206" s="36" t="s">
        <v>5906</v>
      </c>
      <c r="I1206" s="36">
        <v>3</v>
      </c>
      <c r="J1206" s="36" t="s">
        <v>5895</v>
      </c>
      <c r="K1206" s="36" t="s">
        <v>9134</v>
      </c>
      <c r="L1206" s="36" t="b">
        <v>0</v>
      </c>
    </row>
    <row r="1207" spans="1:12" ht="12.75">
      <c r="A1207" s="448">
        <v>45361.90417616898</v>
      </c>
      <c r="B1207" s="449">
        <v>45360</v>
      </c>
      <c r="C1207" s="36" t="s">
        <v>3388</v>
      </c>
      <c r="D1207" s="450">
        <v>0.52777777778101154</v>
      </c>
      <c r="E1207" s="36" t="s">
        <v>9135</v>
      </c>
      <c r="F1207" s="36">
        <v>6</v>
      </c>
      <c r="G1207" s="36" t="s">
        <v>1042</v>
      </c>
      <c r="H1207" s="36" t="s">
        <v>6764</v>
      </c>
      <c r="I1207" s="36">
        <v>2</v>
      </c>
      <c r="J1207" s="36" t="s">
        <v>5895</v>
      </c>
      <c r="K1207" s="36" t="s">
        <v>9136</v>
      </c>
      <c r="L1207" s="36" t="b">
        <v>0</v>
      </c>
    </row>
    <row r="1208" spans="1:12" ht="12.75">
      <c r="A1208" s="448">
        <v>45362.492582847219</v>
      </c>
      <c r="B1208" s="449">
        <v>45360</v>
      </c>
      <c r="C1208" s="36" t="s">
        <v>3388</v>
      </c>
      <c r="D1208" s="450">
        <v>0.89583333333575865</v>
      </c>
      <c r="E1208" s="36" t="s">
        <v>8865</v>
      </c>
      <c r="F1208" s="36" t="s">
        <v>9137</v>
      </c>
      <c r="G1208" s="36" t="s">
        <v>2962</v>
      </c>
      <c r="H1208" s="36" t="s">
        <v>3522</v>
      </c>
      <c r="I1208" s="36">
        <v>2</v>
      </c>
      <c r="J1208" s="36" t="s">
        <v>5895</v>
      </c>
      <c r="K1208" s="36" t="s">
        <v>7957</v>
      </c>
      <c r="L1208" s="36" t="b">
        <v>0</v>
      </c>
    </row>
    <row r="1209" spans="1:12" ht="12.75">
      <c r="A1209" s="448">
        <v>45362.614779386575</v>
      </c>
      <c r="B1209" s="449">
        <v>45361</v>
      </c>
      <c r="C1209" s="36" t="s">
        <v>3388</v>
      </c>
      <c r="D1209" s="450">
        <v>0.79166666666424135</v>
      </c>
      <c r="E1209" s="36" t="s">
        <v>8544</v>
      </c>
      <c r="F1209" s="36">
        <v>27</v>
      </c>
      <c r="G1209" s="36" t="s">
        <v>1128</v>
      </c>
      <c r="H1209" s="36" t="s">
        <v>2651</v>
      </c>
      <c r="I1209" s="36">
        <v>2</v>
      </c>
      <c r="J1209" s="36" t="s">
        <v>5895</v>
      </c>
      <c r="K1209" s="36" t="s">
        <v>7196</v>
      </c>
      <c r="L1209" s="36" t="b">
        <v>0</v>
      </c>
    </row>
    <row r="1210" spans="1:12" ht="12.75">
      <c r="A1210" s="448">
        <v>45362.822096111107</v>
      </c>
      <c r="B1210" s="449">
        <v>45386</v>
      </c>
      <c r="C1210" s="36" t="s">
        <v>3388</v>
      </c>
      <c r="D1210" s="450">
        <v>0.75</v>
      </c>
      <c r="E1210" s="36" t="s">
        <v>7974</v>
      </c>
      <c r="F1210" s="36" t="s">
        <v>9138</v>
      </c>
      <c r="G1210" s="36" t="s">
        <v>1483</v>
      </c>
      <c r="H1210" s="36" t="s">
        <v>78</v>
      </c>
      <c r="I1210" s="36">
        <v>1</v>
      </c>
      <c r="J1210" s="36" t="s">
        <v>6093</v>
      </c>
      <c r="K1210" s="36" t="s">
        <v>7549</v>
      </c>
      <c r="L1210" s="36" t="b">
        <v>0</v>
      </c>
    </row>
    <row r="1211" spans="1:12" ht="12.75">
      <c r="A1211" s="448">
        <v>45363.470897488427</v>
      </c>
      <c r="B1211" s="449">
        <v>45364</v>
      </c>
      <c r="C1211" s="36" t="s">
        <v>12</v>
      </c>
      <c r="D1211" s="450">
        <v>0.8125</v>
      </c>
      <c r="E1211" s="36" t="s">
        <v>9139</v>
      </c>
      <c r="F1211" s="36" t="s">
        <v>9140</v>
      </c>
      <c r="G1211" s="36" t="s">
        <v>9025</v>
      </c>
      <c r="H1211" s="36" t="s">
        <v>9141</v>
      </c>
      <c r="I1211" s="36">
        <v>1</v>
      </c>
      <c r="J1211" s="36" t="s">
        <v>5895</v>
      </c>
      <c r="K1211" s="36" t="s">
        <v>9142</v>
      </c>
      <c r="L1211" s="36" t="b">
        <v>0</v>
      </c>
    </row>
    <row r="1212" spans="1:12" ht="12.75">
      <c r="A1212" s="448">
        <v>45363.727074479168</v>
      </c>
      <c r="B1212" s="449">
        <v>45363</v>
      </c>
      <c r="C1212" s="36" t="s">
        <v>3383</v>
      </c>
      <c r="D1212" s="450">
        <v>0.79166666666424135</v>
      </c>
      <c r="E1212" s="36" t="s">
        <v>7767</v>
      </c>
      <c r="F1212" s="36" t="s">
        <v>9143</v>
      </c>
      <c r="G1212" s="36" t="s">
        <v>7165</v>
      </c>
      <c r="H1212" s="36" t="s">
        <v>3045</v>
      </c>
      <c r="I1212" s="36">
        <v>1</v>
      </c>
      <c r="J1212" s="36" t="s">
        <v>5895</v>
      </c>
      <c r="K1212" s="36" t="s">
        <v>9144</v>
      </c>
      <c r="L1212" s="36" t="b">
        <v>0</v>
      </c>
    </row>
    <row r="1213" spans="1:12" ht="12.75">
      <c r="A1213" s="448">
        <v>45363.753991365738</v>
      </c>
      <c r="B1213" s="449">
        <v>45367</v>
      </c>
      <c r="C1213" s="36" t="s">
        <v>3383</v>
      </c>
      <c r="D1213" s="450">
        <v>0.79166666666424135</v>
      </c>
      <c r="E1213" s="36" t="s">
        <v>8598</v>
      </c>
      <c r="F1213" s="36">
        <v>36</v>
      </c>
      <c r="G1213" s="36" t="s">
        <v>2461</v>
      </c>
      <c r="H1213" s="36" t="s">
        <v>589</v>
      </c>
      <c r="I1213" s="36">
        <v>1</v>
      </c>
      <c r="J1213" s="36" t="s">
        <v>5895</v>
      </c>
      <c r="K1213" s="36" t="s">
        <v>9145</v>
      </c>
      <c r="L1213" s="36" t="b">
        <v>0</v>
      </c>
    </row>
    <row r="1214" spans="1:12" ht="12.75">
      <c r="A1214" s="448">
        <v>45364.575945937497</v>
      </c>
      <c r="B1214" s="449">
        <v>45359</v>
      </c>
      <c r="C1214" s="36" t="s">
        <v>3383</v>
      </c>
      <c r="D1214" s="450">
        <v>0.75</v>
      </c>
      <c r="E1214" s="36" t="s">
        <v>9146</v>
      </c>
      <c r="F1214" s="36" t="s">
        <v>9147</v>
      </c>
      <c r="G1214" s="36" t="s">
        <v>2380</v>
      </c>
      <c r="H1214" s="36" t="s">
        <v>2509</v>
      </c>
      <c r="I1214" s="36">
        <v>1</v>
      </c>
      <c r="J1214" s="36" t="s">
        <v>5895</v>
      </c>
      <c r="K1214" s="36" t="s">
        <v>7349</v>
      </c>
      <c r="L1214" s="36" t="b">
        <v>0</v>
      </c>
    </row>
    <row r="1215" spans="1:12" ht="12.75">
      <c r="A1215" s="448">
        <v>45364.577131516198</v>
      </c>
      <c r="B1215" s="449">
        <v>45360</v>
      </c>
      <c r="C1215" s="36" t="s">
        <v>3383</v>
      </c>
      <c r="D1215" s="450">
        <v>0.41666666666424135</v>
      </c>
      <c r="E1215" s="36" t="s">
        <v>9148</v>
      </c>
      <c r="F1215" s="36" t="s">
        <v>9149</v>
      </c>
      <c r="G1215" s="36" t="s">
        <v>2380</v>
      </c>
      <c r="H1215" s="36" t="s">
        <v>1796</v>
      </c>
      <c r="I1215" s="36">
        <v>2</v>
      </c>
      <c r="J1215" s="36" t="s">
        <v>5895</v>
      </c>
      <c r="K1215" s="36" t="s">
        <v>7349</v>
      </c>
      <c r="L1215" s="36" t="b">
        <v>0</v>
      </c>
    </row>
    <row r="1216" spans="1:12" ht="12.75">
      <c r="A1216" s="448">
        <v>45364.585083831014</v>
      </c>
      <c r="B1216" s="449">
        <v>45353</v>
      </c>
      <c r="C1216" s="36" t="s">
        <v>3383</v>
      </c>
      <c r="D1216" s="450">
        <v>0.41666666666424135</v>
      </c>
      <c r="E1216" s="36" t="s">
        <v>8489</v>
      </c>
      <c r="F1216" s="36" t="s">
        <v>9150</v>
      </c>
      <c r="G1216" s="36" t="s">
        <v>2509</v>
      </c>
      <c r="H1216" s="36" t="s">
        <v>7912</v>
      </c>
      <c r="I1216" s="36">
        <v>1</v>
      </c>
      <c r="J1216" s="36" t="s">
        <v>5895</v>
      </c>
      <c r="K1216" s="36" t="s">
        <v>9151</v>
      </c>
      <c r="L1216" s="36" t="b">
        <v>0</v>
      </c>
    </row>
    <row r="1217" spans="1:12" ht="12.75">
      <c r="A1217" s="448">
        <v>45364.587565879629</v>
      </c>
      <c r="B1217" s="449">
        <v>45363</v>
      </c>
      <c r="C1217" s="36" t="s">
        <v>3383</v>
      </c>
      <c r="D1217" s="450">
        <v>0.75</v>
      </c>
      <c r="E1217" s="36" t="s">
        <v>9152</v>
      </c>
      <c r="F1217" s="36" t="s">
        <v>9153</v>
      </c>
      <c r="G1217" s="36" t="s">
        <v>2380</v>
      </c>
      <c r="H1217" s="36" t="s">
        <v>2509</v>
      </c>
      <c r="I1217" s="36">
        <v>3</v>
      </c>
      <c r="J1217" s="36" t="s">
        <v>5895</v>
      </c>
      <c r="K1217" s="36" t="s">
        <v>9154</v>
      </c>
      <c r="L1217" s="36" t="b">
        <v>0</v>
      </c>
    </row>
    <row r="1218" spans="1:12" ht="12.75">
      <c r="A1218" s="448">
        <v>45364.592225659726</v>
      </c>
      <c r="B1218" s="449">
        <v>45365</v>
      </c>
      <c r="C1218" s="36" t="s">
        <v>3383</v>
      </c>
      <c r="D1218" s="450">
        <v>0.79166666666424135</v>
      </c>
      <c r="E1218" s="36" t="s">
        <v>9155</v>
      </c>
      <c r="F1218" s="36" t="s">
        <v>9156</v>
      </c>
      <c r="G1218" s="36" t="s">
        <v>2380</v>
      </c>
      <c r="H1218" s="36" t="s">
        <v>2509</v>
      </c>
      <c r="I1218" s="36">
        <v>4</v>
      </c>
      <c r="J1218" s="36" t="s">
        <v>5895</v>
      </c>
      <c r="K1218" s="36" t="s">
        <v>9157</v>
      </c>
      <c r="L1218" s="36" t="b">
        <v>0</v>
      </c>
    </row>
    <row r="1219" spans="1:12" ht="12.75">
      <c r="A1219" s="448">
        <v>45364.751647638885</v>
      </c>
      <c r="B1219" s="449">
        <v>45364</v>
      </c>
      <c r="C1219" s="36" t="s">
        <v>3388</v>
      </c>
      <c r="D1219" s="450">
        <v>0.79166666666424135</v>
      </c>
      <c r="E1219" s="36" t="s">
        <v>7844</v>
      </c>
      <c r="F1219" s="36" t="s">
        <v>9158</v>
      </c>
      <c r="G1219" s="36" t="s">
        <v>7127</v>
      </c>
      <c r="H1219" s="36" t="s">
        <v>8149</v>
      </c>
      <c r="I1219" s="36">
        <v>3</v>
      </c>
      <c r="J1219" s="36" t="s">
        <v>5895</v>
      </c>
      <c r="K1219" s="36" t="s">
        <v>78</v>
      </c>
      <c r="L1219" s="36" t="b">
        <v>0</v>
      </c>
    </row>
    <row r="1220" spans="1:12" ht="12.75">
      <c r="A1220" s="448">
        <v>45365.443257453706</v>
      </c>
      <c r="B1220" s="449">
        <v>45364</v>
      </c>
      <c r="C1220" s="36" t="s">
        <v>3388</v>
      </c>
      <c r="D1220" s="450">
        <v>0.75</v>
      </c>
      <c r="E1220" s="36" t="s">
        <v>9159</v>
      </c>
      <c r="F1220" s="36" t="s">
        <v>9160</v>
      </c>
      <c r="G1220" s="36" t="s">
        <v>1958</v>
      </c>
      <c r="H1220" s="36" t="s">
        <v>9062</v>
      </c>
      <c r="I1220" s="36">
        <v>1</v>
      </c>
      <c r="J1220" s="36" t="s">
        <v>5895</v>
      </c>
      <c r="K1220" s="36" t="s">
        <v>9161</v>
      </c>
      <c r="L1220" s="36" t="b">
        <v>0</v>
      </c>
    </row>
    <row r="1221" spans="1:12" ht="12.75">
      <c r="A1221" s="448">
        <v>45365.715494699078</v>
      </c>
      <c r="B1221" s="449">
        <v>45365</v>
      </c>
      <c r="C1221" s="36" t="s">
        <v>3388</v>
      </c>
      <c r="D1221" s="450">
        <v>0.75</v>
      </c>
      <c r="E1221" s="36" t="s">
        <v>7450</v>
      </c>
      <c r="F1221" s="36" t="s">
        <v>9162</v>
      </c>
      <c r="G1221" s="36" t="s">
        <v>9163</v>
      </c>
      <c r="H1221" s="36" t="s">
        <v>8851</v>
      </c>
      <c r="I1221" s="36">
        <v>1</v>
      </c>
      <c r="J1221" s="36" t="s">
        <v>5895</v>
      </c>
      <c r="K1221" s="36" t="s">
        <v>6812</v>
      </c>
      <c r="L1221" s="36" t="b">
        <v>0</v>
      </c>
    </row>
    <row r="1222" spans="1:12" ht="12.75">
      <c r="A1222" s="448">
        <v>45367.782899305559</v>
      </c>
      <c r="B1222" s="449">
        <v>45368</v>
      </c>
      <c r="C1222" s="36" t="s">
        <v>3388</v>
      </c>
      <c r="D1222" s="450">
        <v>0.79166666666424135</v>
      </c>
      <c r="E1222" s="36" t="s">
        <v>9164</v>
      </c>
      <c r="F1222" s="36" t="s">
        <v>9165</v>
      </c>
      <c r="G1222" s="36" t="s">
        <v>2330</v>
      </c>
      <c r="H1222" s="36" t="s">
        <v>2651</v>
      </c>
      <c r="I1222" s="36">
        <v>1</v>
      </c>
      <c r="J1222" s="36" t="s">
        <v>5895</v>
      </c>
      <c r="K1222" s="36" t="s">
        <v>9166</v>
      </c>
      <c r="L1222" s="36" t="b">
        <v>0</v>
      </c>
    </row>
    <row r="1223" spans="1:12" ht="12.75">
      <c r="A1223" s="448">
        <v>45367.881674826393</v>
      </c>
      <c r="B1223" s="449">
        <v>45367</v>
      </c>
      <c r="C1223" s="36" t="s">
        <v>3383</v>
      </c>
      <c r="D1223" s="450">
        <v>0.75</v>
      </c>
      <c r="E1223" s="36" t="s">
        <v>8741</v>
      </c>
      <c r="F1223" s="36" t="s">
        <v>9167</v>
      </c>
      <c r="G1223" s="36" t="s">
        <v>560</v>
      </c>
      <c r="H1223" s="36" t="s">
        <v>9131</v>
      </c>
      <c r="I1223" s="36">
        <v>1</v>
      </c>
      <c r="J1223" s="36" t="s">
        <v>5895</v>
      </c>
      <c r="K1223" s="36" t="s">
        <v>9168</v>
      </c>
      <c r="L1223" s="36" t="b">
        <v>0</v>
      </c>
    </row>
    <row r="1224" spans="1:12" ht="12.75">
      <c r="A1224" s="448">
        <v>45369.718650104165</v>
      </c>
      <c r="B1224" s="449">
        <v>45370</v>
      </c>
      <c r="C1224" s="36" t="s">
        <v>12</v>
      </c>
      <c r="D1224" s="450">
        <v>0.75</v>
      </c>
      <c r="E1224" s="36" t="s">
        <v>8020</v>
      </c>
      <c r="F1224" s="36" t="s">
        <v>9169</v>
      </c>
      <c r="G1224" s="36" t="s">
        <v>9170</v>
      </c>
      <c r="H1224" s="36" t="s">
        <v>3144</v>
      </c>
      <c r="I1224" s="36">
        <v>2</v>
      </c>
      <c r="J1224" s="36" t="s">
        <v>6093</v>
      </c>
      <c r="K1224" s="36" t="s">
        <v>9171</v>
      </c>
      <c r="L1224" s="36" t="b">
        <v>0</v>
      </c>
    </row>
    <row r="1225" spans="1:12" ht="12.75">
      <c r="A1225" s="448">
        <v>45370.594761990738</v>
      </c>
      <c r="B1225" s="449">
        <v>45369</v>
      </c>
      <c r="C1225" s="36" t="s">
        <v>3388</v>
      </c>
      <c r="D1225" s="450">
        <v>0.8125</v>
      </c>
      <c r="E1225" s="36" t="s">
        <v>9172</v>
      </c>
      <c r="F1225" s="36" t="s">
        <v>9173</v>
      </c>
      <c r="G1225" s="36" t="s">
        <v>2286</v>
      </c>
      <c r="H1225" s="36" t="s">
        <v>1975</v>
      </c>
      <c r="I1225" s="36">
        <v>1</v>
      </c>
      <c r="J1225" s="36" t="s">
        <v>5895</v>
      </c>
      <c r="K1225" s="36" t="s">
        <v>8746</v>
      </c>
      <c r="L1225" s="36" t="b">
        <v>0</v>
      </c>
    </row>
    <row r="1226" spans="1:12" ht="12.75">
      <c r="A1226" s="448">
        <v>45370.597353761579</v>
      </c>
      <c r="B1226" s="449">
        <v>45369</v>
      </c>
      <c r="C1226" s="36" t="s">
        <v>12</v>
      </c>
      <c r="D1226" s="450">
        <v>0.77083333333575865</v>
      </c>
      <c r="E1226" s="36" t="s">
        <v>8193</v>
      </c>
      <c r="F1226" s="36" t="s">
        <v>9174</v>
      </c>
      <c r="G1226" s="36" t="s">
        <v>445</v>
      </c>
      <c r="H1226" s="36" t="s">
        <v>9175</v>
      </c>
      <c r="I1226" s="36">
        <v>1</v>
      </c>
      <c r="J1226" s="36" t="s">
        <v>5895</v>
      </c>
      <c r="K1226" s="36" t="s">
        <v>6210</v>
      </c>
      <c r="L1226" s="36" t="b">
        <v>0</v>
      </c>
    </row>
    <row r="1227" spans="1:12" ht="12.75">
      <c r="A1227" s="448">
        <v>45370.694339884256</v>
      </c>
      <c r="B1227" s="449">
        <v>45369</v>
      </c>
      <c r="C1227" s="36" t="s">
        <v>3383</v>
      </c>
      <c r="D1227" s="450">
        <v>0.80208333333575865</v>
      </c>
      <c r="E1227" s="36" t="s">
        <v>9176</v>
      </c>
      <c r="F1227" s="36" t="s">
        <v>9177</v>
      </c>
      <c r="G1227" s="36" t="s">
        <v>6385</v>
      </c>
      <c r="H1227" s="36" t="s">
        <v>6109</v>
      </c>
      <c r="I1227" s="36">
        <v>1</v>
      </c>
      <c r="J1227" s="36" t="s">
        <v>5895</v>
      </c>
      <c r="K1227" s="36" t="s">
        <v>8192</v>
      </c>
      <c r="L1227" s="36" t="b">
        <v>0</v>
      </c>
    </row>
    <row r="1228" spans="1:12" ht="12.75">
      <c r="A1228" s="448">
        <v>45370.714089560184</v>
      </c>
      <c r="B1228" s="449">
        <v>45368</v>
      </c>
      <c r="C1228" s="36" t="s">
        <v>13</v>
      </c>
      <c r="D1228" s="450">
        <v>0.77083333333575865</v>
      </c>
      <c r="E1228" s="36" t="s">
        <v>8238</v>
      </c>
      <c r="F1228" s="36">
        <v>37</v>
      </c>
      <c r="G1228" s="36" t="s">
        <v>944</v>
      </c>
      <c r="H1228" s="36" t="s">
        <v>9178</v>
      </c>
      <c r="I1228" s="36">
        <v>1</v>
      </c>
      <c r="J1228" s="36" t="s">
        <v>5895</v>
      </c>
      <c r="K1228" s="36" t="s">
        <v>9179</v>
      </c>
      <c r="L1228" s="36" t="b">
        <v>0</v>
      </c>
    </row>
    <row r="1229" spans="1:12" ht="12.75">
      <c r="A1229" s="448">
        <v>45370.964459212963</v>
      </c>
      <c r="B1229" s="449">
        <v>45374</v>
      </c>
      <c r="C1229" s="36" t="s">
        <v>14</v>
      </c>
      <c r="D1229" s="450">
        <v>0.79166666666424135</v>
      </c>
      <c r="E1229" s="36" t="s">
        <v>9180</v>
      </c>
      <c r="F1229" s="36" t="s">
        <v>9181</v>
      </c>
      <c r="G1229" s="36" t="s">
        <v>5095</v>
      </c>
      <c r="H1229" s="36" t="s">
        <v>9083</v>
      </c>
      <c r="I1229" s="36">
        <v>2</v>
      </c>
      <c r="J1229" s="36" t="s">
        <v>6093</v>
      </c>
      <c r="K1229" s="36" t="s">
        <v>9182</v>
      </c>
      <c r="L1229" s="36" t="b">
        <v>0</v>
      </c>
    </row>
    <row r="1230" spans="1:12" ht="12.75">
      <c r="A1230" s="448">
        <v>45371.477660416669</v>
      </c>
      <c r="B1230" s="449">
        <v>45370</v>
      </c>
      <c r="C1230" s="36" t="s">
        <v>3383</v>
      </c>
      <c r="D1230" s="450">
        <v>0.75</v>
      </c>
      <c r="E1230" s="36" t="s">
        <v>8975</v>
      </c>
      <c r="F1230" s="36" t="s">
        <v>9183</v>
      </c>
      <c r="G1230" s="36" t="s">
        <v>7724</v>
      </c>
      <c r="H1230" s="36" t="s">
        <v>9184</v>
      </c>
      <c r="I1230" s="36">
        <v>1</v>
      </c>
      <c r="J1230" s="36" t="s">
        <v>5895</v>
      </c>
      <c r="K1230" s="36" t="s">
        <v>5943</v>
      </c>
      <c r="L1230" s="36" t="b">
        <v>0</v>
      </c>
    </row>
    <row r="1231" spans="1:12" ht="12.75">
      <c r="A1231" s="448">
        <v>45371.478634050931</v>
      </c>
      <c r="B1231" s="449">
        <v>45370</v>
      </c>
      <c r="C1231" s="36" t="s">
        <v>3383</v>
      </c>
      <c r="D1231" s="450">
        <v>0.8125</v>
      </c>
      <c r="E1231" s="36" t="s">
        <v>8710</v>
      </c>
      <c r="F1231" s="36" t="s">
        <v>9185</v>
      </c>
      <c r="G1231" s="36" t="s">
        <v>7724</v>
      </c>
      <c r="H1231" s="36" t="s">
        <v>8059</v>
      </c>
      <c r="I1231" s="36">
        <v>2</v>
      </c>
      <c r="J1231" s="36" t="s">
        <v>5895</v>
      </c>
      <c r="K1231" s="36" t="s">
        <v>5943</v>
      </c>
      <c r="L1231" s="36" t="b">
        <v>0</v>
      </c>
    </row>
    <row r="1232" spans="1:12" ht="12.75">
      <c r="A1232" s="448">
        <v>45371.743768391199</v>
      </c>
      <c r="B1232" s="449">
        <v>45369</v>
      </c>
      <c r="C1232" s="36" t="s">
        <v>3383</v>
      </c>
      <c r="D1232" s="450">
        <v>0.80208333333575865</v>
      </c>
      <c r="E1232" s="36" t="s">
        <v>9186</v>
      </c>
      <c r="F1232" s="36" t="s">
        <v>9187</v>
      </c>
      <c r="G1232" s="36" t="s">
        <v>7016</v>
      </c>
      <c r="H1232" s="36" t="s">
        <v>9188</v>
      </c>
      <c r="I1232" s="453" t="s">
        <v>9189</v>
      </c>
      <c r="J1232" s="36" t="s">
        <v>5895</v>
      </c>
      <c r="K1232" s="36" t="s">
        <v>8192</v>
      </c>
      <c r="L1232" s="36" t="b">
        <v>0</v>
      </c>
    </row>
    <row r="1233" spans="1:12" ht="12.75">
      <c r="A1233" s="448">
        <v>45371.745176851851</v>
      </c>
      <c r="B1233" s="449">
        <v>45371</v>
      </c>
      <c r="C1233" s="36" t="s">
        <v>3383</v>
      </c>
      <c r="D1233" s="450">
        <v>0.70833333333575865</v>
      </c>
      <c r="E1233" s="36" t="s">
        <v>9190</v>
      </c>
      <c r="F1233" s="36" t="s">
        <v>9191</v>
      </c>
      <c r="G1233" s="36" t="s">
        <v>7016</v>
      </c>
      <c r="H1233" s="36" t="s">
        <v>9192</v>
      </c>
      <c r="I1233" s="36" t="s">
        <v>9193</v>
      </c>
      <c r="J1233" s="36" t="s">
        <v>5895</v>
      </c>
      <c r="K1233" s="36" t="s">
        <v>8192</v>
      </c>
      <c r="L1233" s="36" t="b">
        <v>0</v>
      </c>
    </row>
    <row r="1234" spans="1:12" ht="12.75">
      <c r="A1234" s="448">
        <v>45371.882725625001</v>
      </c>
      <c r="B1234" s="449">
        <v>45371</v>
      </c>
      <c r="C1234" s="36" t="s">
        <v>3388</v>
      </c>
      <c r="D1234" s="450">
        <v>0.8125</v>
      </c>
      <c r="E1234" s="36" t="s">
        <v>9194</v>
      </c>
      <c r="F1234" s="36" t="s">
        <v>9195</v>
      </c>
      <c r="G1234" s="36" t="s">
        <v>3845</v>
      </c>
      <c r="H1234" s="36" t="s">
        <v>9196</v>
      </c>
      <c r="I1234" s="36">
        <v>3</v>
      </c>
      <c r="J1234" s="36" t="s">
        <v>5895</v>
      </c>
      <c r="K1234" s="36" t="s">
        <v>9197</v>
      </c>
      <c r="L1234" s="36" t="b">
        <v>0</v>
      </c>
    </row>
    <row r="1235" spans="1:12" ht="12.75">
      <c r="A1235" s="448">
        <v>45372.657163750002</v>
      </c>
      <c r="B1235" s="449">
        <v>45372</v>
      </c>
      <c r="C1235" s="36" t="s">
        <v>3383</v>
      </c>
      <c r="D1235" s="450">
        <v>0.79166666666424135</v>
      </c>
      <c r="E1235" s="36" t="s">
        <v>8598</v>
      </c>
      <c r="F1235" s="36" t="s">
        <v>9198</v>
      </c>
      <c r="G1235" s="36" t="s">
        <v>2475</v>
      </c>
      <c r="H1235" s="36" t="s">
        <v>8059</v>
      </c>
      <c r="I1235" s="36">
        <v>2</v>
      </c>
      <c r="J1235" s="36" t="s">
        <v>5895</v>
      </c>
      <c r="K1235" s="36" t="s">
        <v>9199</v>
      </c>
      <c r="L1235" s="36" t="b">
        <v>0</v>
      </c>
    </row>
    <row r="1236" spans="1:12" ht="12.75">
      <c r="A1236" s="448">
        <v>45372.878005393519</v>
      </c>
      <c r="B1236" s="449">
        <v>45371</v>
      </c>
      <c r="C1236" s="36" t="s">
        <v>3388</v>
      </c>
      <c r="D1236" s="450">
        <v>0.75</v>
      </c>
      <c r="E1236" s="36" t="s">
        <v>9159</v>
      </c>
      <c r="F1236" s="36" t="s">
        <v>9200</v>
      </c>
      <c r="G1236" s="36" t="s">
        <v>1958</v>
      </c>
      <c r="H1236" s="36" t="s">
        <v>9201</v>
      </c>
      <c r="I1236" s="36">
        <v>2</v>
      </c>
      <c r="J1236" s="36" t="s">
        <v>5895</v>
      </c>
      <c r="K1236" s="36" t="s">
        <v>7191</v>
      </c>
      <c r="L1236" s="36" t="b">
        <v>0</v>
      </c>
    </row>
    <row r="1237" spans="1:12" ht="12.75">
      <c r="A1237" s="448">
        <v>45373.863044872684</v>
      </c>
      <c r="B1237" s="449">
        <v>45373</v>
      </c>
      <c r="C1237" s="36" t="s">
        <v>3388</v>
      </c>
      <c r="D1237" s="450">
        <v>0.75</v>
      </c>
      <c r="E1237" s="36" t="s">
        <v>9202</v>
      </c>
      <c r="F1237" s="36" t="s">
        <v>9203</v>
      </c>
      <c r="G1237" s="36" t="s">
        <v>9204</v>
      </c>
      <c r="H1237" s="36" t="s">
        <v>8396</v>
      </c>
      <c r="I1237" s="36">
        <v>1</v>
      </c>
      <c r="J1237" s="36" t="s">
        <v>5895</v>
      </c>
      <c r="K1237" s="36" t="s">
        <v>9205</v>
      </c>
      <c r="L1237" s="36" t="b">
        <v>0</v>
      </c>
    </row>
    <row r="1238" spans="1:12" ht="12.75">
      <c r="A1238" s="448">
        <v>45374.009394872686</v>
      </c>
      <c r="B1238" s="449">
        <v>45367</v>
      </c>
      <c r="C1238" s="36" t="s">
        <v>3388</v>
      </c>
      <c r="D1238" s="450">
        <v>0.64583333333575865</v>
      </c>
      <c r="E1238" s="36" t="s">
        <v>8814</v>
      </c>
      <c r="F1238" s="36" t="s">
        <v>9206</v>
      </c>
      <c r="G1238" s="36" t="s">
        <v>1322</v>
      </c>
      <c r="H1238" s="36" t="s">
        <v>5906</v>
      </c>
      <c r="I1238" s="36">
        <v>2</v>
      </c>
      <c r="J1238" s="36" t="s">
        <v>5895</v>
      </c>
      <c r="K1238" s="36" t="s">
        <v>9207</v>
      </c>
      <c r="L1238" s="36" t="b">
        <v>0</v>
      </c>
    </row>
    <row r="1239" spans="1:12" ht="12.75">
      <c r="A1239" s="448">
        <v>45374.016151134259</v>
      </c>
      <c r="B1239" s="449">
        <v>45368</v>
      </c>
      <c r="C1239" s="36" t="s">
        <v>3388</v>
      </c>
      <c r="D1239" s="450">
        <v>0.41666666666424135</v>
      </c>
      <c r="E1239" s="36" t="s">
        <v>7279</v>
      </c>
      <c r="F1239" s="36" t="s">
        <v>9208</v>
      </c>
      <c r="G1239" s="36" t="s">
        <v>1322</v>
      </c>
      <c r="H1239" s="36" t="s">
        <v>2651</v>
      </c>
      <c r="I1239" s="36">
        <v>3</v>
      </c>
      <c r="J1239" s="36" t="s">
        <v>5895</v>
      </c>
      <c r="K1239" s="36" t="s">
        <v>8746</v>
      </c>
      <c r="L1239" s="36" t="b">
        <v>0</v>
      </c>
    </row>
    <row r="1240" spans="1:12" ht="12.75">
      <c r="A1240" s="448">
        <v>45374.018273148147</v>
      </c>
      <c r="B1240" s="449">
        <v>45367</v>
      </c>
      <c r="C1240" s="36" t="s">
        <v>3388</v>
      </c>
      <c r="D1240" s="450">
        <v>0.81944444444525288</v>
      </c>
      <c r="E1240" s="36" t="s">
        <v>9209</v>
      </c>
      <c r="F1240" s="36" t="s">
        <v>9210</v>
      </c>
      <c r="G1240" s="36" t="s">
        <v>1322</v>
      </c>
      <c r="H1240" s="36" t="s">
        <v>7613</v>
      </c>
      <c r="I1240" s="36">
        <v>4</v>
      </c>
      <c r="J1240" s="36" t="s">
        <v>5895</v>
      </c>
      <c r="K1240" s="36" t="s">
        <v>8746</v>
      </c>
      <c r="L1240" s="36" t="b">
        <v>0</v>
      </c>
    </row>
    <row r="1241" spans="1:12" ht="12.75">
      <c r="A1241" s="448">
        <v>45374.019694027782</v>
      </c>
      <c r="B1241" s="449">
        <v>45367</v>
      </c>
      <c r="C1241" s="36" t="s">
        <v>3388</v>
      </c>
      <c r="D1241" s="450">
        <v>0.86111111110949423</v>
      </c>
      <c r="E1241" s="36" t="s">
        <v>8308</v>
      </c>
      <c r="F1241" s="36" t="s">
        <v>9211</v>
      </c>
      <c r="G1241" s="36" t="s">
        <v>1322</v>
      </c>
      <c r="H1241" s="36" t="s">
        <v>7613</v>
      </c>
      <c r="I1241" s="36">
        <v>5</v>
      </c>
      <c r="J1241" s="36" t="s">
        <v>5895</v>
      </c>
      <c r="K1241" s="36" t="s">
        <v>8746</v>
      </c>
      <c r="L1241" s="36" t="b">
        <v>0</v>
      </c>
    </row>
    <row r="1242" spans="1:12" ht="12.75">
      <c r="A1242" s="448">
        <v>45374.021240532413</v>
      </c>
      <c r="B1242" s="449">
        <v>45369</v>
      </c>
      <c r="C1242" s="36" t="s">
        <v>3388</v>
      </c>
      <c r="D1242" s="450">
        <v>0.79166666666424135</v>
      </c>
      <c r="E1242" s="36" t="s">
        <v>7774</v>
      </c>
      <c r="F1242" s="36" t="s">
        <v>9212</v>
      </c>
      <c r="G1242" s="36" t="s">
        <v>1322</v>
      </c>
      <c r="H1242" s="36" t="s">
        <v>2257</v>
      </c>
      <c r="I1242" s="36">
        <v>6</v>
      </c>
      <c r="J1242" s="36" t="s">
        <v>5895</v>
      </c>
      <c r="K1242" s="36" t="s">
        <v>8746</v>
      </c>
      <c r="L1242" s="36" t="b">
        <v>0</v>
      </c>
    </row>
    <row r="1243" spans="1:12" ht="12.75">
      <c r="A1243" s="448">
        <v>45374.02276068287</v>
      </c>
      <c r="B1243" s="449">
        <v>45369</v>
      </c>
      <c r="C1243" s="36" t="s">
        <v>3388</v>
      </c>
      <c r="D1243" s="450">
        <v>0.85416666666424135</v>
      </c>
      <c r="E1243" s="36" t="s">
        <v>9213</v>
      </c>
      <c r="F1243" s="36" t="s">
        <v>9130</v>
      </c>
      <c r="G1243" s="36" t="s">
        <v>1322</v>
      </c>
      <c r="H1243" s="36" t="s">
        <v>9062</v>
      </c>
      <c r="I1243" s="36">
        <v>7</v>
      </c>
      <c r="J1243" s="36" t="s">
        <v>5895</v>
      </c>
      <c r="K1243" s="36" t="s">
        <v>8746</v>
      </c>
      <c r="L1243" s="36" t="b">
        <v>0</v>
      </c>
    </row>
    <row r="1244" spans="1:12" ht="12.75">
      <c r="A1244" s="448">
        <v>45374.02425170139</v>
      </c>
      <c r="B1244" s="449">
        <v>45372</v>
      </c>
      <c r="C1244" s="36" t="s">
        <v>3388</v>
      </c>
      <c r="D1244" s="450">
        <v>0.81944444444525288</v>
      </c>
      <c r="E1244" s="36" t="s">
        <v>8982</v>
      </c>
      <c r="F1244" s="36" t="s">
        <v>9210</v>
      </c>
      <c r="G1244" s="36" t="s">
        <v>1322</v>
      </c>
      <c r="H1244" s="36" t="s">
        <v>8396</v>
      </c>
      <c r="I1244" s="36">
        <v>8</v>
      </c>
      <c r="J1244" s="36" t="s">
        <v>5895</v>
      </c>
      <c r="K1244" s="36" t="s">
        <v>9207</v>
      </c>
      <c r="L1244" s="36" t="b">
        <v>0</v>
      </c>
    </row>
    <row r="1245" spans="1:12" ht="12.75">
      <c r="A1245" s="448">
        <v>45374.496190474536</v>
      </c>
      <c r="B1245" s="449">
        <v>45373</v>
      </c>
      <c r="C1245" s="36" t="s">
        <v>3383</v>
      </c>
      <c r="D1245" s="450">
        <v>0.79166666666424135</v>
      </c>
      <c r="E1245" s="36" t="s">
        <v>9214</v>
      </c>
      <c r="F1245" s="36" t="s">
        <v>9215</v>
      </c>
      <c r="G1245" s="36" t="s">
        <v>708</v>
      </c>
      <c r="H1245" s="36" t="s">
        <v>9216</v>
      </c>
      <c r="I1245" s="36">
        <v>1</v>
      </c>
      <c r="J1245" s="36" t="s">
        <v>5895</v>
      </c>
      <c r="K1245" s="36" t="s">
        <v>7194</v>
      </c>
      <c r="L1245" s="36" t="b">
        <v>0</v>
      </c>
    </row>
    <row r="1246" spans="1:12" ht="12.75">
      <c r="A1246" s="448">
        <v>45374.497302187505</v>
      </c>
      <c r="B1246" s="449">
        <v>45345</v>
      </c>
      <c r="C1246" s="36" t="s">
        <v>3383</v>
      </c>
      <c r="D1246" s="450">
        <v>0.39583333333575865</v>
      </c>
      <c r="E1246" s="36" t="s">
        <v>9214</v>
      </c>
      <c r="F1246" s="36" t="s">
        <v>9215</v>
      </c>
      <c r="G1246" s="36" t="s">
        <v>708</v>
      </c>
      <c r="H1246" s="36" t="s">
        <v>6109</v>
      </c>
      <c r="I1246" s="36">
        <v>2</v>
      </c>
      <c r="J1246" s="36" t="s">
        <v>5895</v>
      </c>
      <c r="K1246" s="36" t="s">
        <v>7194</v>
      </c>
      <c r="L1246" s="36" t="b">
        <v>0</v>
      </c>
    </row>
    <row r="1247" spans="1:12" ht="12.75">
      <c r="A1247" s="448">
        <v>45374.821693414357</v>
      </c>
      <c r="B1247" s="449">
        <v>45374</v>
      </c>
      <c r="C1247" s="36" t="s">
        <v>3383</v>
      </c>
      <c r="D1247" s="450">
        <v>0.41666666666424135</v>
      </c>
      <c r="E1247" s="36" t="s">
        <v>9217</v>
      </c>
      <c r="F1247" s="36" t="s">
        <v>9218</v>
      </c>
      <c r="G1247" s="36" t="s">
        <v>9219</v>
      </c>
      <c r="H1247" s="36" t="s">
        <v>9218</v>
      </c>
      <c r="I1247" s="36">
        <v>1</v>
      </c>
      <c r="J1247" s="36" t="s">
        <v>5895</v>
      </c>
      <c r="K1247" s="36" t="s">
        <v>9220</v>
      </c>
      <c r="L1247" s="36" t="b">
        <v>0</v>
      </c>
    </row>
    <row r="1248" spans="1:12" ht="12.75">
      <c r="A1248" s="448">
        <v>45374.822136863426</v>
      </c>
      <c r="B1248" s="449">
        <v>45375</v>
      </c>
      <c r="C1248" s="36" t="s">
        <v>3383</v>
      </c>
      <c r="D1248" s="450">
        <v>0.41666666666424135</v>
      </c>
      <c r="E1248" s="36" t="s">
        <v>9217</v>
      </c>
      <c r="F1248" s="36">
        <v>10</v>
      </c>
      <c r="G1248" s="36" t="s">
        <v>9219</v>
      </c>
      <c r="H1248" s="36" t="s">
        <v>9218</v>
      </c>
      <c r="I1248" s="36">
        <v>2</v>
      </c>
      <c r="J1248" s="36" t="s">
        <v>5895</v>
      </c>
      <c r="K1248" s="36" t="s">
        <v>9221</v>
      </c>
      <c r="L1248" s="36" t="b">
        <v>0</v>
      </c>
    </row>
    <row r="1249" spans="1:12" ht="12.75">
      <c r="A1249" s="448">
        <v>45374.93796383102</v>
      </c>
      <c r="B1249" s="449">
        <v>45374</v>
      </c>
      <c r="C1249" s="36" t="s">
        <v>3388</v>
      </c>
      <c r="D1249" s="450">
        <v>0.79166666666424135</v>
      </c>
      <c r="E1249" s="36" t="s">
        <v>9222</v>
      </c>
      <c r="F1249" s="36" t="s">
        <v>9223</v>
      </c>
      <c r="G1249" s="36" t="s">
        <v>2928</v>
      </c>
      <c r="H1249" s="36" t="s">
        <v>8149</v>
      </c>
      <c r="I1249" s="36">
        <v>1</v>
      </c>
      <c r="J1249" s="36" t="s">
        <v>5895</v>
      </c>
      <c r="K1249" s="36" t="s">
        <v>9224</v>
      </c>
      <c r="L1249" s="36" t="b">
        <v>0</v>
      </c>
    </row>
    <row r="1250" spans="1:12" ht="12.75">
      <c r="A1250" s="448">
        <v>45375.749509942128</v>
      </c>
      <c r="B1250" s="449">
        <v>45377</v>
      </c>
      <c r="C1250" s="36" t="s">
        <v>12</v>
      </c>
      <c r="D1250" s="450">
        <v>0.75</v>
      </c>
      <c r="E1250" s="36" t="s">
        <v>9225</v>
      </c>
      <c r="F1250" s="36" t="s">
        <v>9226</v>
      </c>
      <c r="G1250" s="36" t="s">
        <v>760</v>
      </c>
      <c r="H1250" s="36" t="s">
        <v>9227</v>
      </c>
      <c r="I1250" s="36">
        <v>1</v>
      </c>
      <c r="J1250" s="36" t="s">
        <v>5895</v>
      </c>
      <c r="K1250" s="36" t="s">
        <v>5943</v>
      </c>
      <c r="L1250" s="36" t="b">
        <v>0</v>
      </c>
    </row>
    <row r="1251" spans="1:12" ht="12.75">
      <c r="A1251" s="448">
        <v>45375.750307650465</v>
      </c>
      <c r="B1251" s="449">
        <v>45379</v>
      </c>
      <c r="C1251" s="36" t="s">
        <v>12</v>
      </c>
      <c r="D1251" s="450">
        <v>0.75</v>
      </c>
      <c r="E1251" s="36" t="s">
        <v>9225</v>
      </c>
      <c r="F1251" s="36" t="s">
        <v>9228</v>
      </c>
      <c r="G1251" s="36" t="s">
        <v>6657</v>
      </c>
      <c r="H1251" s="36" t="s">
        <v>8576</v>
      </c>
      <c r="I1251" s="36">
        <v>2</v>
      </c>
      <c r="J1251" s="36" t="s">
        <v>5895</v>
      </c>
      <c r="K1251" s="36" t="s">
        <v>5943</v>
      </c>
      <c r="L1251" s="36" t="b">
        <v>0</v>
      </c>
    </row>
    <row r="1252" spans="1:12" ht="12.75">
      <c r="A1252" s="448">
        <v>45376.736370740742</v>
      </c>
      <c r="B1252" s="449">
        <v>45376</v>
      </c>
      <c r="C1252" s="36" t="s">
        <v>3388</v>
      </c>
      <c r="D1252" s="450">
        <v>0.875</v>
      </c>
      <c r="E1252" s="36" t="s">
        <v>9229</v>
      </c>
      <c r="F1252" s="36" t="s">
        <v>9230</v>
      </c>
      <c r="G1252" s="36" t="s">
        <v>1958</v>
      </c>
      <c r="H1252" s="36" t="s">
        <v>9231</v>
      </c>
      <c r="I1252" s="36">
        <v>3</v>
      </c>
      <c r="J1252" s="36" t="s">
        <v>5895</v>
      </c>
      <c r="K1252" s="36" t="s">
        <v>9232</v>
      </c>
      <c r="L1252" s="36" t="b">
        <v>0</v>
      </c>
    </row>
    <row r="1253" spans="1:12" ht="12.75">
      <c r="A1253" s="448">
        <v>45376.737487615741</v>
      </c>
      <c r="B1253" s="449">
        <v>45375</v>
      </c>
      <c r="C1253" s="36" t="s">
        <v>3388</v>
      </c>
      <c r="D1253" s="450">
        <v>0.41666666666424135</v>
      </c>
      <c r="E1253" s="36" t="s">
        <v>9233</v>
      </c>
      <c r="F1253" s="36" t="s">
        <v>9234</v>
      </c>
      <c r="G1253" s="36" t="s">
        <v>1958</v>
      </c>
      <c r="H1253" s="36" t="s">
        <v>9235</v>
      </c>
      <c r="I1253" s="36">
        <v>4</v>
      </c>
      <c r="J1253" s="36" t="s">
        <v>5895</v>
      </c>
      <c r="K1253" s="36" t="s">
        <v>9069</v>
      </c>
      <c r="L1253" s="36" t="b">
        <v>0</v>
      </c>
    </row>
    <row r="1254" spans="1:12" ht="12.75">
      <c r="A1254" s="448">
        <v>45376.845413692128</v>
      </c>
      <c r="B1254" s="449">
        <v>45376</v>
      </c>
      <c r="C1254" s="36" t="s">
        <v>3388</v>
      </c>
      <c r="D1254" s="450">
        <v>0.86111111110949423</v>
      </c>
      <c r="E1254" s="36" t="s">
        <v>9236</v>
      </c>
      <c r="F1254" s="36" t="s">
        <v>9237</v>
      </c>
      <c r="G1254" s="36" t="s">
        <v>1322</v>
      </c>
      <c r="H1254" s="36" t="s">
        <v>9238</v>
      </c>
      <c r="I1254" s="36">
        <v>9</v>
      </c>
      <c r="J1254" s="36" t="s">
        <v>5895</v>
      </c>
      <c r="K1254" s="36" t="s">
        <v>7191</v>
      </c>
      <c r="L1254" s="36" t="b">
        <v>0</v>
      </c>
    </row>
    <row r="1255" spans="1:12" ht="12.75">
      <c r="A1255" s="448">
        <v>45378.700950416664</v>
      </c>
      <c r="B1255" s="449">
        <v>45378</v>
      </c>
      <c r="C1255" s="36" t="s">
        <v>3383</v>
      </c>
      <c r="D1255" s="450">
        <v>0.79166666666424135</v>
      </c>
      <c r="E1255" s="36" t="s">
        <v>9239</v>
      </c>
      <c r="F1255" s="36" t="s">
        <v>9240</v>
      </c>
      <c r="G1255" s="36" t="s">
        <v>2028</v>
      </c>
      <c r="H1255" s="36" t="s">
        <v>1827</v>
      </c>
      <c r="I1255" s="36">
        <v>1</v>
      </c>
      <c r="J1255" s="36" t="s">
        <v>5895</v>
      </c>
      <c r="K1255" s="36" t="s">
        <v>9241</v>
      </c>
      <c r="L1255" s="36" t="b">
        <v>0</v>
      </c>
    </row>
    <row r="1256" spans="1:12" ht="12.75">
      <c r="A1256" s="448">
        <v>45378.844719270834</v>
      </c>
      <c r="B1256" s="449">
        <v>45378</v>
      </c>
      <c r="C1256" s="36" t="s">
        <v>3388</v>
      </c>
      <c r="D1256" s="450">
        <v>0.77777777778101154</v>
      </c>
      <c r="E1256" s="36" t="s">
        <v>9242</v>
      </c>
      <c r="F1256" s="36" t="s">
        <v>9243</v>
      </c>
      <c r="G1256" s="36" t="s">
        <v>507</v>
      </c>
      <c r="H1256" s="36" t="s">
        <v>9244</v>
      </c>
      <c r="I1256" s="36">
        <v>1</v>
      </c>
      <c r="J1256" s="36" t="s">
        <v>5895</v>
      </c>
      <c r="K1256" s="36" t="s">
        <v>6037</v>
      </c>
      <c r="L1256" s="36" t="b">
        <v>0</v>
      </c>
    </row>
    <row r="1257" spans="1:12" ht="12.75">
      <c r="A1257" s="448">
        <v>45379.692867094913</v>
      </c>
      <c r="B1257" s="449">
        <v>45379</v>
      </c>
      <c r="C1257" s="36" t="s">
        <v>3388</v>
      </c>
      <c r="D1257" s="450">
        <v>0.75</v>
      </c>
      <c r="E1257" s="36" t="s">
        <v>7798</v>
      </c>
      <c r="F1257" s="36" t="s">
        <v>9245</v>
      </c>
      <c r="G1257" s="36" t="s">
        <v>8288</v>
      </c>
      <c r="H1257" s="36" t="s">
        <v>9246</v>
      </c>
      <c r="I1257" s="36">
        <v>1</v>
      </c>
      <c r="J1257" s="36" t="s">
        <v>5895</v>
      </c>
      <c r="K1257" s="36" t="s">
        <v>9247</v>
      </c>
      <c r="L1257" s="36" t="b">
        <v>0</v>
      </c>
    </row>
    <row r="1258" spans="1:12" ht="12.75">
      <c r="A1258" s="448">
        <v>45380.30020380787</v>
      </c>
      <c r="B1258" s="449">
        <v>45381</v>
      </c>
      <c r="C1258" s="36" t="s">
        <v>3383</v>
      </c>
      <c r="D1258" s="450">
        <v>0.41666666666424135</v>
      </c>
      <c r="E1258" s="36" t="s">
        <v>9248</v>
      </c>
      <c r="F1258" s="36" t="s">
        <v>9249</v>
      </c>
      <c r="G1258" s="36" t="s">
        <v>2369</v>
      </c>
      <c r="H1258" s="36" t="s">
        <v>2342</v>
      </c>
      <c r="I1258" s="36">
        <v>1</v>
      </c>
      <c r="J1258" s="36" t="s">
        <v>5895</v>
      </c>
      <c r="K1258" s="36" t="s">
        <v>9250</v>
      </c>
      <c r="L1258" s="36" t="b">
        <v>0</v>
      </c>
    </row>
    <row r="1259" spans="1:12" ht="12.75">
      <c r="A1259" s="448">
        <v>45380.697977083335</v>
      </c>
      <c r="B1259" s="449">
        <v>45380</v>
      </c>
      <c r="C1259" s="36" t="s">
        <v>3388</v>
      </c>
      <c r="D1259" s="450">
        <v>0.75</v>
      </c>
      <c r="E1259" s="36" t="s">
        <v>8089</v>
      </c>
      <c r="F1259" s="36" t="s">
        <v>9251</v>
      </c>
      <c r="G1259" s="36" t="s">
        <v>844</v>
      </c>
      <c r="H1259" s="36" t="s">
        <v>2612</v>
      </c>
      <c r="I1259" s="36">
        <v>2</v>
      </c>
      <c r="J1259" s="36" t="s">
        <v>5895</v>
      </c>
      <c r="K1259" s="36" t="s">
        <v>9252</v>
      </c>
      <c r="L1259" s="36" t="b">
        <v>0</v>
      </c>
    </row>
    <row r="1260" spans="1:12" ht="12.75">
      <c r="A1260" s="448">
        <v>45380.762265972226</v>
      </c>
      <c r="B1260" s="449">
        <v>45378</v>
      </c>
      <c r="C1260" s="36" t="s">
        <v>3388</v>
      </c>
      <c r="D1260" s="450">
        <v>0.70833333333575865</v>
      </c>
      <c r="E1260" s="36" t="s">
        <v>9253</v>
      </c>
      <c r="F1260" s="36" t="s">
        <v>9254</v>
      </c>
      <c r="G1260" s="36" t="s">
        <v>2928</v>
      </c>
      <c r="H1260" s="36" t="s">
        <v>1113</v>
      </c>
      <c r="I1260" s="36">
        <v>2</v>
      </c>
      <c r="J1260" s="36" t="s">
        <v>5895</v>
      </c>
      <c r="K1260" s="36" t="s">
        <v>6255</v>
      </c>
      <c r="L1260" s="36" t="b">
        <v>0</v>
      </c>
    </row>
    <row r="1261" spans="1:12" ht="12.75">
      <c r="A1261" s="448">
        <v>45381.559940115738</v>
      </c>
      <c r="B1261" s="449">
        <v>45378</v>
      </c>
      <c r="C1261" s="36" t="s">
        <v>3383</v>
      </c>
      <c r="D1261" s="450">
        <v>0.75</v>
      </c>
      <c r="E1261" s="36" t="s">
        <v>9255</v>
      </c>
      <c r="F1261" s="36">
        <v>10</v>
      </c>
      <c r="G1261" s="36" t="s">
        <v>2366</v>
      </c>
      <c r="H1261" s="36" t="s">
        <v>860</v>
      </c>
      <c r="I1261" s="36">
        <v>2</v>
      </c>
      <c r="J1261" s="36" t="s">
        <v>5895</v>
      </c>
      <c r="K1261" s="36" t="s">
        <v>9256</v>
      </c>
      <c r="L1261" s="36" t="b">
        <v>0</v>
      </c>
    </row>
    <row r="1262" spans="1:12" ht="12.75">
      <c r="A1262" s="448">
        <v>45381.560665717596</v>
      </c>
      <c r="B1262" s="449">
        <v>45380</v>
      </c>
      <c r="C1262" s="36" t="s">
        <v>3383</v>
      </c>
      <c r="D1262" s="450">
        <v>0.75</v>
      </c>
      <c r="E1262" s="36" t="s">
        <v>9194</v>
      </c>
      <c r="F1262" s="36">
        <v>11</v>
      </c>
      <c r="G1262" s="36" t="s">
        <v>2366</v>
      </c>
      <c r="H1262" s="36" t="s">
        <v>589</v>
      </c>
      <c r="I1262" s="36">
        <v>3</v>
      </c>
      <c r="J1262" s="36" t="s">
        <v>5895</v>
      </c>
      <c r="K1262" s="36" t="s">
        <v>9256</v>
      </c>
      <c r="L1262" s="36" t="b">
        <v>0</v>
      </c>
    </row>
    <row r="1263" spans="1:12" ht="12.75">
      <c r="A1263" s="448">
        <v>45382.769399166667</v>
      </c>
      <c r="B1263" s="449">
        <v>45382</v>
      </c>
      <c r="C1263" s="36" t="s">
        <v>14</v>
      </c>
      <c r="D1263" s="450">
        <v>0.79166666666424135</v>
      </c>
      <c r="E1263" s="36" t="s">
        <v>9257</v>
      </c>
      <c r="F1263" s="36" t="s">
        <v>9258</v>
      </c>
      <c r="G1263" s="36" t="s">
        <v>2906</v>
      </c>
      <c r="H1263" s="36" t="s">
        <v>1669</v>
      </c>
      <c r="I1263" s="36">
        <v>1</v>
      </c>
      <c r="J1263" s="36" t="s">
        <v>5895</v>
      </c>
      <c r="K1263" s="36" t="s">
        <v>9259</v>
      </c>
      <c r="L1263" s="36" t="b">
        <v>0</v>
      </c>
    </row>
    <row r="1264" spans="1:12" ht="12.75">
      <c r="A1264" s="448">
        <v>45383.634623067133</v>
      </c>
      <c r="B1264" s="449">
        <v>45369</v>
      </c>
      <c r="C1264" s="36" t="s">
        <v>3388</v>
      </c>
      <c r="D1264" s="450">
        <v>0.8125</v>
      </c>
      <c r="E1264" s="36" t="s">
        <v>9260</v>
      </c>
      <c r="F1264" s="36" t="s">
        <v>9261</v>
      </c>
      <c r="G1264" s="36" t="s">
        <v>8123</v>
      </c>
      <c r="H1264" s="36" t="s">
        <v>8851</v>
      </c>
      <c r="I1264" s="36">
        <v>2</v>
      </c>
      <c r="J1264" s="36" t="s">
        <v>5895</v>
      </c>
      <c r="K1264" s="36" t="s">
        <v>9262</v>
      </c>
      <c r="L1264" s="36" t="b">
        <v>0</v>
      </c>
    </row>
    <row r="1265" spans="1:12" ht="12.75">
      <c r="A1265" s="448">
        <v>45383.662670289355</v>
      </c>
      <c r="B1265" s="449">
        <v>45383</v>
      </c>
      <c r="C1265" s="36" t="s">
        <v>3388</v>
      </c>
      <c r="D1265" s="450">
        <v>0.77083333333575865</v>
      </c>
      <c r="E1265" s="36" t="s">
        <v>9263</v>
      </c>
      <c r="F1265" s="36" t="s">
        <v>9264</v>
      </c>
      <c r="G1265" s="36" t="s">
        <v>9265</v>
      </c>
      <c r="H1265" s="36" t="s">
        <v>1161</v>
      </c>
      <c r="I1265" s="36">
        <v>1</v>
      </c>
      <c r="J1265" s="36" t="s">
        <v>5895</v>
      </c>
      <c r="K1265" s="36" t="s">
        <v>6501</v>
      </c>
      <c r="L1265" s="36" t="b">
        <v>0</v>
      </c>
    </row>
    <row r="1266" spans="1:12" ht="12.75">
      <c r="A1266" s="448">
        <v>45383.663295775463</v>
      </c>
      <c r="B1266" s="449">
        <v>45383</v>
      </c>
      <c r="C1266" s="36" t="s">
        <v>3388</v>
      </c>
      <c r="D1266" s="450">
        <v>0.8125</v>
      </c>
      <c r="E1266" s="36" t="s">
        <v>9266</v>
      </c>
      <c r="F1266" s="36" t="s">
        <v>9267</v>
      </c>
      <c r="G1266" s="36" t="s">
        <v>9265</v>
      </c>
      <c r="H1266" s="36" t="s">
        <v>1161</v>
      </c>
      <c r="I1266" s="36">
        <v>2</v>
      </c>
      <c r="J1266" s="36" t="s">
        <v>5895</v>
      </c>
      <c r="K1266" s="36" t="s">
        <v>6501</v>
      </c>
      <c r="L1266" s="36" t="b">
        <v>0</v>
      </c>
    </row>
    <row r="1267" spans="1:12" ht="12.75">
      <c r="A1267" s="448">
        <v>45383.880145254632</v>
      </c>
      <c r="B1267" s="449">
        <v>45383</v>
      </c>
      <c r="C1267" s="36" t="s">
        <v>3388</v>
      </c>
      <c r="D1267" s="450">
        <v>0.8125</v>
      </c>
      <c r="E1267" s="36" t="s">
        <v>8712</v>
      </c>
      <c r="F1267" s="36" t="s">
        <v>9268</v>
      </c>
      <c r="G1267" s="36" t="s">
        <v>8915</v>
      </c>
      <c r="H1267" s="36" t="s">
        <v>9269</v>
      </c>
      <c r="I1267" s="36">
        <v>1</v>
      </c>
      <c r="J1267" s="36" t="s">
        <v>5895</v>
      </c>
      <c r="K1267" s="36" t="s">
        <v>7973</v>
      </c>
      <c r="L1267" s="36" t="b">
        <v>0</v>
      </c>
    </row>
    <row r="1268" spans="1:12" ht="12.75">
      <c r="A1268" s="448">
        <v>45383.907961527773</v>
      </c>
      <c r="B1268" s="449">
        <v>45383</v>
      </c>
      <c r="C1268" s="36" t="s">
        <v>3388</v>
      </c>
      <c r="D1268" s="450">
        <v>0.79166666666424135</v>
      </c>
      <c r="E1268" s="36" t="s">
        <v>7774</v>
      </c>
      <c r="F1268" s="36" t="s">
        <v>9270</v>
      </c>
      <c r="G1268" s="36" t="s">
        <v>1322</v>
      </c>
      <c r="H1268" s="36" t="s">
        <v>2818</v>
      </c>
      <c r="I1268" s="36">
        <v>1</v>
      </c>
      <c r="J1268" s="36" t="s">
        <v>5895</v>
      </c>
      <c r="K1268" s="36" t="s">
        <v>9271</v>
      </c>
      <c r="L1268" s="36" t="b">
        <v>0</v>
      </c>
    </row>
    <row r="1269" spans="1:12" ht="12.75">
      <c r="A1269" s="448">
        <v>45383.909248495373</v>
      </c>
      <c r="B1269" s="449">
        <v>45383</v>
      </c>
      <c r="C1269" s="36" t="s">
        <v>3388</v>
      </c>
      <c r="D1269" s="450">
        <v>0.86111111110949423</v>
      </c>
      <c r="E1269" s="36" t="s">
        <v>9236</v>
      </c>
      <c r="F1269" s="36" t="s">
        <v>9272</v>
      </c>
      <c r="G1269" s="36" t="s">
        <v>1322</v>
      </c>
      <c r="H1269" s="36" t="s">
        <v>1907</v>
      </c>
      <c r="I1269" s="36">
        <v>2</v>
      </c>
      <c r="J1269" s="36" t="s">
        <v>5895</v>
      </c>
      <c r="K1269" s="36" t="s">
        <v>9271</v>
      </c>
      <c r="L1269" s="36" t="b">
        <v>0</v>
      </c>
    </row>
    <row r="1270" spans="1:12" ht="12.75">
      <c r="A1270" s="448">
        <v>45384.707327326389</v>
      </c>
      <c r="B1270" s="449">
        <v>45381</v>
      </c>
      <c r="C1270" s="36" t="s">
        <v>3388</v>
      </c>
      <c r="D1270" s="450">
        <v>0.48611111110949423</v>
      </c>
      <c r="E1270" s="36" t="s">
        <v>8012</v>
      </c>
      <c r="F1270" s="36" t="s">
        <v>9273</v>
      </c>
      <c r="G1270" s="36" t="s">
        <v>9274</v>
      </c>
      <c r="H1270" s="36" t="s">
        <v>517</v>
      </c>
      <c r="I1270" s="36">
        <v>1</v>
      </c>
      <c r="J1270" s="36" t="s">
        <v>5895</v>
      </c>
      <c r="K1270" s="36" t="s">
        <v>9275</v>
      </c>
      <c r="L1270" s="36" t="b">
        <v>0</v>
      </c>
    </row>
    <row r="1271" spans="1:12" ht="12.75">
      <c r="A1271" s="448">
        <v>45384.709128414353</v>
      </c>
      <c r="B1271" s="449">
        <v>45381</v>
      </c>
      <c r="C1271" s="36" t="s">
        <v>3388</v>
      </c>
      <c r="D1271" s="450">
        <v>0.5625</v>
      </c>
      <c r="E1271" s="36" t="s">
        <v>9276</v>
      </c>
      <c r="F1271" s="36" t="s">
        <v>9277</v>
      </c>
      <c r="G1271" s="36" t="s">
        <v>2010</v>
      </c>
      <c r="H1271" s="36" t="s">
        <v>517</v>
      </c>
      <c r="I1271" s="36">
        <v>3</v>
      </c>
      <c r="J1271" s="36" t="s">
        <v>5895</v>
      </c>
      <c r="K1271" s="36" t="s">
        <v>9278</v>
      </c>
      <c r="L1271" s="36" t="b">
        <v>0</v>
      </c>
    </row>
    <row r="1272" spans="1:12" ht="12.75">
      <c r="A1272" s="448">
        <v>45384.710871504634</v>
      </c>
      <c r="B1272" s="449">
        <v>45382</v>
      </c>
      <c r="C1272" s="36" t="s">
        <v>3388</v>
      </c>
      <c r="D1272" s="450">
        <v>0.41666666666424135</v>
      </c>
      <c r="E1272" s="36" t="s">
        <v>8405</v>
      </c>
      <c r="F1272" s="36" t="s">
        <v>9279</v>
      </c>
      <c r="G1272" s="36" t="s">
        <v>2010</v>
      </c>
      <c r="H1272" s="36" t="s">
        <v>984</v>
      </c>
      <c r="I1272" s="36">
        <v>4</v>
      </c>
      <c r="J1272" s="36" t="s">
        <v>5895</v>
      </c>
      <c r="K1272" s="36" t="s">
        <v>9275</v>
      </c>
      <c r="L1272" s="36" t="b">
        <v>0</v>
      </c>
    </row>
    <row r="1273" spans="1:12" ht="12.75">
      <c r="A1273" s="448">
        <v>45384.745013831023</v>
      </c>
      <c r="B1273" s="449">
        <v>45381</v>
      </c>
      <c r="C1273" s="36" t="s">
        <v>3388</v>
      </c>
      <c r="D1273" s="450">
        <v>0.75</v>
      </c>
      <c r="E1273" s="36" t="s">
        <v>9280</v>
      </c>
      <c r="F1273" s="36" t="s">
        <v>9281</v>
      </c>
      <c r="G1273" s="36" t="s">
        <v>9282</v>
      </c>
      <c r="H1273" s="36" t="s">
        <v>8149</v>
      </c>
      <c r="I1273" s="36">
        <v>1</v>
      </c>
      <c r="J1273" s="36" t="s">
        <v>5895</v>
      </c>
      <c r="K1273" s="36" t="s">
        <v>9283</v>
      </c>
      <c r="L1273" s="36" t="b">
        <v>0</v>
      </c>
    </row>
    <row r="1274" spans="1:12" ht="12.75">
      <c r="A1274" s="448">
        <v>45384.745981307875</v>
      </c>
      <c r="B1274" s="449">
        <v>45381</v>
      </c>
      <c r="C1274" s="36" t="s">
        <v>3388</v>
      </c>
      <c r="D1274" s="450">
        <v>0.79166666666424135</v>
      </c>
      <c r="E1274" s="36" t="s">
        <v>9284</v>
      </c>
      <c r="F1274" s="36" t="s">
        <v>9285</v>
      </c>
      <c r="G1274" s="36" t="s">
        <v>9282</v>
      </c>
      <c r="H1274" s="36" t="s">
        <v>7800</v>
      </c>
      <c r="I1274" s="36">
        <v>1</v>
      </c>
      <c r="J1274" s="36" t="s">
        <v>5895</v>
      </c>
      <c r="K1274" s="36" t="s">
        <v>9283</v>
      </c>
      <c r="L1274" s="36" t="b">
        <v>0</v>
      </c>
    </row>
    <row r="1275" spans="1:12" ht="12.75">
      <c r="A1275" s="448">
        <v>45385.497518495366</v>
      </c>
      <c r="B1275" s="449">
        <v>45385</v>
      </c>
      <c r="C1275" s="36" t="s">
        <v>3388</v>
      </c>
      <c r="D1275" s="450">
        <v>0.77083333333575865</v>
      </c>
      <c r="E1275" s="36" t="s">
        <v>9286</v>
      </c>
      <c r="F1275" s="36" t="s">
        <v>9287</v>
      </c>
      <c r="G1275" s="36" t="s">
        <v>969</v>
      </c>
      <c r="H1275" s="36" t="s">
        <v>7929</v>
      </c>
      <c r="I1275" s="36">
        <v>1</v>
      </c>
      <c r="J1275" s="36" t="s">
        <v>5895</v>
      </c>
      <c r="K1275" s="36" t="s">
        <v>6037</v>
      </c>
      <c r="L1275" s="36" t="b">
        <v>0</v>
      </c>
    </row>
    <row r="1276" spans="1:12" ht="12.75">
      <c r="A1276" s="448">
        <v>45386.5279896875</v>
      </c>
      <c r="B1276" s="449">
        <v>45386</v>
      </c>
      <c r="C1276" s="36" t="s">
        <v>3388</v>
      </c>
      <c r="D1276" s="450">
        <v>0.75</v>
      </c>
      <c r="E1276" s="36" t="s">
        <v>9288</v>
      </c>
      <c r="F1276" s="36" t="s">
        <v>9289</v>
      </c>
      <c r="G1276" s="36" t="s">
        <v>969</v>
      </c>
      <c r="H1276" s="36" t="s">
        <v>9290</v>
      </c>
      <c r="I1276" s="36">
        <v>2</v>
      </c>
      <c r="J1276" s="36" t="s">
        <v>5895</v>
      </c>
      <c r="K1276" s="36" t="s">
        <v>6210</v>
      </c>
      <c r="L1276" s="36" t="b">
        <v>0</v>
      </c>
    </row>
    <row r="1277" spans="1:12" ht="12.75">
      <c r="A1277" s="448">
        <v>45386.655476145832</v>
      </c>
      <c r="B1277" s="449">
        <v>45385</v>
      </c>
      <c r="C1277" s="36" t="s">
        <v>3388</v>
      </c>
      <c r="D1277" s="450">
        <v>0.75</v>
      </c>
      <c r="E1277" s="36" t="s">
        <v>8921</v>
      </c>
      <c r="F1277" s="36" t="s">
        <v>9291</v>
      </c>
      <c r="G1277" s="36" t="s">
        <v>9292</v>
      </c>
      <c r="H1277" s="36" t="s">
        <v>8851</v>
      </c>
      <c r="I1277" s="36">
        <v>1</v>
      </c>
      <c r="J1277" s="36" t="s">
        <v>5895</v>
      </c>
      <c r="K1277" s="36" t="s">
        <v>9293</v>
      </c>
      <c r="L1277" s="36" t="b">
        <v>0</v>
      </c>
    </row>
    <row r="1278" spans="1:12" ht="12.75">
      <c r="A1278" s="448">
        <v>45386.656671909717</v>
      </c>
      <c r="B1278" s="449">
        <v>45386</v>
      </c>
      <c r="C1278" s="36" t="s">
        <v>3388</v>
      </c>
      <c r="D1278" s="450">
        <v>0.70833333333575865</v>
      </c>
      <c r="E1278" s="36" t="s">
        <v>9294</v>
      </c>
      <c r="F1278" s="36" t="s">
        <v>9295</v>
      </c>
      <c r="G1278" s="36" t="s">
        <v>9296</v>
      </c>
      <c r="H1278" s="36" t="s">
        <v>7929</v>
      </c>
      <c r="I1278" s="36">
        <v>2</v>
      </c>
      <c r="J1278" s="36" t="s">
        <v>5895</v>
      </c>
      <c r="K1278" s="36" t="s">
        <v>9293</v>
      </c>
      <c r="L1278" s="36" t="b">
        <v>0</v>
      </c>
    </row>
    <row r="1279" spans="1:12" ht="12.75">
      <c r="A1279" s="448">
        <v>45386.755927800928</v>
      </c>
      <c r="B1279" s="449">
        <v>45386</v>
      </c>
      <c r="C1279" s="36" t="s">
        <v>3388</v>
      </c>
      <c r="D1279" s="450">
        <v>0.75</v>
      </c>
      <c r="E1279" s="36" t="s">
        <v>7450</v>
      </c>
      <c r="F1279" s="36" t="s">
        <v>9297</v>
      </c>
      <c r="G1279" s="36" t="s">
        <v>9163</v>
      </c>
      <c r="H1279" s="36" t="s">
        <v>2671</v>
      </c>
      <c r="I1279" s="36">
        <v>1</v>
      </c>
      <c r="J1279" s="36" t="s">
        <v>5895</v>
      </c>
      <c r="K1279" s="36" t="s">
        <v>9298</v>
      </c>
      <c r="L1279" s="36" t="b">
        <v>0</v>
      </c>
    </row>
    <row r="1280" spans="1:12" ht="12.75">
      <c r="A1280" s="448">
        <v>45386.797647500003</v>
      </c>
      <c r="B1280" s="449">
        <v>45386</v>
      </c>
      <c r="C1280" s="36" t="s">
        <v>3388</v>
      </c>
      <c r="D1280" s="450">
        <v>0.79166666666424135</v>
      </c>
      <c r="E1280" s="36" t="s">
        <v>8236</v>
      </c>
      <c r="F1280" s="36" t="s">
        <v>9299</v>
      </c>
      <c r="G1280" s="36" t="s">
        <v>1319</v>
      </c>
      <c r="H1280" s="36" t="s">
        <v>9300</v>
      </c>
      <c r="I1280" s="36">
        <v>1</v>
      </c>
      <c r="J1280" s="36" t="s">
        <v>5895</v>
      </c>
      <c r="K1280" s="36" t="s">
        <v>6359</v>
      </c>
      <c r="L1280" s="36" t="b">
        <v>0</v>
      </c>
    </row>
    <row r="1281" spans="1:12" ht="12.75">
      <c r="A1281" s="448">
        <v>45387.913279166663</v>
      </c>
      <c r="B1281" s="449">
        <v>45387</v>
      </c>
      <c r="C1281" s="36" t="s">
        <v>3388</v>
      </c>
      <c r="D1281" s="450">
        <v>0.75</v>
      </c>
      <c r="E1281" s="36" t="s">
        <v>9301</v>
      </c>
      <c r="F1281" s="36" t="s">
        <v>9302</v>
      </c>
      <c r="G1281" s="36" t="s">
        <v>1248</v>
      </c>
      <c r="H1281" s="36" t="s">
        <v>1031</v>
      </c>
      <c r="I1281" s="36">
        <v>1</v>
      </c>
      <c r="J1281" s="36" t="s">
        <v>5895</v>
      </c>
      <c r="K1281" s="36" t="s">
        <v>9303</v>
      </c>
      <c r="L1281" s="36" t="b">
        <v>0</v>
      </c>
    </row>
    <row r="1282" spans="1:12" ht="12.75">
      <c r="A1282" s="448">
        <v>45389.668980601855</v>
      </c>
      <c r="B1282" s="449">
        <v>45388</v>
      </c>
      <c r="C1282" s="36" t="s">
        <v>3388</v>
      </c>
      <c r="D1282" s="450">
        <v>0.5</v>
      </c>
      <c r="E1282" s="36" t="s">
        <v>7751</v>
      </c>
      <c r="F1282" s="36" t="s">
        <v>9304</v>
      </c>
      <c r="G1282" s="36" t="s">
        <v>1158</v>
      </c>
      <c r="H1282" s="36" t="s">
        <v>8539</v>
      </c>
      <c r="I1282" s="36">
        <v>1</v>
      </c>
      <c r="J1282" s="36" t="s">
        <v>5895</v>
      </c>
      <c r="K1282" s="36" t="s">
        <v>9305</v>
      </c>
      <c r="L1282" s="36" t="b">
        <v>0</v>
      </c>
    </row>
    <row r="1283" spans="1:12" ht="12.75">
      <c r="A1283" s="448">
        <v>45389.670410046296</v>
      </c>
      <c r="B1283" s="449">
        <v>45388</v>
      </c>
      <c r="C1283" s="36" t="s">
        <v>3388</v>
      </c>
      <c r="D1283" s="450">
        <v>0.56597222221898846</v>
      </c>
      <c r="E1283" s="36" t="s">
        <v>8131</v>
      </c>
      <c r="F1283" s="36" t="s">
        <v>9306</v>
      </c>
      <c r="G1283" s="36" t="s">
        <v>1158</v>
      </c>
      <c r="H1283" s="36" t="s">
        <v>7576</v>
      </c>
      <c r="I1283" s="36">
        <v>2</v>
      </c>
      <c r="J1283" s="36" t="s">
        <v>5895</v>
      </c>
      <c r="K1283" s="36" t="s">
        <v>9305</v>
      </c>
      <c r="L1283" s="36" t="b">
        <v>0</v>
      </c>
    </row>
    <row r="1284" spans="1:12" ht="12.75">
      <c r="A1284" s="448">
        <v>45389.6762121875</v>
      </c>
      <c r="B1284" s="449">
        <v>45388</v>
      </c>
      <c r="C1284" s="36" t="s">
        <v>3388</v>
      </c>
      <c r="D1284" s="450">
        <v>0.66666666666424135</v>
      </c>
      <c r="E1284" s="36" t="s">
        <v>8641</v>
      </c>
      <c r="F1284" s="36" t="s">
        <v>9307</v>
      </c>
      <c r="G1284" s="36" t="s">
        <v>1158</v>
      </c>
      <c r="H1284" s="36" t="s">
        <v>8123</v>
      </c>
      <c r="I1284" s="36">
        <v>3</v>
      </c>
      <c r="J1284" s="36" t="s">
        <v>5895</v>
      </c>
      <c r="K1284" s="36" t="s">
        <v>9305</v>
      </c>
      <c r="L1284" s="36" t="b">
        <v>0</v>
      </c>
    </row>
    <row r="1285" spans="1:12" ht="12.75">
      <c r="A1285" s="448">
        <v>45389.784063171297</v>
      </c>
      <c r="B1285" s="449">
        <v>45389</v>
      </c>
      <c r="C1285" s="36" t="s">
        <v>3383</v>
      </c>
      <c r="D1285" s="450">
        <v>0.79166666666424135</v>
      </c>
      <c r="E1285" s="36" t="s">
        <v>9308</v>
      </c>
      <c r="F1285" s="36" t="s">
        <v>9309</v>
      </c>
      <c r="G1285" s="36" t="s">
        <v>2342</v>
      </c>
      <c r="H1285" s="36" t="s">
        <v>8898</v>
      </c>
      <c r="I1285" s="36">
        <v>1</v>
      </c>
      <c r="J1285" s="36" t="s">
        <v>5895</v>
      </c>
      <c r="K1285" s="36" t="s">
        <v>9310</v>
      </c>
      <c r="L1285" s="36" t="b">
        <v>0</v>
      </c>
    </row>
    <row r="1286" spans="1:12" ht="12.75">
      <c r="A1286" s="448">
        <v>45389.78464377315</v>
      </c>
      <c r="B1286" s="449">
        <v>45389</v>
      </c>
      <c r="C1286" s="36" t="s">
        <v>3383</v>
      </c>
      <c r="D1286" s="450">
        <v>0.79166666666424135</v>
      </c>
      <c r="E1286" s="36" t="s">
        <v>9308</v>
      </c>
      <c r="F1286" s="36" t="s">
        <v>9311</v>
      </c>
      <c r="G1286" s="36" t="s">
        <v>8585</v>
      </c>
      <c r="H1286" s="36" t="s">
        <v>9312</v>
      </c>
      <c r="I1286" s="36">
        <v>1</v>
      </c>
      <c r="J1286" s="36" t="s">
        <v>5895</v>
      </c>
      <c r="K1286" s="36" t="s">
        <v>9313</v>
      </c>
      <c r="L1286" s="36" t="b">
        <v>0</v>
      </c>
    </row>
    <row r="1287" spans="1:12" ht="12.75">
      <c r="A1287" s="448">
        <v>45389.860936412035</v>
      </c>
      <c r="B1287" s="449">
        <v>45389</v>
      </c>
      <c r="C1287" s="36" t="s">
        <v>3383</v>
      </c>
      <c r="D1287" s="450">
        <v>0.41666666666424135</v>
      </c>
      <c r="E1287" s="36" t="s">
        <v>6468</v>
      </c>
      <c r="F1287" s="36" t="s">
        <v>9314</v>
      </c>
      <c r="G1287" s="36" t="s">
        <v>708</v>
      </c>
      <c r="H1287" s="36" t="s">
        <v>9315</v>
      </c>
      <c r="I1287" s="36">
        <v>3</v>
      </c>
      <c r="J1287" s="36" t="s">
        <v>5895</v>
      </c>
      <c r="K1287" s="36" t="s">
        <v>9316</v>
      </c>
      <c r="L1287" s="36" t="b">
        <v>0</v>
      </c>
    </row>
    <row r="1288" spans="1:12" ht="12.75">
      <c r="A1288" s="448">
        <v>45390.509585023145</v>
      </c>
      <c r="B1288" s="449">
        <v>45390</v>
      </c>
      <c r="C1288" s="36" t="s">
        <v>3388</v>
      </c>
      <c r="D1288" s="450">
        <v>0.75</v>
      </c>
      <c r="E1288" s="36" t="s">
        <v>9317</v>
      </c>
      <c r="F1288" s="36" t="s">
        <v>9318</v>
      </c>
      <c r="G1288" s="36" t="s">
        <v>2674</v>
      </c>
      <c r="H1288" s="36" t="s">
        <v>1113</v>
      </c>
      <c r="I1288" s="36">
        <v>1</v>
      </c>
      <c r="J1288" s="36" t="s">
        <v>5895</v>
      </c>
      <c r="K1288" s="36" t="s">
        <v>9319</v>
      </c>
      <c r="L1288" s="36" t="b">
        <v>0</v>
      </c>
    </row>
    <row r="1289" spans="1:12" ht="12.75">
      <c r="A1289" s="448">
        <v>45390.616001562499</v>
      </c>
      <c r="B1289" s="449">
        <v>45389</v>
      </c>
      <c r="C1289" s="36" t="s">
        <v>3388</v>
      </c>
      <c r="D1289" s="450">
        <v>0.79166666666424135</v>
      </c>
      <c r="E1289" s="36" t="s">
        <v>8544</v>
      </c>
      <c r="F1289" s="36" t="s">
        <v>9320</v>
      </c>
      <c r="G1289" s="36" t="s">
        <v>1128</v>
      </c>
      <c r="H1289" s="36" t="s">
        <v>2497</v>
      </c>
      <c r="I1289" s="36">
        <v>1</v>
      </c>
      <c r="J1289" s="36" t="s">
        <v>5895</v>
      </c>
      <c r="K1289" s="36" t="s">
        <v>6122</v>
      </c>
      <c r="L1289" s="36" t="b">
        <v>0</v>
      </c>
    </row>
    <row r="1290" spans="1:12" ht="12.75">
      <c r="A1290" s="448">
        <v>45390.871089733795</v>
      </c>
      <c r="B1290" s="449">
        <v>45390</v>
      </c>
      <c r="C1290" s="36" t="s">
        <v>3388</v>
      </c>
      <c r="D1290" s="450">
        <v>0.8125</v>
      </c>
      <c r="E1290" s="36" t="s">
        <v>9321</v>
      </c>
      <c r="F1290" s="36" t="s">
        <v>9322</v>
      </c>
      <c r="G1290" s="36" t="s">
        <v>2396</v>
      </c>
      <c r="H1290" s="36" t="s">
        <v>9323</v>
      </c>
      <c r="I1290" s="36">
        <v>1</v>
      </c>
      <c r="J1290" s="36" t="s">
        <v>5895</v>
      </c>
      <c r="K1290" s="36" t="s">
        <v>8290</v>
      </c>
      <c r="L1290" s="36" t="b">
        <v>0</v>
      </c>
    </row>
    <row r="1291" spans="1:12" ht="12.75">
      <c r="A1291" s="448">
        <v>45390.87630236111</v>
      </c>
      <c r="B1291" s="449">
        <v>45024</v>
      </c>
      <c r="C1291" s="36" t="s">
        <v>3383</v>
      </c>
      <c r="D1291" s="450">
        <v>0.8125</v>
      </c>
      <c r="E1291" s="36" t="s">
        <v>9324</v>
      </c>
      <c r="F1291" s="36" t="s">
        <v>9325</v>
      </c>
      <c r="G1291" s="36" t="s">
        <v>498</v>
      </c>
      <c r="H1291" s="36" t="s">
        <v>9326</v>
      </c>
      <c r="I1291" s="36">
        <v>1</v>
      </c>
      <c r="J1291" s="36" t="s">
        <v>5895</v>
      </c>
      <c r="K1291" s="36" t="s">
        <v>6989</v>
      </c>
      <c r="L1291" s="36" t="b">
        <v>0</v>
      </c>
    </row>
    <row r="1292" spans="1:12" ht="12.75">
      <c r="A1292" s="448">
        <v>45391.409942407408</v>
      </c>
      <c r="B1292" s="449">
        <v>45385</v>
      </c>
      <c r="C1292" s="36" t="s">
        <v>3388</v>
      </c>
      <c r="D1292" s="450">
        <v>0.75</v>
      </c>
      <c r="E1292" s="36" t="s">
        <v>8622</v>
      </c>
      <c r="F1292" s="36" t="s">
        <v>9327</v>
      </c>
      <c r="G1292" s="36" t="s">
        <v>2129</v>
      </c>
      <c r="H1292" s="36" t="s">
        <v>9105</v>
      </c>
      <c r="I1292" s="36">
        <v>1</v>
      </c>
      <c r="J1292" s="36" t="s">
        <v>5895</v>
      </c>
      <c r="K1292" s="36" t="s">
        <v>9328</v>
      </c>
      <c r="L1292" s="36" t="b">
        <v>0</v>
      </c>
    </row>
    <row r="1293" spans="1:12" ht="12.75">
      <c r="A1293" s="448">
        <v>45391.818002662039</v>
      </c>
      <c r="B1293" s="449">
        <v>45391</v>
      </c>
      <c r="C1293" s="36" t="s">
        <v>3388</v>
      </c>
      <c r="D1293" s="450">
        <v>0.6875</v>
      </c>
      <c r="E1293" s="36" t="s">
        <v>9329</v>
      </c>
      <c r="F1293" s="36" t="s">
        <v>9330</v>
      </c>
      <c r="G1293" s="36" t="s">
        <v>7613</v>
      </c>
      <c r="H1293" s="36" t="s">
        <v>8149</v>
      </c>
      <c r="I1293" s="36">
        <v>4</v>
      </c>
      <c r="J1293" s="36" t="s">
        <v>5895</v>
      </c>
      <c r="K1293" s="36" t="s">
        <v>9331</v>
      </c>
      <c r="L1293" s="36" t="b">
        <v>0</v>
      </c>
    </row>
    <row r="1294" spans="1:12" ht="12.75">
      <c r="A1294" s="448">
        <v>45391.994699907409</v>
      </c>
      <c r="B1294" s="449">
        <v>45393</v>
      </c>
      <c r="C1294" s="36" t="s">
        <v>3388</v>
      </c>
      <c r="D1294" s="450">
        <v>0.75</v>
      </c>
      <c r="E1294" s="36" t="s">
        <v>7450</v>
      </c>
      <c r="F1294" s="36" t="s">
        <v>9332</v>
      </c>
      <c r="G1294" s="36" t="s">
        <v>1169</v>
      </c>
      <c r="H1294" s="36" t="s">
        <v>6543</v>
      </c>
      <c r="I1294" s="36">
        <v>2</v>
      </c>
      <c r="J1294" s="36" t="s">
        <v>5895</v>
      </c>
      <c r="K1294" s="36" t="s">
        <v>9333</v>
      </c>
      <c r="L1294" s="36" t="b">
        <v>0</v>
      </c>
    </row>
    <row r="1295" spans="1:12" ht="12.75">
      <c r="A1295" s="448">
        <v>45391.99557431713</v>
      </c>
      <c r="B1295" s="449">
        <v>45400</v>
      </c>
      <c r="C1295" s="36" t="s">
        <v>3388</v>
      </c>
      <c r="D1295" s="450">
        <v>0.75</v>
      </c>
      <c r="E1295" s="36" t="s">
        <v>7450</v>
      </c>
      <c r="F1295" s="36" t="s">
        <v>9334</v>
      </c>
      <c r="G1295" s="36" t="s">
        <v>1169</v>
      </c>
      <c r="H1295" s="36" t="s">
        <v>7047</v>
      </c>
      <c r="I1295" s="36">
        <v>3</v>
      </c>
      <c r="J1295" s="36" t="s">
        <v>5895</v>
      </c>
      <c r="K1295" s="36" t="s">
        <v>9333</v>
      </c>
      <c r="L1295" s="36" t="b">
        <v>0</v>
      </c>
    </row>
    <row r="1296" spans="1:12" ht="12.75">
      <c r="A1296" s="448">
        <v>45392.466101574071</v>
      </c>
      <c r="B1296" s="449">
        <v>45392</v>
      </c>
      <c r="C1296" s="36" t="s">
        <v>12</v>
      </c>
      <c r="D1296" s="450">
        <v>0.75</v>
      </c>
      <c r="E1296" s="36" t="s">
        <v>9335</v>
      </c>
      <c r="F1296" s="36" t="s">
        <v>9336</v>
      </c>
      <c r="G1296" s="36" t="s">
        <v>456</v>
      </c>
      <c r="H1296" s="36" t="s">
        <v>9337</v>
      </c>
      <c r="I1296" s="36">
        <v>1</v>
      </c>
      <c r="J1296" s="36" t="s">
        <v>5895</v>
      </c>
      <c r="K1296" s="36" t="s">
        <v>9338</v>
      </c>
      <c r="L1296" s="36" t="b">
        <v>0</v>
      </c>
    </row>
    <row r="1297" spans="1:12" ht="12.75">
      <c r="A1297" s="448">
        <v>45392.537765416666</v>
      </c>
      <c r="B1297" s="449">
        <v>45393</v>
      </c>
      <c r="C1297" s="36" t="s">
        <v>3383</v>
      </c>
      <c r="D1297" s="450">
        <v>0.75</v>
      </c>
      <c r="E1297" s="36" t="s">
        <v>9339</v>
      </c>
      <c r="F1297" s="36" t="s">
        <v>9340</v>
      </c>
      <c r="G1297" s="36" t="s">
        <v>9341</v>
      </c>
      <c r="H1297" s="36" t="s">
        <v>9078</v>
      </c>
      <c r="I1297" s="36">
        <v>1</v>
      </c>
      <c r="J1297" s="36" t="s">
        <v>5895</v>
      </c>
      <c r="K1297" s="36" t="s">
        <v>6210</v>
      </c>
      <c r="L1297" s="36" t="b">
        <v>0</v>
      </c>
    </row>
    <row r="1298" spans="1:12" ht="12.75">
      <c r="A1298" s="448">
        <v>45393.611897465278</v>
      </c>
      <c r="B1298" s="449">
        <v>45393</v>
      </c>
      <c r="C1298" s="36" t="s">
        <v>3383</v>
      </c>
      <c r="D1298" s="450">
        <v>0.79166666666424135</v>
      </c>
      <c r="E1298" s="36" t="s">
        <v>9342</v>
      </c>
      <c r="F1298" s="36" t="s">
        <v>9343</v>
      </c>
      <c r="G1298" s="36" t="s">
        <v>2475</v>
      </c>
      <c r="H1298" s="36" t="s">
        <v>8831</v>
      </c>
      <c r="I1298" s="36">
        <v>1</v>
      </c>
      <c r="J1298" s="36" t="s">
        <v>5895</v>
      </c>
      <c r="K1298" s="36" t="s">
        <v>9344</v>
      </c>
      <c r="L1298" s="36" t="b">
        <v>0</v>
      </c>
    </row>
    <row r="1299" spans="1:12" ht="12.75">
      <c r="A1299" s="448">
        <v>45393.659031145835</v>
      </c>
      <c r="B1299" s="449">
        <v>45393</v>
      </c>
      <c r="C1299" s="36" t="s">
        <v>3383</v>
      </c>
      <c r="D1299" s="450">
        <v>0.75</v>
      </c>
      <c r="E1299" s="36" t="s">
        <v>9345</v>
      </c>
      <c r="F1299" s="36" t="s">
        <v>9346</v>
      </c>
      <c r="G1299" s="36" t="s">
        <v>9347</v>
      </c>
      <c r="H1299" s="36" t="s">
        <v>9348</v>
      </c>
      <c r="I1299" s="36">
        <v>1</v>
      </c>
      <c r="J1299" s="36" t="s">
        <v>5895</v>
      </c>
      <c r="K1299" s="36" t="s">
        <v>9349</v>
      </c>
      <c r="L1299" s="36" t="b">
        <v>0</v>
      </c>
    </row>
    <row r="1300" spans="1:12" ht="12.75">
      <c r="A1300" s="448">
        <v>45396.400727384258</v>
      </c>
      <c r="B1300" s="449">
        <v>45396</v>
      </c>
      <c r="C1300" s="36" t="s">
        <v>3388</v>
      </c>
      <c r="D1300" s="450">
        <v>0.79166666666424135</v>
      </c>
      <c r="E1300" s="36" t="s">
        <v>8916</v>
      </c>
      <c r="F1300" s="36" t="s">
        <v>9350</v>
      </c>
      <c r="G1300" s="36" t="s">
        <v>725</v>
      </c>
      <c r="H1300" s="36" t="s">
        <v>2432</v>
      </c>
      <c r="I1300" s="36">
        <v>1</v>
      </c>
      <c r="J1300" s="36" t="s">
        <v>5895</v>
      </c>
      <c r="K1300" s="36" t="s">
        <v>6255</v>
      </c>
      <c r="L1300" s="36" t="b">
        <v>0</v>
      </c>
    </row>
    <row r="1301" spans="1:12" ht="12.75">
      <c r="A1301" s="448">
        <v>45396.755845300926</v>
      </c>
      <c r="B1301" s="449">
        <v>45395</v>
      </c>
      <c r="C1301" s="36" t="s">
        <v>8534</v>
      </c>
      <c r="D1301" s="450">
        <v>0.66666666666424135</v>
      </c>
      <c r="E1301" s="36" t="s">
        <v>9351</v>
      </c>
      <c r="F1301" s="36" t="s">
        <v>9352</v>
      </c>
      <c r="G1301" s="36" t="s">
        <v>9353</v>
      </c>
      <c r="H1301" s="36" t="s">
        <v>9028</v>
      </c>
      <c r="I1301" s="36">
        <v>1</v>
      </c>
      <c r="J1301" s="36" t="s">
        <v>5895</v>
      </c>
      <c r="K1301" s="36" t="s">
        <v>9354</v>
      </c>
      <c r="L1301" s="36" t="b">
        <v>0</v>
      </c>
    </row>
    <row r="1302" spans="1:12" ht="12.75">
      <c r="A1302" s="448">
        <v>45396.784320856481</v>
      </c>
      <c r="B1302" s="449">
        <v>45395</v>
      </c>
      <c r="C1302" s="36" t="s">
        <v>3388</v>
      </c>
      <c r="D1302" s="450">
        <v>0.47916666666424135</v>
      </c>
      <c r="E1302" s="36" t="s">
        <v>9355</v>
      </c>
      <c r="F1302" s="36" t="s">
        <v>9356</v>
      </c>
      <c r="G1302" s="36" t="s">
        <v>2115</v>
      </c>
      <c r="H1302" s="36" t="s">
        <v>8149</v>
      </c>
      <c r="I1302" s="36">
        <v>1</v>
      </c>
      <c r="J1302" s="36" t="s">
        <v>5895</v>
      </c>
      <c r="K1302" s="36" t="s">
        <v>9357</v>
      </c>
      <c r="L1302" s="36" t="b">
        <v>0</v>
      </c>
    </row>
    <row r="1303" spans="1:12" ht="12.75">
      <c r="A1303" s="448">
        <v>45396.798891261569</v>
      </c>
      <c r="B1303" s="449">
        <v>45398</v>
      </c>
      <c r="C1303" s="36" t="s">
        <v>3383</v>
      </c>
      <c r="D1303" s="450">
        <v>0.79166666666424135</v>
      </c>
      <c r="E1303" s="36" t="s">
        <v>9358</v>
      </c>
      <c r="F1303" s="36" t="s">
        <v>9359</v>
      </c>
      <c r="G1303" s="36" t="s">
        <v>2304</v>
      </c>
      <c r="H1303" s="36" t="s">
        <v>2509</v>
      </c>
      <c r="I1303" s="36">
        <v>1</v>
      </c>
      <c r="J1303" s="36" t="s">
        <v>5895</v>
      </c>
      <c r="K1303" s="36" t="s">
        <v>6571</v>
      </c>
      <c r="L1303" s="36" t="b">
        <v>0</v>
      </c>
    </row>
    <row r="1304" spans="1:12" ht="12.75">
      <c r="A1304" s="448">
        <v>45397.42555349537</v>
      </c>
      <c r="B1304" s="449">
        <v>45394</v>
      </c>
      <c r="C1304" s="36" t="s">
        <v>3383</v>
      </c>
      <c r="D1304" s="450">
        <v>0.75</v>
      </c>
      <c r="E1304" s="36" t="s">
        <v>9360</v>
      </c>
      <c r="F1304" s="36" t="s">
        <v>9361</v>
      </c>
      <c r="G1304" s="36" t="s">
        <v>6537</v>
      </c>
      <c r="H1304" s="36" t="s">
        <v>8882</v>
      </c>
      <c r="I1304" s="36">
        <v>2</v>
      </c>
      <c r="J1304" s="36" t="s">
        <v>5895</v>
      </c>
      <c r="K1304" s="36" t="s">
        <v>8504</v>
      </c>
      <c r="L1304" s="36" t="b">
        <v>0</v>
      </c>
    </row>
    <row r="1305" spans="1:12" ht="12.75">
      <c r="A1305" s="448">
        <v>45397.427898055554</v>
      </c>
      <c r="B1305" s="449">
        <v>45395</v>
      </c>
      <c r="C1305" s="36" t="s">
        <v>3383</v>
      </c>
      <c r="D1305" s="450">
        <v>0.41666666666424135</v>
      </c>
      <c r="E1305" s="36" t="s">
        <v>7146</v>
      </c>
      <c r="F1305" s="36" t="s">
        <v>9362</v>
      </c>
      <c r="G1305" s="36" t="s">
        <v>6537</v>
      </c>
      <c r="H1305" s="36" t="s">
        <v>8509</v>
      </c>
      <c r="I1305" s="36">
        <v>3</v>
      </c>
      <c r="J1305" s="36" t="s">
        <v>5895</v>
      </c>
      <c r="K1305" s="36" t="s">
        <v>6996</v>
      </c>
      <c r="L1305" s="36" t="b">
        <v>0</v>
      </c>
    </row>
    <row r="1306" spans="1:12" ht="12.75">
      <c r="A1306" s="448">
        <v>45397.430957256947</v>
      </c>
      <c r="B1306" s="449">
        <v>45395</v>
      </c>
      <c r="C1306" s="36" t="s">
        <v>3383</v>
      </c>
      <c r="D1306" s="450">
        <v>0.5</v>
      </c>
      <c r="E1306" s="36" t="s">
        <v>8375</v>
      </c>
      <c r="F1306" s="36" t="s">
        <v>9363</v>
      </c>
      <c r="G1306" s="36" t="s">
        <v>6537</v>
      </c>
      <c r="H1306" s="36" t="s">
        <v>9364</v>
      </c>
      <c r="I1306" s="36">
        <v>4</v>
      </c>
      <c r="J1306" s="36" t="s">
        <v>5895</v>
      </c>
      <c r="K1306" s="36" t="s">
        <v>6996</v>
      </c>
      <c r="L1306" s="36" t="b">
        <v>0</v>
      </c>
    </row>
    <row r="1307" spans="1:12" ht="12.75">
      <c r="A1307" s="448">
        <v>45397.433275208328</v>
      </c>
      <c r="B1307" s="449">
        <v>45396</v>
      </c>
      <c r="C1307" s="36" t="s">
        <v>3383</v>
      </c>
      <c r="D1307" s="450">
        <v>0.41666666666424135</v>
      </c>
      <c r="E1307" s="36" t="s">
        <v>8532</v>
      </c>
      <c r="F1307" s="36" t="s">
        <v>9365</v>
      </c>
      <c r="G1307" s="36" t="s">
        <v>6537</v>
      </c>
      <c r="H1307" s="36" t="s">
        <v>6977</v>
      </c>
      <c r="I1307" s="36">
        <v>5</v>
      </c>
      <c r="J1307" s="36" t="s">
        <v>5895</v>
      </c>
      <c r="K1307" s="36" t="s">
        <v>6996</v>
      </c>
      <c r="L1307" s="36" t="b">
        <v>0</v>
      </c>
    </row>
    <row r="1308" spans="1:12" ht="12.75">
      <c r="A1308" s="448">
        <v>45397.437802708329</v>
      </c>
      <c r="B1308" s="449">
        <v>45397</v>
      </c>
      <c r="C1308" s="36" t="s">
        <v>3383</v>
      </c>
      <c r="D1308" s="450">
        <v>0.8125</v>
      </c>
      <c r="E1308" s="36" t="s">
        <v>8502</v>
      </c>
      <c r="F1308" s="36" t="s">
        <v>9366</v>
      </c>
      <c r="G1308" s="36" t="s">
        <v>6537</v>
      </c>
      <c r="H1308" s="36" t="s">
        <v>9367</v>
      </c>
      <c r="I1308" s="36">
        <v>6</v>
      </c>
      <c r="J1308" s="36" t="s">
        <v>5895</v>
      </c>
      <c r="K1308" s="36" t="s">
        <v>6996</v>
      </c>
      <c r="L1308" s="36" t="b">
        <v>0</v>
      </c>
    </row>
    <row r="1309" spans="1:12" ht="12.75">
      <c r="A1309" s="448">
        <v>45397.442168240741</v>
      </c>
      <c r="B1309" s="449">
        <v>45398</v>
      </c>
      <c r="C1309" s="36" t="s">
        <v>3383</v>
      </c>
      <c r="D1309" s="450">
        <v>0.6875</v>
      </c>
      <c r="E1309" s="36" t="s">
        <v>9368</v>
      </c>
      <c r="F1309" s="36" t="s">
        <v>9369</v>
      </c>
      <c r="G1309" s="36" t="s">
        <v>6537</v>
      </c>
      <c r="H1309" s="36" t="s">
        <v>8934</v>
      </c>
      <c r="I1309" s="36">
        <v>7</v>
      </c>
      <c r="J1309" s="36" t="s">
        <v>5895</v>
      </c>
      <c r="K1309" s="36" t="s">
        <v>6996</v>
      </c>
      <c r="L1309" s="36" t="b">
        <v>0</v>
      </c>
    </row>
    <row r="1310" spans="1:12" ht="12.75">
      <c r="A1310" s="448">
        <v>45397.453745162042</v>
      </c>
      <c r="B1310" s="449">
        <v>45393</v>
      </c>
      <c r="C1310" s="36" t="s">
        <v>3388</v>
      </c>
      <c r="D1310" s="450">
        <v>0.375</v>
      </c>
      <c r="E1310" s="36" t="s">
        <v>9370</v>
      </c>
      <c r="F1310" s="36" t="s">
        <v>9371</v>
      </c>
      <c r="G1310" s="36" t="s">
        <v>2010</v>
      </c>
      <c r="H1310" s="36" t="s">
        <v>1452</v>
      </c>
      <c r="I1310" s="36">
        <v>1</v>
      </c>
      <c r="J1310" s="36" t="s">
        <v>5895</v>
      </c>
      <c r="K1310" s="36" t="s">
        <v>9372</v>
      </c>
      <c r="L1310" s="36" t="b">
        <v>0</v>
      </c>
    </row>
    <row r="1311" spans="1:12" ht="12.75">
      <c r="A1311" s="448">
        <v>45397.454637731484</v>
      </c>
      <c r="B1311" s="449">
        <v>45394</v>
      </c>
      <c r="C1311" s="36" t="s">
        <v>3388</v>
      </c>
      <c r="D1311" s="450">
        <v>0.75</v>
      </c>
      <c r="E1311" s="36" t="s">
        <v>9202</v>
      </c>
      <c r="F1311" s="36" t="s">
        <v>9373</v>
      </c>
      <c r="G1311" s="36" t="s">
        <v>2010</v>
      </c>
      <c r="H1311" s="36" t="s">
        <v>1452</v>
      </c>
      <c r="I1311" s="36">
        <v>2</v>
      </c>
      <c r="J1311" s="36" t="s">
        <v>5895</v>
      </c>
      <c r="K1311" s="36" t="s">
        <v>9372</v>
      </c>
      <c r="L1311" s="36" t="b">
        <v>0</v>
      </c>
    </row>
    <row r="1312" spans="1:12" ht="12.75">
      <c r="A1312" s="448">
        <v>45397.455744710649</v>
      </c>
      <c r="B1312" s="449">
        <v>45395</v>
      </c>
      <c r="C1312" s="36" t="s">
        <v>3388</v>
      </c>
      <c r="D1312" s="450">
        <v>0.48611111110949423</v>
      </c>
      <c r="E1312" s="36" t="s">
        <v>9374</v>
      </c>
      <c r="F1312" s="36" t="s">
        <v>9375</v>
      </c>
      <c r="G1312" s="36" t="s">
        <v>2010</v>
      </c>
      <c r="H1312" s="36" t="s">
        <v>517</v>
      </c>
      <c r="I1312" s="36">
        <v>3</v>
      </c>
      <c r="J1312" s="36" t="s">
        <v>5895</v>
      </c>
      <c r="K1312" s="36" t="s">
        <v>9372</v>
      </c>
      <c r="L1312" s="36" t="b">
        <v>0</v>
      </c>
    </row>
    <row r="1313" spans="1:12" ht="12.75">
      <c r="A1313" s="448">
        <v>45397.45670289352</v>
      </c>
      <c r="B1313" s="449">
        <v>45395</v>
      </c>
      <c r="C1313" s="36" t="s">
        <v>3388</v>
      </c>
      <c r="D1313" s="450">
        <v>0.5625</v>
      </c>
      <c r="E1313" s="36" t="s">
        <v>9376</v>
      </c>
      <c r="F1313" s="36" t="s">
        <v>9377</v>
      </c>
      <c r="G1313" s="36" t="s">
        <v>2010</v>
      </c>
      <c r="H1313" s="36" t="s">
        <v>517</v>
      </c>
      <c r="I1313" s="36">
        <v>4</v>
      </c>
      <c r="J1313" s="36" t="s">
        <v>5895</v>
      </c>
      <c r="K1313" s="36" t="s">
        <v>9372</v>
      </c>
      <c r="L1313" s="36" t="b">
        <v>0</v>
      </c>
    </row>
    <row r="1314" spans="1:12" ht="12.75">
      <c r="A1314" s="448">
        <v>45397.457747499997</v>
      </c>
      <c r="B1314" s="449">
        <v>45396</v>
      </c>
      <c r="C1314" s="36" t="s">
        <v>3388</v>
      </c>
      <c r="D1314" s="450">
        <v>0.41666666666424135</v>
      </c>
      <c r="E1314" s="36" t="s">
        <v>8405</v>
      </c>
      <c r="F1314" s="36" t="s">
        <v>9378</v>
      </c>
      <c r="G1314" s="36" t="s">
        <v>2010</v>
      </c>
      <c r="H1314" s="36" t="s">
        <v>1113</v>
      </c>
      <c r="I1314" s="36">
        <v>5</v>
      </c>
      <c r="J1314" s="36" t="s">
        <v>5895</v>
      </c>
      <c r="K1314" s="36" t="s">
        <v>9372</v>
      </c>
      <c r="L1314" s="36" t="b">
        <v>0</v>
      </c>
    </row>
    <row r="1315" spans="1:12" ht="12.75">
      <c r="A1315" s="448">
        <v>45397.458792534722</v>
      </c>
      <c r="B1315" s="449">
        <v>45396</v>
      </c>
      <c r="C1315" s="36" t="s">
        <v>3388</v>
      </c>
      <c r="D1315" s="450">
        <v>0.45833333333575865</v>
      </c>
      <c r="E1315" s="36" t="s">
        <v>9379</v>
      </c>
      <c r="F1315" s="36" t="s">
        <v>9380</v>
      </c>
      <c r="G1315" s="36" t="s">
        <v>2010</v>
      </c>
      <c r="H1315" s="36" t="s">
        <v>1113</v>
      </c>
      <c r="I1315" s="36">
        <v>6</v>
      </c>
      <c r="J1315" s="36" t="s">
        <v>5895</v>
      </c>
      <c r="K1315" s="36" t="s">
        <v>9372</v>
      </c>
      <c r="L1315" s="36" t="b">
        <v>0</v>
      </c>
    </row>
    <row r="1316" spans="1:12" ht="12.75">
      <c r="A1316" s="448">
        <v>45397.630341111115</v>
      </c>
      <c r="B1316" s="449">
        <v>45398</v>
      </c>
      <c r="C1316" s="36" t="s">
        <v>3383</v>
      </c>
      <c r="D1316" s="450">
        <v>0.75</v>
      </c>
      <c r="E1316" s="36" t="s">
        <v>9381</v>
      </c>
      <c r="F1316" s="36" t="s">
        <v>9382</v>
      </c>
      <c r="G1316" s="36" t="s">
        <v>6537</v>
      </c>
      <c r="H1316" s="36" t="s">
        <v>9383</v>
      </c>
      <c r="I1316" s="36">
        <v>8</v>
      </c>
      <c r="J1316" s="36" t="s">
        <v>5895</v>
      </c>
      <c r="K1316" s="36" t="s">
        <v>6996</v>
      </c>
      <c r="L1316" s="36" t="b">
        <v>0</v>
      </c>
    </row>
    <row r="1317" spans="1:12" ht="12.75">
      <c r="A1317" s="448">
        <v>45397.63193560185</v>
      </c>
      <c r="B1317" s="449">
        <v>45398</v>
      </c>
      <c r="C1317" s="36" t="s">
        <v>3383</v>
      </c>
      <c r="D1317" s="450">
        <v>0.8125</v>
      </c>
      <c r="E1317" s="36" t="s">
        <v>9384</v>
      </c>
      <c r="F1317" s="36" t="s">
        <v>9385</v>
      </c>
      <c r="G1317" s="36" t="s">
        <v>6537</v>
      </c>
      <c r="H1317" s="36" t="s">
        <v>9386</v>
      </c>
      <c r="I1317" s="36">
        <v>9</v>
      </c>
      <c r="J1317" s="36" t="s">
        <v>5895</v>
      </c>
      <c r="K1317" s="36" t="s">
        <v>6996</v>
      </c>
      <c r="L1317" s="36" t="b">
        <v>0</v>
      </c>
    </row>
    <row r="1318" spans="1:12" ht="12.75">
      <c r="A1318" s="448">
        <v>45397.632919027776</v>
      </c>
      <c r="B1318" s="449">
        <v>45399</v>
      </c>
      <c r="C1318" s="36" t="s">
        <v>3383</v>
      </c>
      <c r="D1318" s="450">
        <v>0.66666666666424135</v>
      </c>
      <c r="E1318" s="36" t="s">
        <v>8449</v>
      </c>
      <c r="F1318" s="36" t="s">
        <v>9387</v>
      </c>
      <c r="G1318" s="36" t="s">
        <v>498</v>
      </c>
      <c r="H1318" s="36" t="s">
        <v>1870</v>
      </c>
      <c r="I1318" s="36">
        <v>10</v>
      </c>
      <c r="J1318" s="36" t="s">
        <v>5895</v>
      </c>
      <c r="K1318" s="36" t="s">
        <v>8504</v>
      </c>
      <c r="L1318" s="36" t="b">
        <v>0</v>
      </c>
    </row>
    <row r="1319" spans="1:12" ht="12.75">
      <c r="A1319" s="448">
        <v>45397.633570624996</v>
      </c>
      <c r="B1319" s="449">
        <v>45399</v>
      </c>
      <c r="C1319" s="36" t="s">
        <v>3383</v>
      </c>
      <c r="D1319" s="450">
        <v>0.75</v>
      </c>
      <c r="E1319" s="36" t="s">
        <v>9388</v>
      </c>
      <c r="F1319" s="36" t="s">
        <v>9389</v>
      </c>
      <c r="G1319" s="36" t="s">
        <v>6537</v>
      </c>
      <c r="H1319" s="36" t="s">
        <v>8930</v>
      </c>
      <c r="I1319" s="36">
        <v>11</v>
      </c>
      <c r="J1319" s="36" t="s">
        <v>5895</v>
      </c>
      <c r="K1319" s="36" t="s">
        <v>6996</v>
      </c>
      <c r="L1319" s="36" t="b">
        <v>0</v>
      </c>
    </row>
    <row r="1320" spans="1:12" ht="12.75">
      <c r="A1320" s="448">
        <v>45397.654166932873</v>
      </c>
      <c r="B1320" s="449">
        <v>45401</v>
      </c>
      <c r="C1320" s="36" t="s">
        <v>3383</v>
      </c>
      <c r="D1320" s="450">
        <v>0.75</v>
      </c>
      <c r="E1320" s="36" t="s">
        <v>9390</v>
      </c>
      <c r="F1320" s="36" t="s">
        <v>9391</v>
      </c>
      <c r="G1320" s="36" t="s">
        <v>6537</v>
      </c>
      <c r="H1320" s="36" t="s">
        <v>6109</v>
      </c>
      <c r="I1320" s="36">
        <v>12</v>
      </c>
      <c r="J1320" s="36" t="s">
        <v>5895</v>
      </c>
      <c r="K1320" s="36" t="s">
        <v>6996</v>
      </c>
      <c r="L1320" s="36" t="b">
        <v>0</v>
      </c>
    </row>
    <row r="1321" spans="1:12" ht="12.75">
      <c r="A1321" s="448">
        <v>45397.654948136573</v>
      </c>
      <c r="B1321" s="449">
        <v>45402</v>
      </c>
      <c r="C1321" s="36" t="s">
        <v>3383</v>
      </c>
      <c r="D1321" s="450">
        <v>0.41666666666424135</v>
      </c>
      <c r="E1321" s="36" t="s">
        <v>7146</v>
      </c>
      <c r="F1321" s="36" t="s">
        <v>9389</v>
      </c>
      <c r="G1321" s="36" t="s">
        <v>6537</v>
      </c>
      <c r="H1321" s="36" t="s">
        <v>9392</v>
      </c>
      <c r="I1321" s="36">
        <v>13</v>
      </c>
      <c r="J1321" s="36" t="s">
        <v>5895</v>
      </c>
      <c r="K1321" s="36" t="s">
        <v>6996</v>
      </c>
      <c r="L1321" s="36" t="b">
        <v>0</v>
      </c>
    </row>
    <row r="1322" spans="1:12" ht="12.75">
      <c r="A1322" s="448">
        <v>45397.655959733791</v>
      </c>
      <c r="B1322" s="449">
        <v>45402</v>
      </c>
      <c r="C1322" s="36" t="s">
        <v>3383</v>
      </c>
      <c r="D1322" s="450">
        <v>0.5</v>
      </c>
      <c r="E1322" s="36" t="s">
        <v>9393</v>
      </c>
      <c r="F1322" s="36" t="s">
        <v>9394</v>
      </c>
      <c r="G1322" s="36" t="s">
        <v>6537</v>
      </c>
      <c r="H1322" s="36" t="s">
        <v>2366</v>
      </c>
      <c r="I1322" s="36">
        <v>13</v>
      </c>
      <c r="J1322" s="36" t="s">
        <v>5895</v>
      </c>
      <c r="K1322" s="36" t="s">
        <v>6996</v>
      </c>
      <c r="L1322" s="36" t="b">
        <v>0</v>
      </c>
    </row>
    <row r="1323" spans="1:12" ht="12.75">
      <c r="A1323" s="448">
        <v>45397.657177175926</v>
      </c>
      <c r="B1323" s="449">
        <v>45403</v>
      </c>
      <c r="C1323" s="36" t="s">
        <v>3383</v>
      </c>
      <c r="D1323" s="450">
        <v>0.41666666666424135</v>
      </c>
      <c r="E1323" s="36" t="s">
        <v>8532</v>
      </c>
      <c r="F1323" s="36" t="s">
        <v>9395</v>
      </c>
      <c r="G1323" s="36" t="s">
        <v>6537</v>
      </c>
      <c r="H1323" s="36" t="s">
        <v>9396</v>
      </c>
      <c r="I1323" s="36">
        <v>14</v>
      </c>
      <c r="J1323" s="36" t="s">
        <v>5895</v>
      </c>
      <c r="K1323" s="36" t="s">
        <v>6996</v>
      </c>
      <c r="L1323" s="36" t="b">
        <v>0</v>
      </c>
    </row>
    <row r="1324" spans="1:12" ht="12.75">
      <c r="A1324" s="448">
        <v>45398.474992013886</v>
      </c>
      <c r="B1324" s="449">
        <v>45402</v>
      </c>
      <c r="C1324" s="36" t="s">
        <v>12</v>
      </c>
      <c r="D1324" s="450">
        <v>0.66666666666424135</v>
      </c>
      <c r="E1324" s="36" t="s">
        <v>8553</v>
      </c>
      <c r="F1324" s="36" t="s">
        <v>9397</v>
      </c>
      <c r="G1324" s="36" t="s">
        <v>9398</v>
      </c>
      <c r="H1324" s="36" t="s">
        <v>9399</v>
      </c>
      <c r="I1324" s="36">
        <v>1</v>
      </c>
      <c r="J1324" s="36" t="s">
        <v>6093</v>
      </c>
      <c r="K1324" s="36" t="s">
        <v>9400</v>
      </c>
      <c r="L1324" s="36" t="b">
        <v>0</v>
      </c>
    </row>
    <row r="1325" spans="1:12" ht="12.75">
      <c r="A1325" s="454"/>
      <c r="B1325" s="408"/>
      <c r="C1325" s="36"/>
      <c r="D1325" s="452"/>
      <c r="E1325" s="455"/>
      <c r="L1325" s="36" t="b">
        <v>0</v>
      </c>
    </row>
    <row r="1326" spans="1:12" ht="12.75">
      <c r="L1326" s="36" t="b">
        <v>0</v>
      </c>
    </row>
    <row r="1327" spans="1:12" ht="12.75">
      <c r="L1327" s="36" t="b">
        <v>0</v>
      </c>
    </row>
    <row r="1328" spans="1:12" ht="12.75">
      <c r="L1328" s="36" t="b">
        <v>0</v>
      </c>
    </row>
    <row r="1329" spans="12:12" ht="12.75">
      <c r="L1329" s="36" t="b">
        <v>0</v>
      </c>
    </row>
    <row r="1330" spans="12:12" ht="12.75">
      <c r="L1330" s="36" t="b">
        <v>0</v>
      </c>
    </row>
    <row r="1331" spans="12:12" ht="12.75">
      <c r="L1331" s="36" t="b">
        <v>0</v>
      </c>
    </row>
    <row r="1332" spans="12:12" ht="12.75">
      <c r="L1332" s="36" t="b">
        <v>0</v>
      </c>
    </row>
    <row r="1333" spans="12:12" ht="12.75">
      <c r="L1333" s="36" t="b">
        <v>0</v>
      </c>
    </row>
    <row r="1334" spans="12:12" ht="12.75">
      <c r="L1334" s="36" t="b">
        <v>0</v>
      </c>
    </row>
    <row r="1335" spans="12:12" ht="12.75">
      <c r="L1335" s="36" t="b">
        <v>0</v>
      </c>
    </row>
    <row r="1336" spans="12:12" ht="12.75">
      <c r="L1336" s="36" t="b">
        <v>0</v>
      </c>
    </row>
    <row r="1337" spans="12:12" ht="12.75">
      <c r="L1337" s="36" t="b">
        <v>0</v>
      </c>
    </row>
    <row r="1338" spans="12:12" ht="12.75">
      <c r="L1338" s="36" t="b">
        <v>0</v>
      </c>
    </row>
    <row r="1339" spans="12:12" ht="12.75">
      <c r="L1339" s="36" t="b">
        <v>0</v>
      </c>
    </row>
    <row r="1340" spans="12:12" ht="12.75">
      <c r="L1340" s="36" t="b">
        <v>0</v>
      </c>
    </row>
    <row r="1341" spans="12:12" ht="12.75">
      <c r="L1341" s="36" t="b">
        <v>0</v>
      </c>
    </row>
    <row r="1342" spans="12:12" ht="12.75">
      <c r="L1342" s="36" t="b">
        <v>0</v>
      </c>
    </row>
    <row r="1343" spans="12:12" ht="12.75">
      <c r="L1343" s="36" t="b">
        <v>0</v>
      </c>
    </row>
    <row r="1344" spans="12:12" ht="12.75">
      <c r="L1344" s="36" t="b">
        <v>0</v>
      </c>
    </row>
    <row r="1345" spans="12:12" ht="12.75">
      <c r="L1345" s="36" t="b">
        <v>0</v>
      </c>
    </row>
    <row r="1346" spans="12:12" ht="12.75">
      <c r="L1346" s="36" t="b">
        <v>0</v>
      </c>
    </row>
    <row r="1347" spans="12:12" ht="12.75">
      <c r="L1347" s="36" t="b">
        <v>0</v>
      </c>
    </row>
    <row r="1348" spans="12:12" ht="12.75">
      <c r="L1348" s="36" t="b">
        <v>0</v>
      </c>
    </row>
    <row r="1349" spans="12:12" ht="12.75">
      <c r="L1349" s="36" t="b">
        <v>0</v>
      </c>
    </row>
    <row r="1350" spans="12:12" ht="12.75">
      <c r="L1350" s="36" t="b">
        <v>0</v>
      </c>
    </row>
    <row r="1351" spans="12:12" ht="12.75">
      <c r="L1351" s="36" t="b">
        <v>0</v>
      </c>
    </row>
    <row r="1352" spans="12:12" ht="12.75">
      <c r="L1352" s="36" t="b">
        <v>0</v>
      </c>
    </row>
    <row r="1353" spans="12:12" ht="12.75">
      <c r="L1353" s="36" t="b">
        <v>0</v>
      </c>
    </row>
    <row r="1354" spans="12:12" ht="12.75">
      <c r="L1354" s="36" t="b">
        <v>0</v>
      </c>
    </row>
    <row r="1355" spans="12:12" ht="12.75">
      <c r="L1355" s="36" t="b">
        <v>0</v>
      </c>
    </row>
    <row r="1356" spans="12:12" ht="12.75">
      <c r="L1356" s="36" t="b">
        <v>0</v>
      </c>
    </row>
    <row r="1357" spans="12:12" ht="12.75">
      <c r="L1357" s="36" t="b">
        <v>0</v>
      </c>
    </row>
    <row r="1358" spans="12:12" ht="12.75">
      <c r="L1358" s="36" t="b">
        <v>0</v>
      </c>
    </row>
    <row r="1359" spans="12:12" ht="12.75">
      <c r="L1359" s="36" t="b">
        <v>0</v>
      </c>
    </row>
    <row r="1360" spans="12:12" ht="12.75">
      <c r="L1360" s="36" t="b">
        <v>0</v>
      </c>
    </row>
    <row r="1361" spans="12:12" ht="12.75">
      <c r="L1361" s="36" t="b">
        <v>0</v>
      </c>
    </row>
    <row r="1362" spans="12:12" ht="12.75">
      <c r="L1362" s="36" t="b">
        <v>0</v>
      </c>
    </row>
    <row r="1363" spans="12:12" ht="12.75">
      <c r="L1363" s="36" t="b">
        <v>0</v>
      </c>
    </row>
    <row r="1364" spans="12:12" ht="12.75">
      <c r="L1364" s="36" t="b">
        <v>0</v>
      </c>
    </row>
    <row r="1365" spans="12:12" ht="12.75">
      <c r="L1365" s="36" t="b">
        <v>0</v>
      </c>
    </row>
    <row r="1366" spans="12:12" ht="12.75">
      <c r="L1366" s="36" t="b">
        <v>0</v>
      </c>
    </row>
    <row r="1367" spans="12:12" ht="12.75">
      <c r="L1367" s="36" t="b">
        <v>0</v>
      </c>
    </row>
    <row r="1368" spans="12:12" ht="12.75">
      <c r="L1368" s="36" t="b">
        <v>0</v>
      </c>
    </row>
    <row r="1369" spans="12:12" ht="12.75">
      <c r="L1369" s="36" t="b">
        <v>0</v>
      </c>
    </row>
    <row r="1370" spans="12:12" ht="12.75">
      <c r="L1370" s="36" t="b">
        <v>0</v>
      </c>
    </row>
    <row r="1371" spans="12:12" ht="12.75">
      <c r="L1371" s="36" t="b">
        <v>0</v>
      </c>
    </row>
    <row r="1372" spans="12:12" ht="12.75">
      <c r="L1372" s="36" t="b">
        <v>0</v>
      </c>
    </row>
    <row r="1373" spans="12:12" ht="12.75">
      <c r="L1373" s="36" t="b">
        <v>0</v>
      </c>
    </row>
    <row r="1374" spans="12:12" ht="12.75">
      <c r="L1374" s="36" t="b">
        <v>0</v>
      </c>
    </row>
    <row r="1375" spans="12:12" ht="12.75">
      <c r="L1375" s="36" t="b">
        <v>0</v>
      </c>
    </row>
    <row r="1376" spans="12:12" ht="12.75">
      <c r="L1376" s="36" t="b">
        <v>0</v>
      </c>
    </row>
    <row r="1377" spans="12:12" ht="12.75">
      <c r="L1377" s="36" t="b">
        <v>0</v>
      </c>
    </row>
    <row r="1378" spans="12:12" ht="12.75">
      <c r="L1378" s="36" t="b">
        <v>0</v>
      </c>
    </row>
    <row r="1379" spans="12:12" ht="12.75">
      <c r="L1379" s="36" t="b">
        <v>0</v>
      </c>
    </row>
    <row r="1380" spans="12:12" ht="12.75">
      <c r="L1380" s="36" t="b">
        <v>0</v>
      </c>
    </row>
    <row r="1381" spans="12:12" ht="12.75">
      <c r="L1381" s="36" t="b">
        <v>0</v>
      </c>
    </row>
    <row r="1382" spans="12:12" ht="12.75">
      <c r="L1382" s="36" t="b">
        <v>0</v>
      </c>
    </row>
    <row r="1383" spans="12:12" ht="12.75">
      <c r="L1383" s="36" t="b">
        <v>0</v>
      </c>
    </row>
    <row r="1384" spans="12:12" ht="12.75">
      <c r="L1384" s="36" t="b">
        <v>0</v>
      </c>
    </row>
    <row r="1385" spans="12:12" ht="12.75">
      <c r="L1385" s="36" t="b">
        <v>0</v>
      </c>
    </row>
    <row r="1386" spans="12:12" ht="12.75">
      <c r="L1386" s="36" t="b">
        <v>0</v>
      </c>
    </row>
    <row r="1387" spans="12:12" ht="12.75">
      <c r="L1387" s="36" t="b">
        <v>0</v>
      </c>
    </row>
    <row r="1388" spans="12:12" ht="12.75">
      <c r="L1388" s="36" t="b">
        <v>0</v>
      </c>
    </row>
    <row r="1389" spans="12:12" ht="12.75">
      <c r="L1389" s="36" t="b">
        <v>0</v>
      </c>
    </row>
    <row r="1390" spans="12:12" ht="12.75">
      <c r="L1390" s="36" t="b">
        <v>0</v>
      </c>
    </row>
    <row r="1391" spans="12:12" ht="12.75">
      <c r="L1391" s="36" t="b">
        <v>0</v>
      </c>
    </row>
    <row r="1392" spans="12:12" ht="12.75">
      <c r="L1392" s="36" t="b">
        <v>0</v>
      </c>
    </row>
    <row r="1393" spans="12:12" ht="12.75">
      <c r="L1393" s="36" t="b">
        <v>0</v>
      </c>
    </row>
    <row r="1394" spans="12:12" ht="12.75">
      <c r="L1394" s="36" t="b">
        <v>0</v>
      </c>
    </row>
    <row r="1395" spans="12:12" ht="12.75">
      <c r="L1395" s="36" t="b">
        <v>0</v>
      </c>
    </row>
    <row r="1396" spans="12:12" ht="12.75">
      <c r="L1396" s="36" t="b">
        <v>0</v>
      </c>
    </row>
    <row r="1397" spans="12:12" ht="12.75">
      <c r="L1397" s="36" t="b">
        <v>0</v>
      </c>
    </row>
    <row r="1398" spans="12:12" ht="12.75">
      <c r="L1398" s="36" t="b">
        <v>0</v>
      </c>
    </row>
    <row r="1399" spans="12:12" ht="12.75">
      <c r="L1399" s="36" t="b">
        <v>0</v>
      </c>
    </row>
    <row r="1400" spans="12:12" ht="12.75">
      <c r="L1400" s="36" t="b">
        <v>0</v>
      </c>
    </row>
    <row r="1401" spans="12:12" ht="12.75">
      <c r="L1401" s="36" t="b">
        <v>0</v>
      </c>
    </row>
    <row r="1402" spans="12:12" ht="12.75">
      <c r="L1402" s="36" t="b">
        <v>0</v>
      </c>
    </row>
    <row r="1403" spans="12:12" ht="12.75">
      <c r="L1403" s="36" t="b">
        <v>0</v>
      </c>
    </row>
    <row r="1404" spans="12:12" ht="12.75">
      <c r="L1404" s="36" t="b">
        <v>0</v>
      </c>
    </row>
    <row r="1405" spans="12:12" ht="12.75">
      <c r="L1405" s="36" t="b">
        <v>0</v>
      </c>
    </row>
    <row r="1406" spans="12:12" ht="12.75">
      <c r="L1406" s="36" t="b">
        <v>0</v>
      </c>
    </row>
    <row r="1407" spans="12:12" ht="12.75">
      <c r="L1407" s="36" t="b">
        <v>0</v>
      </c>
    </row>
    <row r="1408" spans="12:12" ht="12.75">
      <c r="L1408" s="36" t="b">
        <v>0</v>
      </c>
    </row>
    <row r="1409" spans="12:12" ht="12.75">
      <c r="L1409" s="36" t="b">
        <v>0</v>
      </c>
    </row>
    <row r="1410" spans="12:12" ht="12.75">
      <c r="L1410" s="36" t="b">
        <v>0</v>
      </c>
    </row>
    <row r="1411" spans="12:12" ht="12.75">
      <c r="L1411" s="36" t="b">
        <v>0</v>
      </c>
    </row>
    <row r="1412" spans="12:12" ht="12.75">
      <c r="L1412" s="36" t="b">
        <v>0</v>
      </c>
    </row>
    <row r="1413" spans="12:12" ht="12.75">
      <c r="L1413" s="36" t="b">
        <v>0</v>
      </c>
    </row>
    <row r="1414" spans="12:12" ht="12.75">
      <c r="L1414" s="36" t="b">
        <v>0</v>
      </c>
    </row>
    <row r="1415" spans="12:12" ht="12.75">
      <c r="L1415" s="36" t="b">
        <v>0</v>
      </c>
    </row>
    <row r="1416" spans="12:12" ht="12.75">
      <c r="L1416" s="36" t="b">
        <v>0</v>
      </c>
    </row>
    <row r="1417" spans="12:12" ht="12.75">
      <c r="L1417" s="36" t="b">
        <v>0</v>
      </c>
    </row>
    <row r="1418" spans="12:12" ht="12.75">
      <c r="L1418" s="36" t="b">
        <v>0</v>
      </c>
    </row>
    <row r="1419" spans="12:12" ht="12.75">
      <c r="L1419" s="36" t="b">
        <v>0</v>
      </c>
    </row>
    <row r="1420" spans="12:12" ht="12.75">
      <c r="L1420" s="36" t="b">
        <v>0</v>
      </c>
    </row>
    <row r="1421" spans="12:12" ht="12.75">
      <c r="L1421" s="36" t="b">
        <v>0</v>
      </c>
    </row>
    <row r="1422" spans="12:12" ht="12.75">
      <c r="L1422" s="36" t="b">
        <v>0</v>
      </c>
    </row>
    <row r="1423" spans="12:12" ht="12.75">
      <c r="L1423" s="36" t="b">
        <v>0</v>
      </c>
    </row>
  </sheetData>
  <autoFilter ref="A1:M1423" xr:uid="{00000000-0009-0000-0000-000005000000}"/>
  <customSheetViews>
    <customSheetView guid="{CE41F793-179E-4E95-8743-4F50F86F0095}" filter="1" showAutoFilter="1">
      <pageMargins left="0.7" right="0.7" top="0.75" bottom="0.75" header="0.3" footer="0.3"/>
      <autoFilter ref="A1:M1423" xr:uid="{374900A5-F2EE-478D-9D44-C00935993D7F}">
        <filterColumn colId="2">
          <filters>
            <filter val="Math"/>
            <filter val="Minecraft"/>
            <filter val="Procreate"/>
          </filters>
        </filterColumn>
      </autoFilter>
    </customSheetView>
    <customSheetView guid="{E111926B-F6F2-4F37-858B-7FDE682576C0}" filter="1" showAutoFilter="1">
      <pageMargins left="0.7" right="0.7" top="0.75" bottom="0.75" header="0.3" footer="0.3"/>
      <autoFilter ref="A1:M1423" xr:uid="{69237551-4526-4834-90A2-FED7F5AC205F}">
        <filterColumn colId="2">
          <filters>
            <filter val="Math"/>
            <filter val="Procreate"/>
            <filter val="Soft Skills"/>
          </filters>
        </filterColumn>
      </autoFilter>
    </customSheetView>
    <customSheetView guid="{E4B6CD70-6F71-4930-8D93-E959514A309A}" filter="1" showAutoFilter="1">
      <pageMargins left="0.7" right="0.7" top="0.75" bottom="0.75" header="0.3" footer="0.3"/>
      <autoFilter ref="C1:C1423" xr:uid="{16A57169-44A7-4AC9-ACF3-3F8C7FD3DB8B}">
        <filterColumn colId="0">
          <filters>
            <filter val="FrontEnd"/>
            <filter val="Math"/>
            <filter val="Procreate"/>
            <filter val="Scratch"/>
            <filter val="Soft Skills"/>
          </filters>
        </filterColumn>
      </autoFilter>
    </customSheetView>
    <customSheetView guid="{F8593FFE-DE99-4BF2-B36F-29A16EFFE534}" filter="1" showAutoFilter="1">
      <pageMargins left="0.7" right="0.7" top="0.75" bottom="0.75" header="0.3" footer="0.3"/>
      <autoFilter ref="C1:C1423" xr:uid="{A83AD7FB-ACB1-40C7-930F-C12AA9D4EE68}">
        <filterColumn colId="0">
          <filters>
            <filter val="Math"/>
            <filter val="Procreate"/>
            <filter val="Soft Skills"/>
          </filters>
        </filterColumn>
      </autoFilter>
    </customSheetView>
    <customSheetView guid="{A4698AFA-486A-415A-8D19-820587C948A9}" filter="1" showAutoFilter="1">
      <pageMargins left="0.7" right="0.7" top="0.75" bottom="0.75" header="0.3" footer="0.3"/>
      <autoFilter ref="A1:Q1423" xr:uid="{AC68C6ED-447D-4ED9-BE21-BE84B88270F4}">
        <filterColumn colId="2">
          <filters>
            <filter val="Design"/>
            <filter val="FrontEnd"/>
            <filter val="Math"/>
            <filter val="Procreate"/>
            <filter val="Scratch"/>
          </filters>
        </filterColumn>
      </autoFilter>
    </customSheetView>
  </customSheetViews>
  <hyperlinks>
    <hyperlink ref="H370" r:id="rId1" xr:uid="{00000000-0004-0000-0500-000000000000}"/>
    <hyperlink ref="H479" r:id="rId2" xr:uid="{00000000-0004-0000-0500-000001000000}"/>
    <hyperlink ref="H607" r:id="rId3" xr:uid="{00000000-0004-0000-05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E111"/>
  <sheetViews>
    <sheetView workbookViewId="0">
      <pane ySplit="2" topLeftCell="A3" activePane="bottomLeft" state="frozen"/>
      <selection pane="bottomLeft" activeCell="B4" sqref="B4"/>
    </sheetView>
  </sheetViews>
  <sheetFormatPr defaultColWidth="12.5703125" defaultRowHeight="15.75" customHeight="1"/>
  <cols>
    <col min="1" max="1" width="25.42578125" customWidth="1"/>
    <col min="2" max="2" width="36.140625" customWidth="1"/>
    <col min="3" max="3" width="22.42578125" customWidth="1"/>
    <col min="4" max="4" width="28.42578125" customWidth="1"/>
    <col min="5" max="5" width="25.42578125" customWidth="1"/>
  </cols>
  <sheetData>
    <row r="1" spans="1:5" ht="18">
      <c r="A1" s="679"/>
      <c r="B1" s="677"/>
      <c r="C1" s="677"/>
      <c r="D1" s="677"/>
      <c r="E1" s="678"/>
    </row>
    <row r="2" spans="1:5" ht="18">
      <c r="A2" s="456" t="s">
        <v>5409</v>
      </c>
      <c r="B2" s="457" t="s">
        <v>5410</v>
      </c>
      <c r="C2" s="457" t="s">
        <v>3370</v>
      </c>
      <c r="D2" s="457" t="s">
        <v>5411</v>
      </c>
      <c r="E2" s="458" t="s">
        <v>9</v>
      </c>
    </row>
    <row r="3" spans="1:5" ht="18">
      <c r="A3" s="680" t="s">
        <v>9401</v>
      </c>
      <c r="B3" s="681"/>
      <c r="C3" s="681"/>
      <c r="D3" s="681"/>
      <c r="E3" s="682"/>
    </row>
    <row r="4" spans="1:5" ht="15">
      <c r="A4" s="459" t="s">
        <v>5538</v>
      </c>
      <c r="B4" s="460" t="s">
        <v>5539</v>
      </c>
      <c r="C4" s="345" t="s">
        <v>5540</v>
      </c>
      <c r="D4" s="461" t="s">
        <v>9402</v>
      </c>
      <c r="E4" s="462" t="s">
        <v>27</v>
      </c>
    </row>
    <row r="5" spans="1:5" ht="16.5" customHeight="1">
      <c r="A5" s="463" t="s">
        <v>9403</v>
      </c>
      <c r="B5" s="460" t="s">
        <v>5548</v>
      </c>
      <c r="C5" s="345" t="s">
        <v>5549</v>
      </c>
      <c r="D5" s="464" t="s">
        <v>9404</v>
      </c>
      <c r="E5" s="465" t="s">
        <v>27</v>
      </c>
    </row>
    <row r="6" spans="1:5" ht="15">
      <c r="A6" s="463" t="s">
        <v>9405</v>
      </c>
      <c r="B6" s="460" t="s">
        <v>5543</v>
      </c>
      <c r="C6" s="460" t="s">
        <v>5544</v>
      </c>
      <c r="D6" s="464" t="s">
        <v>9404</v>
      </c>
      <c r="E6" s="465" t="s">
        <v>27</v>
      </c>
    </row>
    <row r="7" spans="1:5" ht="15">
      <c r="A7" s="463" t="s">
        <v>5553</v>
      </c>
      <c r="B7" s="460" t="s">
        <v>9406</v>
      </c>
      <c r="C7" s="345" t="s">
        <v>5555</v>
      </c>
      <c r="D7" s="464" t="s">
        <v>9404</v>
      </c>
      <c r="E7" s="465" t="s">
        <v>27</v>
      </c>
    </row>
    <row r="8" spans="1:5" ht="15">
      <c r="A8" s="466" t="s">
        <v>9407</v>
      </c>
      <c r="B8" s="467" t="s">
        <v>5557</v>
      </c>
      <c r="C8" s="468" t="s">
        <v>5558</v>
      </c>
      <c r="D8" s="469" t="s">
        <v>9404</v>
      </c>
      <c r="E8" s="470" t="s">
        <v>27</v>
      </c>
    </row>
    <row r="9" spans="1:5" ht="18">
      <c r="A9" s="676" t="s">
        <v>9408</v>
      </c>
      <c r="B9" s="677"/>
      <c r="C9" s="677"/>
      <c r="D9" s="677"/>
      <c r="E9" s="678"/>
    </row>
    <row r="10" spans="1:5" ht="15">
      <c r="A10" s="471" t="s">
        <v>5476</v>
      </c>
      <c r="B10" s="460" t="s">
        <v>5471</v>
      </c>
      <c r="C10" s="345" t="s">
        <v>5472</v>
      </c>
      <c r="D10" s="461" t="s">
        <v>9409</v>
      </c>
      <c r="E10" s="465" t="s">
        <v>27</v>
      </c>
    </row>
    <row r="11" spans="1:5" ht="15" customHeight="1">
      <c r="A11" s="459" t="s">
        <v>9410</v>
      </c>
      <c r="B11" s="460" t="s">
        <v>9411</v>
      </c>
      <c r="C11" s="345" t="s">
        <v>9412</v>
      </c>
      <c r="D11" s="472" t="s">
        <v>9413</v>
      </c>
      <c r="E11" s="465" t="s">
        <v>27</v>
      </c>
    </row>
    <row r="12" spans="1:5" ht="15" customHeight="1">
      <c r="A12" s="459" t="s">
        <v>3619</v>
      </c>
      <c r="B12" s="345" t="s">
        <v>9414</v>
      </c>
      <c r="C12" s="345" t="s">
        <v>5572</v>
      </c>
      <c r="D12" s="472" t="s">
        <v>9413</v>
      </c>
      <c r="E12" s="465" t="s">
        <v>27</v>
      </c>
    </row>
    <row r="13" spans="1:5" ht="15">
      <c r="A13" s="459" t="s">
        <v>9415</v>
      </c>
      <c r="B13" s="460" t="s">
        <v>5563</v>
      </c>
      <c r="C13" s="345" t="s">
        <v>9416</v>
      </c>
      <c r="D13" s="472" t="s">
        <v>9413</v>
      </c>
      <c r="E13" s="465" t="s">
        <v>27</v>
      </c>
    </row>
    <row r="14" spans="1:5" ht="15">
      <c r="A14" s="463" t="s">
        <v>5591</v>
      </c>
      <c r="B14" s="460" t="s">
        <v>5592</v>
      </c>
      <c r="C14" s="460" t="s">
        <v>9417</v>
      </c>
      <c r="D14" s="472" t="s">
        <v>9413</v>
      </c>
      <c r="E14" s="465" t="s">
        <v>27</v>
      </c>
    </row>
    <row r="15" spans="1:5" ht="15">
      <c r="A15" s="459" t="s">
        <v>9418</v>
      </c>
      <c r="B15" s="473" t="s">
        <v>9419</v>
      </c>
      <c r="C15" s="345" t="s">
        <v>9420</v>
      </c>
      <c r="D15" s="472" t="s">
        <v>9413</v>
      </c>
      <c r="E15" s="465" t="s">
        <v>27</v>
      </c>
    </row>
    <row r="16" spans="1:5" ht="15">
      <c r="A16" s="463" t="s">
        <v>5477</v>
      </c>
      <c r="B16" s="460" t="s">
        <v>5478</v>
      </c>
      <c r="C16" s="460" t="s">
        <v>9421</v>
      </c>
      <c r="D16" s="472" t="s">
        <v>9413</v>
      </c>
      <c r="E16" s="465" t="s">
        <v>27</v>
      </c>
    </row>
    <row r="17" spans="1:5" ht="15">
      <c r="A17" s="463" t="s">
        <v>9422</v>
      </c>
      <c r="B17" s="345" t="s">
        <v>5480</v>
      </c>
      <c r="C17" s="372" t="s">
        <v>9423</v>
      </c>
      <c r="D17" s="472" t="s">
        <v>9413</v>
      </c>
      <c r="E17" s="465" t="s">
        <v>27</v>
      </c>
    </row>
    <row r="18" spans="1:5" ht="15">
      <c r="A18" s="463" t="s">
        <v>5504</v>
      </c>
      <c r="B18" s="345" t="s">
        <v>5505</v>
      </c>
      <c r="C18" s="460" t="s">
        <v>5506</v>
      </c>
      <c r="D18" s="472" t="s">
        <v>9413</v>
      </c>
      <c r="E18" s="465" t="s">
        <v>27</v>
      </c>
    </row>
    <row r="19" spans="1:5" ht="15">
      <c r="A19" s="463" t="s">
        <v>9424</v>
      </c>
      <c r="B19" s="460" t="s">
        <v>9425</v>
      </c>
      <c r="C19" s="460" t="s">
        <v>9426</v>
      </c>
      <c r="D19" s="472" t="s">
        <v>9413</v>
      </c>
      <c r="E19" s="465" t="s">
        <v>27</v>
      </c>
    </row>
    <row r="20" spans="1:5" ht="18" hidden="1">
      <c r="A20" s="474" t="s">
        <v>9427</v>
      </c>
      <c r="B20" s="475" t="s">
        <v>9428</v>
      </c>
      <c r="C20" s="476" t="s">
        <v>9429</v>
      </c>
      <c r="D20" s="472" t="s">
        <v>9413</v>
      </c>
      <c r="E20" s="465" t="s">
        <v>38</v>
      </c>
    </row>
    <row r="21" spans="1:5" ht="15" hidden="1">
      <c r="A21" s="463" t="s">
        <v>9430</v>
      </c>
      <c r="B21" s="460" t="s">
        <v>9431</v>
      </c>
      <c r="C21" s="460" t="s">
        <v>9432</v>
      </c>
      <c r="D21" s="472" t="s">
        <v>9413</v>
      </c>
      <c r="E21" s="465" t="s">
        <v>38</v>
      </c>
    </row>
    <row r="22" spans="1:5" ht="15">
      <c r="A22" s="477" t="s">
        <v>5418</v>
      </c>
      <c r="B22" s="478" t="s">
        <v>5419</v>
      </c>
      <c r="C22" s="478" t="s">
        <v>5420</v>
      </c>
      <c r="D22" s="479" t="s">
        <v>9433</v>
      </c>
      <c r="E22" s="480" t="s">
        <v>27</v>
      </c>
    </row>
    <row r="23" spans="1:5" ht="15">
      <c r="A23" s="481" t="s">
        <v>9434</v>
      </c>
      <c r="B23" s="460" t="s">
        <v>5508</v>
      </c>
      <c r="C23" s="460" t="s">
        <v>9435</v>
      </c>
      <c r="D23" s="472" t="s">
        <v>9436</v>
      </c>
      <c r="E23" s="465" t="s">
        <v>27</v>
      </c>
    </row>
    <row r="24" spans="1:5" ht="15">
      <c r="A24" s="481" t="s">
        <v>9437</v>
      </c>
      <c r="B24" s="460" t="s">
        <v>5517</v>
      </c>
      <c r="C24" s="460" t="s">
        <v>9438</v>
      </c>
      <c r="D24" s="472" t="s">
        <v>9436</v>
      </c>
      <c r="E24" s="465" t="s">
        <v>27</v>
      </c>
    </row>
    <row r="25" spans="1:5" ht="15">
      <c r="A25" s="463" t="s">
        <v>9439</v>
      </c>
      <c r="B25" s="348" t="s">
        <v>5463</v>
      </c>
      <c r="C25" s="460" t="s">
        <v>9440</v>
      </c>
      <c r="D25" s="472" t="s">
        <v>9436</v>
      </c>
      <c r="E25" s="465" t="s">
        <v>27</v>
      </c>
    </row>
    <row r="26" spans="1:5" ht="15">
      <c r="A26" s="347" t="s">
        <v>9441</v>
      </c>
      <c r="B26" s="348" t="s">
        <v>5424</v>
      </c>
      <c r="C26" s="349" t="s">
        <v>5425</v>
      </c>
      <c r="D26" s="472" t="s">
        <v>9436</v>
      </c>
      <c r="E26" s="470" t="s">
        <v>27</v>
      </c>
    </row>
    <row r="27" spans="1:5" ht="15">
      <c r="A27" s="459" t="s">
        <v>5510</v>
      </c>
      <c r="B27" s="345" t="s">
        <v>5511</v>
      </c>
      <c r="C27" s="345" t="s">
        <v>5512</v>
      </c>
      <c r="D27" s="472" t="s">
        <v>9436</v>
      </c>
      <c r="E27" s="465" t="s">
        <v>27</v>
      </c>
    </row>
    <row r="28" spans="1:5" ht="15">
      <c r="A28" s="459" t="s">
        <v>5426</v>
      </c>
      <c r="B28" s="345" t="s">
        <v>5427</v>
      </c>
      <c r="C28" s="345" t="s">
        <v>5428</v>
      </c>
      <c r="D28" s="472" t="s">
        <v>9436</v>
      </c>
      <c r="E28" s="465" t="s">
        <v>27</v>
      </c>
    </row>
    <row r="29" spans="1:5" ht="18.75" customHeight="1">
      <c r="A29" s="459" t="s">
        <v>5466</v>
      </c>
      <c r="B29" s="345" t="s">
        <v>5467</v>
      </c>
      <c r="C29" s="345" t="s">
        <v>5468</v>
      </c>
      <c r="D29" s="472" t="s">
        <v>9436</v>
      </c>
      <c r="E29" s="465" t="s">
        <v>27</v>
      </c>
    </row>
    <row r="30" spans="1:5" ht="15">
      <c r="A30" s="459" t="s">
        <v>5432</v>
      </c>
      <c r="B30" s="345" t="s">
        <v>5433</v>
      </c>
      <c r="C30" s="345" t="s">
        <v>5434</v>
      </c>
      <c r="D30" s="472" t="s">
        <v>9436</v>
      </c>
      <c r="E30" s="465" t="s">
        <v>27</v>
      </c>
    </row>
    <row r="31" spans="1:5" ht="15">
      <c r="A31" s="482" t="s">
        <v>5513</v>
      </c>
      <c r="B31" s="483" t="s">
        <v>5514</v>
      </c>
      <c r="C31" s="467" t="s">
        <v>5515</v>
      </c>
      <c r="D31" s="472"/>
      <c r="E31" s="465" t="s">
        <v>27</v>
      </c>
    </row>
    <row r="32" spans="1:5" ht="15">
      <c r="A32" s="484" t="s">
        <v>5429</v>
      </c>
      <c r="B32" s="460" t="s">
        <v>5430</v>
      </c>
      <c r="C32" s="460" t="s">
        <v>5431</v>
      </c>
      <c r="D32" s="472"/>
      <c r="E32" s="465" t="s">
        <v>27</v>
      </c>
    </row>
    <row r="33" spans="1:5" ht="15">
      <c r="A33" s="463" t="s">
        <v>5504</v>
      </c>
      <c r="B33" s="345" t="s">
        <v>5505</v>
      </c>
      <c r="C33" s="460" t="s">
        <v>5506</v>
      </c>
      <c r="D33" s="472"/>
      <c r="E33" s="465" t="s">
        <v>27</v>
      </c>
    </row>
    <row r="34" spans="1:5" ht="15">
      <c r="A34" s="463"/>
      <c r="B34" s="460"/>
      <c r="C34" s="460"/>
      <c r="D34" s="472"/>
      <c r="E34" s="465" t="s">
        <v>27</v>
      </c>
    </row>
    <row r="35" spans="1:5" ht="15" hidden="1">
      <c r="A35" s="463" t="s">
        <v>192</v>
      </c>
      <c r="B35" s="460" t="s">
        <v>608</v>
      </c>
      <c r="C35" s="460" t="s">
        <v>607</v>
      </c>
      <c r="D35" s="472" t="s">
        <v>9413</v>
      </c>
      <c r="E35" s="465" t="s">
        <v>38</v>
      </c>
    </row>
    <row r="36" spans="1:5" ht="15">
      <c r="A36" s="485" t="s">
        <v>9442</v>
      </c>
      <c r="B36" s="486" t="s">
        <v>9443</v>
      </c>
      <c r="C36" s="487" t="s">
        <v>9444</v>
      </c>
      <c r="D36" s="479" t="s">
        <v>9445</v>
      </c>
      <c r="E36" s="480" t="s">
        <v>27</v>
      </c>
    </row>
    <row r="37" spans="1:5" ht="15">
      <c r="A37" s="463" t="s">
        <v>5482</v>
      </c>
      <c r="B37" s="345" t="s">
        <v>5483</v>
      </c>
      <c r="C37" s="460" t="s">
        <v>5484</v>
      </c>
      <c r="D37" s="472" t="s">
        <v>9413</v>
      </c>
      <c r="E37" s="465" t="s">
        <v>27</v>
      </c>
    </row>
    <row r="38" spans="1:5" ht="15" hidden="1">
      <c r="A38" s="463" t="s">
        <v>601</v>
      </c>
      <c r="B38" s="345" t="s">
        <v>9446</v>
      </c>
      <c r="C38" s="345" t="s">
        <v>602</v>
      </c>
      <c r="D38" s="472" t="s">
        <v>9413</v>
      </c>
      <c r="E38" s="465" t="s">
        <v>38</v>
      </c>
    </row>
    <row r="39" spans="1:5" ht="15">
      <c r="A39" s="459" t="s">
        <v>5510</v>
      </c>
      <c r="B39" s="345" t="s">
        <v>5511</v>
      </c>
      <c r="C39" s="345" t="s">
        <v>5512</v>
      </c>
      <c r="D39" s="472" t="s">
        <v>9413</v>
      </c>
      <c r="E39" s="465" t="s">
        <v>27</v>
      </c>
    </row>
    <row r="40" spans="1:5" ht="15">
      <c r="A40" s="459" t="s">
        <v>9407</v>
      </c>
      <c r="B40" s="345" t="s">
        <v>5557</v>
      </c>
      <c r="C40" s="345" t="s">
        <v>5558</v>
      </c>
      <c r="D40" s="472" t="s">
        <v>9413</v>
      </c>
      <c r="E40" s="465" t="s">
        <v>27</v>
      </c>
    </row>
    <row r="41" spans="1:5" ht="15">
      <c r="A41" s="459" t="s">
        <v>9447</v>
      </c>
      <c r="B41" s="345" t="s">
        <v>9448</v>
      </c>
      <c r="C41" s="345" t="s">
        <v>9449</v>
      </c>
      <c r="D41" s="472" t="s">
        <v>9413</v>
      </c>
      <c r="E41" s="465" t="s">
        <v>27</v>
      </c>
    </row>
    <row r="42" spans="1:5" ht="15">
      <c r="A42" s="459" t="s">
        <v>5426</v>
      </c>
      <c r="B42" s="345" t="s">
        <v>5427</v>
      </c>
      <c r="C42" s="345" t="s">
        <v>5428</v>
      </c>
      <c r="D42" s="472" t="s">
        <v>9413</v>
      </c>
      <c r="E42" s="465" t="s">
        <v>27</v>
      </c>
    </row>
    <row r="43" spans="1:5" ht="15">
      <c r="A43" s="459" t="s">
        <v>9450</v>
      </c>
      <c r="B43" s="345" t="s">
        <v>9451</v>
      </c>
      <c r="C43" s="345" t="s">
        <v>9452</v>
      </c>
      <c r="D43" s="472" t="s">
        <v>9413</v>
      </c>
      <c r="E43" s="465" t="s">
        <v>27</v>
      </c>
    </row>
    <row r="44" spans="1:5" ht="15">
      <c r="A44" s="459" t="s">
        <v>5466</v>
      </c>
      <c r="B44" s="345" t="s">
        <v>5467</v>
      </c>
      <c r="C44" s="345" t="s">
        <v>5468</v>
      </c>
      <c r="D44" s="472" t="s">
        <v>9413</v>
      </c>
      <c r="E44" s="465" t="s">
        <v>27</v>
      </c>
    </row>
    <row r="45" spans="1:5" ht="15">
      <c r="A45" s="459" t="s">
        <v>9453</v>
      </c>
      <c r="B45" s="345" t="s">
        <v>9454</v>
      </c>
      <c r="C45" s="345" t="s">
        <v>5525</v>
      </c>
      <c r="D45" s="472" t="s">
        <v>9413</v>
      </c>
      <c r="E45" s="465" t="s">
        <v>27</v>
      </c>
    </row>
    <row r="46" spans="1:5" ht="15">
      <c r="A46" s="459" t="s">
        <v>5432</v>
      </c>
      <c r="B46" s="345" t="s">
        <v>5433</v>
      </c>
      <c r="C46" s="345" t="s">
        <v>5434</v>
      </c>
      <c r="D46" s="472" t="s">
        <v>9413</v>
      </c>
      <c r="E46" s="465" t="s">
        <v>27</v>
      </c>
    </row>
    <row r="47" spans="1:5" ht="15">
      <c r="A47" s="463" t="s">
        <v>5485</v>
      </c>
      <c r="B47" s="345" t="s">
        <v>5486</v>
      </c>
      <c r="C47" s="460" t="s">
        <v>5487</v>
      </c>
      <c r="D47" s="472" t="s">
        <v>9413</v>
      </c>
      <c r="E47" s="465" t="s">
        <v>27</v>
      </c>
    </row>
    <row r="48" spans="1:5" ht="15">
      <c r="A48" s="463" t="s">
        <v>5488</v>
      </c>
      <c r="B48" s="345" t="s">
        <v>5489</v>
      </c>
      <c r="C48" s="460" t="s">
        <v>9455</v>
      </c>
      <c r="D48" s="472" t="s">
        <v>9413</v>
      </c>
      <c r="E48" s="465" t="s">
        <v>27</v>
      </c>
    </row>
    <row r="49" spans="1:5" ht="15">
      <c r="A49" s="463" t="s">
        <v>226</v>
      </c>
      <c r="B49" s="345" t="s">
        <v>9456</v>
      </c>
      <c r="C49" s="460" t="s">
        <v>228</v>
      </c>
      <c r="D49" s="472" t="s">
        <v>9413</v>
      </c>
      <c r="E49" s="465" t="s">
        <v>27</v>
      </c>
    </row>
    <row r="50" spans="1:5" ht="15">
      <c r="A50" s="463" t="s">
        <v>9457</v>
      </c>
      <c r="B50" s="460" t="s">
        <v>9458</v>
      </c>
      <c r="C50" s="460" t="s">
        <v>9459</v>
      </c>
      <c r="D50" s="472" t="s">
        <v>9413</v>
      </c>
      <c r="E50" s="465" t="s">
        <v>27</v>
      </c>
    </row>
    <row r="51" spans="1:5" ht="15">
      <c r="A51" s="463" t="s">
        <v>9460</v>
      </c>
      <c r="B51" s="345" t="s">
        <v>9461</v>
      </c>
      <c r="C51" s="460" t="s">
        <v>9462</v>
      </c>
      <c r="D51" s="472" t="s">
        <v>9413</v>
      </c>
      <c r="E51" s="465" t="s">
        <v>27</v>
      </c>
    </row>
    <row r="52" spans="1:5" ht="15">
      <c r="A52" s="482" t="s">
        <v>5513</v>
      </c>
      <c r="B52" s="483" t="s">
        <v>5514</v>
      </c>
      <c r="C52" s="467" t="s">
        <v>5515</v>
      </c>
      <c r="D52" s="488" t="s">
        <v>9413</v>
      </c>
      <c r="E52" s="470" t="s">
        <v>27</v>
      </c>
    </row>
    <row r="53" spans="1:5" ht="15">
      <c r="A53" s="485" t="s">
        <v>5422</v>
      </c>
      <c r="B53" s="487" t="s">
        <v>5414</v>
      </c>
      <c r="C53" s="487" t="s">
        <v>5415</v>
      </c>
      <c r="D53" s="479" t="s">
        <v>9463</v>
      </c>
      <c r="E53" s="480" t="s">
        <v>27</v>
      </c>
    </row>
    <row r="54" spans="1:5" ht="15">
      <c r="A54" s="463" t="s">
        <v>5444</v>
      </c>
      <c r="B54" s="460" t="s">
        <v>5445</v>
      </c>
      <c r="C54" s="460" t="s">
        <v>3266</v>
      </c>
      <c r="D54" s="472" t="s">
        <v>9413</v>
      </c>
      <c r="E54" s="465" t="s">
        <v>27</v>
      </c>
    </row>
    <row r="55" spans="1:5" ht="15">
      <c r="A55" s="463" t="s">
        <v>5442</v>
      </c>
      <c r="B55" s="460" t="s">
        <v>5443</v>
      </c>
      <c r="C55" s="460" t="s">
        <v>2701</v>
      </c>
      <c r="D55" s="472" t="s">
        <v>9413</v>
      </c>
      <c r="E55" s="465" t="s">
        <v>27</v>
      </c>
    </row>
    <row r="56" spans="1:5" ht="15">
      <c r="A56" s="463" t="s">
        <v>9464</v>
      </c>
      <c r="B56" s="460" t="s">
        <v>5495</v>
      </c>
      <c r="C56" s="460" t="s">
        <v>5496</v>
      </c>
      <c r="D56" s="472" t="s">
        <v>9413</v>
      </c>
      <c r="E56" s="465" t="s">
        <v>27</v>
      </c>
    </row>
    <row r="57" spans="1:5" ht="15">
      <c r="A57" s="463" t="s">
        <v>9465</v>
      </c>
      <c r="B57" s="460" t="s">
        <v>5436</v>
      </c>
      <c r="C57" s="460" t="s">
        <v>5437</v>
      </c>
      <c r="D57" s="472" t="s">
        <v>9413</v>
      </c>
      <c r="E57" s="465" t="s">
        <v>27</v>
      </c>
    </row>
    <row r="58" spans="1:5" ht="15">
      <c r="A58" s="463" t="s">
        <v>5439</v>
      </c>
      <c r="B58" s="460" t="s">
        <v>5440</v>
      </c>
      <c r="C58" s="460" t="s">
        <v>5441</v>
      </c>
      <c r="D58" s="472" t="s">
        <v>9413</v>
      </c>
      <c r="E58" s="465" t="s">
        <v>27</v>
      </c>
    </row>
    <row r="59" spans="1:5" ht="15">
      <c r="A59" s="489" t="s">
        <v>5458</v>
      </c>
      <c r="B59" s="349" t="s">
        <v>5459</v>
      </c>
      <c r="C59" s="349" t="s">
        <v>9466</v>
      </c>
      <c r="D59" s="347" t="s">
        <v>9413</v>
      </c>
      <c r="E59" s="465" t="s">
        <v>27</v>
      </c>
    </row>
    <row r="60" spans="1:5" ht="15">
      <c r="A60" s="489" t="s">
        <v>5446</v>
      </c>
      <c r="B60" s="349" t="s">
        <v>5447</v>
      </c>
      <c r="C60" s="349" t="s">
        <v>5448</v>
      </c>
      <c r="D60" s="347" t="s">
        <v>9413</v>
      </c>
      <c r="E60" s="465" t="s">
        <v>27</v>
      </c>
    </row>
    <row r="61" spans="1:5" ht="15">
      <c r="A61" s="489" t="s">
        <v>5449</v>
      </c>
      <c r="B61" s="349" t="s">
        <v>5450</v>
      </c>
      <c r="C61" s="372" t="s">
        <v>5451</v>
      </c>
      <c r="D61" s="347" t="s">
        <v>9413</v>
      </c>
      <c r="E61" s="465" t="s">
        <v>27</v>
      </c>
    </row>
    <row r="62" spans="1:5" ht="15">
      <c r="A62" s="489" t="s">
        <v>3426</v>
      </c>
      <c r="B62" s="349" t="s">
        <v>9467</v>
      </c>
      <c r="C62" s="349" t="s">
        <v>9468</v>
      </c>
      <c r="D62" s="347" t="s">
        <v>9413</v>
      </c>
      <c r="E62" s="465" t="s">
        <v>27</v>
      </c>
    </row>
    <row r="63" spans="1:5" ht="15">
      <c r="A63" s="489" t="s">
        <v>5452</v>
      </c>
      <c r="B63" s="349" t="s">
        <v>5453</v>
      </c>
      <c r="C63" s="349" t="s">
        <v>5454</v>
      </c>
      <c r="D63" s="347" t="s">
        <v>9413</v>
      </c>
      <c r="E63" s="465" t="s">
        <v>27</v>
      </c>
    </row>
    <row r="64" spans="1:5" ht="15">
      <c r="A64" s="489" t="s">
        <v>9469</v>
      </c>
      <c r="B64" s="349" t="s">
        <v>5551</v>
      </c>
      <c r="C64" s="349" t="s">
        <v>5552</v>
      </c>
      <c r="D64" s="347" t="s">
        <v>9413</v>
      </c>
      <c r="E64" s="465" t="s">
        <v>27</v>
      </c>
    </row>
    <row r="65" spans="1:5" ht="15">
      <c r="A65" s="489" t="s">
        <v>5455</v>
      </c>
      <c r="B65" s="349" t="s">
        <v>5456</v>
      </c>
      <c r="C65" s="349" t="s">
        <v>5457</v>
      </c>
      <c r="D65" s="347" t="s">
        <v>9413</v>
      </c>
      <c r="E65" s="490" t="s">
        <v>27</v>
      </c>
    </row>
    <row r="66" spans="1:5" ht="15">
      <c r="A66" s="491"/>
      <c r="B66" s="492"/>
      <c r="C66" s="467"/>
      <c r="D66" s="493"/>
      <c r="E66" s="470"/>
    </row>
    <row r="67" spans="1:5" ht="18">
      <c r="A67" s="676" t="s">
        <v>9470</v>
      </c>
      <c r="B67" s="677"/>
      <c r="C67" s="677"/>
      <c r="D67" s="677"/>
      <c r="E67" s="678"/>
    </row>
    <row r="68" spans="1:5" ht="15">
      <c r="A68" s="463" t="s">
        <v>9471</v>
      </c>
      <c r="B68" s="460" t="s">
        <v>5606</v>
      </c>
      <c r="C68" s="460" t="s">
        <v>5607</v>
      </c>
      <c r="D68" s="461" t="s">
        <v>9472</v>
      </c>
      <c r="E68" s="465" t="s">
        <v>27</v>
      </c>
    </row>
    <row r="69" spans="1:5" ht="15">
      <c r="A69" s="463" t="s">
        <v>9473</v>
      </c>
      <c r="B69" s="460" t="s">
        <v>9474</v>
      </c>
      <c r="C69" s="460" t="s">
        <v>9475</v>
      </c>
      <c r="D69" s="472" t="s">
        <v>9476</v>
      </c>
      <c r="E69" s="465" t="s">
        <v>27</v>
      </c>
    </row>
    <row r="70" spans="1:5" ht="15">
      <c r="A70" s="484" t="s">
        <v>5429</v>
      </c>
      <c r="B70" s="460" t="s">
        <v>5430</v>
      </c>
      <c r="C70" s="460" t="s">
        <v>5431</v>
      </c>
      <c r="D70" s="472" t="s">
        <v>9476</v>
      </c>
      <c r="E70" s="465" t="s">
        <v>27</v>
      </c>
    </row>
    <row r="71" spans="1:5" ht="15">
      <c r="A71" s="494" t="s">
        <v>5573</v>
      </c>
      <c r="B71" s="460" t="s">
        <v>5574</v>
      </c>
      <c r="C71" s="460" t="s">
        <v>5575</v>
      </c>
      <c r="D71" s="472" t="s">
        <v>9476</v>
      </c>
      <c r="E71" s="470" t="s">
        <v>27</v>
      </c>
    </row>
    <row r="72" spans="1:5" ht="15">
      <c r="A72" s="495" t="s">
        <v>9477</v>
      </c>
      <c r="B72" s="349" t="s">
        <v>5580</v>
      </c>
      <c r="C72" s="349" t="s">
        <v>5581</v>
      </c>
      <c r="D72" s="347" t="s">
        <v>9476</v>
      </c>
      <c r="E72" s="470" t="s">
        <v>27</v>
      </c>
    </row>
    <row r="73" spans="1:5" ht="15">
      <c r="A73" s="352" t="s">
        <v>9478</v>
      </c>
      <c r="B73" s="349" t="s">
        <v>5492</v>
      </c>
      <c r="C73" s="349" t="s">
        <v>5493</v>
      </c>
      <c r="D73" s="355" t="s">
        <v>9476</v>
      </c>
      <c r="E73" s="470" t="s">
        <v>27</v>
      </c>
    </row>
    <row r="74" spans="1:5" ht="15">
      <c r="A74" s="496" t="s">
        <v>5585</v>
      </c>
      <c r="B74" s="360" t="s">
        <v>5586</v>
      </c>
      <c r="C74" s="360" t="s">
        <v>5587</v>
      </c>
      <c r="D74" s="355" t="s">
        <v>9476</v>
      </c>
      <c r="E74" s="470" t="s">
        <v>27</v>
      </c>
    </row>
    <row r="75" spans="1:5" ht="18">
      <c r="A75" s="676" t="s">
        <v>9479</v>
      </c>
      <c r="B75" s="677"/>
      <c r="C75" s="677"/>
      <c r="D75" s="677"/>
      <c r="E75" s="678"/>
    </row>
    <row r="76" spans="1:5" ht="30">
      <c r="A76" s="482" t="s">
        <v>5527</v>
      </c>
      <c r="B76" s="497" t="s">
        <v>5520</v>
      </c>
      <c r="C76" s="497"/>
      <c r="D76" s="498" t="s">
        <v>9480</v>
      </c>
      <c r="E76" s="499" t="s">
        <v>27</v>
      </c>
    </row>
    <row r="77" spans="1:5" ht="15">
      <c r="A77" s="500" t="s">
        <v>9481</v>
      </c>
      <c r="B77" s="360" t="s">
        <v>5502</v>
      </c>
      <c r="C77" s="360"/>
      <c r="D77" s="496" t="s">
        <v>9482</v>
      </c>
      <c r="E77" s="501" t="s">
        <v>27</v>
      </c>
    </row>
    <row r="78" spans="1:5" ht="15">
      <c r="A78" s="489" t="s">
        <v>9483</v>
      </c>
      <c r="B78" s="349" t="s">
        <v>9484</v>
      </c>
      <c r="C78" s="349"/>
      <c r="D78" s="352" t="s">
        <v>9482</v>
      </c>
      <c r="E78" s="490" t="s">
        <v>27</v>
      </c>
    </row>
    <row r="79" spans="1:5" ht="30">
      <c r="A79" s="489" t="s">
        <v>5531</v>
      </c>
      <c r="B79" s="351" t="s">
        <v>9485</v>
      </c>
      <c r="C79" s="502" t="s">
        <v>9486</v>
      </c>
      <c r="D79" s="498" t="s">
        <v>9480</v>
      </c>
      <c r="E79" s="465" t="s">
        <v>27</v>
      </c>
    </row>
    <row r="80" spans="1:5" ht="18">
      <c r="A80" s="676" t="s">
        <v>9487</v>
      </c>
      <c r="B80" s="677"/>
      <c r="C80" s="677"/>
      <c r="D80" s="677"/>
      <c r="E80" s="678"/>
    </row>
    <row r="81" spans="1:5" ht="15">
      <c r="A81" s="463" t="s">
        <v>9488</v>
      </c>
      <c r="B81" s="460" t="s">
        <v>9489</v>
      </c>
      <c r="C81" s="460" t="s">
        <v>9490</v>
      </c>
      <c r="D81" s="472" t="s">
        <v>9491</v>
      </c>
      <c r="E81" s="465" t="s">
        <v>27</v>
      </c>
    </row>
    <row r="82" spans="1:5" ht="15">
      <c r="A82" s="503" t="s">
        <v>9492</v>
      </c>
      <c r="B82" s="504" t="s">
        <v>9493</v>
      </c>
      <c r="C82" s="505" t="s">
        <v>9494</v>
      </c>
      <c r="D82" s="506" t="s">
        <v>9495</v>
      </c>
      <c r="E82" s="507" t="s">
        <v>27</v>
      </c>
    </row>
    <row r="83" spans="1:5" ht="18">
      <c r="A83" s="680" t="s">
        <v>9496</v>
      </c>
      <c r="B83" s="681"/>
      <c r="C83" s="681"/>
      <c r="D83" s="681"/>
      <c r="E83" s="682"/>
    </row>
    <row r="84" spans="1:5" ht="15">
      <c r="A84" s="459" t="s">
        <v>9497</v>
      </c>
      <c r="B84" s="364" t="s">
        <v>9498</v>
      </c>
      <c r="C84" s="345" t="s">
        <v>9499</v>
      </c>
      <c r="D84" s="508" t="s">
        <v>9500</v>
      </c>
      <c r="E84" s="465" t="s">
        <v>27</v>
      </c>
    </row>
    <row r="85" spans="1:5" ht="15">
      <c r="A85" s="482" t="s">
        <v>9501</v>
      </c>
      <c r="B85" s="497" t="s">
        <v>9502</v>
      </c>
      <c r="C85" s="509" t="s">
        <v>9503</v>
      </c>
      <c r="D85" s="510" t="s">
        <v>9504</v>
      </c>
      <c r="E85" s="470" t="s">
        <v>27</v>
      </c>
    </row>
    <row r="86" spans="1:5" ht="15">
      <c r="A86" s="500" t="s">
        <v>9505</v>
      </c>
      <c r="B86" s="360" t="s">
        <v>9506</v>
      </c>
      <c r="C86" s="360" t="s">
        <v>9507</v>
      </c>
      <c r="D86" s="353" t="s">
        <v>9508</v>
      </c>
      <c r="E86" s="501" t="s">
        <v>27</v>
      </c>
    </row>
    <row r="87" spans="1:5" ht="15">
      <c r="A87" s="511" t="s">
        <v>9509</v>
      </c>
      <c r="B87" s="360" t="s">
        <v>9510</v>
      </c>
      <c r="C87" s="360" t="s">
        <v>9511</v>
      </c>
      <c r="D87" s="512" t="s">
        <v>9512</v>
      </c>
      <c r="E87" s="501" t="s">
        <v>27</v>
      </c>
    </row>
    <row r="88" spans="1:5" ht="15">
      <c r="A88" s="513" t="s">
        <v>9513</v>
      </c>
      <c r="B88" s="360" t="s">
        <v>9510</v>
      </c>
      <c r="C88" s="360" t="s">
        <v>9514</v>
      </c>
      <c r="D88" s="512" t="s">
        <v>9512</v>
      </c>
      <c r="E88" s="501" t="s">
        <v>27</v>
      </c>
    </row>
    <row r="89" spans="1:5" ht="15">
      <c r="A89" s="513" t="s">
        <v>9515</v>
      </c>
      <c r="B89" s="360" t="s">
        <v>9510</v>
      </c>
      <c r="C89" s="360" t="s">
        <v>9516</v>
      </c>
      <c r="D89" s="512" t="s">
        <v>9512</v>
      </c>
      <c r="E89" s="501" t="s">
        <v>27</v>
      </c>
    </row>
    <row r="90" spans="1:5" ht="15">
      <c r="A90" s="513" t="s">
        <v>9517</v>
      </c>
      <c r="B90" s="360" t="s">
        <v>9510</v>
      </c>
      <c r="C90" s="360" t="s">
        <v>9518</v>
      </c>
      <c r="D90" s="512" t="s">
        <v>9512</v>
      </c>
      <c r="E90" s="501" t="s">
        <v>27</v>
      </c>
    </row>
    <row r="91" spans="1:5" ht="15">
      <c r="A91" s="513" t="s">
        <v>9519</v>
      </c>
      <c r="B91" s="360" t="s">
        <v>9510</v>
      </c>
      <c r="C91" s="360" t="s">
        <v>9520</v>
      </c>
      <c r="D91" s="512" t="s">
        <v>9512</v>
      </c>
      <c r="E91" s="501" t="s">
        <v>6406</v>
      </c>
    </row>
    <row r="92" spans="1:5" ht="15">
      <c r="A92" s="513" t="s">
        <v>9521</v>
      </c>
      <c r="B92" s="360" t="s">
        <v>9510</v>
      </c>
      <c r="C92" s="360" t="s">
        <v>9522</v>
      </c>
      <c r="D92" s="514" t="s">
        <v>9512</v>
      </c>
      <c r="E92" s="501" t="s">
        <v>6406</v>
      </c>
    </row>
    <row r="93" spans="1:5" ht="18">
      <c r="A93" s="676" t="s">
        <v>9523</v>
      </c>
      <c r="B93" s="677"/>
      <c r="C93" s="677"/>
      <c r="D93" s="677"/>
      <c r="E93" s="678"/>
    </row>
    <row r="94" spans="1:5" ht="15">
      <c r="A94" s="463" t="s">
        <v>178</v>
      </c>
      <c r="B94" s="460" t="s">
        <v>9524</v>
      </c>
      <c r="C94" s="460" t="s">
        <v>299</v>
      </c>
      <c r="D94" s="472" t="s">
        <v>9525</v>
      </c>
      <c r="E94" s="465" t="s">
        <v>27</v>
      </c>
    </row>
    <row r="95" spans="1:5" ht="15">
      <c r="A95" s="463" t="s">
        <v>60</v>
      </c>
      <c r="B95" s="460" t="s">
        <v>9526</v>
      </c>
      <c r="C95" s="460" t="s">
        <v>644</v>
      </c>
      <c r="D95" s="472" t="s">
        <v>9527</v>
      </c>
      <c r="E95" s="465" t="s">
        <v>27</v>
      </c>
    </row>
    <row r="96" spans="1:5" ht="15">
      <c r="A96" s="463" t="s">
        <v>69</v>
      </c>
      <c r="B96" s="460" t="s">
        <v>9528</v>
      </c>
      <c r="C96" s="460" t="s">
        <v>9529</v>
      </c>
      <c r="D96" s="472" t="s">
        <v>18</v>
      </c>
      <c r="E96" s="465" t="s">
        <v>27</v>
      </c>
    </row>
    <row r="97" spans="1:5" ht="15">
      <c r="A97" s="463" t="s">
        <v>192</v>
      </c>
      <c r="B97" s="460" t="s">
        <v>608</v>
      </c>
      <c r="C97" s="460" t="s">
        <v>607</v>
      </c>
      <c r="D97" s="472" t="s">
        <v>9530</v>
      </c>
      <c r="E97" s="465" t="s">
        <v>27</v>
      </c>
    </row>
    <row r="98" spans="1:5" ht="15">
      <c r="A98" s="463" t="s">
        <v>6182</v>
      </c>
      <c r="B98" s="460" t="s">
        <v>9531</v>
      </c>
      <c r="C98" s="460" t="s">
        <v>333</v>
      </c>
      <c r="D98" s="472" t="s">
        <v>10</v>
      </c>
      <c r="E98" s="465" t="s">
        <v>27</v>
      </c>
    </row>
    <row r="99" spans="1:5" ht="15">
      <c r="A99" s="463" t="s">
        <v>3573</v>
      </c>
      <c r="B99" s="460" t="s">
        <v>353</v>
      </c>
      <c r="C99" s="460" t="s">
        <v>352</v>
      </c>
      <c r="D99" s="472" t="s">
        <v>11</v>
      </c>
      <c r="E99" s="465" t="s">
        <v>27</v>
      </c>
    </row>
    <row r="100" spans="1:5" ht="15">
      <c r="A100" s="463" t="s">
        <v>154</v>
      </c>
      <c r="B100" s="460" t="s">
        <v>9532</v>
      </c>
      <c r="C100" s="460" t="s">
        <v>9533</v>
      </c>
      <c r="D100" s="472" t="s">
        <v>12</v>
      </c>
      <c r="E100" s="465" t="s">
        <v>27</v>
      </c>
    </row>
    <row r="101" spans="1:5" ht="15">
      <c r="A101" s="463" t="s">
        <v>9534</v>
      </c>
      <c r="B101" s="460" t="s">
        <v>9535</v>
      </c>
      <c r="C101" s="460"/>
      <c r="D101" s="472" t="s">
        <v>12</v>
      </c>
      <c r="E101" s="465" t="s">
        <v>27</v>
      </c>
    </row>
    <row r="102" spans="1:5" ht="15">
      <c r="A102" s="463" t="s">
        <v>9536</v>
      </c>
      <c r="B102" s="460" t="s">
        <v>9537</v>
      </c>
      <c r="C102" s="460" t="s">
        <v>489</v>
      </c>
      <c r="D102" s="472" t="s">
        <v>9538</v>
      </c>
      <c r="E102" s="465" t="s">
        <v>27</v>
      </c>
    </row>
    <row r="103" spans="1:5" ht="15">
      <c r="A103" s="463" t="s">
        <v>471</v>
      </c>
      <c r="B103" s="460" t="s">
        <v>9539</v>
      </c>
      <c r="C103" s="460" t="s">
        <v>800</v>
      </c>
      <c r="D103" s="472" t="s">
        <v>9540</v>
      </c>
      <c r="E103" s="465" t="s">
        <v>27</v>
      </c>
    </row>
    <row r="104" spans="1:5" ht="15">
      <c r="A104" s="463" t="s">
        <v>9541</v>
      </c>
      <c r="B104" s="460" t="s">
        <v>1151</v>
      </c>
      <c r="C104" s="460" t="s">
        <v>1150</v>
      </c>
      <c r="D104" s="472" t="s">
        <v>9542</v>
      </c>
      <c r="E104" s="465" t="s">
        <v>27</v>
      </c>
    </row>
    <row r="105" spans="1:5" ht="15">
      <c r="A105" s="463" t="s">
        <v>8104</v>
      </c>
      <c r="B105" s="460" t="s">
        <v>9543</v>
      </c>
      <c r="C105" s="460" t="s">
        <v>9544</v>
      </c>
      <c r="D105" s="472" t="s">
        <v>9545</v>
      </c>
      <c r="E105" s="465" t="s">
        <v>27</v>
      </c>
    </row>
    <row r="106" spans="1:5" ht="15">
      <c r="A106" s="515" t="s">
        <v>5601</v>
      </c>
      <c r="B106" s="516" t="s">
        <v>5602</v>
      </c>
      <c r="C106" s="516" t="s">
        <v>5603</v>
      </c>
      <c r="D106" s="517" t="s">
        <v>5604</v>
      </c>
      <c r="E106" s="518" t="s">
        <v>27</v>
      </c>
    </row>
    <row r="107" spans="1:5" ht="18">
      <c r="A107" s="676" t="s">
        <v>9546</v>
      </c>
      <c r="B107" s="677"/>
      <c r="C107" s="677"/>
      <c r="D107" s="677"/>
      <c r="E107" s="678"/>
    </row>
    <row r="108" spans="1:5" ht="45">
      <c r="A108" s="463" t="s">
        <v>9547</v>
      </c>
      <c r="B108" s="460" t="s">
        <v>9548</v>
      </c>
      <c r="C108" s="460" t="s">
        <v>9549</v>
      </c>
      <c r="D108" s="519" t="s">
        <v>9550</v>
      </c>
      <c r="E108" s="465" t="s">
        <v>27</v>
      </c>
    </row>
    <row r="109" spans="1:5" ht="15">
      <c r="A109" s="463"/>
      <c r="B109" s="472"/>
      <c r="C109" s="520"/>
      <c r="D109" s="472"/>
      <c r="E109" s="465"/>
    </row>
    <row r="110" spans="1:5" ht="15">
      <c r="A110" s="463"/>
      <c r="B110" s="472"/>
      <c r="C110" s="520"/>
      <c r="D110" s="472"/>
      <c r="E110" s="465"/>
    </row>
    <row r="111" spans="1:5" ht="12.75">
      <c r="A111" s="521"/>
      <c r="B111" s="522"/>
      <c r="C111" s="522"/>
      <c r="D111" s="522"/>
      <c r="E111" s="523"/>
    </row>
  </sheetData>
  <autoFilter ref="A2:E65" xr:uid="{00000000-0009-0000-0000-000006000000}"/>
  <mergeCells count="9">
    <mergeCell ref="A93:E93"/>
    <mergeCell ref="A107:E107"/>
    <mergeCell ref="A1:E1"/>
    <mergeCell ref="A3:E3"/>
    <mergeCell ref="A9:E9"/>
    <mergeCell ref="A67:E67"/>
    <mergeCell ref="A75:E75"/>
    <mergeCell ref="A80:E80"/>
    <mergeCell ref="A83:E83"/>
  </mergeCells>
  <dataValidations count="1">
    <dataValidation type="list" allowBlank="1" showErrorMessage="1" sqref="E4:E8 E10:E66 E68:E74 E76:E79 E81:E82 E84:E92 E94:E106 E108" xr:uid="{00000000-0002-0000-0600-000000000000}">
      <formula1>"Працює,Звільнено,Навчання"</formula1>
    </dataValidation>
  </dataValidations>
  <hyperlinks>
    <hyperlink ref="C13" r:id="rId1" xr:uid="{00000000-0004-0000-0600-000000000000}"/>
    <hyperlink ref="C14" r:id="rId2" xr:uid="{00000000-0004-0000-0600-000001000000}"/>
    <hyperlink ref="C15" r:id="rId3" xr:uid="{00000000-0004-0000-0600-000002000000}"/>
    <hyperlink ref="C16" r:id="rId4" xr:uid="{00000000-0004-0000-0600-000003000000}"/>
    <hyperlink ref="C18" r:id="rId5" xr:uid="{00000000-0004-0000-0600-000004000000}"/>
    <hyperlink ref="C19" r:id="rId6" xr:uid="{00000000-0004-0000-0600-000005000000}"/>
    <hyperlink ref="C21" r:id="rId7" xr:uid="{00000000-0004-0000-0600-000006000000}"/>
    <hyperlink ref="C33" r:id="rId8" xr:uid="{00000000-0004-0000-0600-000007000000}"/>
    <hyperlink ref="C36" r:id="rId9" xr:uid="{00000000-0004-0000-0600-000008000000}"/>
    <hyperlink ref="C50" r:id="rId10" xr:uid="{00000000-0004-0000-0600-000009000000}"/>
    <hyperlink ref="C79" r:id="rId11" xr:uid="{00000000-0004-0000-0600-00000A000000}"/>
    <hyperlink ref="C85" r:id="rId12" xr:uid="{00000000-0004-0000-0600-00000B000000}"/>
    <hyperlink ref="C86" r:id="rId13" xr:uid="{00000000-0004-0000-0600-00000C000000}"/>
    <hyperlink ref="C87" r:id="rId14" xr:uid="{00000000-0004-0000-0600-00000D000000}"/>
    <hyperlink ref="C88" r:id="rId15" xr:uid="{00000000-0004-0000-0600-00000E000000}"/>
    <hyperlink ref="C89" r:id="rId16" xr:uid="{00000000-0004-0000-0600-00000F000000}"/>
    <hyperlink ref="C90" r:id="rId17" xr:uid="{00000000-0004-0000-0600-000010000000}"/>
    <hyperlink ref="C91" r:id="rId18" xr:uid="{00000000-0004-0000-0600-000011000000}"/>
    <hyperlink ref="C92" r:id="rId19" xr:uid="{00000000-0004-0000-0600-00001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3"/>
  <sheetViews>
    <sheetView workbookViewId="0"/>
  </sheetViews>
  <sheetFormatPr defaultColWidth="12.5703125" defaultRowHeight="15.75" customHeight="1"/>
  <cols>
    <col min="2" max="2" width="37.42578125" customWidth="1"/>
    <col min="3" max="3" width="49.28515625" customWidth="1"/>
    <col min="4" max="4" width="15.42578125" customWidth="1"/>
  </cols>
  <sheetData>
    <row r="1" spans="1:26">
      <c r="A1" s="524" t="s">
        <v>9551</v>
      </c>
      <c r="B1" s="524" t="s">
        <v>5613</v>
      </c>
      <c r="C1" s="524" t="s">
        <v>9552</v>
      </c>
      <c r="D1" s="524" t="s">
        <v>9553</v>
      </c>
      <c r="E1" s="524"/>
      <c r="F1" s="524"/>
      <c r="G1" s="524"/>
      <c r="H1" s="524"/>
      <c r="I1" s="524"/>
      <c r="J1" s="524"/>
      <c r="K1" s="524"/>
      <c r="L1" s="524"/>
      <c r="M1" s="524"/>
      <c r="N1" s="524"/>
      <c r="O1" s="524"/>
      <c r="P1" s="524"/>
      <c r="Q1" s="524"/>
      <c r="R1" s="524"/>
      <c r="S1" s="524"/>
      <c r="T1" s="524"/>
      <c r="U1" s="524"/>
      <c r="V1" s="524"/>
      <c r="W1" s="524"/>
      <c r="X1" s="524"/>
      <c r="Y1" s="524"/>
      <c r="Z1" s="524"/>
    </row>
    <row r="2" spans="1:26">
      <c r="A2" s="525">
        <v>45243</v>
      </c>
      <c r="B2" s="36" t="s">
        <v>9554</v>
      </c>
      <c r="C2" s="36" t="s">
        <v>9555</v>
      </c>
    </row>
    <row r="3" spans="1:26">
      <c r="A3" s="525">
        <v>45611</v>
      </c>
      <c r="B3" s="36" t="s">
        <v>9554</v>
      </c>
      <c r="C3" s="36" t="s">
        <v>9556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3"/>
  <sheetViews>
    <sheetView workbookViewId="0"/>
  </sheetViews>
  <sheetFormatPr defaultColWidth="12.5703125" defaultRowHeight="15.75" customHeight="1"/>
  <cols>
    <col min="1" max="1" width="21.5703125" customWidth="1"/>
  </cols>
  <sheetData>
    <row r="1" spans="1:27" ht="15.75" customHeight="1">
      <c r="A1" s="526" t="str">
        <f ca="1">IFERROR(__xludf.DUMMYFUNCTION("IMPORTRANGE(""https://docs.google.com/spreadsheets/d/1Ofit0NqznbmQiB__-jzd3He_EOZ6r5Ip1r-sMdP4OmQ/edit#gid=1857423122"",""'Березень_24'!A:I"")"),"#REF!")</f>
        <v>#REF!</v>
      </c>
      <c r="B1" s="527"/>
      <c r="C1" s="527"/>
      <c r="D1" s="527"/>
      <c r="E1" s="527"/>
      <c r="F1" s="527"/>
      <c r="G1" s="527"/>
      <c r="H1" s="527"/>
      <c r="I1" s="528"/>
      <c r="L1" s="529" t="str">
        <f ca="1">IFERROR(__xludf.DUMMYFUNCTION("IMPORTRANGE(""https://docs.google.com/spreadsheets/d/1Ofit0NqznbmQiB__-jzd3He_EOZ6r5Ip1r-sMdP4OmQ/edit#gid=1857423122"",""'Лютий_24'!A:I"")"),"#REF!")</f>
        <v>#REF!</v>
      </c>
    </row>
    <row r="2" spans="1:27" ht="15.75" customHeight="1">
      <c r="A2" s="527"/>
      <c r="B2" s="527"/>
      <c r="C2" s="527"/>
      <c r="D2" s="527"/>
      <c r="E2" s="527"/>
      <c r="F2" s="527"/>
      <c r="G2" s="527"/>
      <c r="H2" s="527"/>
      <c r="I2" s="528"/>
      <c r="J2" s="530"/>
      <c r="K2" s="530"/>
      <c r="L2" s="530"/>
      <c r="M2" s="530"/>
      <c r="N2" s="530"/>
      <c r="O2" s="530"/>
      <c r="P2" s="530"/>
      <c r="Q2" s="530"/>
      <c r="R2" s="530"/>
      <c r="S2" s="530"/>
      <c r="T2" s="530"/>
      <c r="U2" s="530"/>
      <c r="V2" s="530"/>
      <c r="W2" s="530"/>
      <c r="X2" s="530"/>
      <c r="Y2" s="530"/>
      <c r="Z2" s="530"/>
      <c r="AA2" s="530"/>
    </row>
    <row r="3" spans="1:27" ht="15.75" customHeight="1">
      <c r="A3" s="527"/>
      <c r="B3" s="527"/>
      <c r="C3" s="527"/>
      <c r="D3" s="527"/>
      <c r="E3" s="527"/>
      <c r="F3" s="527"/>
      <c r="G3" s="527"/>
      <c r="H3" s="527"/>
      <c r="I3" s="528"/>
      <c r="K3" s="531"/>
      <c r="L3" s="531"/>
      <c r="M3" s="531"/>
      <c r="N3" s="531"/>
      <c r="O3" s="531"/>
      <c r="P3" s="531"/>
      <c r="Q3" s="531"/>
      <c r="R3" s="531"/>
      <c r="S3" s="531"/>
      <c r="T3" s="531"/>
      <c r="U3" s="531"/>
      <c r="V3" s="531"/>
      <c r="W3" s="531"/>
      <c r="X3" s="531"/>
      <c r="Y3" s="531"/>
      <c r="Z3" s="531"/>
      <c r="AA3" s="531"/>
    </row>
    <row r="4" spans="1:27" ht="15.75" customHeight="1">
      <c r="A4" s="527"/>
      <c r="B4" s="527"/>
      <c r="C4" s="527"/>
      <c r="D4" s="527"/>
      <c r="E4" s="527"/>
      <c r="F4" s="527"/>
      <c r="G4" s="527"/>
      <c r="H4" s="527"/>
      <c r="I4" s="528"/>
      <c r="K4" s="531"/>
      <c r="L4" s="531"/>
      <c r="M4" s="531"/>
      <c r="N4" s="531"/>
      <c r="O4" s="531"/>
      <c r="P4" s="531"/>
      <c r="Q4" s="531"/>
      <c r="R4" s="531"/>
      <c r="S4" s="531"/>
      <c r="T4" s="531"/>
      <c r="U4" s="531"/>
      <c r="V4" s="531"/>
      <c r="W4" s="531"/>
      <c r="X4" s="531"/>
      <c r="Y4" s="531"/>
      <c r="Z4" s="531"/>
      <c r="AA4" s="531"/>
    </row>
    <row r="5" spans="1:27" ht="15.75" customHeight="1">
      <c r="A5" s="527"/>
      <c r="B5" s="527"/>
      <c r="C5" s="527"/>
      <c r="D5" s="527"/>
      <c r="E5" s="527"/>
      <c r="F5" s="527"/>
      <c r="G5" s="527"/>
      <c r="H5" s="527"/>
      <c r="I5" s="528"/>
      <c r="K5" s="531"/>
      <c r="L5" s="531"/>
      <c r="M5" s="531"/>
      <c r="N5" s="531"/>
      <c r="O5" s="531"/>
      <c r="P5" s="531"/>
      <c r="Q5" s="531"/>
      <c r="R5" s="531"/>
      <c r="S5" s="531"/>
      <c r="T5" s="531"/>
      <c r="U5" s="531"/>
      <c r="V5" s="531"/>
      <c r="W5" s="531"/>
      <c r="X5" s="531"/>
      <c r="Y5" s="531"/>
      <c r="Z5" s="531"/>
      <c r="AA5" s="531"/>
    </row>
    <row r="6" spans="1:27" ht="15.75" customHeight="1">
      <c r="A6" s="527"/>
      <c r="B6" s="527"/>
      <c r="C6" s="527"/>
      <c r="D6" s="527"/>
      <c r="E6" s="527"/>
      <c r="F6" s="527"/>
      <c r="G6" s="527"/>
      <c r="H6" s="527"/>
      <c r="I6" s="528"/>
      <c r="K6" s="531"/>
      <c r="L6" s="531"/>
      <c r="M6" s="531"/>
      <c r="N6" s="531"/>
      <c r="O6" s="531"/>
      <c r="P6" s="531"/>
      <c r="Q6" s="531"/>
      <c r="R6" s="531"/>
      <c r="S6" s="531"/>
      <c r="T6" s="531"/>
      <c r="U6" s="531"/>
      <c r="V6" s="531"/>
      <c r="W6" s="531"/>
      <c r="X6" s="531"/>
      <c r="Y6" s="531"/>
      <c r="Z6" s="531"/>
      <c r="AA6" s="531"/>
    </row>
    <row r="7" spans="1:27" ht="15.75" customHeight="1">
      <c r="A7" s="527"/>
      <c r="B7" s="527"/>
      <c r="C7" s="527"/>
      <c r="D7" s="527"/>
      <c r="E7" s="527"/>
      <c r="F7" s="527"/>
      <c r="G7" s="527"/>
      <c r="H7" s="527"/>
      <c r="I7" s="528"/>
      <c r="K7" s="531"/>
      <c r="L7" s="531"/>
      <c r="M7" s="531"/>
      <c r="N7" s="531"/>
      <c r="O7" s="531"/>
      <c r="P7" s="531"/>
      <c r="Q7" s="531"/>
      <c r="R7" s="531"/>
      <c r="S7" s="531"/>
      <c r="T7" s="531"/>
      <c r="U7" s="531"/>
      <c r="V7" s="531"/>
      <c r="W7" s="531"/>
      <c r="X7" s="531"/>
      <c r="Y7" s="531"/>
      <c r="Z7" s="531"/>
      <c r="AA7" s="531"/>
    </row>
    <row r="8" spans="1:27" ht="15.75" customHeight="1">
      <c r="A8" s="527"/>
      <c r="B8" s="527"/>
      <c r="C8" s="527"/>
      <c r="D8" s="527"/>
      <c r="E8" s="527"/>
      <c r="F8" s="527"/>
      <c r="G8" s="527"/>
      <c r="H8" s="527"/>
      <c r="I8" s="528"/>
      <c r="K8" s="531"/>
      <c r="L8" s="531"/>
      <c r="M8" s="531"/>
      <c r="N8" s="531"/>
      <c r="O8" s="531"/>
      <c r="P8" s="531"/>
      <c r="Q8" s="531"/>
      <c r="R8" s="531"/>
      <c r="S8" s="531"/>
      <c r="T8" s="531"/>
      <c r="U8" s="531"/>
      <c r="V8" s="531"/>
      <c r="W8" s="531"/>
      <c r="X8" s="531"/>
      <c r="Y8" s="531"/>
      <c r="Z8" s="531"/>
      <c r="AA8" s="531"/>
    </row>
    <row r="9" spans="1:27" ht="15.75" customHeight="1">
      <c r="A9" s="527"/>
      <c r="B9" s="527"/>
      <c r="C9" s="527"/>
      <c r="D9" s="527"/>
      <c r="E9" s="527"/>
      <c r="F9" s="527"/>
      <c r="G9" s="527"/>
      <c r="H9" s="527"/>
      <c r="I9" s="528"/>
      <c r="K9" s="531"/>
      <c r="L9" s="531"/>
      <c r="M9" s="531"/>
      <c r="N9" s="531"/>
      <c r="O9" s="531"/>
      <c r="P9" s="531"/>
      <c r="Q9" s="531"/>
      <c r="R9" s="531"/>
      <c r="S9" s="531"/>
      <c r="T9" s="531"/>
      <c r="U9" s="531"/>
      <c r="V9" s="531"/>
      <c r="W9" s="531"/>
      <c r="X9" s="531"/>
      <c r="Y9" s="531"/>
      <c r="Z9" s="531"/>
      <c r="AA9" s="531"/>
    </row>
    <row r="10" spans="1:27" ht="15.75" customHeight="1">
      <c r="A10" s="527"/>
      <c r="B10" s="527"/>
      <c r="C10" s="527"/>
      <c r="D10" s="527"/>
      <c r="E10" s="527"/>
      <c r="F10" s="527"/>
      <c r="G10" s="527"/>
      <c r="H10" s="527"/>
      <c r="I10" s="528"/>
      <c r="K10" s="531"/>
      <c r="L10" s="531"/>
      <c r="M10" s="531"/>
      <c r="N10" s="531"/>
      <c r="O10" s="531"/>
      <c r="P10" s="531"/>
      <c r="Q10" s="531"/>
      <c r="R10" s="531"/>
      <c r="S10" s="531"/>
      <c r="T10" s="531"/>
      <c r="U10" s="531"/>
      <c r="V10" s="531"/>
      <c r="W10" s="531"/>
      <c r="X10" s="531"/>
      <c r="Y10" s="531"/>
      <c r="Z10" s="531"/>
      <c r="AA10" s="531"/>
    </row>
    <row r="11" spans="1:27" ht="15.75" customHeight="1">
      <c r="A11" s="527"/>
      <c r="B11" s="527"/>
      <c r="C11" s="527"/>
      <c r="D11" s="527"/>
      <c r="E11" s="527"/>
      <c r="F11" s="527"/>
      <c r="G11" s="527"/>
      <c r="H11" s="527"/>
      <c r="I11" s="528"/>
      <c r="K11" s="531"/>
      <c r="L11" s="531"/>
      <c r="M11" s="531"/>
      <c r="N11" s="531"/>
      <c r="O11" s="531"/>
      <c r="P11" s="531"/>
      <c r="Q11" s="531"/>
      <c r="R11" s="531"/>
      <c r="S11" s="531"/>
      <c r="T11" s="531"/>
      <c r="U11" s="531"/>
      <c r="V11" s="531"/>
      <c r="W11" s="531"/>
      <c r="X11" s="531"/>
      <c r="Y11" s="531"/>
      <c r="Z11" s="531"/>
      <c r="AA11" s="531"/>
    </row>
    <row r="12" spans="1:27" ht="15.75" customHeight="1">
      <c r="A12" s="527"/>
      <c r="B12" s="527"/>
      <c r="C12" s="527"/>
      <c r="D12" s="527"/>
      <c r="E12" s="527"/>
      <c r="F12" s="527"/>
      <c r="G12" s="527"/>
      <c r="H12" s="527"/>
      <c r="I12" s="528"/>
      <c r="K12" s="531"/>
      <c r="L12" s="531"/>
      <c r="M12" s="531"/>
      <c r="N12" s="531"/>
      <c r="O12" s="531"/>
      <c r="P12" s="531"/>
      <c r="Q12" s="531"/>
      <c r="R12" s="531"/>
      <c r="S12" s="531"/>
      <c r="T12" s="531"/>
      <c r="U12" s="531"/>
      <c r="V12" s="531"/>
      <c r="W12" s="531"/>
      <c r="X12" s="531"/>
      <c r="Y12" s="531"/>
      <c r="Z12" s="531"/>
      <c r="AA12" s="531"/>
    </row>
    <row r="13" spans="1:27" ht="15.75" customHeight="1">
      <c r="A13" s="527"/>
      <c r="B13" s="527"/>
      <c r="C13" s="527"/>
      <c r="D13" s="527"/>
      <c r="E13" s="527"/>
      <c r="F13" s="527"/>
      <c r="G13" s="527"/>
      <c r="H13" s="527"/>
      <c r="I13" s="528"/>
      <c r="K13" s="531"/>
      <c r="L13" s="531"/>
      <c r="M13" s="531"/>
      <c r="N13" s="531"/>
      <c r="O13" s="531"/>
      <c r="P13" s="531"/>
      <c r="Q13" s="531"/>
      <c r="R13" s="531"/>
      <c r="S13" s="531"/>
      <c r="T13" s="531"/>
      <c r="U13" s="531"/>
      <c r="V13" s="531"/>
      <c r="W13" s="531"/>
      <c r="X13" s="531"/>
      <c r="Y13" s="531"/>
      <c r="Z13" s="531"/>
      <c r="AA13" s="531"/>
    </row>
    <row r="14" spans="1:27" ht="15.75" customHeight="1">
      <c r="A14" s="527"/>
      <c r="B14" s="527"/>
      <c r="C14" s="527"/>
      <c r="D14" s="527"/>
      <c r="E14" s="527"/>
      <c r="F14" s="527"/>
      <c r="G14" s="527"/>
      <c r="H14" s="527"/>
      <c r="I14" s="528"/>
      <c r="K14" s="531"/>
      <c r="L14" s="531"/>
      <c r="M14" s="531"/>
      <c r="N14" s="531"/>
      <c r="O14" s="531"/>
      <c r="P14" s="531"/>
      <c r="Q14" s="531"/>
      <c r="R14" s="531"/>
      <c r="S14" s="531"/>
      <c r="T14" s="531"/>
      <c r="U14" s="531"/>
      <c r="V14" s="531"/>
      <c r="W14" s="531"/>
      <c r="X14" s="531"/>
      <c r="Y14" s="531"/>
      <c r="Z14" s="531"/>
      <c r="AA14" s="531"/>
    </row>
    <row r="15" spans="1:27" ht="15.75" customHeight="1">
      <c r="A15" s="527"/>
      <c r="B15" s="527"/>
      <c r="C15" s="527"/>
      <c r="D15" s="527"/>
      <c r="E15" s="527"/>
      <c r="F15" s="527"/>
      <c r="G15" s="527"/>
      <c r="H15" s="527"/>
      <c r="I15" s="528"/>
      <c r="K15" s="531"/>
      <c r="L15" s="531"/>
      <c r="M15" s="531"/>
      <c r="N15" s="531"/>
      <c r="O15" s="531"/>
      <c r="P15" s="531"/>
      <c r="Q15" s="531"/>
      <c r="R15" s="531"/>
      <c r="S15" s="531"/>
      <c r="T15" s="531"/>
      <c r="U15" s="531"/>
      <c r="V15" s="531"/>
      <c r="W15" s="531"/>
      <c r="X15" s="531"/>
      <c r="Y15" s="531"/>
      <c r="Z15" s="531"/>
      <c r="AA15" s="531"/>
    </row>
    <row r="16" spans="1:27" ht="15.75" customHeight="1">
      <c r="A16" s="527"/>
      <c r="B16" s="527"/>
      <c r="C16" s="527"/>
      <c r="D16" s="527"/>
      <c r="E16" s="527"/>
      <c r="F16" s="527"/>
      <c r="G16" s="527"/>
      <c r="H16" s="527"/>
      <c r="I16" s="528"/>
      <c r="K16" s="531"/>
      <c r="L16" s="531"/>
      <c r="M16" s="531"/>
      <c r="N16" s="531"/>
      <c r="O16" s="531"/>
      <c r="P16" s="531"/>
      <c r="Q16" s="531"/>
      <c r="R16" s="531"/>
      <c r="S16" s="531"/>
      <c r="T16" s="531"/>
      <c r="U16" s="531"/>
      <c r="V16" s="531"/>
      <c r="W16" s="531"/>
      <c r="X16" s="531"/>
      <c r="Y16" s="531"/>
      <c r="Z16" s="531"/>
      <c r="AA16" s="531"/>
    </row>
    <row r="17" spans="1:27" ht="15.75" customHeight="1">
      <c r="A17" s="527"/>
      <c r="B17" s="527"/>
      <c r="C17" s="527"/>
      <c r="D17" s="527"/>
      <c r="E17" s="527"/>
      <c r="F17" s="527"/>
      <c r="G17" s="527"/>
      <c r="H17" s="527"/>
      <c r="I17" s="528"/>
      <c r="K17" s="531"/>
      <c r="L17" s="531"/>
      <c r="M17" s="531"/>
      <c r="N17" s="531"/>
      <c r="O17" s="531"/>
      <c r="P17" s="531"/>
      <c r="Q17" s="531"/>
      <c r="R17" s="531"/>
      <c r="S17" s="531"/>
      <c r="T17" s="531"/>
      <c r="U17" s="531"/>
      <c r="V17" s="531"/>
      <c r="W17" s="531"/>
      <c r="X17" s="531"/>
      <c r="Y17" s="531"/>
      <c r="Z17" s="531"/>
      <c r="AA17" s="531"/>
    </row>
    <row r="18" spans="1:27" ht="15.75" customHeight="1">
      <c r="A18" s="527"/>
      <c r="B18" s="527"/>
      <c r="C18" s="527"/>
      <c r="D18" s="527"/>
      <c r="E18" s="527"/>
      <c r="F18" s="527"/>
      <c r="G18" s="527"/>
      <c r="H18" s="527"/>
      <c r="I18" s="528"/>
      <c r="K18" s="531"/>
      <c r="L18" s="531"/>
      <c r="M18" s="531"/>
      <c r="N18" s="531"/>
      <c r="O18" s="531"/>
      <c r="P18" s="531"/>
      <c r="Q18" s="531"/>
      <c r="R18" s="531"/>
      <c r="S18" s="531"/>
      <c r="T18" s="531"/>
      <c r="U18" s="531"/>
      <c r="V18" s="531"/>
      <c r="W18" s="531"/>
      <c r="X18" s="531"/>
      <c r="Y18" s="531"/>
      <c r="Z18" s="531"/>
      <c r="AA18" s="531"/>
    </row>
    <row r="19" spans="1:27" ht="15.75" customHeight="1">
      <c r="A19" s="527"/>
      <c r="B19" s="527"/>
      <c r="C19" s="527"/>
      <c r="D19" s="527"/>
      <c r="E19" s="527"/>
      <c r="F19" s="527"/>
      <c r="G19" s="527"/>
      <c r="H19" s="527"/>
      <c r="I19" s="528"/>
      <c r="K19" s="531"/>
      <c r="L19" s="531"/>
      <c r="M19" s="531"/>
      <c r="N19" s="531"/>
      <c r="O19" s="531"/>
      <c r="P19" s="531"/>
      <c r="Q19" s="531"/>
      <c r="R19" s="531"/>
      <c r="S19" s="531"/>
      <c r="T19" s="531"/>
      <c r="U19" s="531"/>
      <c r="V19" s="531"/>
      <c r="W19" s="531"/>
      <c r="X19" s="531"/>
      <c r="Y19" s="531"/>
      <c r="Z19" s="531"/>
      <c r="AA19" s="531"/>
    </row>
    <row r="20" spans="1:27" ht="15.75" customHeight="1">
      <c r="A20" s="527"/>
      <c r="B20" s="527"/>
      <c r="C20" s="527"/>
      <c r="D20" s="527"/>
      <c r="E20" s="527"/>
      <c r="F20" s="527"/>
      <c r="G20" s="527"/>
      <c r="H20" s="527"/>
      <c r="I20" s="528"/>
      <c r="K20" s="531"/>
      <c r="L20" s="531"/>
      <c r="M20" s="531"/>
      <c r="N20" s="531"/>
      <c r="O20" s="531"/>
      <c r="P20" s="531"/>
      <c r="Q20" s="531"/>
      <c r="R20" s="531"/>
      <c r="S20" s="531"/>
      <c r="T20" s="531"/>
      <c r="U20" s="531"/>
      <c r="V20" s="531"/>
      <c r="W20" s="531"/>
      <c r="X20" s="531"/>
      <c r="Y20" s="531"/>
      <c r="Z20" s="531"/>
      <c r="AA20" s="531"/>
    </row>
    <row r="21" spans="1:27" ht="15.75" customHeight="1">
      <c r="A21" s="527"/>
      <c r="B21" s="527"/>
      <c r="C21" s="527"/>
      <c r="D21" s="527"/>
      <c r="E21" s="527"/>
      <c r="F21" s="527"/>
      <c r="G21" s="527"/>
      <c r="H21" s="527"/>
      <c r="I21" s="528"/>
      <c r="K21" s="531"/>
      <c r="L21" s="531"/>
      <c r="M21" s="531"/>
      <c r="N21" s="531"/>
      <c r="O21" s="531"/>
      <c r="P21" s="531"/>
      <c r="Q21" s="531"/>
      <c r="R21" s="531"/>
      <c r="S21" s="531"/>
      <c r="T21" s="531"/>
      <c r="U21" s="531"/>
      <c r="V21" s="531"/>
      <c r="W21" s="531"/>
      <c r="X21" s="531"/>
      <c r="Y21" s="531"/>
      <c r="Z21" s="531"/>
      <c r="AA21" s="531"/>
    </row>
    <row r="22" spans="1:27" ht="15.75" customHeight="1">
      <c r="A22" s="527"/>
      <c r="B22" s="527"/>
      <c r="C22" s="527"/>
      <c r="D22" s="527"/>
      <c r="E22" s="527"/>
      <c r="F22" s="527"/>
      <c r="G22" s="527"/>
      <c r="H22" s="527"/>
      <c r="I22" s="528"/>
      <c r="K22" s="531"/>
      <c r="L22" s="531"/>
      <c r="M22" s="531"/>
      <c r="N22" s="531"/>
      <c r="O22" s="531"/>
      <c r="P22" s="531"/>
      <c r="Q22" s="531"/>
      <c r="R22" s="531"/>
      <c r="S22" s="531"/>
      <c r="T22" s="531"/>
      <c r="U22" s="531"/>
      <c r="V22" s="531"/>
      <c r="W22" s="531"/>
      <c r="X22" s="531"/>
      <c r="Y22" s="531"/>
      <c r="Z22" s="531"/>
      <c r="AA22" s="531"/>
    </row>
    <row r="23" spans="1:27" ht="15.75" customHeight="1">
      <c r="A23" s="527"/>
      <c r="B23" s="527"/>
      <c r="C23" s="527"/>
      <c r="D23" s="527"/>
      <c r="E23" s="527"/>
      <c r="F23" s="527"/>
      <c r="G23" s="527"/>
      <c r="H23" s="527"/>
      <c r="I23" s="528"/>
      <c r="K23" s="531"/>
      <c r="L23" s="531"/>
      <c r="M23" s="531"/>
      <c r="N23" s="531"/>
      <c r="O23" s="531"/>
      <c r="P23" s="531"/>
      <c r="Q23" s="531"/>
      <c r="R23" s="531"/>
      <c r="S23" s="531"/>
      <c r="T23" s="531"/>
      <c r="U23" s="531"/>
      <c r="V23" s="531"/>
      <c r="W23" s="531"/>
      <c r="X23" s="531"/>
      <c r="Y23" s="531"/>
      <c r="Z23" s="531"/>
      <c r="AA23" s="531"/>
    </row>
    <row r="24" spans="1:27" ht="15.75" customHeight="1">
      <c r="A24" s="527"/>
      <c r="B24" s="527"/>
      <c r="C24" s="527"/>
      <c r="D24" s="527"/>
      <c r="E24" s="527"/>
      <c r="F24" s="527"/>
      <c r="G24" s="527"/>
      <c r="H24" s="527"/>
      <c r="I24" s="528"/>
      <c r="K24" s="531"/>
      <c r="L24" s="531"/>
      <c r="M24" s="531"/>
      <c r="N24" s="531"/>
      <c r="O24" s="531"/>
      <c r="P24" s="531"/>
      <c r="Q24" s="531"/>
      <c r="R24" s="531"/>
      <c r="S24" s="531"/>
      <c r="T24" s="531"/>
      <c r="U24" s="531"/>
      <c r="V24" s="531"/>
      <c r="W24" s="531"/>
      <c r="X24" s="531"/>
      <c r="Y24" s="531"/>
      <c r="Z24" s="531"/>
      <c r="AA24" s="531"/>
    </row>
    <row r="25" spans="1:27" ht="15.75" customHeight="1">
      <c r="A25" s="527"/>
      <c r="B25" s="527"/>
      <c r="C25" s="527"/>
      <c r="D25" s="527"/>
      <c r="E25" s="527"/>
      <c r="F25" s="527"/>
      <c r="G25" s="527"/>
      <c r="H25" s="527"/>
      <c r="I25" s="528"/>
      <c r="K25" s="531"/>
      <c r="L25" s="531"/>
      <c r="M25" s="531"/>
      <c r="N25" s="531"/>
      <c r="O25" s="531"/>
      <c r="P25" s="531"/>
      <c r="Q25" s="531"/>
      <c r="R25" s="531"/>
      <c r="S25" s="531"/>
      <c r="T25" s="531"/>
      <c r="U25" s="531"/>
      <c r="V25" s="531"/>
      <c r="W25" s="531"/>
      <c r="X25" s="531"/>
      <c r="Y25" s="531"/>
      <c r="Z25" s="531"/>
      <c r="AA25" s="531"/>
    </row>
    <row r="26" spans="1:27" ht="15.75" customHeight="1">
      <c r="A26" s="527"/>
      <c r="B26" s="527"/>
      <c r="C26" s="527"/>
      <c r="D26" s="527"/>
      <c r="E26" s="527"/>
      <c r="F26" s="527"/>
      <c r="G26" s="527"/>
      <c r="H26" s="527"/>
      <c r="I26" s="528"/>
      <c r="K26" s="531"/>
      <c r="L26" s="531"/>
      <c r="M26" s="531"/>
      <c r="N26" s="531"/>
      <c r="O26" s="531"/>
      <c r="P26" s="531"/>
      <c r="Q26" s="531"/>
      <c r="R26" s="531"/>
      <c r="S26" s="531"/>
      <c r="T26" s="531"/>
      <c r="U26" s="531"/>
      <c r="V26" s="531"/>
      <c r="W26" s="531"/>
      <c r="X26" s="531"/>
      <c r="Y26" s="531"/>
      <c r="Z26" s="531"/>
      <c r="AA26" s="531"/>
    </row>
    <row r="27" spans="1:27" ht="15.75" customHeight="1">
      <c r="A27" s="527"/>
      <c r="B27" s="527"/>
      <c r="C27" s="527"/>
      <c r="D27" s="527"/>
      <c r="E27" s="527"/>
      <c r="F27" s="527"/>
      <c r="G27" s="527"/>
      <c r="H27" s="527"/>
      <c r="I27" s="528"/>
      <c r="K27" s="531"/>
      <c r="L27" s="531"/>
      <c r="M27" s="531"/>
      <c r="N27" s="531"/>
      <c r="O27" s="531"/>
      <c r="P27" s="531"/>
      <c r="Q27" s="531"/>
      <c r="R27" s="531"/>
      <c r="S27" s="531"/>
      <c r="T27" s="531"/>
      <c r="U27" s="531"/>
      <c r="V27" s="531"/>
      <c r="W27" s="531"/>
      <c r="X27" s="531"/>
      <c r="Y27" s="531"/>
      <c r="Z27" s="531"/>
      <c r="AA27" s="531"/>
    </row>
    <row r="28" spans="1:27" ht="15.75" customHeight="1">
      <c r="A28" s="527"/>
      <c r="B28" s="527"/>
      <c r="C28" s="527"/>
      <c r="D28" s="527"/>
      <c r="E28" s="527"/>
      <c r="F28" s="527"/>
      <c r="G28" s="527"/>
      <c r="H28" s="527"/>
      <c r="I28" s="528"/>
      <c r="K28" s="531"/>
      <c r="L28" s="531"/>
      <c r="M28" s="531"/>
      <c r="N28" s="531"/>
      <c r="O28" s="531"/>
      <c r="P28" s="531"/>
      <c r="Q28" s="531"/>
      <c r="R28" s="531"/>
      <c r="S28" s="531"/>
      <c r="T28" s="531"/>
      <c r="U28" s="531"/>
      <c r="V28" s="531"/>
      <c r="W28" s="531"/>
      <c r="X28" s="531"/>
      <c r="Y28" s="531"/>
      <c r="Z28" s="531"/>
      <c r="AA28" s="531"/>
    </row>
    <row r="29" spans="1:27" ht="15.75" customHeight="1">
      <c r="A29" s="527"/>
      <c r="B29" s="527"/>
      <c r="C29" s="527"/>
      <c r="D29" s="527"/>
      <c r="E29" s="527"/>
      <c r="F29" s="527"/>
      <c r="G29" s="527"/>
      <c r="H29" s="527"/>
      <c r="I29" s="528"/>
      <c r="K29" s="531"/>
      <c r="L29" s="531"/>
      <c r="M29" s="531"/>
      <c r="N29" s="531"/>
      <c r="O29" s="531"/>
      <c r="P29" s="531"/>
      <c r="Q29" s="531"/>
      <c r="R29" s="531"/>
      <c r="S29" s="531"/>
      <c r="T29" s="531"/>
      <c r="U29" s="531"/>
      <c r="V29" s="531"/>
      <c r="W29" s="531"/>
      <c r="X29" s="531"/>
      <c r="Y29" s="531"/>
      <c r="Z29" s="531"/>
      <c r="AA29" s="531"/>
    </row>
    <row r="30" spans="1:27" ht="15.75" customHeight="1">
      <c r="A30" s="527"/>
      <c r="B30" s="527"/>
      <c r="C30" s="527"/>
      <c r="D30" s="527"/>
      <c r="E30" s="527"/>
      <c r="F30" s="527"/>
      <c r="G30" s="527"/>
      <c r="H30" s="527"/>
      <c r="I30" s="528"/>
      <c r="K30" s="531"/>
      <c r="L30" s="531"/>
      <c r="M30" s="531"/>
      <c r="N30" s="531"/>
      <c r="O30" s="531"/>
      <c r="P30" s="531"/>
      <c r="Q30" s="531"/>
      <c r="R30" s="531"/>
      <c r="S30" s="531"/>
      <c r="T30" s="531"/>
      <c r="U30" s="531"/>
      <c r="V30" s="531"/>
      <c r="W30" s="531"/>
      <c r="X30" s="531"/>
      <c r="Y30" s="531"/>
      <c r="Z30" s="531"/>
      <c r="AA30" s="531"/>
    </row>
    <row r="31" spans="1:27" ht="15.75" customHeight="1">
      <c r="A31" s="527"/>
      <c r="B31" s="527"/>
      <c r="C31" s="527"/>
      <c r="D31" s="527"/>
      <c r="E31" s="527"/>
      <c r="F31" s="527"/>
      <c r="G31" s="527"/>
      <c r="H31" s="527"/>
      <c r="I31" s="528"/>
      <c r="K31" s="531"/>
      <c r="L31" s="531"/>
      <c r="M31" s="531"/>
      <c r="N31" s="531"/>
      <c r="O31" s="531"/>
      <c r="P31" s="531"/>
      <c r="Q31" s="531"/>
      <c r="R31" s="531"/>
      <c r="S31" s="531"/>
      <c r="T31" s="531"/>
      <c r="U31" s="531"/>
      <c r="V31" s="531"/>
      <c r="W31" s="531"/>
      <c r="X31" s="531"/>
      <c r="Y31" s="531"/>
      <c r="Z31" s="531"/>
      <c r="AA31" s="531"/>
    </row>
    <row r="32" spans="1:27" ht="15.75" customHeight="1">
      <c r="A32" s="527"/>
      <c r="B32" s="527"/>
      <c r="C32" s="527"/>
      <c r="D32" s="527"/>
      <c r="E32" s="527"/>
      <c r="F32" s="527"/>
      <c r="G32" s="527"/>
      <c r="H32" s="527"/>
      <c r="I32" s="528"/>
      <c r="K32" s="531"/>
      <c r="L32" s="531"/>
      <c r="M32" s="531"/>
      <c r="N32" s="531"/>
      <c r="O32" s="531"/>
      <c r="P32" s="531"/>
      <c r="Q32" s="531"/>
      <c r="R32" s="531"/>
      <c r="S32" s="531"/>
      <c r="T32" s="531"/>
      <c r="U32" s="531"/>
      <c r="V32" s="531"/>
      <c r="W32" s="531"/>
      <c r="X32" s="531"/>
      <c r="Y32" s="531"/>
      <c r="Z32" s="531"/>
      <c r="AA32" s="531"/>
    </row>
    <row r="33" spans="1:27" ht="15.75" customHeight="1">
      <c r="A33" s="527"/>
      <c r="B33" s="527"/>
      <c r="C33" s="527"/>
      <c r="D33" s="527"/>
      <c r="E33" s="527"/>
      <c r="F33" s="527"/>
      <c r="G33" s="527"/>
      <c r="H33" s="527"/>
      <c r="I33" s="528"/>
      <c r="K33" s="531"/>
      <c r="L33" s="531"/>
      <c r="M33" s="531"/>
      <c r="N33" s="531"/>
      <c r="O33" s="531"/>
      <c r="P33" s="531"/>
      <c r="Q33" s="531"/>
      <c r="R33" s="531"/>
      <c r="S33" s="531"/>
      <c r="T33" s="531"/>
      <c r="U33" s="531"/>
      <c r="V33" s="531"/>
      <c r="W33" s="531"/>
      <c r="X33" s="531"/>
      <c r="Y33" s="531"/>
      <c r="Z33" s="531"/>
      <c r="AA33" s="531"/>
    </row>
    <row r="34" spans="1:27" ht="15.75" customHeight="1">
      <c r="A34" s="527"/>
      <c r="B34" s="527"/>
      <c r="C34" s="527"/>
      <c r="D34" s="527"/>
      <c r="E34" s="527"/>
      <c r="F34" s="527"/>
      <c r="G34" s="527"/>
      <c r="H34" s="527"/>
      <c r="I34" s="528"/>
      <c r="K34" s="531"/>
      <c r="L34" s="531"/>
      <c r="M34" s="531"/>
      <c r="N34" s="531"/>
      <c r="O34" s="531"/>
      <c r="P34" s="531"/>
      <c r="Q34" s="531"/>
      <c r="R34" s="531"/>
      <c r="S34" s="531"/>
      <c r="T34" s="531"/>
      <c r="U34" s="531"/>
      <c r="V34" s="531"/>
      <c r="W34" s="531"/>
      <c r="X34" s="531"/>
      <c r="Y34" s="531"/>
      <c r="Z34" s="531"/>
      <c r="AA34" s="531"/>
    </row>
    <row r="35" spans="1:27" ht="15.75" customHeight="1">
      <c r="A35" s="527"/>
      <c r="B35" s="527"/>
      <c r="C35" s="527"/>
      <c r="D35" s="527"/>
      <c r="E35" s="527"/>
      <c r="F35" s="527"/>
      <c r="G35" s="527"/>
      <c r="H35" s="527"/>
      <c r="I35" s="528"/>
      <c r="K35" s="531"/>
      <c r="L35" s="531"/>
      <c r="M35" s="531"/>
      <c r="N35" s="531"/>
      <c r="O35" s="531"/>
      <c r="P35" s="531"/>
      <c r="Q35" s="531"/>
      <c r="R35" s="531"/>
      <c r="S35" s="531"/>
      <c r="T35" s="531"/>
      <c r="U35" s="531"/>
      <c r="V35" s="531"/>
      <c r="W35" s="531"/>
      <c r="X35" s="531"/>
      <c r="Y35" s="531"/>
      <c r="Z35" s="531"/>
      <c r="AA35" s="531"/>
    </row>
    <row r="36" spans="1:27" ht="15.75" customHeight="1">
      <c r="A36" s="527"/>
      <c r="B36" s="527"/>
      <c r="C36" s="527"/>
      <c r="D36" s="527"/>
      <c r="E36" s="527"/>
      <c r="F36" s="527"/>
      <c r="G36" s="527"/>
      <c r="H36" s="527"/>
      <c r="I36" s="528"/>
      <c r="K36" s="531"/>
      <c r="L36" s="531"/>
      <c r="M36" s="531"/>
      <c r="N36" s="531"/>
      <c r="O36" s="531"/>
      <c r="P36" s="531"/>
      <c r="Q36" s="531"/>
      <c r="R36" s="531"/>
      <c r="S36" s="531"/>
      <c r="T36" s="531"/>
      <c r="U36" s="531"/>
      <c r="V36" s="531"/>
      <c r="W36" s="531"/>
      <c r="X36" s="531"/>
      <c r="Y36" s="531"/>
      <c r="Z36" s="531"/>
      <c r="AA36" s="531"/>
    </row>
    <row r="37" spans="1:27" ht="15.75" customHeight="1">
      <c r="A37" s="527"/>
      <c r="B37" s="527"/>
      <c r="C37" s="527"/>
      <c r="D37" s="527"/>
      <c r="E37" s="527"/>
      <c r="F37" s="527"/>
      <c r="G37" s="527"/>
      <c r="H37" s="527"/>
      <c r="I37" s="528"/>
      <c r="K37" s="531"/>
      <c r="L37" s="531"/>
      <c r="M37" s="531"/>
      <c r="N37" s="531"/>
      <c r="O37" s="531"/>
      <c r="P37" s="531"/>
      <c r="Q37" s="531"/>
      <c r="R37" s="531"/>
      <c r="S37" s="531"/>
      <c r="T37" s="531"/>
      <c r="U37" s="531"/>
      <c r="V37" s="531"/>
      <c r="W37" s="531"/>
      <c r="X37" s="531"/>
      <c r="Y37" s="531"/>
      <c r="Z37" s="531"/>
      <c r="AA37" s="531"/>
    </row>
    <row r="38" spans="1:27" ht="15">
      <c r="A38" s="527"/>
      <c r="B38" s="527"/>
      <c r="C38" s="527"/>
      <c r="D38" s="527"/>
      <c r="E38" s="527"/>
      <c r="F38" s="527"/>
      <c r="G38" s="527"/>
      <c r="H38" s="527"/>
      <c r="I38" s="528"/>
      <c r="K38" s="531"/>
      <c r="L38" s="531"/>
      <c r="M38" s="531"/>
      <c r="N38" s="531"/>
      <c r="O38" s="531"/>
      <c r="P38" s="531"/>
      <c r="Q38" s="531"/>
      <c r="R38" s="531"/>
      <c r="S38" s="531"/>
      <c r="T38" s="531"/>
      <c r="U38" s="531"/>
      <c r="V38" s="531"/>
      <c r="W38" s="531"/>
      <c r="X38" s="531"/>
      <c r="Y38" s="531"/>
      <c r="Z38" s="531"/>
      <c r="AA38" s="531"/>
    </row>
    <row r="39" spans="1:27" ht="15">
      <c r="A39" s="527"/>
      <c r="B39" s="527"/>
      <c r="C39" s="527"/>
      <c r="D39" s="527"/>
      <c r="E39" s="527"/>
      <c r="F39" s="527"/>
      <c r="G39" s="527"/>
      <c r="H39" s="527"/>
      <c r="I39" s="528"/>
      <c r="K39" s="531"/>
      <c r="L39" s="531"/>
      <c r="M39" s="531"/>
      <c r="N39" s="531"/>
      <c r="O39" s="531"/>
      <c r="P39" s="531"/>
      <c r="Q39" s="531"/>
      <c r="R39" s="531"/>
      <c r="S39" s="531"/>
      <c r="T39" s="531"/>
      <c r="U39" s="531"/>
      <c r="V39" s="531"/>
      <c r="W39" s="531"/>
      <c r="X39" s="531"/>
      <c r="Y39" s="531"/>
      <c r="Z39" s="531"/>
      <c r="AA39" s="531"/>
    </row>
    <row r="40" spans="1:27" ht="15">
      <c r="A40" s="527"/>
      <c r="B40" s="527"/>
      <c r="C40" s="527"/>
      <c r="D40" s="527"/>
      <c r="E40" s="527"/>
      <c r="F40" s="527"/>
      <c r="G40" s="527"/>
      <c r="H40" s="527"/>
      <c r="I40" s="528"/>
      <c r="K40" s="531"/>
      <c r="L40" s="531"/>
      <c r="M40" s="531"/>
      <c r="N40" s="531"/>
      <c r="O40" s="531"/>
      <c r="P40" s="531"/>
      <c r="Q40" s="531"/>
      <c r="R40" s="531"/>
      <c r="S40" s="531"/>
      <c r="T40" s="531"/>
      <c r="U40" s="531"/>
      <c r="V40" s="531"/>
      <c r="W40" s="531"/>
      <c r="X40" s="531"/>
      <c r="Y40" s="531"/>
      <c r="Z40" s="531"/>
      <c r="AA40" s="531"/>
    </row>
    <row r="41" spans="1:27" ht="15">
      <c r="A41" s="527"/>
      <c r="B41" s="527"/>
      <c r="C41" s="527"/>
      <c r="D41" s="527"/>
      <c r="E41" s="527"/>
      <c r="F41" s="527"/>
      <c r="G41" s="527"/>
      <c r="H41" s="527"/>
      <c r="I41" s="528"/>
      <c r="K41" s="531"/>
      <c r="L41" s="531"/>
      <c r="M41" s="531"/>
      <c r="N41" s="531"/>
      <c r="O41" s="531"/>
      <c r="P41" s="531"/>
      <c r="Q41" s="531"/>
      <c r="R41" s="531"/>
      <c r="S41" s="531"/>
      <c r="T41" s="531"/>
      <c r="U41" s="531"/>
      <c r="V41" s="531"/>
      <c r="W41" s="531"/>
      <c r="X41" s="531"/>
      <c r="Y41" s="531"/>
      <c r="Z41" s="531"/>
      <c r="AA41" s="531"/>
    </row>
    <row r="42" spans="1:27" ht="15">
      <c r="A42" s="527"/>
      <c r="B42" s="527"/>
      <c r="C42" s="527"/>
      <c r="D42" s="527"/>
      <c r="E42" s="527"/>
      <c r="F42" s="527"/>
      <c r="G42" s="527"/>
      <c r="H42" s="527"/>
      <c r="I42" s="528"/>
      <c r="K42" s="531"/>
      <c r="L42" s="531"/>
      <c r="M42" s="531"/>
      <c r="N42" s="531"/>
      <c r="O42" s="531"/>
      <c r="P42" s="531"/>
      <c r="Q42" s="531"/>
      <c r="R42" s="531"/>
      <c r="S42" s="531"/>
      <c r="T42" s="531"/>
      <c r="U42" s="531"/>
      <c r="V42" s="531"/>
      <c r="W42" s="531"/>
      <c r="X42" s="531"/>
      <c r="Y42" s="531"/>
      <c r="Z42" s="531"/>
      <c r="AA42" s="531"/>
    </row>
    <row r="43" spans="1:27" ht="15">
      <c r="A43" s="527"/>
      <c r="B43" s="527"/>
      <c r="C43" s="527"/>
      <c r="D43" s="527"/>
      <c r="E43" s="527"/>
      <c r="F43" s="527"/>
      <c r="G43" s="527"/>
      <c r="H43" s="527"/>
      <c r="I43" s="528"/>
      <c r="K43" s="531"/>
      <c r="L43" s="531"/>
      <c r="M43" s="531"/>
      <c r="N43" s="531"/>
      <c r="O43" s="531"/>
      <c r="P43" s="531"/>
      <c r="Q43" s="531"/>
      <c r="R43" s="531"/>
      <c r="S43" s="531"/>
      <c r="T43" s="531"/>
      <c r="U43" s="531"/>
      <c r="V43" s="531"/>
      <c r="W43" s="531"/>
      <c r="X43" s="531"/>
      <c r="Y43" s="531"/>
      <c r="Z43" s="531"/>
      <c r="AA43" s="531"/>
    </row>
    <row r="44" spans="1:27" ht="15">
      <c r="A44" s="527"/>
      <c r="B44" s="527"/>
      <c r="C44" s="527"/>
      <c r="D44" s="527"/>
      <c r="E44" s="527"/>
      <c r="F44" s="527"/>
      <c r="G44" s="527"/>
      <c r="H44" s="527"/>
      <c r="I44" s="528"/>
      <c r="K44" s="531"/>
      <c r="L44" s="531"/>
      <c r="M44" s="531"/>
      <c r="N44" s="531"/>
      <c r="O44" s="531"/>
      <c r="P44" s="531"/>
      <c r="Q44" s="531"/>
      <c r="R44" s="531"/>
      <c r="S44" s="531"/>
      <c r="T44" s="531"/>
      <c r="U44" s="531"/>
      <c r="V44" s="531"/>
      <c r="W44" s="531"/>
      <c r="X44" s="531"/>
      <c r="Y44" s="531"/>
      <c r="Z44" s="531"/>
      <c r="AA44" s="531"/>
    </row>
    <row r="45" spans="1:27" ht="15">
      <c r="A45" s="527"/>
      <c r="B45" s="527"/>
      <c r="C45" s="527"/>
      <c r="D45" s="527"/>
      <c r="E45" s="527"/>
      <c r="F45" s="527"/>
      <c r="G45" s="527"/>
      <c r="H45" s="527"/>
      <c r="I45" s="528"/>
      <c r="K45" s="531"/>
      <c r="L45" s="531"/>
      <c r="M45" s="531"/>
      <c r="N45" s="531"/>
      <c r="O45" s="531"/>
      <c r="P45" s="531"/>
      <c r="Q45" s="531"/>
      <c r="R45" s="531"/>
      <c r="S45" s="531"/>
      <c r="T45" s="531"/>
      <c r="U45" s="531"/>
      <c r="V45" s="531"/>
      <c r="W45" s="531"/>
      <c r="X45" s="531"/>
      <c r="Y45" s="531"/>
      <c r="Z45" s="531"/>
      <c r="AA45" s="531"/>
    </row>
    <row r="46" spans="1:27" ht="15">
      <c r="A46" s="527"/>
      <c r="B46" s="527"/>
      <c r="C46" s="527"/>
      <c r="D46" s="527"/>
      <c r="E46" s="527"/>
      <c r="F46" s="527"/>
      <c r="G46" s="527"/>
      <c r="H46" s="527"/>
      <c r="I46" s="528"/>
      <c r="K46" s="531"/>
      <c r="L46" s="531"/>
      <c r="M46" s="531"/>
      <c r="N46" s="531"/>
      <c r="O46" s="531"/>
      <c r="P46" s="531"/>
      <c r="Q46" s="531"/>
      <c r="R46" s="531"/>
      <c r="S46" s="531"/>
      <c r="T46" s="531"/>
      <c r="U46" s="531"/>
      <c r="V46" s="531"/>
      <c r="W46" s="531"/>
      <c r="X46" s="531"/>
      <c r="Y46" s="531"/>
      <c r="Z46" s="531"/>
      <c r="AA46" s="531"/>
    </row>
    <row r="47" spans="1:27" ht="15">
      <c r="A47" s="527"/>
      <c r="B47" s="527"/>
      <c r="C47" s="527"/>
      <c r="D47" s="527"/>
      <c r="E47" s="527"/>
      <c r="F47" s="527"/>
      <c r="G47" s="527"/>
      <c r="H47" s="527"/>
      <c r="I47" s="528"/>
      <c r="K47" s="531"/>
      <c r="L47" s="531"/>
      <c r="M47" s="531"/>
      <c r="N47" s="531"/>
      <c r="O47" s="531"/>
      <c r="P47" s="531"/>
      <c r="Q47" s="531"/>
      <c r="R47" s="531"/>
      <c r="S47" s="531"/>
      <c r="T47" s="531"/>
      <c r="U47" s="531"/>
      <c r="V47" s="531"/>
      <c r="W47" s="531"/>
      <c r="X47" s="531"/>
      <c r="Y47" s="531"/>
      <c r="Z47" s="531"/>
      <c r="AA47" s="531"/>
    </row>
    <row r="48" spans="1:27" ht="15">
      <c r="A48" s="527"/>
      <c r="B48" s="527"/>
      <c r="C48" s="527"/>
      <c r="D48" s="527"/>
      <c r="E48" s="527"/>
      <c r="F48" s="527"/>
      <c r="G48" s="527"/>
      <c r="H48" s="527"/>
      <c r="I48" s="528"/>
      <c r="K48" s="531"/>
      <c r="L48" s="531"/>
      <c r="M48" s="531"/>
      <c r="N48" s="531"/>
      <c r="O48" s="531"/>
      <c r="P48" s="531"/>
      <c r="Q48" s="531"/>
      <c r="R48" s="531"/>
      <c r="S48" s="531"/>
      <c r="T48" s="531"/>
      <c r="U48" s="531"/>
      <c r="V48" s="531"/>
      <c r="W48" s="531"/>
      <c r="X48" s="531"/>
      <c r="Y48" s="531"/>
      <c r="Z48" s="531"/>
      <c r="AA48" s="531"/>
    </row>
    <row r="49" spans="1:27" ht="15">
      <c r="A49" s="527"/>
      <c r="B49" s="527"/>
      <c r="C49" s="527"/>
      <c r="D49" s="527"/>
      <c r="E49" s="527"/>
      <c r="F49" s="527"/>
      <c r="G49" s="527"/>
      <c r="H49" s="527"/>
      <c r="I49" s="528"/>
      <c r="K49" s="531"/>
      <c r="L49" s="531"/>
      <c r="M49" s="531"/>
      <c r="N49" s="531"/>
      <c r="O49" s="531"/>
      <c r="P49" s="531"/>
      <c r="Q49" s="531"/>
      <c r="R49" s="531"/>
      <c r="S49" s="531"/>
      <c r="T49" s="531"/>
      <c r="U49" s="531"/>
      <c r="V49" s="531"/>
      <c r="W49" s="531"/>
      <c r="X49" s="531"/>
      <c r="Y49" s="531"/>
      <c r="Z49" s="531"/>
      <c r="AA49" s="531"/>
    </row>
    <row r="50" spans="1:27" ht="15">
      <c r="A50" s="527"/>
      <c r="B50" s="527"/>
      <c r="C50" s="527"/>
      <c r="D50" s="527"/>
      <c r="E50" s="527"/>
      <c r="F50" s="527"/>
      <c r="G50" s="527"/>
      <c r="H50" s="527"/>
      <c r="I50" s="528"/>
      <c r="K50" s="531"/>
      <c r="L50" s="531"/>
      <c r="M50" s="531"/>
      <c r="N50" s="531"/>
      <c r="O50" s="531"/>
      <c r="P50" s="531"/>
      <c r="Q50" s="531"/>
      <c r="R50" s="531"/>
      <c r="S50" s="531"/>
      <c r="T50" s="531"/>
      <c r="U50" s="531"/>
      <c r="V50" s="531"/>
      <c r="W50" s="531"/>
      <c r="X50" s="531"/>
      <c r="Y50" s="531"/>
      <c r="Z50" s="531"/>
      <c r="AA50" s="531"/>
    </row>
    <row r="51" spans="1:27" ht="15">
      <c r="A51" s="527"/>
      <c r="B51" s="527"/>
      <c r="C51" s="527"/>
      <c r="D51" s="527"/>
      <c r="E51" s="527"/>
      <c r="F51" s="527"/>
      <c r="G51" s="527"/>
      <c r="H51" s="527"/>
      <c r="I51" s="528"/>
      <c r="K51" s="531"/>
      <c r="L51" s="531"/>
      <c r="M51" s="531"/>
      <c r="N51" s="531"/>
      <c r="O51" s="531"/>
      <c r="P51" s="531"/>
      <c r="Q51" s="531"/>
      <c r="R51" s="531"/>
      <c r="S51" s="531"/>
      <c r="T51" s="531"/>
      <c r="U51" s="531"/>
      <c r="V51" s="531"/>
      <c r="W51" s="531"/>
      <c r="X51" s="531"/>
      <c r="Y51" s="531"/>
      <c r="Z51" s="531"/>
      <c r="AA51" s="531"/>
    </row>
    <row r="52" spans="1:27" ht="15">
      <c r="A52" s="527"/>
      <c r="B52" s="527"/>
      <c r="C52" s="527"/>
      <c r="D52" s="527"/>
      <c r="E52" s="527"/>
      <c r="F52" s="527"/>
      <c r="G52" s="527"/>
      <c r="H52" s="527"/>
      <c r="I52" s="528"/>
      <c r="K52" s="531"/>
      <c r="L52" s="531"/>
      <c r="M52" s="531"/>
      <c r="N52" s="531"/>
      <c r="O52" s="531"/>
      <c r="P52" s="531"/>
      <c r="Q52" s="531"/>
      <c r="R52" s="531"/>
      <c r="S52" s="531"/>
      <c r="T52" s="531"/>
      <c r="U52" s="531"/>
      <c r="V52" s="531"/>
      <c r="W52" s="531"/>
      <c r="X52" s="531"/>
      <c r="Y52" s="531"/>
      <c r="Z52" s="531"/>
      <c r="AA52" s="531"/>
    </row>
    <row r="53" spans="1:27" ht="15">
      <c r="A53" s="527"/>
      <c r="B53" s="527"/>
      <c r="C53" s="527"/>
      <c r="D53" s="527"/>
      <c r="E53" s="527"/>
      <c r="F53" s="527"/>
      <c r="G53" s="527"/>
      <c r="H53" s="527"/>
      <c r="I53" s="528"/>
      <c r="K53" s="531"/>
      <c r="L53" s="531"/>
      <c r="M53" s="531"/>
      <c r="N53" s="531"/>
      <c r="O53" s="531"/>
      <c r="P53" s="531"/>
      <c r="Q53" s="531"/>
      <c r="R53" s="531"/>
      <c r="S53" s="531"/>
      <c r="T53" s="531"/>
      <c r="U53" s="531"/>
      <c r="V53" s="531"/>
      <c r="W53" s="531"/>
      <c r="X53" s="531"/>
      <c r="Y53" s="531"/>
      <c r="Z53" s="531"/>
      <c r="AA53" s="531"/>
    </row>
    <row r="54" spans="1:27" ht="15">
      <c r="A54" s="527"/>
      <c r="B54" s="527"/>
      <c r="C54" s="527"/>
      <c r="D54" s="527"/>
      <c r="E54" s="527"/>
      <c r="F54" s="527"/>
      <c r="G54" s="527"/>
      <c r="H54" s="527"/>
      <c r="I54" s="528"/>
      <c r="K54" s="531"/>
      <c r="L54" s="531"/>
      <c r="M54" s="531"/>
      <c r="N54" s="531"/>
      <c r="O54" s="531"/>
      <c r="P54" s="531"/>
      <c r="Q54" s="531"/>
      <c r="R54" s="531"/>
      <c r="S54" s="531"/>
      <c r="T54" s="531"/>
      <c r="U54" s="531"/>
      <c r="V54" s="531"/>
      <c r="W54" s="531"/>
      <c r="X54" s="531"/>
      <c r="Y54" s="531"/>
      <c r="Z54" s="531"/>
      <c r="AA54" s="531"/>
    </row>
    <row r="55" spans="1:27" ht="15">
      <c r="A55" s="527"/>
      <c r="B55" s="527"/>
      <c r="C55" s="527"/>
      <c r="D55" s="527"/>
      <c r="E55" s="527"/>
      <c r="F55" s="527"/>
      <c r="G55" s="527"/>
      <c r="H55" s="527"/>
      <c r="I55" s="528"/>
      <c r="K55" s="531"/>
      <c r="L55" s="531"/>
      <c r="M55" s="531"/>
      <c r="N55" s="531"/>
      <c r="O55" s="531"/>
      <c r="P55" s="531"/>
      <c r="Q55" s="531"/>
      <c r="R55" s="531"/>
      <c r="S55" s="531"/>
      <c r="T55" s="531"/>
      <c r="U55" s="531"/>
      <c r="V55" s="531"/>
      <c r="W55" s="531"/>
      <c r="X55" s="531"/>
      <c r="Y55" s="531"/>
      <c r="Z55" s="531"/>
      <c r="AA55" s="531"/>
    </row>
    <row r="56" spans="1:27" ht="15">
      <c r="A56" s="527"/>
      <c r="B56" s="527"/>
      <c r="C56" s="527"/>
      <c r="D56" s="527"/>
      <c r="E56" s="527"/>
      <c r="F56" s="527"/>
      <c r="G56" s="527"/>
      <c r="H56" s="527"/>
      <c r="I56" s="528"/>
      <c r="K56" s="531"/>
      <c r="L56" s="531"/>
      <c r="M56" s="531"/>
      <c r="N56" s="531"/>
      <c r="O56" s="531"/>
      <c r="P56" s="531"/>
      <c r="Q56" s="531"/>
      <c r="R56" s="531"/>
      <c r="S56" s="531"/>
      <c r="T56" s="531"/>
      <c r="U56" s="531"/>
      <c r="V56" s="531"/>
      <c r="W56" s="531"/>
      <c r="X56" s="531"/>
      <c r="Y56" s="531"/>
      <c r="Z56" s="531"/>
      <c r="AA56" s="531"/>
    </row>
    <row r="57" spans="1:27" ht="15">
      <c r="A57" s="527"/>
      <c r="B57" s="527"/>
      <c r="C57" s="527"/>
      <c r="D57" s="527"/>
      <c r="E57" s="527"/>
      <c r="F57" s="527"/>
      <c r="G57" s="527"/>
      <c r="H57" s="527"/>
      <c r="I57" s="528"/>
      <c r="K57" s="531"/>
      <c r="L57" s="531"/>
      <c r="M57" s="531"/>
      <c r="N57" s="531"/>
      <c r="O57" s="531"/>
      <c r="P57" s="531"/>
      <c r="Q57" s="531"/>
      <c r="R57" s="531"/>
      <c r="S57" s="531"/>
      <c r="T57" s="531"/>
      <c r="U57" s="531"/>
      <c r="V57" s="531"/>
      <c r="W57" s="531"/>
      <c r="X57" s="531"/>
      <c r="Y57" s="531"/>
      <c r="Z57" s="531"/>
      <c r="AA57" s="531"/>
    </row>
    <row r="58" spans="1:27" ht="15">
      <c r="A58" s="527"/>
      <c r="B58" s="527"/>
      <c r="C58" s="527"/>
      <c r="D58" s="527"/>
      <c r="E58" s="527"/>
      <c r="F58" s="527"/>
      <c r="G58" s="527"/>
      <c r="H58" s="527"/>
      <c r="I58" s="528"/>
      <c r="K58" s="531"/>
      <c r="L58" s="531"/>
      <c r="M58" s="531"/>
      <c r="N58" s="531"/>
      <c r="O58" s="531"/>
      <c r="P58" s="531"/>
      <c r="Q58" s="531"/>
      <c r="R58" s="531"/>
      <c r="S58" s="531"/>
      <c r="T58" s="531"/>
      <c r="U58" s="531"/>
      <c r="V58" s="531"/>
      <c r="W58" s="531"/>
      <c r="X58" s="531"/>
      <c r="Y58" s="531"/>
      <c r="Z58" s="531"/>
      <c r="AA58" s="531"/>
    </row>
    <row r="59" spans="1:27" ht="15">
      <c r="A59" s="527"/>
      <c r="B59" s="527"/>
      <c r="C59" s="527"/>
      <c r="D59" s="527"/>
      <c r="E59" s="527"/>
      <c r="F59" s="527"/>
      <c r="G59" s="527"/>
      <c r="H59" s="527"/>
      <c r="I59" s="528"/>
      <c r="K59" s="531"/>
      <c r="L59" s="531"/>
      <c r="M59" s="531"/>
      <c r="N59" s="531"/>
      <c r="O59" s="531"/>
      <c r="P59" s="531"/>
      <c r="Q59" s="531"/>
      <c r="R59" s="531"/>
      <c r="S59" s="531"/>
      <c r="T59" s="531"/>
      <c r="U59" s="531"/>
      <c r="V59" s="531"/>
      <c r="W59" s="531"/>
      <c r="X59" s="531"/>
      <c r="Y59" s="531"/>
      <c r="Z59" s="531"/>
      <c r="AA59" s="531"/>
    </row>
    <row r="60" spans="1:27" ht="15">
      <c r="A60" s="527"/>
      <c r="B60" s="527"/>
      <c r="C60" s="527"/>
      <c r="D60" s="527"/>
      <c r="E60" s="527"/>
      <c r="F60" s="527"/>
      <c r="G60" s="527"/>
      <c r="H60" s="527"/>
      <c r="I60" s="528"/>
      <c r="K60" s="531"/>
      <c r="L60" s="531"/>
      <c r="M60" s="531"/>
      <c r="N60" s="531"/>
      <c r="O60" s="531"/>
      <c r="P60" s="531"/>
      <c r="Q60" s="531"/>
      <c r="R60" s="531"/>
      <c r="S60" s="531"/>
      <c r="T60" s="531"/>
      <c r="U60" s="531"/>
      <c r="V60" s="531"/>
      <c r="W60" s="531"/>
      <c r="X60" s="531"/>
      <c r="Y60" s="531"/>
      <c r="Z60" s="531"/>
      <c r="AA60" s="531"/>
    </row>
    <row r="61" spans="1:27" ht="15">
      <c r="A61" s="527"/>
      <c r="B61" s="527"/>
      <c r="C61" s="527"/>
      <c r="D61" s="527"/>
      <c r="E61" s="527"/>
      <c r="F61" s="527"/>
      <c r="G61" s="527"/>
      <c r="H61" s="527"/>
      <c r="I61" s="528"/>
      <c r="K61" s="531"/>
      <c r="L61" s="531"/>
      <c r="M61" s="531"/>
      <c r="N61" s="531"/>
      <c r="O61" s="531"/>
      <c r="P61" s="531"/>
      <c r="Q61" s="531"/>
      <c r="R61" s="531"/>
      <c r="S61" s="531"/>
      <c r="T61" s="531"/>
      <c r="U61" s="531"/>
      <c r="V61" s="531"/>
      <c r="W61" s="531"/>
      <c r="X61" s="531"/>
      <c r="Y61" s="531"/>
      <c r="Z61" s="531"/>
      <c r="AA61" s="531"/>
    </row>
    <row r="62" spans="1:27" ht="15">
      <c r="A62" s="527"/>
      <c r="B62" s="527"/>
      <c r="C62" s="527"/>
      <c r="D62" s="527"/>
      <c r="E62" s="527"/>
      <c r="F62" s="527"/>
      <c r="G62" s="527"/>
      <c r="H62" s="527"/>
      <c r="I62" s="528"/>
      <c r="K62" s="531"/>
      <c r="L62" s="531"/>
      <c r="M62" s="531"/>
      <c r="N62" s="531"/>
      <c r="O62" s="531"/>
      <c r="P62" s="531"/>
      <c r="Q62" s="531"/>
      <c r="R62" s="531"/>
      <c r="S62" s="531"/>
      <c r="T62" s="531"/>
      <c r="U62" s="531"/>
      <c r="V62" s="531"/>
      <c r="W62" s="531"/>
      <c r="X62" s="531"/>
      <c r="Y62" s="531"/>
      <c r="Z62" s="531"/>
      <c r="AA62" s="531"/>
    </row>
    <row r="63" spans="1:27" ht="15">
      <c r="A63" s="527"/>
      <c r="B63" s="527"/>
      <c r="C63" s="527"/>
      <c r="D63" s="527"/>
      <c r="E63" s="527"/>
      <c r="F63" s="527"/>
      <c r="G63" s="527"/>
      <c r="H63" s="527"/>
      <c r="I63" s="528"/>
      <c r="K63" s="531"/>
      <c r="L63" s="531"/>
      <c r="M63" s="531"/>
      <c r="N63" s="531"/>
      <c r="O63" s="531"/>
      <c r="P63" s="531"/>
      <c r="Q63" s="531"/>
      <c r="R63" s="531"/>
      <c r="S63" s="531"/>
      <c r="T63" s="531"/>
      <c r="U63" s="531"/>
      <c r="V63" s="531"/>
      <c r="W63" s="531"/>
      <c r="X63" s="531"/>
      <c r="Y63" s="531"/>
      <c r="Z63" s="531"/>
      <c r="AA63" s="531"/>
    </row>
    <row r="64" spans="1:27" ht="15">
      <c r="A64" s="527"/>
      <c r="B64" s="527"/>
      <c r="C64" s="527"/>
      <c r="D64" s="527"/>
      <c r="E64" s="527"/>
      <c r="F64" s="527"/>
      <c r="G64" s="527"/>
      <c r="H64" s="527"/>
      <c r="I64" s="528"/>
      <c r="K64" s="531"/>
      <c r="L64" s="531"/>
      <c r="M64" s="531"/>
      <c r="N64" s="531"/>
      <c r="O64" s="531"/>
      <c r="P64" s="531"/>
      <c r="Q64" s="531"/>
      <c r="R64" s="531"/>
      <c r="S64" s="531"/>
      <c r="T64" s="531"/>
      <c r="U64" s="531"/>
      <c r="V64" s="531"/>
      <c r="W64" s="531"/>
      <c r="X64" s="531"/>
      <c r="Y64" s="531"/>
      <c r="Z64" s="531"/>
      <c r="AA64" s="531"/>
    </row>
    <row r="65" spans="1:27" ht="15">
      <c r="A65" s="527"/>
      <c r="B65" s="527"/>
      <c r="C65" s="527"/>
      <c r="D65" s="527"/>
      <c r="E65" s="527"/>
      <c r="F65" s="527"/>
      <c r="G65" s="527"/>
      <c r="H65" s="527"/>
      <c r="I65" s="528"/>
      <c r="K65" s="531"/>
      <c r="L65" s="531"/>
      <c r="M65" s="531"/>
      <c r="N65" s="531"/>
      <c r="O65" s="531"/>
      <c r="P65" s="531"/>
      <c r="Q65" s="531"/>
      <c r="R65" s="531"/>
      <c r="S65" s="531"/>
      <c r="T65" s="531"/>
      <c r="U65" s="531"/>
      <c r="V65" s="531"/>
      <c r="W65" s="531"/>
      <c r="X65" s="531"/>
      <c r="Y65" s="531"/>
      <c r="Z65" s="531"/>
      <c r="AA65" s="531"/>
    </row>
    <row r="66" spans="1:27" ht="15">
      <c r="A66" s="527"/>
      <c r="B66" s="527"/>
      <c r="C66" s="527"/>
      <c r="D66" s="527"/>
      <c r="E66" s="527"/>
      <c r="F66" s="527"/>
      <c r="G66" s="527"/>
      <c r="H66" s="527"/>
      <c r="I66" s="528"/>
      <c r="K66" s="531"/>
      <c r="L66" s="531"/>
      <c r="M66" s="531"/>
      <c r="N66" s="531"/>
      <c r="O66" s="531"/>
      <c r="P66" s="531"/>
      <c r="Q66" s="531"/>
      <c r="R66" s="531"/>
      <c r="S66" s="531"/>
      <c r="T66" s="531"/>
      <c r="U66" s="531"/>
      <c r="V66" s="531"/>
      <c r="W66" s="531"/>
      <c r="X66" s="531"/>
      <c r="Y66" s="531"/>
      <c r="Z66" s="531"/>
      <c r="AA66" s="531"/>
    </row>
    <row r="67" spans="1:27" ht="15">
      <c r="A67" s="527"/>
      <c r="B67" s="527"/>
      <c r="C67" s="527"/>
      <c r="D67" s="527"/>
      <c r="E67" s="527"/>
      <c r="F67" s="527"/>
      <c r="G67" s="527"/>
      <c r="H67" s="527"/>
      <c r="I67" s="528"/>
      <c r="K67" s="531"/>
      <c r="L67" s="531"/>
      <c r="M67" s="531"/>
      <c r="N67" s="531"/>
      <c r="O67" s="531"/>
      <c r="P67" s="531"/>
      <c r="Q67" s="531"/>
      <c r="R67" s="531"/>
      <c r="S67" s="531"/>
      <c r="T67" s="531"/>
      <c r="U67" s="531"/>
      <c r="V67" s="531"/>
      <c r="W67" s="531"/>
      <c r="X67" s="531"/>
      <c r="Y67" s="531"/>
      <c r="Z67" s="531"/>
      <c r="AA67" s="531"/>
    </row>
    <row r="68" spans="1:27" ht="15">
      <c r="A68" s="527"/>
      <c r="B68" s="527"/>
      <c r="C68" s="527"/>
      <c r="D68" s="527"/>
      <c r="E68" s="527"/>
      <c r="F68" s="527"/>
      <c r="G68" s="527"/>
      <c r="H68" s="527"/>
      <c r="I68" s="528"/>
      <c r="K68" s="531"/>
      <c r="L68" s="531"/>
      <c r="M68" s="531"/>
      <c r="N68" s="531"/>
      <c r="O68" s="531"/>
      <c r="P68" s="531"/>
      <c r="Q68" s="531"/>
      <c r="R68" s="531"/>
      <c r="S68" s="531"/>
      <c r="T68" s="531"/>
      <c r="U68" s="531"/>
      <c r="V68" s="531"/>
      <c r="W68" s="531"/>
      <c r="X68" s="531"/>
      <c r="Y68" s="531"/>
      <c r="Z68" s="531"/>
      <c r="AA68" s="531"/>
    </row>
    <row r="69" spans="1:27" ht="15">
      <c r="A69" s="527"/>
      <c r="B69" s="527"/>
      <c r="C69" s="527"/>
      <c r="D69" s="527"/>
      <c r="E69" s="527"/>
      <c r="F69" s="527"/>
      <c r="G69" s="527"/>
      <c r="H69" s="527"/>
      <c r="I69" s="528"/>
      <c r="K69" s="531"/>
      <c r="L69" s="531"/>
      <c r="M69" s="531"/>
      <c r="N69" s="531"/>
      <c r="O69" s="531"/>
      <c r="P69" s="531"/>
      <c r="Q69" s="531"/>
      <c r="R69" s="531"/>
      <c r="S69" s="531"/>
      <c r="T69" s="531"/>
      <c r="U69" s="531"/>
      <c r="V69" s="531"/>
      <c r="W69" s="531"/>
      <c r="X69" s="531"/>
      <c r="Y69" s="531"/>
      <c r="Z69" s="531"/>
      <c r="AA69" s="531"/>
    </row>
    <row r="70" spans="1:27" ht="15">
      <c r="A70" s="527"/>
      <c r="B70" s="527"/>
      <c r="C70" s="527"/>
      <c r="D70" s="527"/>
      <c r="E70" s="527"/>
      <c r="F70" s="527"/>
      <c r="G70" s="527"/>
      <c r="H70" s="527"/>
      <c r="I70" s="528"/>
      <c r="K70" s="531"/>
      <c r="L70" s="531"/>
      <c r="M70" s="531"/>
      <c r="N70" s="531"/>
      <c r="O70" s="531"/>
      <c r="P70" s="531"/>
      <c r="Q70" s="531"/>
      <c r="R70" s="531"/>
      <c r="S70" s="531"/>
      <c r="T70" s="531"/>
      <c r="U70" s="531"/>
      <c r="V70" s="531"/>
      <c r="W70" s="531"/>
      <c r="X70" s="531"/>
      <c r="Y70" s="531"/>
      <c r="Z70" s="531"/>
      <c r="AA70" s="531"/>
    </row>
    <row r="71" spans="1:27" ht="15">
      <c r="A71" s="527"/>
      <c r="B71" s="527"/>
      <c r="C71" s="527"/>
      <c r="D71" s="527"/>
      <c r="E71" s="527"/>
      <c r="F71" s="527"/>
      <c r="G71" s="527"/>
      <c r="H71" s="527"/>
      <c r="I71" s="528"/>
      <c r="K71" s="531"/>
      <c r="L71" s="531"/>
      <c r="M71" s="531"/>
      <c r="N71" s="531"/>
      <c r="O71" s="531"/>
      <c r="P71" s="531"/>
      <c r="Q71" s="531"/>
      <c r="R71" s="531"/>
      <c r="S71" s="531"/>
      <c r="T71" s="531"/>
      <c r="U71" s="531"/>
      <c r="V71" s="531"/>
      <c r="W71" s="531"/>
      <c r="X71" s="531"/>
      <c r="Y71" s="531"/>
      <c r="Z71" s="531"/>
      <c r="AA71" s="531"/>
    </row>
    <row r="72" spans="1:27" ht="15">
      <c r="A72" s="527"/>
      <c r="B72" s="527"/>
      <c r="C72" s="527"/>
      <c r="D72" s="527"/>
      <c r="E72" s="527"/>
      <c r="F72" s="527"/>
      <c r="G72" s="527"/>
      <c r="H72" s="527"/>
      <c r="I72" s="528"/>
      <c r="K72" s="531"/>
      <c r="L72" s="531"/>
      <c r="M72" s="531"/>
      <c r="N72" s="531"/>
      <c r="O72" s="531"/>
      <c r="P72" s="531"/>
      <c r="Q72" s="531"/>
      <c r="R72" s="531"/>
      <c r="S72" s="531"/>
      <c r="T72" s="531"/>
      <c r="U72" s="531"/>
      <c r="V72" s="531"/>
      <c r="W72" s="531"/>
      <c r="X72" s="531"/>
      <c r="Y72" s="531"/>
      <c r="Z72" s="531"/>
      <c r="AA72" s="531"/>
    </row>
    <row r="73" spans="1:27" ht="15">
      <c r="A73" s="527"/>
      <c r="B73" s="527"/>
      <c r="C73" s="527"/>
      <c r="D73" s="527"/>
      <c r="E73" s="527"/>
      <c r="F73" s="527"/>
      <c r="G73" s="527"/>
      <c r="H73" s="527"/>
      <c r="I73" s="528"/>
      <c r="K73" s="531"/>
      <c r="L73" s="531"/>
      <c r="M73" s="531"/>
      <c r="N73" s="531"/>
      <c r="O73" s="531"/>
      <c r="P73" s="531"/>
      <c r="Q73" s="531"/>
      <c r="R73" s="531"/>
      <c r="S73" s="531"/>
      <c r="T73" s="531"/>
      <c r="U73" s="531"/>
      <c r="V73" s="531"/>
      <c r="W73" s="531"/>
      <c r="X73" s="531"/>
      <c r="Y73" s="531"/>
      <c r="Z73" s="531"/>
      <c r="AA73" s="531"/>
    </row>
    <row r="74" spans="1:27" ht="15">
      <c r="A74" s="527"/>
      <c r="B74" s="527"/>
      <c r="C74" s="527"/>
      <c r="D74" s="527"/>
      <c r="E74" s="527"/>
      <c r="F74" s="527"/>
      <c r="G74" s="527"/>
      <c r="H74" s="527"/>
      <c r="I74" s="528"/>
      <c r="K74" s="531"/>
      <c r="L74" s="531"/>
      <c r="M74" s="531"/>
      <c r="N74" s="531"/>
      <c r="O74" s="531"/>
      <c r="P74" s="531"/>
      <c r="Q74" s="531"/>
      <c r="R74" s="531"/>
      <c r="S74" s="531"/>
      <c r="T74" s="531"/>
      <c r="U74" s="531"/>
      <c r="V74" s="531"/>
      <c r="W74" s="531"/>
      <c r="X74" s="531"/>
      <c r="Y74" s="531"/>
      <c r="Z74" s="531"/>
      <c r="AA74" s="531"/>
    </row>
    <row r="75" spans="1:27" ht="15">
      <c r="A75" s="527"/>
      <c r="B75" s="527"/>
      <c r="C75" s="527"/>
      <c r="D75" s="527"/>
      <c r="E75" s="527"/>
      <c r="F75" s="527"/>
      <c r="G75" s="527"/>
      <c r="H75" s="527"/>
      <c r="I75" s="528"/>
      <c r="K75" s="531"/>
      <c r="L75" s="531"/>
      <c r="M75" s="531"/>
      <c r="N75" s="531"/>
      <c r="O75" s="531"/>
      <c r="P75" s="531"/>
      <c r="Q75" s="531"/>
      <c r="R75" s="531"/>
      <c r="S75" s="531"/>
      <c r="T75" s="531"/>
      <c r="U75" s="531"/>
      <c r="V75" s="531"/>
      <c r="W75" s="531"/>
      <c r="X75" s="531"/>
      <c r="Y75" s="531"/>
      <c r="Z75" s="531"/>
      <c r="AA75" s="531"/>
    </row>
    <row r="76" spans="1:27" ht="15">
      <c r="A76" s="527"/>
      <c r="B76" s="527"/>
      <c r="C76" s="527"/>
      <c r="D76" s="527"/>
      <c r="E76" s="527"/>
      <c r="F76" s="527"/>
      <c r="G76" s="527"/>
      <c r="H76" s="527"/>
      <c r="I76" s="528"/>
      <c r="K76" s="531"/>
      <c r="L76" s="531"/>
      <c r="M76" s="531"/>
      <c r="N76" s="531"/>
      <c r="O76" s="531"/>
      <c r="P76" s="531"/>
      <c r="Q76" s="531"/>
      <c r="R76" s="531"/>
      <c r="S76" s="531"/>
      <c r="T76" s="531"/>
      <c r="U76" s="531"/>
      <c r="V76" s="531"/>
      <c r="W76" s="531"/>
      <c r="X76" s="531"/>
      <c r="Y76" s="531"/>
      <c r="Z76" s="531"/>
      <c r="AA76" s="531"/>
    </row>
    <row r="77" spans="1:27" ht="15">
      <c r="A77" s="527"/>
      <c r="B77" s="527"/>
      <c r="C77" s="527"/>
      <c r="D77" s="527"/>
      <c r="E77" s="527"/>
      <c r="F77" s="527"/>
      <c r="G77" s="527"/>
      <c r="H77" s="527"/>
      <c r="I77" s="528"/>
      <c r="K77" s="531"/>
      <c r="L77" s="531"/>
      <c r="M77" s="531"/>
      <c r="N77" s="531"/>
      <c r="O77" s="531"/>
      <c r="P77" s="531"/>
      <c r="Q77" s="531"/>
      <c r="R77" s="531"/>
      <c r="S77" s="531"/>
      <c r="T77" s="531"/>
      <c r="U77" s="531"/>
      <c r="V77" s="531"/>
      <c r="W77" s="531"/>
      <c r="X77" s="531"/>
      <c r="Y77" s="531"/>
      <c r="Z77" s="531"/>
      <c r="AA77" s="531"/>
    </row>
    <row r="78" spans="1:27" ht="15">
      <c r="A78" s="527"/>
      <c r="B78" s="527"/>
      <c r="C78" s="527"/>
      <c r="D78" s="527"/>
      <c r="E78" s="527"/>
      <c r="F78" s="527"/>
      <c r="G78" s="527"/>
      <c r="H78" s="527"/>
      <c r="I78" s="528"/>
      <c r="K78" s="531"/>
      <c r="L78" s="531"/>
      <c r="M78" s="531"/>
      <c r="N78" s="531"/>
      <c r="O78" s="531"/>
      <c r="P78" s="531"/>
      <c r="Q78" s="531"/>
      <c r="R78" s="531"/>
      <c r="S78" s="531"/>
      <c r="T78" s="531"/>
      <c r="U78" s="531"/>
      <c r="V78" s="531"/>
      <c r="W78" s="531"/>
      <c r="X78" s="531"/>
      <c r="Y78" s="531"/>
      <c r="Z78" s="531"/>
      <c r="AA78" s="531"/>
    </row>
    <row r="79" spans="1:27" ht="15">
      <c r="A79" s="527"/>
      <c r="B79" s="527"/>
      <c r="C79" s="527"/>
      <c r="D79" s="527"/>
      <c r="E79" s="527"/>
      <c r="F79" s="527"/>
      <c r="G79" s="527"/>
      <c r="H79" s="527"/>
      <c r="I79" s="528"/>
      <c r="K79" s="531"/>
      <c r="L79" s="531"/>
      <c r="M79" s="531"/>
      <c r="N79" s="531"/>
      <c r="O79" s="531"/>
      <c r="P79" s="531"/>
      <c r="Q79" s="531"/>
      <c r="R79" s="531"/>
      <c r="S79" s="531"/>
      <c r="T79" s="531"/>
      <c r="U79" s="531"/>
      <c r="V79" s="531"/>
      <c r="W79" s="531"/>
      <c r="X79" s="531"/>
      <c r="Y79" s="531"/>
      <c r="Z79" s="531"/>
      <c r="AA79" s="531"/>
    </row>
    <row r="80" spans="1:27" ht="15">
      <c r="A80" s="527"/>
      <c r="B80" s="527"/>
      <c r="C80" s="527"/>
      <c r="D80" s="527"/>
      <c r="E80" s="527"/>
      <c r="F80" s="527"/>
      <c r="G80" s="527"/>
      <c r="H80" s="527"/>
      <c r="I80" s="528"/>
      <c r="K80" s="531"/>
      <c r="L80" s="531"/>
      <c r="M80" s="531"/>
      <c r="N80" s="531"/>
      <c r="O80" s="531"/>
      <c r="P80" s="531"/>
      <c r="Q80" s="531"/>
      <c r="R80" s="531"/>
      <c r="S80" s="531"/>
      <c r="T80" s="531"/>
      <c r="U80" s="531"/>
      <c r="V80" s="531"/>
      <c r="W80" s="531"/>
      <c r="X80" s="531"/>
      <c r="Y80" s="531"/>
      <c r="Z80" s="531"/>
      <c r="AA80" s="531"/>
    </row>
    <row r="81" spans="1:27" ht="15">
      <c r="A81" s="527"/>
      <c r="B81" s="527"/>
      <c r="C81" s="527"/>
      <c r="D81" s="527"/>
      <c r="E81" s="527"/>
      <c r="F81" s="527"/>
      <c r="G81" s="527"/>
      <c r="H81" s="527"/>
      <c r="I81" s="528"/>
      <c r="K81" s="531"/>
      <c r="L81" s="531"/>
      <c r="M81" s="531"/>
      <c r="N81" s="531"/>
      <c r="O81" s="531"/>
      <c r="P81" s="531"/>
      <c r="Q81" s="531"/>
      <c r="R81" s="531"/>
      <c r="S81" s="531"/>
      <c r="T81" s="531"/>
      <c r="U81" s="531"/>
      <c r="V81" s="531"/>
      <c r="W81" s="531"/>
      <c r="X81" s="531"/>
      <c r="Y81" s="531"/>
      <c r="Z81" s="531"/>
      <c r="AA81" s="531"/>
    </row>
    <row r="82" spans="1:27" ht="15">
      <c r="A82" s="527"/>
      <c r="B82" s="527"/>
      <c r="C82" s="527"/>
      <c r="D82" s="527"/>
      <c r="E82" s="527"/>
      <c r="F82" s="527"/>
      <c r="G82" s="527"/>
      <c r="H82" s="527"/>
      <c r="I82" s="528"/>
      <c r="K82" s="531"/>
      <c r="L82" s="531"/>
      <c r="M82" s="531"/>
      <c r="N82" s="531"/>
      <c r="O82" s="531"/>
      <c r="P82" s="531"/>
      <c r="Q82" s="531"/>
      <c r="R82" s="531"/>
      <c r="S82" s="531"/>
      <c r="T82" s="531"/>
      <c r="U82" s="531"/>
      <c r="V82" s="531"/>
      <c r="W82" s="531"/>
      <c r="X82" s="531"/>
      <c r="Y82" s="531"/>
      <c r="Z82" s="531"/>
      <c r="AA82" s="531"/>
    </row>
    <row r="83" spans="1:27" ht="15">
      <c r="A83" s="527"/>
      <c r="B83" s="527"/>
      <c r="C83" s="527"/>
      <c r="D83" s="527"/>
      <c r="E83" s="527"/>
      <c r="F83" s="527"/>
      <c r="G83" s="527"/>
      <c r="H83" s="527"/>
      <c r="I83" s="528"/>
      <c r="K83" s="531"/>
      <c r="L83" s="531"/>
      <c r="M83" s="531"/>
      <c r="N83" s="531"/>
      <c r="O83" s="531"/>
      <c r="P83" s="531"/>
      <c r="Q83" s="531"/>
      <c r="R83" s="531"/>
      <c r="S83" s="531"/>
      <c r="T83" s="531"/>
      <c r="U83" s="531"/>
      <c r="V83" s="531"/>
      <c r="W83" s="531"/>
      <c r="X83" s="531"/>
      <c r="Y83" s="531"/>
      <c r="Z83" s="531"/>
      <c r="AA83" s="531"/>
    </row>
    <row r="84" spans="1:27" ht="15">
      <c r="A84" s="527"/>
      <c r="B84" s="527"/>
      <c r="C84" s="527"/>
      <c r="D84" s="527"/>
      <c r="E84" s="527"/>
      <c r="F84" s="527"/>
      <c r="G84" s="527"/>
      <c r="H84" s="527"/>
      <c r="I84" s="528"/>
      <c r="K84" s="531"/>
      <c r="L84" s="531"/>
      <c r="M84" s="531"/>
      <c r="N84" s="531"/>
      <c r="O84" s="531"/>
      <c r="P84" s="531"/>
      <c r="Q84" s="531"/>
      <c r="R84" s="531"/>
      <c r="S84" s="531"/>
      <c r="T84" s="531"/>
      <c r="U84" s="531"/>
      <c r="V84" s="531"/>
      <c r="W84" s="531"/>
      <c r="X84" s="531"/>
      <c r="Y84" s="531"/>
      <c r="Z84" s="531"/>
      <c r="AA84" s="531"/>
    </row>
    <row r="85" spans="1:27" ht="15">
      <c r="A85" s="527"/>
      <c r="B85" s="527"/>
      <c r="C85" s="527"/>
      <c r="D85" s="527"/>
      <c r="E85" s="527"/>
      <c r="F85" s="527"/>
      <c r="G85" s="527"/>
      <c r="H85" s="527"/>
      <c r="I85" s="528"/>
      <c r="K85" s="531"/>
      <c r="L85" s="531"/>
      <c r="M85" s="531"/>
      <c r="N85" s="531"/>
      <c r="O85" s="531"/>
      <c r="P85" s="531"/>
      <c r="Q85" s="531"/>
      <c r="R85" s="531"/>
      <c r="S85" s="531"/>
      <c r="T85" s="531"/>
      <c r="U85" s="531"/>
      <c r="V85" s="531"/>
      <c r="W85" s="531"/>
      <c r="X85" s="531"/>
      <c r="Y85" s="531"/>
      <c r="Z85" s="531"/>
      <c r="AA85" s="531"/>
    </row>
    <row r="86" spans="1:27" ht="15">
      <c r="A86" s="527"/>
      <c r="B86" s="527"/>
      <c r="C86" s="527"/>
      <c r="D86" s="527"/>
      <c r="E86" s="527"/>
      <c r="F86" s="527"/>
      <c r="G86" s="527"/>
      <c r="H86" s="527"/>
      <c r="I86" s="528"/>
      <c r="K86" s="531"/>
      <c r="L86" s="531"/>
      <c r="M86" s="531"/>
      <c r="N86" s="531"/>
      <c r="O86" s="531"/>
      <c r="P86" s="531"/>
      <c r="Q86" s="531"/>
      <c r="R86" s="531"/>
      <c r="S86" s="531"/>
      <c r="T86" s="531"/>
      <c r="U86" s="531"/>
      <c r="V86" s="531"/>
      <c r="W86" s="531"/>
      <c r="X86" s="531"/>
      <c r="Y86" s="531"/>
      <c r="Z86" s="531"/>
      <c r="AA86" s="531"/>
    </row>
    <row r="87" spans="1:27" ht="15">
      <c r="A87" s="527"/>
      <c r="B87" s="527"/>
      <c r="C87" s="527"/>
      <c r="D87" s="527"/>
      <c r="E87" s="527"/>
      <c r="F87" s="527"/>
      <c r="G87" s="527"/>
      <c r="H87" s="527"/>
      <c r="I87" s="528"/>
      <c r="K87" s="531"/>
      <c r="L87" s="531"/>
      <c r="M87" s="531"/>
      <c r="N87" s="531"/>
      <c r="O87" s="531"/>
      <c r="P87" s="531"/>
      <c r="Q87" s="531"/>
      <c r="R87" s="531"/>
      <c r="S87" s="531"/>
      <c r="T87" s="531"/>
      <c r="U87" s="531"/>
      <c r="V87" s="531"/>
      <c r="W87" s="531"/>
      <c r="X87" s="531"/>
      <c r="Y87" s="531"/>
      <c r="Z87" s="531"/>
      <c r="AA87" s="531"/>
    </row>
    <row r="88" spans="1:27" ht="15">
      <c r="A88" s="527"/>
      <c r="B88" s="527"/>
      <c r="C88" s="527"/>
      <c r="D88" s="527"/>
      <c r="E88" s="527"/>
      <c r="F88" s="527"/>
      <c r="G88" s="527"/>
      <c r="H88" s="527"/>
      <c r="I88" s="528"/>
      <c r="K88" s="531"/>
      <c r="L88" s="531"/>
      <c r="M88" s="531"/>
      <c r="N88" s="531"/>
      <c r="O88" s="531"/>
      <c r="P88" s="531"/>
      <c r="Q88" s="531"/>
      <c r="R88" s="531"/>
      <c r="S88" s="531"/>
      <c r="T88" s="531"/>
      <c r="U88" s="531"/>
      <c r="V88" s="531"/>
      <c r="W88" s="531"/>
      <c r="X88" s="531"/>
      <c r="Y88" s="531"/>
      <c r="Z88" s="531"/>
      <c r="AA88" s="531"/>
    </row>
    <row r="89" spans="1:27" ht="15">
      <c r="A89" s="527"/>
      <c r="B89" s="527"/>
      <c r="C89" s="527"/>
      <c r="D89" s="527"/>
      <c r="E89" s="527"/>
      <c r="F89" s="527"/>
      <c r="G89" s="527"/>
      <c r="H89" s="527"/>
      <c r="I89" s="528"/>
      <c r="K89" s="531"/>
      <c r="L89" s="531"/>
      <c r="M89" s="531"/>
      <c r="N89" s="531"/>
      <c r="O89" s="531"/>
      <c r="P89" s="531"/>
      <c r="Q89" s="531"/>
      <c r="R89" s="531"/>
      <c r="S89" s="531"/>
      <c r="T89" s="531"/>
      <c r="U89" s="531"/>
      <c r="V89" s="531"/>
      <c r="W89" s="531"/>
      <c r="X89" s="531"/>
      <c r="Y89" s="531"/>
      <c r="Z89" s="531"/>
      <c r="AA89" s="531"/>
    </row>
    <row r="90" spans="1:27" ht="15">
      <c r="A90" s="527"/>
      <c r="B90" s="527"/>
      <c r="C90" s="527"/>
      <c r="D90" s="527"/>
      <c r="E90" s="527"/>
      <c r="F90" s="527"/>
      <c r="G90" s="527"/>
      <c r="H90" s="527"/>
      <c r="I90" s="528"/>
      <c r="K90" s="531"/>
      <c r="L90" s="531"/>
      <c r="M90" s="531"/>
      <c r="N90" s="531"/>
      <c r="O90" s="531"/>
      <c r="P90" s="531"/>
      <c r="Q90" s="531"/>
      <c r="R90" s="531"/>
      <c r="S90" s="531"/>
      <c r="T90" s="531"/>
      <c r="U90" s="531"/>
      <c r="V90" s="531"/>
      <c r="W90" s="531"/>
      <c r="X90" s="531"/>
      <c r="Y90" s="531"/>
      <c r="Z90" s="531"/>
      <c r="AA90" s="531"/>
    </row>
    <row r="91" spans="1:27" ht="15">
      <c r="A91" s="527"/>
      <c r="B91" s="527"/>
      <c r="C91" s="527"/>
      <c r="D91" s="527"/>
      <c r="E91" s="527"/>
      <c r="F91" s="527"/>
      <c r="G91" s="527"/>
      <c r="H91" s="527"/>
      <c r="I91" s="528"/>
      <c r="K91" s="531"/>
      <c r="L91" s="531"/>
      <c r="M91" s="531"/>
      <c r="N91" s="531"/>
      <c r="O91" s="531"/>
      <c r="P91" s="531"/>
      <c r="Q91" s="531"/>
      <c r="R91" s="531"/>
      <c r="S91" s="531"/>
      <c r="T91" s="531"/>
      <c r="U91" s="531"/>
      <c r="V91" s="531"/>
      <c r="W91" s="531"/>
      <c r="X91" s="531"/>
      <c r="Y91" s="531"/>
      <c r="Z91" s="531"/>
      <c r="AA91" s="531"/>
    </row>
    <row r="92" spans="1:27" ht="15">
      <c r="A92" s="527"/>
      <c r="B92" s="527"/>
      <c r="C92" s="527"/>
      <c r="D92" s="527"/>
      <c r="E92" s="527"/>
      <c r="F92" s="527"/>
      <c r="G92" s="527"/>
      <c r="H92" s="527"/>
      <c r="I92" s="528"/>
      <c r="K92" s="531"/>
      <c r="L92" s="531"/>
      <c r="M92" s="531"/>
      <c r="N92" s="531"/>
      <c r="O92" s="531"/>
      <c r="P92" s="531"/>
      <c r="Q92" s="531"/>
      <c r="R92" s="531"/>
      <c r="S92" s="531"/>
      <c r="T92" s="531"/>
      <c r="U92" s="531"/>
      <c r="V92" s="531"/>
      <c r="W92" s="531"/>
      <c r="X92" s="531"/>
      <c r="Y92" s="531"/>
      <c r="Z92" s="531"/>
      <c r="AA92" s="531"/>
    </row>
    <row r="93" spans="1:27" ht="15">
      <c r="A93" s="527"/>
      <c r="B93" s="527"/>
      <c r="C93" s="527"/>
      <c r="D93" s="527"/>
      <c r="E93" s="527"/>
      <c r="F93" s="527"/>
      <c r="G93" s="527"/>
      <c r="H93" s="527"/>
      <c r="I93" s="528"/>
      <c r="K93" s="531"/>
      <c r="L93" s="531"/>
      <c r="M93" s="531"/>
      <c r="N93" s="531"/>
      <c r="O93" s="531"/>
      <c r="P93" s="531"/>
      <c r="Q93" s="531"/>
      <c r="R93" s="531"/>
      <c r="S93" s="531"/>
      <c r="T93" s="531"/>
      <c r="U93" s="531"/>
      <c r="V93" s="531"/>
      <c r="W93" s="531"/>
      <c r="X93" s="531"/>
      <c r="Y93" s="531"/>
      <c r="Z93" s="531"/>
      <c r="AA93" s="531"/>
    </row>
    <row r="94" spans="1:27" ht="15">
      <c r="A94" s="527"/>
      <c r="B94" s="527"/>
      <c r="C94" s="527"/>
      <c r="D94" s="527"/>
      <c r="E94" s="527"/>
      <c r="F94" s="527"/>
      <c r="G94" s="527"/>
      <c r="H94" s="527"/>
      <c r="I94" s="528"/>
      <c r="K94" s="531"/>
      <c r="L94" s="531"/>
      <c r="M94" s="531"/>
      <c r="N94" s="531"/>
      <c r="O94" s="531"/>
      <c r="P94" s="531"/>
      <c r="Q94" s="531"/>
      <c r="R94" s="531"/>
      <c r="S94" s="531"/>
      <c r="T94" s="531"/>
      <c r="U94" s="531"/>
      <c r="V94" s="531"/>
      <c r="W94" s="531"/>
      <c r="X94" s="531"/>
      <c r="Y94" s="531"/>
      <c r="Z94" s="531"/>
      <c r="AA94" s="531"/>
    </row>
    <row r="95" spans="1:27" ht="15">
      <c r="A95" s="527"/>
      <c r="B95" s="527"/>
      <c r="C95" s="527"/>
      <c r="D95" s="527"/>
      <c r="E95" s="527"/>
      <c r="F95" s="527"/>
      <c r="G95" s="527"/>
      <c r="H95" s="527"/>
      <c r="I95" s="528"/>
      <c r="K95" s="531"/>
      <c r="L95" s="531"/>
      <c r="M95" s="531"/>
      <c r="N95" s="531"/>
      <c r="O95" s="531"/>
      <c r="P95" s="531"/>
      <c r="Q95" s="531"/>
      <c r="R95" s="531"/>
      <c r="S95" s="531"/>
      <c r="T95" s="531"/>
      <c r="U95" s="531"/>
      <c r="V95" s="531"/>
      <c r="W95" s="531"/>
      <c r="X95" s="531"/>
      <c r="Y95" s="531"/>
      <c r="Z95" s="531"/>
      <c r="AA95" s="531"/>
    </row>
    <row r="96" spans="1:27" ht="15">
      <c r="A96" s="527"/>
      <c r="B96" s="527"/>
      <c r="C96" s="527"/>
      <c r="D96" s="527"/>
      <c r="E96" s="527"/>
      <c r="F96" s="527"/>
      <c r="G96" s="527"/>
      <c r="H96" s="527"/>
      <c r="I96" s="528"/>
      <c r="K96" s="531"/>
      <c r="L96" s="531"/>
      <c r="M96" s="531"/>
      <c r="N96" s="531"/>
      <c r="O96" s="531"/>
      <c r="P96" s="531"/>
      <c r="Q96" s="531"/>
      <c r="R96" s="531"/>
      <c r="S96" s="531"/>
      <c r="T96" s="531"/>
      <c r="U96" s="531"/>
      <c r="V96" s="531"/>
      <c r="W96" s="531"/>
      <c r="X96" s="531"/>
      <c r="Y96" s="531"/>
      <c r="Z96" s="531"/>
      <c r="AA96" s="531"/>
    </row>
    <row r="97" spans="1:27" ht="15">
      <c r="A97" s="527"/>
      <c r="B97" s="527"/>
      <c r="C97" s="527"/>
      <c r="D97" s="527"/>
      <c r="E97" s="527"/>
      <c r="F97" s="527"/>
      <c r="G97" s="527"/>
      <c r="H97" s="527"/>
      <c r="I97" s="528"/>
      <c r="K97" s="531"/>
      <c r="L97" s="531"/>
      <c r="M97" s="531"/>
      <c r="N97" s="531"/>
      <c r="O97" s="531"/>
      <c r="P97" s="531"/>
      <c r="Q97" s="531"/>
      <c r="R97" s="531"/>
      <c r="S97" s="531"/>
      <c r="T97" s="531"/>
      <c r="U97" s="531"/>
      <c r="V97" s="531"/>
      <c r="W97" s="531"/>
      <c r="X97" s="531"/>
      <c r="Y97" s="531"/>
      <c r="Z97" s="531"/>
      <c r="AA97" s="531"/>
    </row>
    <row r="98" spans="1:27" ht="15">
      <c r="A98" s="527"/>
      <c r="B98" s="527"/>
      <c r="C98" s="527"/>
      <c r="D98" s="527"/>
      <c r="E98" s="527"/>
      <c r="F98" s="527"/>
      <c r="G98" s="527"/>
      <c r="H98" s="527"/>
      <c r="I98" s="528"/>
      <c r="K98" s="531"/>
      <c r="L98" s="531"/>
      <c r="M98" s="531"/>
      <c r="N98" s="531"/>
      <c r="O98" s="531"/>
      <c r="P98" s="531"/>
      <c r="Q98" s="531"/>
      <c r="R98" s="531"/>
      <c r="S98" s="531"/>
      <c r="T98" s="531"/>
      <c r="U98" s="531"/>
      <c r="V98" s="531"/>
      <c r="W98" s="531"/>
      <c r="X98" s="531"/>
      <c r="Y98" s="531"/>
      <c r="Z98" s="531"/>
      <c r="AA98" s="531"/>
    </row>
    <row r="99" spans="1:27" ht="15">
      <c r="A99" s="527"/>
      <c r="B99" s="527"/>
      <c r="C99" s="527"/>
      <c r="D99" s="527"/>
      <c r="E99" s="527"/>
      <c r="F99" s="527"/>
      <c r="G99" s="527"/>
      <c r="H99" s="527"/>
      <c r="I99" s="528"/>
      <c r="K99" s="531"/>
      <c r="L99" s="531"/>
      <c r="M99" s="531"/>
      <c r="N99" s="531"/>
      <c r="O99" s="531"/>
      <c r="P99" s="531"/>
      <c r="Q99" s="531"/>
      <c r="R99" s="531"/>
      <c r="S99" s="531"/>
      <c r="T99" s="531"/>
      <c r="U99" s="531"/>
      <c r="V99" s="531"/>
      <c r="W99" s="531"/>
      <c r="X99" s="531"/>
      <c r="Y99" s="531"/>
      <c r="Z99" s="531"/>
      <c r="AA99" s="531"/>
    </row>
    <row r="100" spans="1:27" ht="15">
      <c r="A100" s="527"/>
      <c r="B100" s="527"/>
      <c r="C100" s="527"/>
      <c r="D100" s="527"/>
      <c r="E100" s="527"/>
      <c r="F100" s="527"/>
      <c r="G100" s="527"/>
      <c r="H100" s="527"/>
      <c r="I100" s="528"/>
      <c r="K100" s="531"/>
      <c r="L100" s="531"/>
      <c r="M100" s="531"/>
      <c r="N100" s="531"/>
      <c r="O100" s="531"/>
      <c r="P100" s="531"/>
      <c r="Q100" s="531"/>
      <c r="R100" s="531"/>
      <c r="S100" s="531"/>
      <c r="T100" s="531"/>
      <c r="U100" s="531"/>
      <c r="V100" s="531"/>
      <c r="W100" s="531"/>
      <c r="X100" s="531"/>
      <c r="Y100" s="531"/>
      <c r="Z100" s="531"/>
      <c r="AA100" s="531"/>
    </row>
    <row r="101" spans="1:27" ht="15">
      <c r="A101" s="527"/>
      <c r="B101" s="527"/>
      <c r="C101" s="527"/>
      <c r="D101" s="527"/>
      <c r="E101" s="527"/>
      <c r="F101" s="527"/>
      <c r="G101" s="527"/>
      <c r="H101" s="527"/>
      <c r="I101" s="528"/>
      <c r="K101" s="531"/>
      <c r="L101" s="531"/>
      <c r="M101" s="531"/>
      <c r="N101" s="531"/>
      <c r="O101" s="531"/>
      <c r="P101" s="531"/>
      <c r="Q101" s="531"/>
      <c r="R101" s="531"/>
      <c r="S101" s="531"/>
      <c r="T101" s="531"/>
      <c r="U101" s="531"/>
      <c r="V101" s="531"/>
      <c r="W101" s="531"/>
      <c r="X101" s="531"/>
      <c r="Y101" s="531"/>
      <c r="Z101" s="531"/>
      <c r="AA101" s="531"/>
    </row>
    <row r="102" spans="1:27" ht="15">
      <c r="A102" s="527"/>
      <c r="B102" s="527"/>
      <c r="C102" s="527"/>
      <c r="D102" s="527"/>
      <c r="E102" s="527"/>
      <c r="F102" s="527"/>
      <c r="G102" s="527"/>
      <c r="H102" s="527"/>
      <c r="I102" s="528"/>
      <c r="K102" s="531"/>
      <c r="L102" s="531"/>
      <c r="M102" s="531"/>
      <c r="N102" s="531"/>
      <c r="O102" s="531"/>
      <c r="P102" s="531"/>
      <c r="Q102" s="531"/>
      <c r="R102" s="531"/>
      <c r="S102" s="531"/>
      <c r="T102" s="531"/>
      <c r="U102" s="531"/>
      <c r="V102" s="531"/>
      <c r="W102" s="531"/>
      <c r="X102" s="531"/>
      <c r="Y102" s="531"/>
      <c r="Z102" s="531"/>
      <c r="AA102" s="531"/>
    </row>
    <row r="103" spans="1:27" ht="15">
      <c r="A103" s="527"/>
      <c r="B103" s="527"/>
      <c r="C103" s="527"/>
      <c r="D103" s="527"/>
      <c r="E103" s="527"/>
      <c r="F103" s="527"/>
      <c r="G103" s="527"/>
      <c r="H103" s="527"/>
      <c r="I103" s="528"/>
      <c r="K103" s="531"/>
      <c r="L103" s="531"/>
      <c r="M103" s="531"/>
      <c r="N103" s="531"/>
      <c r="O103" s="531"/>
      <c r="P103" s="531"/>
      <c r="Q103" s="531"/>
      <c r="R103" s="531"/>
      <c r="S103" s="531"/>
      <c r="T103" s="531"/>
      <c r="U103" s="531"/>
      <c r="V103" s="531"/>
      <c r="W103" s="531"/>
      <c r="X103" s="531"/>
      <c r="Y103" s="531"/>
      <c r="Z103" s="531"/>
      <c r="AA103" s="531"/>
    </row>
    <row r="104" spans="1:27" ht="15">
      <c r="A104" s="527"/>
      <c r="B104" s="527"/>
      <c r="C104" s="527"/>
      <c r="D104" s="527"/>
      <c r="E104" s="527"/>
      <c r="F104" s="527"/>
      <c r="G104" s="527"/>
      <c r="H104" s="527"/>
      <c r="I104" s="528"/>
      <c r="K104" s="531"/>
      <c r="L104" s="531"/>
      <c r="M104" s="531"/>
      <c r="N104" s="531"/>
      <c r="O104" s="531"/>
      <c r="P104" s="531"/>
      <c r="Q104" s="531"/>
      <c r="R104" s="531"/>
      <c r="S104" s="531"/>
      <c r="T104" s="531"/>
      <c r="U104" s="531"/>
      <c r="V104" s="531"/>
      <c r="W104" s="531"/>
      <c r="X104" s="531"/>
      <c r="Y104" s="531"/>
      <c r="Z104" s="531"/>
      <c r="AA104" s="531"/>
    </row>
    <row r="105" spans="1:27" ht="15">
      <c r="A105" s="527"/>
      <c r="B105" s="527"/>
      <c r="C105" s="527"/>
      <c r="D105" s="527"/>
      <c r="E105" s="527"/>
      <c r="F105" s="527"/>
      <c r="G105" s="527"/>
      <c r="H105" s="527"/>
      <c r="I105" s="528"/>
      <c r="K105" s="531"/>
      <c r="L105" s="531"/>
      <c r="M105" s="531"/>
      <c r="N105" s="531"/>
      <c r="O105" s="531"/>
      <c r="P105" s="531"/>
      <c r="Q105" s="531"/>
      <c r="R105" s="531"/>
      <c r="S105" s="531"/>
      <c r="T105" s="531"/>
      <c r="U105" s="531"/>
      <c r="V105" s="531"/>
      <c r="W105" s="531"/>
      <c r="X105" s="531"/>
      <c r="Y105" s="531"/>
      <c r="Z105" s="531"/>
      <c r="AA105" s="531"/>
    </row>
    <row r="106" spans="1:27" ht="15">
      <c r="A106" s="527"/>
      <c r="B106" s="527"/>
      <c r="C106" s="527"/>
      <c r="D106" s="527"/>
      <c r="E106" s="527"/>
      <c r="F106" s="527"/>
      <c r="G106" s="527"/>
      <c r="H106" s="527"/>
      <c r="I106" s="528"/>
      <c r="K106" s="531"/>
      <c r="L106" s="531"/>
      <c r="M106" s="531"/>
      <c r="N106" s="531"/>
      <c r="O106" s="531"/>
      <c r="P106" s="531"/>
      <c r="Q106" s="531"/>
      <c r="R106" s="531"/>
      <c r="S106" s="531"/>
      <c r="T106" s="531"/>
      <c r="U106" s="531"/>
      <c r="V106" s="531"/>
      <c r="W106" s="531"/>
      <c r="X106" s="531"/>
      <c r="Y106" s="531"/>
      <c r="Z106" s="531"/>
      <c r="AA106" s="531"/>
    </row>
    <row r="107" spans="1:27" ht="15">
      <c r="A107" s="527"/>
      <c r="B107" s="527"/>
      <c r="C107" s="527"/>
      <c r="D107" s="527"/>
      <c r="E107" s="527"/>
      <c r="F107" s="527"/>
      <c r="G107" s="527"/>
      <c r="H107" s="527"/>
      <c r="I107" s="528"/>
      <c r="K107" s="531"/>
      <c r="L107" s="531"/>
      <c r="M107" s="531"/>
      <c r="N107" s="531"/>
      <c r="O107" s="531"/>
      <c r="P107" s="531"/>
      <c r="Q107" s="531"/>
      <c r="R107" s="531"/>
      <c r="S107" s="531"/>
      <c r="T107" s="531"/>
      <c r="U107" s="531"/>
      <c r="V107" s="531"/>
      <c r="W107" s="531"/>
      <c r="X107" s="531"/>
      <c r="Y107" s="531"/>
      <c r="Z107" s="531"/>
      <c r="AA107" s="531"/>
    </row>
    <row r="108" spans="1:27" ht="15">
      <c r="A108" s="527"/>
      <c r="B108" s="527"/>
      <c r="C108" s="527"/>
      <c r="D108" s="527"/>
      <c r="E108" s="527"/>
      <c r="F108" s="527"/>
      <c r="G108" s="527"/>
      <c r="H108" s="527"/>
      <c r="I108" s="528"/>
      <c r="K108" s="531"/>
      <c r="L108" s="531"/>
      <c r="M108" s="531"/>
      <c r="N108" s="531"/>
      <c r="O108" s="531"/>
      <c r="P108" s="531"/>
      <c r="Q108" s="531"/>
      <c r="R108" s="531"/>
      <c r="S108" s="531"/>
      <c r="T108" s="531"/>
      <c r="U108" s="531"/>
      <c r="V108" s="531"/>
      <c r="W108" s="531"/>
      <c r="X108" s="531"/>
      <c r="Y108" s="531"/>
      <c r="Z108" s="531"/>
      <c r="AA108" s="531"/>
    </row>
    <row r="109" spans="1:27" ht="15">
      <c r="A109" s="527"/>
      <c r="B109" s="527"/>
      <c r="C109" s="527"/>
      <c r="D109" s="527"/>
      <c r="E109" s="527"/>
      <c r="F109" s="527"/>
      <c r="G109" s="527"/>
      <c r="H109" s="527"/>
      <c r="I109" s="528"/>
      <c r="K109" s="531"/>
      <c r="L109" s="531"/>
      <c r="M109" s="531"/>
      <c r="N109" s="531"/>
      <c r="O109" s="531"/>
      <c r="P109" s="531"/>
      <c r="Q109" s="531"/>
      <c r="R109" s="531"/>
      <c r="S109" s="531"/>
      <c r="T109" s="531"/>
      <c r="U109" s="531"/>
      <c r="V109" s="531"/>
      <c r="W109" s="531"/>
      <c r="X109" s="531"/>
      <c r="Y109" s="531"/>
      <c r="Z109" s="531"/>
      <c r="AA109" s="531"/>
    </row>
    <row r="110" spans="1:27" ht="15">
      <c r="A110" s="527"/>
      <c r="B110" s="527"/>
      <c r="C110" s="527"/>
      <c r="D110" s="527"/>
      <c r="E110" s="527"/>
      <c r="F110" s="527"/>
      <c r="G110" s="527"/>
      <c r="H110" s="527"/>
      <c r="I110" s="528"/>
      <c r="K110" s="531"/>
      <c r="L110" s="531"/>
      <c r="M110" s="531"/>
      <c r="N110" s="531"/>
      <c r="O110" s="531"/>
      <c r="P110" s="531"/>
      <c r="Q110" s="531"/>
      <c r="R110" s="531"/>
      <c r="S110" s="531"/>
      <c r="T110" s="531"/>
      <c r="U110" s="531"/>
      <c r="V110" s="531"/>
      <c r="W110" s="531"/>
      <c r="X110" s="531"/>
      <c r="Y110" s="531"/>
      <c r="Z110" s="531"/>
      <c r="AA110" s="531"/>
    </row>
    <row r="111" spans="1:27" ht="15">
      <c r="A111" s="527"/>
      <c r="B111" s="527"/>
      <c r="C111" s="527"/>
      <c r="D111" s="527"/>
      <c r="E111" s="527"/>
      <c r="F111" s="527"/>
      <c r="G111" s="527"/>
      <c r="H111" s="527"/>
      <c r="I111" s="528"/>
      <c r="K111" s="531"/>
      <c r="L111" s="531"/>
      <c r="M111" s="531"/>
      <c r="N111" s="531"/>
      <c r="O111" s="531"/>
      <c r="P111" s="531"/>
      <c r="Q111" s="531"/>
      <c r="R111" s="531"/>
      <c r="S111" s="531"/>
      <c r="T111" s="531"/>
      <c r="U111" s="531"/>
      <c r="V111" s="531"/>
      <c r="W111" s="531"/>
      <c r="X111" s="531"/>
      <c r="Y111" s="531"/>
      <c r="Z111" s="531"/>
      <c r="AA111" s="531"/>
    </row>
    <row r="112" spans="1:27" ht="15">
      <c r="A112" s="527"/>
      <c r="B112" s="527"/>
      <c r="C112" s="527"/>
      <c r="D112" s="527"/>
      <c r="E112" s="527"/>
      <c r="F112" s="527"/>
      <c r="G112" s="527"/>
      <c r="H112" s="527"/>
      <c r="I112" s="528"/>
      <c r="K112" s="531"/>
      <c r="L112" s="531"/>
      <c r="M112" s="531"/>
      <c r="N112" s="531"/>
      <c r="O112" s="531"/>
      <c r="P112" s="531"/>
      <c r="Q112" s="531"/>
      <c r="R112" s="531"/>
      <c r="S112" s="531"/>
      <c r="T112" s="531"/>
      <c r="U112" s="531"/>
      <c r="V112" s="531"/>
      <c r="W112" s="531"/>
      <c r="X112" s="531"/>
      <c r="Y112" s="531"/>
      <c r="Z112" s="531"/>
      <c r="AA112" s="531"/>
    </row>
    <row r="113" spans="1:27" ht="15">
      <c r="A113" s="527"/>
      <c r="B113" s="527"/>
      <c r="C113" s="527"/>
      <c r="D113" s="527"/>
      <c r="E113" s="527"/>
      <c r="F113" s="527"/>
      <c r="G113" s="527"/>
      <c r="H113" s="527"/>
      <c r="I113" s="528"/>
      <c r="K113" s="531"/>
      <c r="L113" s="531"/>
      <c r="M113" s="531"/>
      <c r="N113" s="531"/>
      <c r="O113" s="531"/>
      <c r="P113" s="531"/>
      <c r="Q113" s="531"/>
      <c r="R113" s="531"/>
      <c r="S113" s="531"/>
      <c r="T113" s="531"/>
      <c r="U113" s="531"/>
      <c r="V113" s="531"/>
      <c r="W113" s="531"/>
      <c r="X113" s="531"/>
      <c r="Y113" s="531"/>
      <c r="Z113" s="531"/>
      <c r="AA113" s="531"/>
    </row>
    <row r="114" spans="1:27" ht="15">
      <c r="A114" s="527"/>
      <c r="B114" s="527"/>
      <c r="C114" s="527"/>
      <c r="D114" s="527"/>
      <c r="E114" s="527"/>
      <c r="F114" s="527"/>
      <c r="G114" s="527"/>
      <c r="H114" s="527"/>
      <c r="I114" s="528"/>
      <c r="K114" s="531"/>
      <c r="L114" s="531"/>
      <c r="M114" s="531"/>
      <c r="N114" s="531"/>
      <c r="O114" s="531"/>
      <c r="P114" s="531"/>
      <c r="Q114" s="531"/>
      <c r="R114" s="531"/>
      <c r="S114" s="531"/>
      <c r="T114" s="531"/>
      <c r="U114" s="531"/>
      <c r="V114" s="531"/>
      <c r="W114" s="531"/>
      <c r="X114" s="531"/>
      <c r="Y114" s="531"/>
      <c r="Z114" s="531"/>
      <c r="AA114" s="531"/>
    </row>
    <row r="115" spans="1:27" ht="15">
      <c r="A115" s="527"/>
      <c r="B115" s="527"/>
      <c r="C115" s="527"/>
      <c r="D115" s="527"/>
      <c r="E115" s="527"/>
      <c r="F115" s="527"/>
      <c r="G115" s="527"/>
      <c r="H115" s="527"/>
      <c r="I115" s="528"/>
      <c r="K115" s="531"/>
      <c r="L115" s="531"/>
      <c r="M115" s="531"/>
      <c r="N115" s="531"/>
      <c r="O115" s="531"/>
      <c r="P115" s="531"/>
      <c r="Q115" s="531"/>
      <c r="R115" s="531"/>
      <c r="S115" s="531"/>
      <c r="T115" s="531"/>
      <c r="U115" s="531"/>
      <c r="V115" s="531"/>
      <c r="W115" s="531"/>
      <c r="X115" s="531"/>
      <c r="Y115" s="531"/>
      <c r="Z115" s="531"/>
      <c r="AA115" s="531"/>
    </row>
    <row r="116" spans="1:27" ht="15">
      <c r="A116" s="527"/>
      <c r="B116" s="527"/>
      <c r="C116" s="527"/>
      <c r="D116" s="527"/>
      <c r="E116" s="527"/>
      <c r="F116" s="527"/>
      <c r="G116" s="527"/>
      <c r="H116" s="527"/>
      <c r="I116" s="528"/>
      <c r="K116" s="531"/>
      <c r="L116" s="531"/>
      <c r="M116" s="531"/>
      <c r="N116" s="531"/>
      <c r="O116" s="531"/>
      <c r="P116" s="531"/>
      <c r="Q116" s="531"/>
      <c r="R116" s="531"/>
      <c r="S116" s="531"/>
      <c r="T116" s="531"/>
      <c r="U116" s="531"/>
      <c r="V116" s="531"/>
      <c r="W116" s="531"/>
      <c r="X116" s="531"/>
      <c r="Y116" s="531"/>
      <c r="Z116" s="531"/>
      <c r="AA116" s="531"/>
    </row>
    <row r="117" spans="1:27" ht="15">
      <c r="A117" s="527"/>
      <c r="B117" s="527"/>
      <c r="C117" s="527"/>
      <c r="D117" s="527"/>
      <c r="E117" s="527"/>
      <c r="F117" s="527"/>
      <c r="G117" s="527"/>
      <c r="H117" s="527"/>
      <c r="I117" s="528"/>
      <c r="K117" s="531"/>
      <c r="L117" s="531"/>
      <c r="M117" s="531"/>
      <c r="N117" s="531"/>
      <c r="O117" s="531"/>
      <c r="P117" s="531"/>
      <c r="Q117" s="531"/>
      <c r="R117" s="531"/>
      <c r="S117" s="531"/>
      <c r="T117" s="531"/>
      <c r="U117" s="531"/>
      <c r="V117" s="531"/>
      <c r="W117" s="531"/>
      <c r="X117" s="531"/>
      <c r="Y117" s="531"/>
      <c r="Z117" s="531"/>
      <c r="AA117" s="531"/>
    </row>
    <row r="118" spans="1:27" ht="15">
      <c r="A118" s="527"/>
      <c r="B118" s="527"/>
      <c r="C118" s="527"/>
      <c r="D118" s="527"/>
      <c r="E118" s="527"/>
      <c r="F118" s="527"/>
      <c r="G118" s="527"/>
      <c r="H118" s="527"/>
      <c r="I118" s="528"/>
      <c r="K118" s="531"/>
      <c r="L118" s="531"/>
      <c r="M118" s="531"/>
      <c r="N118" s="531"/>
      <c r="O118" s="531"/>
      <c r="P118" s="531"/>
      <c r="Q118" s="531"/>
      <c r="R118" s="531"/>
      <c r="S118" s="531"/>
      <c r="T118" s="531"/>
      <c r="U118" s="531"/>
      <c r="V118" s="531"/>
      <c r="W118" s="531"/>
      <c r="X118" s="531"/>
      <c r="Y118" s="531"/>
      <c r="Z118" s="531"/>
      <c r="AA118" s="531"/>
    </row>
    <row r="119" spans="1:27" ht="15">
      <c r="A119" s="527"/>
      <c r="B119" s="527"/>
      <c r="C119" s="527"/>
      <c r="D119" s="527"/>
      <c r="E119" s="527"/>
      <c r="F119" s="527"/>
      <c r="G119" s="527"/>
      <c r="H119" s="527"/>
      <c r="I119" s="528"/>
      <c r="K119" s="531"/>
      <c r="L119" s="531"/>
      <c r="M119" s="531"/>
      <c r="N119" s="531"/>
      <c r="O119" s="531"/>
      <c r="P119" s="531"/>
      <c r="Q119" s="531"/>
      <c r="R119" s="531"/>
      <c r="S119" s="531"/>
      <c r="T119" s="531"/>
      <c r="U119" s="531"/>
      <c r="V119" s="531"/>
      <c r="W119" s="531"/>
      <c r="X119" s="531"/>
      <c r="Y119" s="531"/>
      <c r="Z119" s="531"/>
      <c r="AA119" s="531"/>
    </row>
    <row r="120" spans="1:27" ht="15">
      <c r="A120" s="527"/>
      <c r="B120" s="527"/>
      <c r="C120" s="527"/>
      <c r="D120" s="527"/>
      <c r="E120" s="527"/>
      <c r="F120" s="527"/>
      <c r="G120" s="527"/>
      <c r="H120" s="527"/>
      <c r="I120" s="528"/>
      <c r="K120" s="531"/>
      <c r="L120" s="531"/>
      <c r="M120" s="531"/>
      <c r="N120" s="531"/>
      <c r="O120" s="531"/>
      <c r="P120" s="531"/>
      <c r="Q120" s="531"/>
      <c r="R120" s="531"/>
      <c r="S120" s="531"/>
      <c r="T120" s="531"/>
      <c r="U120" s="531"/>
      <c r="V120" s="531"/>
      <c r="W120" s="531"/>
      <c r="X120" s="531"/>
      <c r="Y120" s="531"/>
      <c r="Z120" s="531"/>
      <c r="AA120" s="531"/>
    </row>
    <row r="121" spans="1:27" ht="15">
      <c r="A121" s="527"/>
      <c r="B121" s="527"/>
      <c r="C121" s="527"/>
      <c r="D121" s="527"/>
      <c r="E121" s="527"/>
      <c r="F121" s="527"/>
      <c r="G121" s="527"/>
      <c r="H121" s="527"/>
      <c r="I121" s="528"/>
      <c r="K121" s="531"/>
      <c r="L121" s="531"/>
      <c r="M121" s="531"/>
      <c r="N121" s="531"/>
      <c r="O121" s="531"/>
      <c r="P121" s="531"/>
      <c r="Q121" s="531"/>
      <c r="R121" s="531"/>
      <c r="S121" s="531"/>
      <c r="T121" s="531"/>
      <c r="U121" s="531"/>
      <c r="V121" s="531"/>
      <c r="W121" s="531"/>
      <c r="X121" s="531"/>
      <c r="Y121" s="531"/>
      <c r="Z121" s="531"/>
      <c r="AA121" s="531"/>
    </row>
    <row r="122" spans="1:27" ht="15">
      <c r="A122" s="527"/>
      <c r="B122" s="527"/>
      <c r="C122" s="527"/>
      <c r="D122" s="527"/>
      <c r="E122" s="527"/>
      <c r="F122" s="527"/>
      <c r="G122" s="527"/>
      <c r="H122" s="527"/>
      <c r="I122" s="528"/>
      <c r="K122" s="531"/>
      <c r="L122" s="531"/>
      <c r="M122" s="531"/>
      <c r="N122" s="531"/>
      <c r="O122" s="531"/>
      <c r="P122" s="531"/>
      <c r="Q122" s="531"/>
      <c r="R122" s="531"/>
      <c r="S122" s="531"/>
      <c r="T122" s="531"/>
      <c r="U122" s="531"/>
      <c r="V122" s="531"/>
      <c r="W122" s="531"/>
      <c r="X122" s="531"/>
      <c r="Y122" s="531"/>
      <c r="Z122" s="531"/>
      <c r="AA122" s="531"/>
    </row>
    <row r="123" spans="1:27" ht="15">
      <c r="A123" s="527"/>
      <c r="B123" s="527"/>
      <c r="C123" s="527"/>
      <c r="D123" s="527"/>
      <c r="E123" s="527"/>
      <c r="F123" s="527"/>
      <c r="G123" s="527"/>
      <c r="H123" s="527"/>
      <c r="I123" s="528"/>
      <c r="K123" s="531"/>
      <c r="L123" s="531"/>
      <c r="M123" s="531"/>
      <c r="N123" s="531"/>
      <c r="O123" s="531"/>
      <c r="P123" s="531"/>
      <c r="Q123" s="531"/>
      <c r="R123" s="531"/>
      <c r="S123" s="531"/>
      <c r="T123" s="531"/>
      <c r="U123" s="531"/>
      <c r="V123" s="531"/>
      <c r="W123" s="531"/>
      <c r="X123" s="531"/>
      <c r="Y123" s="531"/>
      <c r="Z123" s="531"/>
      <c r="AA123" s="531"/>
    </row>
    <row r="124" spans="1:27" ht="15">
      <c r="A124" s="527"/>
      <c r="B124" s="527"/>
      <c r="C124" s="527"/>
      <c r="D124" s="527"/>
      <c r="E124" s="527"/>
      <c r="F124" s="527"/>
      <c r="G124" s="527"/>
      <c r="H124" s="527"/>
      <c r="I124" s="528"/>
      <c r="K124" s="531"/>
      <c r="L124" s="531"/>
      <c r="M124" s="531"/>
      <c r="N124" s="531"/>
      <c r="O124" s="531"/>
      <c r="P124" s="531"/>
      <c r="Q124" s="531"/>
      <c r="R124" s="531"/>
      <c r="S124" s="531"/>
      <c r="T124" s="531"/>
      <c r="U124" s="531"/>
      <c r="V124" s="531"/>
      <c r="W124" s="531"/>
      <c r="X124" s="531"/>
      <c r="Y124" s="531"/>
      <c r="Z124" s="531"/>
      <c r="AA124" s="531"/>
    </row>
    <row r="125" spans="1:27" ht="15">
      <c r="A125" s="527"/>
      <c r="B125" s="527"/>
      <c r="C125" s="527"/>
      <c r="D125" s="527"/>
      <c r="E125" s="527"/>
      <c r="F125" s="527"/>
      <c r="G125" s="527"/>
      <c r="H125" s="527"/>
      <c r="I125" s="528"/>
      <c r="K125" s="531"/>
      <c r="L125" s="531"/>
      <c r="M125" s="531"/>
      <c r="N125" s="531"/>
      <c r="O125" s="531"/>
      <c r="P125" s="531"/>
      <c r="Q125" s="531"/>
      <c r="R125" s="531"/>
      <c r="S125" s="531"/>
      <c r="T125" s="531"/>
      <c r="U125" s="531"/>
      <c r="V125" s="531"/>
      <c r="W125" s="531"/>
      <c r="X125" s="531"/>
      <c r="Y125" s="531"/>
      <c r="Z125" s="531"/>
      <c r="AA125" s="531"/>
    </row>
    <row r="126" spans="1:27" ht="15">
      <c r="A126" s="527"/>
      <c r="B126" s="527"/>
      <c r="C126" s="527"/>
      <c r="D126" s="527"/>
      <c r="E126" s="527"/>
      <c r="F126" s="527"/>
      <c r="G126" s="527"/>
      <c r="H126" s="527"/>
      <c r="I126" s="528"/>
      <c r="K126" s="531"/>
      <c r="L126" s="531"/>
      <c r="M126" s="531"/>
      <c r="N126" s="531"/>
      <c r="O126" s="531"/>
      <c r="P126" s="531"/>
      <c r="Q126" s="531"/>
      <c r="R126" s="531"/>
      <c r="S126" s="531"/>
      <c r="T126" s="531"/>
      <c r="U126" s="531"/>
      <c r="V126" s="531"/>
      <c r="W126" s="531"/>
      <c r="X126" s="531"/>
      <c r="Y126" s="531"/>
      <c r="Z126" s="531"/>
      <c r="AA126" s="531"/>
    </row>
    <row r="127" spans="1:27" ht="15">
      <c r="A127" s="527"/>
      <c r="B127" s="527"/>
      <c r="C127" s="527"/>
      <c r="D127" s="527"/>
      <c r="E127" s="527"/>
      <c r="F127" s="527"/>
      <c r="G127" s="527"/>
      <c r="H127" s="527"/>
      <c r="I127" s="528"/>
      <c r="K127" s="531"/>
      <c r="L127" s="531"/>
      <c r="M127" s="531"/>
      <c r="N127" s="531"/>
      <c r="O127" s="531"/>
      <c r="P127" s="531"/>
      <c r="Q127" s="531"/>
      <c r="R127" s="531"/>
      <c r="S127" s="531"/>
      <c r="T127" s="531"/>
      <c r="U127" s="531"/>
      <c r="V127" s="531"/>
      <c r="W127" s="531"/>
      <c r="X127" s="531"/>
      <c r="Y127" s="531"/>
      <c r="Z127" s="531"/>
      <c r="AA127" s="531"/>
    </row>
    <row r="128" spans="1:27" ht="15">
      <c r="A128" s="527"/>
      <c r="B128" s="527"/>
      <c r="C128" s="527"/>
      <c r="D128" s="527"/>
      <c r="E128" s="527"/>
      <c r="F128" s="527"/>
      <c r="G128" s="527"/>
      <c r="H128" s="527"/>
      <c r="I128" s="528"/>
      <c r="K128" s="531"/>
      <c r="L128" s="531"/>
      <c r="M128" s="531"/>
      <c r="N128" s="531"/>
      <c r="O128" s="531"/>
      <c r="P128" s="531"/>
      <c r="Q128" s="531"/>
      <c r="R128" s="531"/>
      <c r="S128" s="531"/>
      <c r="T128" s="531"/>
      <c r="U128" s="531"/>
      <c r="V128" s="531"/>
      <c r="W128" s="531"/>
      <c r="X128" s="531"/>
      <c r="Y128" s="531"/>
      <c r="Z128" s="531"/>
      <c r="AA128" s="531"/>
    </row>
    <row r="129" spans="1:27" ht="15">
      <c r="A129" s="527"/>
      <c r="B129" s="527"/>
      <c r="C129" s="527"/>
      <c r="D129" s="527"/>
      <c r="E129" s="527"/>
      <c r="F129" s="527"/>
      <c r="G129" s="527"/>
      <c r="H129" s="527"/>
      <c r="I129" s="528"/>
      <c r="K129" s="531"/>
      <c r="L129" s="531"/>
      <c r="M129" s="531"/>
      <c r="N129" s="531"/>
      <c r="O129" s="531"/>
      <c r="P129" s="531"/>
      <c r="Q129" s="531"/>
      <c r="R129" s="531"/>
      <c r="S129" s="531"/>
      <c r="T129" s="531"/>
      <c r="U129" s="531"/>
      <c r="V129" s="531"/>
      <c r="W129" s="531"/>
      <c r="X129" s="531"/>
      <c r="Y129" s="531"/>
      <c r="Z129" s="531"/>
      <c r="AA129" s="531"/>
    </row>
    <row r="130" spans="1:27" ht="15">
      <c r="A130" s="527"/>
      <c r="B130" s="527"/>
      <c r="C130" s="527"/>
      <c r="D130" s="527"/>
      <c r="E130" s="527"/>
      <c r="F130" s="527"/>
      <c r="G130" s="527"/>
      <c r="H130" s="527"/>
      <c r="I130" s="528"/>
      <c r="K130" s="531"/>
      <c r="L130" s="531"/>
      <c r="M130" s="531"/>
      <c r="N130" s="531"/>
      <c r="O130" s="531"/>
      <c r="P130" s="531"/>
      <c r="Q130" s="531"/>
      <c r="R130" s="531"/>
      <c r="S130" s="531"/>
      <c r="T130" s="531"/>
      <c r="U130" s="531"/>
      <c r="V130" s="531"/>
      <c r="W130" s="531"/>
      <c r="X130" s="531"/>
      <c r="Y130" s="531"/>
      <c r="Z130" s="531"/>
      <c r="AA130" s="531"/>
    </row>
    <row r="131" spans="1:27" ht="15">
      <c r="A131" s="527"/>
      <c r="B131" s="527"/>
      <c r="C131" s="527"/>
      <c r="D131" s="527"/>
      <c r="E131" s="527"/>
      <c r="F131" s="527"/>
      <c r="G131" s="527"/>
      <c r="H131" s="527"/>
      <c r="I131" s="528"/>
      <c r="K131" s="531"/>
      <c r="L131" s="531"/>
      <c r="M131" s="531"/>
      <c r="N131" s="531"/>
      <c r="O131" s="531"/>
      <c r="P131" s="531"/>
      <c r="Q131" s="531"/>
      <c r="R131" s="531"/>
      <c r="S131" s="531"/>
      <c r="T131" s="531"/>
      <c r="U131" s="531"/>
      <c r="V131" s="531"/>
      <c r="W131" s="531"/>
      <c r="X131" s="531"/>
      <c r="Y131" s="531"/>
      <c r="Z131" s="531"/>
      <c r="AA131" s="531"/>
    </row>
    <row r="132" spans="1:27" ht="15">
      <c r="A132" s="527"/>
      <c r="B132" s="527"/>
      <c r="C132" s="527"/>
      <c r="D132" s="527"/>
      <c r="E132" s="527"/>
      <c r="F132" s="527"/>
      <c r="G132" s="527"/>
      <c r="H132" s="527"/>
      <c r="I132" s="528"/>
      <c r="K132" s="531"/>
      <c r="L132" s="531"/>
      <c r="M132" s="531"/>
      <c r="N132" s="531"/>
      <c r="O132" s="531"/>
      <c r="P132" s="531"/>
      <c r="Q132" s="531"/>
      <c r="R132" s="531"/>
      <c r="S132" s="531"/>
      <c r="T132" s="531"/>
      <c r="U132" s="531"/>
      <c r="V132" s="531"/>
      <c r="W132" s="531"/>
      <c r="X132" s="531"/>
      <c r="Y132" s="531"/>
      <c r="Z132" s="531"/>
      <c r="AA132" s="531"/>
    </row>
    <row r="133" spans="1:27" ht="15">
      <c r="A133" s="527"/>
      <c r="B133" s="527"/>
      <c r="C133" s="527"/>
      <c r="D133" s="527"/>
      <c r="E133" s="527"/>
      <c r="F133" s="527"/>
      <c r="G133" s="527"/>
      <c r="H133" s="527"/>
      <c r="I133" s="528"/>
      <c r="K133" s="531"/>
      <c r="L133" s="531"/>
      <c r="M133" s="531"/>
      <c r="N133" s="531"/>
      <c r="O133" s="531"/>
      <c r="P133" s="531"/>
      <c r="Q133" s="531"/>
      <c r="R133" s="531"/>
      <c r="S133" s="531"/>
      <c r="T133" s="531"/>
      <c r="U133" s="531"/>
      <c r="V133" s="531"/>
      <c r="W133" s="531"/>
      <c r="X133" s="531"/>
      <c r="Y133" s="531"/>
      <c r="Z133" s="531"/>
      <c r="AA133" s="531"/>
    </row>
    <row r="134" spans="1:27" ht="15">
      <c r="A134" s="527"/>
      <c r="B134" s="527"/>
      <c r="C134" s="527"/>
      <c r="D134" s="527"/>
      <c r="E134" s="527"/>
      <c r="F134" s="527"/>
      <c r="G134" s="527"/>
      <c r="H134" s="527"/>
      <c r="I134" s="528"/>
      <c r="K134" s="531"/>
      <c r="L134" s="531"/>
      <c r="M134" s="531"/>
      <c r="N134" s="531"/>
      <c r="O134" s="531"/>
      <c r="P134" s="531"/>
      <c r="Q134" s="531"/>
      <c r="R134" s="531"/>
      <c r="S134" s="531"/>
      <c r="T134" s="531"/>
      <c r="U134" s="531"/>
      <c r="V134" s="531"/>
      <c r="W134" s="531"/>
      <c r="X134" s="531"/>
      <c r="Y134" s="531"/>
      <c r="Z134" s="531"/>
      <c r="AA134" s="531"/>
    </row>
    <row r="135" spans="1:27" ht="15">
      <c r="A135" s="527"/>
      <c r="B135" s="527"/>
      <c r="C135" s="527"/>
      <c r="D135" s="527"/>
      <c r="E135" s="527"/>
      <c r="F135" s="527"/>
      <c r="G135" s="527"/>
      <c r="H135" s="527"/>
      <c r="I135" s="528"/>
      <c r="K135" s="531"/>
      <c r="L135" s="531"/>
      <c r="M135" s="531"/>
      <c r="N135" s="531"/>
      <c r="O135" s="531"/>
      <c r="P135" s="531"/>
      <c r="Q135" s="531"/>
      <c r="R135" s="531"/>
      <c r="S135" s="531"/>
      <c r="T135" s="531"/>
      <c r="U135" s="531"/>
      <c r="V135" s="531"/>
      <c r="W135" s="531"/>
      <c r="X135" s="531"/>
      <c r="Y135" s="531"/>
      <c r="Z135" s="531"/>
      <c r="AA135" s="531"/>
    </row>
    <row r="136" spans="1:27" ht="15">
      <c r="A136" s="527"/>
      <c r="B136" s="527"/>
      <c r="C136" s="527"/>
      <c r="D136" s="527"/>
      <c r="E136" s="527"/>
      <c r="F136" s="527"/>
      <c r="G136" s="527"/>
      <c r="H136" s="527"/>
      <c r="I136" s="528"/>
      <c r="K136" s="531"/>
      <c r="L136" s="531"/>
      <c r="M136" s="531"/>
      <c r="N136" s="531"/>
      <c r="O136" s="531"/>
      <c r="P136" s="531"/>
      <c r="Q136" s="531"/>
      <c r="R136" s="531"/>
      <c r="S136" s="531"/>
      <c r="T136" s="531"/>
      <c r="U136" s="531"/>
      <c r="V136" s="531"/>
      <c r="W136" s="531"/>
      <c r="X136" s="531"/>
      <c r="Y136" s="531"/>
      <c r="Z136" s="531"/>
      <c r="AA136" s="531"/>
    </row>
    <row r="137" spans="1:27" ht="15">
      <c r="A137" s="527"/>
      <c r="B137" s="527"/>
      <c r="C137" s="527"/>
      <c r="D137" s="527"/>
      <c r="E137" s="527"/>
      <c r="F137" s="527"/>
      <c r="G137" s="527"/>
      <c r="H137" s="527"/>
      <c r="I137" s="528"/>
      <c r="K137" s="531"/>
      <c r="L137" s="531"/>
      <c r="M137" s="531"/>
      <c r="N137" s="531"/>
      <c r="O137" s="531"/>
      <c r="P137" s="531"/>
      <c r="Q137" s="531"/>
      <c r="R137" s="531"/>
      <c r="S137" s="531"/>
      <c r="T137" s="531"/>
      <c r="U137" s="531"/>
      <c r="V137" s="531"/>
      <c r="W137" s="531"/>
      <c r="X137" s="531"/>
      <c r="Y137" s="531"/>
      <c r="Z137" s="531"/>
      <c r="AA137" s="531"/>
    </row>
    <row r="138" spans="1:27" ht="15">
      <c r="A138" s="527"/>
      <c r="B138" s="527"/>
      <c r="C138" s="527"/>
      <c r="D138" s="527"/>
      <c r="E138" s="527"/>
      <c r="F138" s="527"/>
      <c r="G138" s="527"/>
      <c r="H138" s="527"/>
      <c r="I138" s="528"/>
      <c r="K138" s="531"/>
      <c r="L138" s="531"/>
      <c r="M138" s="531"/>
      <c r="N138" s="531"/>
      <c r="O138" s="531"/>
      <c r="P138" s="531"/>
      <c r="Q138" s="531"/>
      <c r="R138" s="531"/>
      <c r="S138" s="531"/>
      <c r="T138" s="531"/>
      <c r="U138" s="531"/>
      <c r="V138" s="531"/>
      <c r="W138" s="531"/>
      <c r="X138" s="531"/>
      <c r="Y138" s="531"/>
      <c r="Z138" s="531"/>
      <c r="AA138" s="531"/>
    </row>
    <row r="139" spans="1:27" ht="15">
      <c r="A139" s="527"/>
      <c r="B139" s="527"/>
      <c r="C139" s="527"/>
      <c r="D139" s="527"/>
      <c r="E139" s="527"/>
      <c r="F139" s="527"/>
      <c r="G139" s="527"/>
      <c r="H139" s="527"/>
      <c r="I139" s="528"/>
      <c r="K139" s="531"/>
      <c r="L139" s="531"/>
      <c r="M139" s="531"/>
      <c r="N139" s="531"/>
      <c r="O139" s="531"/>
      <c r="P139" s="531"/>
      <c r="Q139" s="531"/>
      <c r="R139" s="531"/>
      <c r="S139" s="531"/>
      <c r="T139" s="531"/>
      <c r="U139" s="531"/>
      <c r="V139" s="531"/>
      <c r="W139" s="531"/>
      <c r="X139" s="531"/>
      <c r="Y139" s="531"/>
      <c r="Z139" s="531"/>
      <c r="AA139" s="531"/>
    </row>
    <row r="140" spans="1:27" ht="15">
      <c r="A140" s="527"/>
      <c r="B140" s="527"/>
      <c r="C140" s="527"/>
      <c r="D140" s="527"/>
      <c r="E140" s="527"/>
      <c r="F140" s="527"/>
      <c r="G140" s="527"/>
      <c r="H140" s="527"/>
      <c r="I140" s="528"/>
      <c r="K140" s="531"/>
      <c r="L140" s="531"/>
      <c r="M140" s="531"/>
      <c r="N140" s="531"/>
      <c r="O140" s="531"/>
      <c r="P140" s="531"/>
      <c r="Q140" s="531"/>
      <c r="R140" s="531"/>
      <c r="S140" s="531"/>
      <c r="T140" s="531"/>
      <c r="U140" s="531"/>
      <c r="V140" s="531"/>
      <c r="W140" s="531"/>
      <c r="X140" s="531"/>
      <c r="Y140" s="531"/>
      <c r="Z140" s="531"/>
      <c r="AA140" s="531"/>
    </row>
    <row r="141" spans="1:27" ht="15">
      <c r="A141" s="527"/>
      <c r="B141" s="527"/>
      <c r="C141" s="527"/>
      <c r="D141" s="527"/>
      <c r="E141" s="527"/>
      <c r="F141" s="527"/>
      <c r="G141" s="527"/>
      <c r="H141" s="527"/>
      <c r="I141" s="528"/>
      <c r="K141" s="531"/>
      <c r="L141" s="531"/>
      <c r="M141" s="531"/>
      <c r="N141" s="531"/>
      <c r="O141" s="531"/>
      <c r="P141" s="531"/>
      <c r="Q141" s="531"/>
      <c r="R141" s="531"/>
      <c r="S141" s="531"/>
      <c r="T141" s="531"/>
      <c r="U141" s="531"/>
      <c r="V141" s="531"/>
      <c r="W141" s="531"/>
      <c r="X141" s="531"/>
      <c r="Y141" s="531"/>
      <c r="Z141" s="531"/>
      <c r="AA141" s="531"/>
    </row>
    <row r="142" spans="1:27" ht="15">
      <c r="A142" s="527"/>
      <c r="B142" s="527"/>
      <c r="C142" s="527"/>
      <c r="D142" s="527"/>
      <c r="E142" s="527"/>
      <c r="F142" s="527"/>
      <c r="G142" s="527"/>
      <c r="H142" s="527"/>
      <c r="I142" s="528"/>
      <c r="K142" s="531"/>
      <c r="L142" s="531"/>
      <c r="M142" s="531"/>
      <c r="N142" s="531"/>
      <c r="O142" s="531"/>
      <c r="P142" s="531"/>
      <c r="Q142" s="531"/>
      <c r="R142" s="531"/>
      <c r="S142" s="531"/>
      <c r="T142" s="531"/>
      <c r="U142" s="531"/>
      <c r="V142" s="531"/>
      <c r="W142" s="531"/>
      <c r="X142" s="531"/>
      <c r="Y142" s="531"/>
      <c r="Z142" s="531"/>
      <c r="AA142" s="531"/>
    </row>
    <row r="143" spans="1:27" ht="15">
      <c r="A143" s="527"/>
      <c r="B143" s="527"/>
      <c r="C143" s="527"/>
      <c r="D143" s="527"/>
      <c r="E143" s="527"/>
      <c r="F143" s="527"/>
      <c r="G143" s="527"/>
      <c r="H143" s="527"/>
      <c r="I143" s="528"/>
      <c r="K143" s="531"/>
      <c r="L143" s="531"/>
      <c r="M143" s="531"/>
      <c r="N143" s="531"/>
      <c r="O143" s="531"/>
      <c r="P143" s="531"/>
      <c r="Q143" s="531"/>
      <c r="R143" s="531"/>
      <c r="S143" s="531"/>
      <c r="T143" s="531"/>
      <c r="U143" s="531"/>
      <c r="V143" s="531"/>
      <c r="W143" s="531"/>
      <c r="X143" s="531"/>
      <c r="Y143" s="531"/>
      <c r="Z143" s="531"/>
      <c r="AA143" s="531"/>
    </row>
    <row r="144" spans="1:27" ht="15">
      <c r="A144" s="527"/>
      <c r="B144" s="527"/>
      <c r="C144" s="527"/>
      <c r="D144" s="527"/>
      <c r="E144" s="527"/>
      <c r="F144" s="527"/>
      <c r="G144" s="527"/>
      <c r="H144" s="527"/>
      <c r="I144" s="528"/>
      <c r="K144" s="531"/>
      <c r="L144" s="531"/>
      <c r="M144" s="531"/>
      <c r="N144" s="531"/>
      <c r="O144" s="531"/>
      <c r="P144" s="531"/>
      <c r="Q144" s="531"/>
      <c r="R144" s="531"/>
      <c r="S144" s="531"/>
      <c r="T144" s="531"/>
      <c r="U144" s="531"/>
      <c r="V144" s="531"/>
      <c r="W144" s="531"/>
      <c r="X144" s="531"/>
      <c r="Y144" s="531"/>
      <c r="Z144" s="531"/>
      <c r="AA144" s="531"/>
    </row>
    <row r="145" spans="1:27" ht="15">
      <c r="A145" s="527"/>
      <c r="B145" s="527"/>
      <c r="C145" s="527"/>
      <c r="D145" s="527"/>
      <c r="E145" s="527"/>
      <c r="F145" s="527"/>
      <c r="G145" s="527"/>
      <c r="H145" s="527"/>
      <c r="I145" s="528"/>
      <c r="K145" s="531"/>
      <c r="L145" s="531"/>
      <c r="M145" s="531"/>
      <c r="N145" s="531"/>
      <c r="O145" s="531"/>
      <c r="P145" s="531"/>
      <c r="Q145" s="531"/>
      <c r="R145" s="531"/>
      <c r="S145" s="531"/>
      <c r="T145" s="531"/>
      <c r="U145" s="531"/>
      <c r="V145" s="531"/>
      <c r="W145" s="531"/>
      <c r="X145" s="531"/>
      <c r="Y145" s="531"/>
      <c r="Z145" s="531"/>
      <c r="AA145" s="531"/>
    </row>
    <row r="146" spans="1:27" ht="15">
      <c r="A146" s="527"/>
      <c r="B146" s="527"/>
      <c r="C146" s="527"/>
      <c r="D146" s="527"/>
      <c r="E146" s="527"/>
      <c r="F146" s="527"/>
      <c r="G146" s="527"/>
      <c r="H146" s="527"/>
      <c r="I146" s="528"/>
      <c r="K146" s="531"/>
      <c r="L146" s="531"/>
      <c r="M146" s="531"/>
      <c r="N146" s="531"/>
      <c r="O146" s="531"/>
      <c r="P146" s="531"/>
      <c r="Q146" s="531"/>
      <c r="R146" s="531"/>
      <c r="S146" s="531"/>
      <c r="T146" s="531"/>
      <c r="U146" s="531"/>
      <c r="V146" s="531"/>
      <c r="W146" s="531"/>
      <c r="X146" s="531"/>
      <c r="Y146" s="531"/>
      <c r="Z146" s="531"/>
      <c r="AA146" s="531"/>
    </row>
    <row r="147" spans="1:27" ht="15">
      <c r="A147" s="527"/>
      <c r="B147" s="527"/>
      <c r="C147" s="527"/>
      <c r="D147" s="527"/>
      <c r="E147" s="527"/>
      <c r="F147" s="527"/>
      <c r="G147" s="527"/>
      <c r="H147" s="527"/>
      <c r="I147" s="528"/>
      <c r="K147" s="531"/>
      <c r="L147" s="531"/>
      <c r="M147" s="531"/>
      <c r="N147" s="531"/>
      <c r="O147" s="531"/>
      <c r="P147" s="531"/>
      <c r="Q147" s="531"/>
      <c r="R147" s="531"/>
      <c r="S147" s="531"/>
      <c r="T147" s="531"/>
      <c r="U147" s="531"/>
      <c r="V147" s="531"/>
      <c r="W147" s="531"/>
      <c r="X147" s="531"/>
      <c r="Y147" s="531"/>
      <c r="Z147" s="531"/>
      <c r="AA147" s="531"/>
    </row>
    <row r="148" spans="1:27" ht="15">
      <c r="A148" s="527"/>
      <c r="B148" s="527"/>
      <c r="C148" s="527"/>
      <c r="D148" s="527"/>
      <c r="E148" s="527"/>
      <c r="F148" s="527"/>
      <c r="G148" s="527"/>
      <c r="H148" s="527"/>
      <c r="I148" s="528"/>
      <c r="K148" s="531"/>
      <c r="L148" s="531"/>
      <c r="M148" s="531"/>
      <c r="N148" s="531"/>
      <c r="O148" s="531"/>
      <c r="P148" s="531"/>
      <c r="Q148" s="531"/>
      <c r="R148" s="531"/>
      <c r="S148" s="531"/>
      <c r="T148" s="531"/>
      <c r="U148" s="531"/>
      <c r="V148" s="531"/>
      <c r="W148" s="531"/>
      <c r="X148" s="531"/>
      <c r="Y148" s="531"/>
      <c r="Z148" s="531"/>
      <c r="AA148" s="531"/>
    </row>
    <row r="149" spans="1:27" ht="15">
      <c r="A149" s="527"/>
      <c r="B149" s="527"/>
      <c r="C149" s="527"/>
      <c r="D149" s="527"/>
      <c r="E149" s="527"/>
      <c r="F149" s="527"/>
      <c r="G149" s="527"/>
      <c r="H149" s="527"/>
      <c r="I149" s="528"/>
      <c r="K149" s="531"/>
      <c r="L149" s="531"/>
      <c r="M149" s="531"/>
      <c r="N149" s="531"/>
      <c r="O149" s="531"/>
      <c r="P149" s="531"/>
      <c r="Q149" s="531"/>
      <c r="R149" s="531"/>
      <c r="S149" s="531"/>
      <c r="T149" s="531"/>
      <c r="U149" s="531"/>
      <c r="V149" s="531"/>
      <c r="W149" s="531"/>
      <c r="X149" s="531"/>
      <c r="Y149" s="531"/>
      <c r="Z149" s="531"/>
      <c r="AA149" s="531"/>
    </row>
    <row r="150" spans="1:27" ht="15">
      <c r="A150" s="527"/>
      <c r="B150" s="527"/>
      <c r="C150" s="527"/>
      <c r="D150" s="527"/>
      <c r="E150" s="527"/>
      <c r="F150" s="527"/>
      <c r="G150" s="527"/>
      <c r="H150" s="527"/>
      <c r="I150" s="528"/>
      <c r="K150" s="531"/>
      <c r="L150" s="531"/>
      <c r="M150" s="531"/>
      <c r="N150" s="531"/>
      <c r="O150" s="531"/>
      <c r="P150" s="531"/>
      <c r="Q150" s="531"/>
      <c r="R150" s="531"/>
      <c r="S150" s="531"/>
      <c r="T150" s="531"/>
      <c r="U150" s="531"/>
      <c r="V150" s="531"/>
      <c r="W150" s="531"/>
      <c r="X150" s="531"/>
      <c r="Y150" s="531"/>
      <c r="Z150" s="531"/>
      <c r="AA150" s="531"/>
    </row>
    <row r="151" spans="1:27" ht="15">
      <c r="A151" s="527"/>
      <c r="B151" s="527"/>
      <c r="C151" s="527"/>
      <c r="D151" s="527"/>
      <c r="E151" s="527"/>
      <c r="F151" s="527"/>
      <c r="G151" s="527"/>
      <c r="H151" s="527"/>
      <c r="I151" s="528"/>
      <c r="K151" s="531"/>
      <c r="L151" s="531"/>
      <c r="M151" s="531"/>
      <c r="N151" s="531"/>
      <c r="O151" s="531"/>
      <c r="P151" s="531"/>
      <c r="Q151" s="531"/>
      <c r="R151" s="531"/>
      <c r="S151" s="531"/>
      <c r="T151" s="531"/>
      <c r="U151" s="531"/>
      <c r="V151" s="531"/>
      <c r="W151" s="531"/>
      <c r="X151" s="531"/>
      <c r="Y151" s="531"/>
      <c r="Z151" s="531"/>
      <c r="AA151" s="531"/>
    </row>
    <row r="152" spans="1:27" ht="15">
      <c r="A152" s="527"/>
      <c r="B152" s="527"/>
      <c r="C152" s="527"/>
      <c r="D152" s="527"/>
      <c r="E152" s="527"/>
      <c r="F152" s="527"/>
      <c r="G152" s="527"/>
      <c r="H152" s="527"/>
      <c r="I152" s="528"/>
      <c r="K152" s="531"/>
      <c r="L152" s="531"/>
      <c r="M152" s="531"/>
      <c r="N152" s="531"/>
      <c r="O152" s="531"/>
      <c r="P152" s="531"/>
      <c r="Q152" s="531"/>
      <c r="R152" s="531"/>
      <c r="S152" s="531"/>
      <c r="T152" s="531"/>
      <c r="U152" s="531"/>
      <c r="V152" s="531"/>
      <c r="W152" s="531"/>
      <c r="X152" s="531"/>
      <c r="Y152" s="531"/>
      <c r="Z152" s="531"/>
      <c r="AA152" s="531"/>
    </row>
    <row r="153" spans="1:27" ht="15">
      <c r="A153" s="527"/>
      <c r="B153" s="527"/>
      <c r="C153" s="527"/>
      <c r="D153" s="527"/>
      <c r="E153" s="527"/>
      <c r="F153" s="527"/>
      <c r="G153" s="527"/>
      <c r="H153" s="527"/>
      <c r="I153" s="528"/>
      <c r="K153" s="531"/>
      <c r="L153" s="531"/>
      <c r="M153" s="531"/>
      <c r="N153" s="531"/>
      <c r="O153" s="531"/>
      <c r="P153" s="531"/>
      <c r="Q153" s="531"/>
      <c r="R153" s="531"/>
      <c r="S153" s="531"/>
      <c r="T153" s="531"/>
      <c r="U153" s="531"/>
      <c r="V153" s="531"/>
      <c r="W153" s="531"/>
      <c r="X153" s="531"/>
      <c r="Y153" s="531"/>
      <c r="Z153" s="531"/>
      <c r="AA153" s="531"/>
    </row>
    <row r="154" spans="1:27" ht="15">
      <c r="A154" s="527"/>
      <c r="B154" s="527"/>
      <c r="C154" s="527"/>
      <c r="D154" s="527"/>
      <c r="E154" s="527"/>
      <c r="F154" s="527"/>
      <c r="G154" s="527"/>
      <c r="H154" s="527"/>
      <c r="I154" s="528"/>
      <c r="K154" s="531"/>
      <c r="L154" s="531"/>
      <c r="M154" s="531"/>
      <c r="N154" s="531"/>
      <c r="O154" s="531"/>
      <c r="P154" s="531"/>
      <c r="Q154" s="531"/>
      <c r="R154" s="531"/>
      <c r="S154" s="531"/>
      <c r="T154" s="531"/>
      <c r="U154" s="531"/>
      <c r="V154" s="531"/>
      <c r="W154" s="531"/>
      <c r="X154" s="531"/>
      <c r="Y154" s="531"/>
      <c r="Z154" s="531"/>
      <c r="AA154" s="531"/>
    </row>
    <row r="155" spans="1:27" ht="15">
      <c r="A155" s="527"/>
      <c r="B155" s="527"/>
      <c r="C155" s="527"/>
      <c r="D155" s="527"/>
      <c r="E155" s="527"/>
      <c r="F155" s="527"/>
      <c r="G155" s="527"/>
      <c r="H155" s="527"/>
      <c r="I155" s="528"/>
      <c r="K155" s="531"/>
      <c r="L155" s="531"/>
      <c r="M155" s="531"/>
      <c r="N155" s="531"/>
      <c r="O155" s="531"/>
      <c r="P155" s="531"/>
      <c r="Q155" s="531"/>
      <c r="R155" s="531"/>
      <c r="S155" s="531"/>
      <c r="T155" s="531"/>
      <c r="U155" s="531"/>
      <c r="V155" s="531"/>
      <c r="W155" s="531"/>
      <c r="X155" s="531"/>
      <c r="Y155" s="531"/>
      <c r="Z155" s="531"/>
      <c r="AA155" s="531"/>
    </row>
    <row r="156" spans="1:27" ht="15">
      <c r="A156" s="527"/>
      <c r="B156" s="527"/>
      <c r="C156" s="527"/>
      <c r="D156" s="527"/>
      <c r="E156" s="527"/>
      <c r="F156" s="527"/>
      <c r="G156" s="527"/>
      <c r="H156" s="527"/>
      <c r="I156" s="528"/>
      <c r="K156" s="531"/>
      <c r="L156" s="531"/>
      <c r="M156" s="531"/>
      <c r="N156" s="531"/>
      <c r="O156" s="531"/>
      <c r="P156" s="531"/>
      <c r="Q156" s="531"/>
      <c r="R156" s="531"/>
      <c r="S156" s="531"/>
      <c r="T156" s="531"/>
      <c r="U156" s="531"/>
      <c r="V156" s="531"/>
      <c r="W156" s="531"/>
      <c r="X156" s="531"/>
      <c r="Y156" s="531"/>
      <c r="Z156" s="531"/>
      <c r="AA156" s="531"/>
    </row>
    <row r="157" spans="1:27" ht="15">
      <c r="A157" s="527"/>
      <c r="B157" s="527"/>
      <c r="C157" s="527"/>
      <c r="D157" s="527"/>
      <c r="E157" s="527"/>
      <c r="F157" s="527"/>
      <c r="G157" s="527"/>
      <c r="H157" s="527"/>
      <c r="I157" s="528"/>
      <c r="K157" s="531"/>
      <c r="L157" s="531"/>
      <c r="M157" s="531"/>
      <c r="N157" s="531"/>
      <c r="O157" s="531"/>
      <c r="P157" s="531"/>
      <c r="Q157" s="531"/>
      <c r="R157" s="531"/>
      <c r="S157" s="531"/>
      <c r="T157" s="531"/>
      <c r="U157" s="531"/>
      <c r="V157" s="531"/>
      <c r="W157" s="531"/>
      <c r="X157" s="531"/>
      <c r="Y157" s="531"/>
      <c r="Z157" s="531"/>
      <c r="AA157" s="531"/>
    </row>
    <row r="158" spans="1:27" ht="15">
      <c r="A158" s="527"/>
      <c r="B158" s="527"/>
      <c r="C158" s="527"/>
      <c r="D158" s="527"/>
      <c r="E158" s="527"/>
      <c r="F158" s="527"/>
      <c r="G158" s="527"/>
      <c r="H158" s="527"/>
      <c r="I158" s="528"/>
      <c r="K158" s="531"/>
      <c r="L158" s="531"/>
      <c r="M158" s="531"/>
      <c r="N158" s="531"/>
      <c r="O158" s="531"/>
      <c r="P158" s="531"/>
      <c r="Q158" s="531"/>
      <c r="R158" s="531"/>
      <c r="S158" s="531"/>
      <c r="T158" s="531"/>
      <c r="U158" s="531"/>
      <c r="V158" s="531"/>
      <c r="W158" s="531"/>
      <c r="X158" s="531"/>
      <c r="Y158" s="531"/>
      <c r="Z158" s="531"/>
      <c r="AA158" s="531"/>
    </row>
    <row r="159" spans="1:27" ht="15">
      <c r="A159" s="527"/>
      <c r="B159" s="527"/>
      <c r="C159" s="527"/>
      <c r="D159" s="527"/>
      <c r="E159" s="527"/>
      <c r="F159" s="527"/>
      <c r="G159" s="527"/>
      <c r="H159" s="527"/>
      <c r="I159" s="528"/>
      <c r="K159" s="531"/>
      <c r="L159" s="531"/>
      <c r="M159" s="531"/>
      <c r="N159" s="531"/>
      <c r="O159" s="531"/>
      <c r="P159" s="531"/>
      <c r="Q159" s="531"/>
      <c r="R159" s="531"/>
      <c r="S159" s="531"/>
      <c r="T159" s="531"/>
      <c r="U159" s="531"/>
      <c r="V159" s="531"/>
      <c r="W159" s="531"/>
      <c r="X159" s="531"/>
      <c r="Y159" s="531"/>
      <c r="Z159" s="531"/>
      <c r="AA159" s="531"/>
    </row>
    <row r="160" spans="1:27" ht="15">
      <c r="A160" s="527"/>
      <c r="B160" s="527"/>
      <c r="C160" s="527"/>
      <c r="D160" s="527"/>
      <c r="E160" s="527"/>
      <c r="F160" s="527"/>
      <c r="G160" s="527"/>
      <c r="H160" s="527"/>
      <c r="I160" s="528"/>
      <c r="K160" s="531"/>
      <c r="L160" s="531"/>
      <c r="M160" s="531"/>
      <c r="N160" s="531"/>
      <c r="O160" s="531"/>
      <c r="P160" s="531"/>
      <c r="Q160" s="531"/>
      <c r="R160" s="531"/>
      <c r="S160" s="531"/>
      <c r="T160" s="531"/>
      <c r="U160" s="531"/>
      <c r="V160" s="531"/>
      <c r="W160" s="531"/>
      <c r="X160" s="531"/>
      <c r="Y160" s="531"/>
      <c r="Z160" s="531"/>
      <c r="AA160" s="531"/>
    </row>
    <row r="161" spans="1:27" ht="15">
      <c r="A161" s="527"/>
      <c r="B161" s="527"/>
      <c r="C161" s="527"/>
      <c r="D161" s="527"/>
      <c r="E161" s="527"/>
      <c r="F161" s="527"/>
      <c r="G161" s="527"/>
      <c r="H161" s="527"/>
      <c r="I161" s="528"/>
      <c r="K161" s="531"/>
      <c r="L161" s="531"/>
      <c r="M161" s="531"/>
      <c r="N161" s="531"/>
      <c r="O161" s="531"/>
      <c r="P161" s="531"/>
      <c r="Q161" s="531"/>
      <c r="R161" s="531"/>
      <c r="S161" s="531"/>
      <c r="T161" s="531"/>
      <c r="U161" s="531"/>
      <c r="V161" s="531"/>
      <c r="W161" s="531"/>
      <c r="X161" s="531"/>
      <c r="Y161" s="531"/>
      <c r="Z161" s="531"/>
      <c r="AA161" s="531"/>
    </row>
    <row r="162" spans="1:27" ht="15">
      <c r="A162" s="527"/>
      <c r="B162" s="527"/>
      <c r="C162" s="527"/>
      <c r="D162" s="527"/>
      <c r="E162" s="527"/>
      <c r="F162" s="527"/>
      <c r="G162" s="527"/>
      <c r="H162" s="527"/>
      <c r="I162" s="528"/>
      <c r="K162" s="531"/>
      <c r="L162" s="531"/>
      <c r="M162" s="531"/>
      <c r="N162" s="531"/>
      <c r="O162" s="531"/>
      <c r="P162" s="531"/>
      <c r="Q162" s="531"/>
      <c r="R162" s="531"/>
      <c r="S162" s="531"/>
      <c r="T162" s="531"/>
      <c r="U162" s="531"/>
      <c r="V162" s="531"/>
      <c r="W162" s="531"/>
      <c r="X162" s="531"/>
      <c r="Y162" s="531"/>
      <c r="Z162" s="531"/>
      <c r="AA162" s="531"/>
    </row>
    <row r="163" spans="1:27" ht="15">
      <c r="A163" s="527"/>
      <c r="B163" s="527"/>
      <c r="C163" s="527"/>
      <c r="D163" s="527"/>
      <c r="E163" s="527"/>
      <c r="F163" s="527"/>
      <c r="G163" s="527"/>
      <c r="H163" s="527"/>
      <c r="I163" s="528"/>
      <c r="K163" s="531"/>
      <c r="L163" s="531"/>
      <c r="M163" s="531"/>
      <c r="N163" s="531"/>
      <c r="O163" s="531"/>
      <c r="P163" s="531"/>
      <c r="Q163" s="531"/>
      <c r="R163" s="531"/>
      <c r="S163" s="531"/>
      <c r="T163" s="531"/>
      <c r="U163" s="531"/>
      <c r="V163" s="531"/>
      <c r="W163" s="531"/>
      <c r="X163" s="531"/>
      <c r="Y163" s="531"/>
      <c r="Z163" s="531"/>
      <c r="AA163" s="531"/>
    </row>
    <row r="164" spans="1:27" ht="15">
      <c r="A164" s="527"/>
      <c r="B164" s="527"/>
      <c r="C164" s="527"/>
      <c r="D164" s="527"/>
      <c r="E164" s="527"/>
      <c r="F164" s="527"/>
      <c r="G164" s="527"/>
      <c r="H164" s="527"/>
      <c r="I164" s="528"/>
      <c r="K164" s="531"/>
      <c r="L164" s="531"/>
      <c r="M164" s="531"/>
      <c r="N164" s="531"/>
      <c r="O164" s="531"/>
      <c r="P164" s="531"/>
      <c r="Q164" s="531"/>
      <c r="R164" s="531"/>
      <c r="S164" s="531"/>
      <c r="T164" s="531"/>
      <c r="U164" s="531"/>
      <c r="V164" s="531"/>
      <c r="W164" s="531"/>
      <c r="X164" s="531"/>
      <c r="Y164" s="531"/>
      <c r="Z164" s="531"/>
      <c r="AA164" s="531"/>
    </row>
    <row r="165" spans="1:27" ht="15">
      <c r="A165" s="527"/>
      <c r="B165" s="527"/>
      <c r="C165" s="527"/>
      <c r="D165" s="527"/>
      <c r="E165" s="527"/>
      <c r="F165" s="527"/>
      <c r="G165" s="527"/>
      <c r="H165" s="527"/>
      <c r="I165" s="528"/>
      <c r="K165" s="531"/>
      <c r="L165" s="531"/>
      <c r="M165" s="531"/>
      <c r="N165" s="531"/>
      <c r="O165" s="531"/>
      <c r="P165" s="531"/>
      <c r="Q165" s="531"/>
      <c r="R165" s="531"/>
      <c r="S165" s="531"/>
      <c r="T165" s="531"/>
      <c r="U165" s="531"/>
      <c r="V165" s="531"/>
      <c r="W165" s="531"/>
      <c r="X165" s="531"/>
      <c r="Y165" s="531"/>
      <c r="Z165" s="531"/>
      <c r="AA165" s="531"/>
    </row>
    <row r="166" spans="1:27" ht="15">
      <c r="A166" s="527"/>
      <c r="B166" s="527"/>
      <c r="C166" s="527"/>
      <c r="D166" s="527"/>
      <c r="E166" s="527"/>
      <c r="F166" s="527"/>
      <c r="G166" s="527"/>
      <c r="H166" s="527"/>
      <c r="I166" s="528"/>
      <c r="K166" s="531"/>
      <c r="L166" s="531"/>
      <c r="M166" s="531"/>
      <c r="N166" s="531"/>
      <c r="O166" s="531"/>
      <c r="P166" s="531"/>
      <c r="Q166" s="531"/>
      <c r="R166" s="531"/>
      <c r="S166" s="531"/>
      <c r="T166" s="531"/>
      <c r="U166" s="531"/>
      <c r="V166" s="531"/>
      <c r="W166" s="531"/>
      <c r="X166" s="531"/>
      <c r="Y166" s="531"/>
      <c r="Z166" s="531"/>
      <c r="AA166" s="531"/>
    </row>
    <row r="167" spans="1:27" ht="15">
      <c r="A167" s="527"/>
      <c r="B167" s="527"/>
      <c r="C167" s="527"/>
      <c r="D167" s="527"/>
      <c r="E167" s="527"/>
      <c r="F167" s="527"/>
      <c r="G167" s="527"/>
      <c r="H167" s="527"/>
      <c r="I167" s="528"/>
      <c r="K167" s="531"/>
      <c r="L167" s="531"/>
      <c r="M167" s="531"/>
      <c r="N167" s="531"/>
      <c r="O167" s="531"/>
      <c r="P167" s="531"/>
      <c r="Q167" s="531"/>
      <c r="R167" s="531"/>
      <c r="S167" s="531"/>
      <c r="T167" s="531"/>
      <c r="U167" s="531"/>
      <c r="V167" s="531"/>
      <c r="W167" s="531"/>
      <c r="X167" s="531"/>
      <c r="Y167" s="531"/>
      <c r="Z167" s="531"/>
      <c r="AA167" s="531"/>
    </row>
    <row r="168" spans="1:27" ht="15">
      <c r="A168" s="527"/>
      <c r="B168" s="527"/>
      <c r="C168" s="527"/>
      <c r="D168" s="527"/>
      <c r="E168" s="527"/>
      <c r="F168" s="527"/>
      <c r="G168" s="527"/>
      <c r="H168" s="527"/>
      <c r="I168" s="528"/>
      <c r="K168" s="531"/>
      <c r="L168" s="531"/>
      <c r="M168" s="531"/>
      <c r="N168" s="531"/>
      <c r="O168" s="531"/>
      <c r="P168" s="531"/>
      <c r="Q168" s="531"/>
      <c r="R168" s="531"/>
      <c r="S168" s="531"/>
      <c r="T168" s="531"/>
      <c r="U168" s="531"/>
      <c r="V168" s="531"/>
      <c r="W168" s="531"/>
      <c r="X168" s="531"/>
      <c r="Y168" s="531"/>
      <c r="Z168" s="531"/>
      <c r="AA168" s="531"/>
    </row>
    <row r="169" spans="1:27" ht="15">
      <c r="A169" s="527"/>
      <c r="B169" s="527"/>
      <c r="C169" s="527"/>
      <c r="D169" s="527"/>
      <c r="E169" s="527"/>
      <c r="F169" s="527"/>
      <c r="G169" s="527"/>
      <c r="H169" s="527"/>
      <c r="I169" s="528"/>
      <c r="K169" s="531"/>
      <c r="L169" s="531"/>
      <c r="M169" s="531"/>
      <c r="N169" s="531"/>
      <c r="O169" s="531"/>
      <c r="P169" s="531"/>
      <c r="Q169" s="531"/>
      <c r="R169" s="531"/>
      <c r="S169" s="531"/>
      <c r="T169" s="531"/>
      <c r="U169" s="531"/>
      <c r="V169" s="531"/>
      <c r="W169" s="531"/>
      <c r="X169" s="531"/>
      <c r="Y169" s="531"/>
      <c r="Z169" s="531"/>
      <c r="AA169" s="531"/>
    </row>
    <row r="170" spans="1:27" ht="15">
      <c r="A170" s="527"/>
      <c r="B170" s="527"/>
      <c r="C170" s="527"/>
      <c r="D170" s="527"/>
      <c r="E170" s="527"/>
      <c r="F170" s="527"/>
      <c r="G170" s="527"/>
      <c r="H170" s="527"/>
      <c r="I170" s="528"/>
      <c r="K170" s="531"/>
      <c r="L170" s="531"/>
      <c r="M170" s="531"/>
      <c r="N170" s="531"/>
      <c r="O170" s="531"/>
      <c r="P170" s="531"/>
      <c r="Q170" s="531"/>
      <c r="R170" s="531"/>
      <c r="S170" s="531"/>
      <c r="T170" s="531"/>
      <c r="U170" s="531"/>
      <c r="V170" s="531"/>
      <c r="W170" s="531"/>
      <c r="X170" s="531"/>
      <c r="Y170" s="531"/>
      <c r="Z170" s="531"/>
      <c r="AA170" s="531"/>
    </row>
    <row r="171" spans="1:27" ht="15">
      <c r="A171" s="527"/>
      <c r="B171" s="527"/>
      <c r="C171" s="527"/>
      <c r="D171" s="527"/>
      <c r="E171" s="527"/>
      <c r="F171" s="527"/>
      <c r="G171" s="527"/>
      <c r="H171" s="527"/>
      <c r="I171" s="528"/>
      <c r="K171" s="531"/>
      <c r="L171" s="531"/>
      <c r="M171" s="531"/>
      <c r="N171" s="531"/>
      <c r="O171" s="531"/>
      <c r="P171" s="531"/>
      <c r="Q171" s="531"/>
      <c r="R171" s="531"/>
      <c r="S171" s="531"/>
      <c r="T171" s="531"/>
      <c r="U171" s="531"/>
      <c r="V171" s="531"/>
      <c r="W171" s="531"/>
      <c r="X171" s="531"/>
      <c r="Y171" s="531"/>
      <c r="Z171" s="531"/>
      <c r="AA171" s="531"/>
    </row>
    <row r="172" spans="1:27" ht="15">
      <c r="A172" s="527"/>
      <c r="B172" s="527"/>
      <c r="C172" s="527"/>
      <c r="D172" s="527"/>
      <c r="E172" s="527"/>
      <c r="F172" s="527"/>
      <c r="G172" s="527"/>
      <c r="H172" s="527"/>
      <c r="I172" s="528"/>
      <c r="K172" s="531"/>
      <c r="L172" s="531"/>
      <c r="M172" s="531"/>
      <c r="N172" s="531"/>
      <c r="O172" s="531"/>
      <c r="P172" s="531"/>
      <c r="Q172" s="531"/>
      <c r="R172" s="531"/>
      <c r="S172" s="531"/>
      <c r="T172" s="531"/>
      <c r="U172" s="531"/>
      <c r="V172" s="531"/>
      <c r="W172" s="531"/>
      <c r="X172" s="531"/>
      <c r="Y172" s="531"/>
      <c r="Z172" s="531"/>
      <c r="AA172" s="531"/>
    </row>
    <row r="173" spans="1:27" ht="15">
      <c r="A173" s="527"/>
      <c r="B173" s="527"/>
      <c r="C173" s="527"/>
      <c r="D173" s="527"/>
      <c r="E173" s="527"/>
      <c r="F173" s="527"/>
      <c r="G173" s="527"/>
      <c r="H173" s="527"/>
      <c r="I173" s="528"/>
      <c r="K173" s="531"/>
      <c r="L173" s="531"/>
      <c r="M173" s="531"/>
      <c r="N173" s="531"/>
      <c r="O173" s="531"/>
      <c r="P173" s="531"/>
      <c r="Q173" s="531"/>
      <c r="R173" s="531"/>
      <c r="S173" s="531"/>
      <c r="T173" s="531"/>
      <c r="U173" s="531"/>
      <c r="V173" s="531"/>
      <c r="W173" s="531"/>
      <c r="X173" s="531"/>
      <c r="Y173" s="531"/>
      <c r="Z173" s="531"/>
      <c r="AA173" s="531"/>
    </row>
    <row r="174" spans="1:27" ht="15">
      <c r="A174" s="527"/>
      <c r="B174" s="527"/>
      <c r="C174" s="527"/>
      <c r="D174" s="527"/>
      <c r="E174" s="527"/>
      <c r="F174" s="527"/>
      <c r="G174" s="527"/>
      <c r="H174" s="527"/>
      <c r="I174" s="528"/>
      <c r="K174" s="531"/>
      <c r="L174" s="531"/>
      <c r="M174" s="531"/>
      <c r="N174" s="531"/>
      <c r="O174" s="531"/>
      <c r="P174" s="531"/>
      <c r="Q174" s="531"/>
      <c r="R174" s="531"/>
      <c r="S174" s="531"/>
      <c r="T174" s="531"/>
      <c r="U174" s="531"/>
      <c r="V174" s="531"/>
      <c r="W174" s="531"/>
      <c r="X174" s="531"/>
      <c r="Y174" s="531"/>
      <c r="Z174" s="531"/>
      <c r="AA174" s="531"/>
    </row>
    <row r="175" spans="1:27" ht="15">
      <c r="A175" s="527"/>
      <c r="B175" s="527"/>
      <c r="C175" s="527"/>
      <c r="D175" s="527"/>
      <c r="E175" s="527"/>
      <c r="F175" s="527"/>
      <c r="G175" s="527"/>
      <c r="H175" s="527"/>
      <c r="I175" s="528"/>
      <c r="K175" s="531"/>
      <c r="L175" s="531"/>
      <c r="M175" s="531"/>
      <c r="N175" s="531"/>
      <c r="O175" s="531"/>
      <c r="P175" s="531"/>
      <c r="Q175" s="531"/>
      <c r="R175" s="531"/>
      <c r="S175" s="531"/>
      <c r="T175" s="531"/>
      <c r="U175" s="531"/>
      <c r="V175" s="531"/>
      <c r="W175" s="531"/>
      <c r="X175" s="531"/>
      <c r="Y175" s="531"/>
      <c r="Z175" s="531"/>
      <c r="AA175" s="531"/>
    </row>
    <row r="176" spans="1:27" ht="15">
      <c r="A176" s="527"/>
      <c r="B176" s="527"/>
      <c r="C176" s="527"/>
      <c r="D176" s="527"/>
      <c r="E176" s="527"/>
      <c r="F176" s="527"/>
      <c r="G176" s="527"/>
      <c r="H176" s="527"/>
      <c r="I176" s="528"/>
      <c r="K176" s="531"/>
      <c r="L176" s="531"/>
      <c r="M176" s="531"/>
      <c r="N176" s="531"/>
      <c r="O176" s="531"/>
      <c r="P176" s="531"/>
      <c r="Q176" s="531"/>
      <c r="R176" s="531"/>
      <c r="S176" s="531"/>
      <c r="T176" s="531"/>
      <c r="U176" s="531"/>
      <c r="V176" s="531"/>
      <c r="W176" s="531"/>
      <c r="X176" s="531"/>
      <c r="Y176" s="531"/>
      <c r="Z176" s="531"/>
      <c r="AA176" s="531"/>
    </row>
    <row r="177" spans="1:27" ht="15">
      <c r="A177" s="527"/>
      <c r="B177" s="527"/>
      <c r="C177" s="527"/>
      <c r="D177" s="527"/>
      <c r="E177" s="527"/>
      <c r="F177" s="527"/>
      <c r="G177" s="527"/>
      <c r="H177" s="527"/>
      <c r="I177" s="528"/>
      <c r="K177" s="531"/>
      <c r="L177" s="531"/>
      <c r="M177" s="531"/>
      <c r="N177" s="531"/>
      <c r="O177" s="531"/>
      <c r="P177" s="531"/>
      <c r="Q177" s="531"/>
      <c r="R177" s="531"/>
      <c r="S177" s="531"/>
      <c r="T177" s="531"/>
      <c r="U177" s="531"/>
      <c r="V177" s="531"/>
      <c r="W177" s="531"/>
      <c r="X177" s="531"/>
      <c r="Y177" s="531"/>
      <c r="Z177" s="531"/>
      <c r="AA177" s="531"/>
    </row>
    <row r="178" spans="1:27" ht="15">
      <c r="A178" s="527"/>
      <c r="B178" s="527"/>
      <c r="C178" s="527"/>
      <c r="D178" s="527"/>
      <c r="E178" s="527"/>
      <c r="F178" s="527"/>
      <c r="G178" s="527"/>
      <c r="H178" s="527"/>
      <c r="I178" s="528"/>
      <c r="K178" s="531"/>
      <c r="L178" s="531"/>
      <c r="M178" s="531"/>
      <c r="N178" s="531"/>
      <c r="O178" s="531"/>
      <c r="P178" s="531"/>
      <c r="Q178" s="531"/>
      <c r="R178" s="531"/>
      <c r="S178" s="531"/>
      <c r="T178" s="531"/>
      <c r="U178" s="531"/>
      <c r="V178" s="531"/>
      <c r="W178" s="531"/>
      <c r="X178" s="531"/>
      <c r="Y178" s="531"/>
      <c r="Z178" s="531"/>
      <c r="AA178" s="531"/>
    </row>
    <row r="179" spans="1:27" ht="15">
      <c r="A179" s="527"/>
      <c r="B179" s="527"/>
      <c r="C179" s="527"/>
      <c r="D179" s="527"/>
      <c r="E179" s="527"/>
      <c r="F179" s="527"/>
      <c r="G179" s="527"/>
      <c r="H179" s="527"/>
      <c r="I179" s="528"/>
      <c r="K179" s="531"/>
      <c r="L179" s="531"/>
      <c r="M179" s="531"/>
      <c r="N179" s="531"/>
      <c r="O179" s="531"/>
      <c r="P179" s="531"/>
      <c r="Q179" s="531"/>
      <c r="R179" s="531"/>
      <c r="S179" s="531"/>
      <c r="T179" s="531"/>
      <c r="U179" s="531"/>
      <c r="V179" s="531"/>
      <c r="W179" s="531"/>
      <c r="X179" s="531"/>
      <c r="Y179" s="531"/>
      <c r="Z179" s="531"/>
      <c r="AA179" s="531"/>
    </row>
    <row r="180" spans="1:27" ht="15">
      <c r="A180" s="527"/>
      <c r="B180" s="527"/>
      <c r="C180" s="527"/>
      <c r="D180" s="527"/>
      <c r="E180" s="527"/>
      <c r="F180" s="527"/>
      <c r="G180" s="527"/>
      <c r="H180" s="527"/>
      <c r="I180" s="528"/>
      <c r="K180" s="531"/>
      <c r="L180" s="531"/>
      <c r="M180" s="531"/>
      <c r="N180" s="531"/>
      <c r="O180" s="531"/>
      <c r="P180" s="531"/>
      <c r="Q180" s="531"/>
      <c r="R180" s="531"/>
      <c r="S180" s="531"/>
      <c r="T180" s="531"/>
      <c r="U180" s="531"/>
      <c r="V180" s="531"/>
      <c r="W180" s="531"/>
      <c r="X180" s="531"/>
      <c r="Y180" s="531"/>
      <c r="Z180" s="531"/>
      <c r="AA180" s="531"/>
    </row>
    <row r="181" spans="1:27" ht="15">
      <c r="A181" s="527"/>
      <c r="B181" s="527"/>
      <c r="C181" s="527"/>
      <c r="D181" s="527"/>
      <c r="E181" s="527"/>
      <c r="F181" s="527"/>
      <c r="G181" s="527"/>
      <c r="H181" s="527"/>
      <c r="I181" s="528"/>
      <c r="K181" s="531"/>
      <c r="L181" s="531"/>
      <c r="M181" s="531"/>
      <c r="N181" s="531"/>
      <c r="O181" s="531"/>
      <c r="P181" s="531"/>
      <c r="Q181" s="531"/>
      <c r="R181" s="531"/>
      <c r="S181" s="531"/>
      <c r="T181" s="531"/>
      <c r="U181" s="531"/>
      <c r="V181" s="531"/>
      <c r="W181" s="531"/>
      <c r="X181" s="531"/>
      <c r="Y181" s="531"/>
      <c r="Z181" s="531"/>
      <c r="AA181" s="531"/>
    </row>
    <row r="182" spans="1:27" ht="15">
      <c r="A182" s="527"/>
      <c r="B182" s="527"/>
      <c r="C182" s="527"/>
      <c r="D182" s="527"/>
      <c r="E182" s="527"/>
      <c r="F182" s="527"/>
      <c r="G182" s="527"/>
      <c r="H182" s="527"/>
      <c r="I182" s="528"/>
      <c r="K182" s="531"/>
      <c r="L182" s="531"/>
      <c r="M182" s="531"/>
      <c r="N182" s="531"/>
      <c r="O182" s="531"/>
      <c r="P182" s="531"/>
      <c r="Q182" s="531"/>
      <c r="R182" s="531"/>
      <c r="S182" s="531"/>
      <c r="T182" s="531"/>
      <c r="U182" s="531"/>
      <c r="V182" s="531"/>
      <c r="W182" s="531"/>
      <c r="X182" s="531"/>
      <c r="Y182" s="531"/>
      <c r="Z182" s="531"/>
      <c r="AA182" s="531"/>
    </row>
    <row r="183" spans="1:27" ht="15">
      <c r="A183" s="527"/>
      <c r="B183" s="527"/>
      <c r="C183" s="527"/>
      <c r="D183" s="527"/>
      <c r="E183" s="527"/>
      <c r="F183" s="527"/>
      <c r="G183" s="527"/>
      <c r="H183" s="527"/>
      <c r="I183" s="528"/>
      <c r="K183" s="531"/>
      <c r="L183" s="531"/>
      <c r="M183" s="531"/>
      <c r="N183" s="531"/>
      <c r="O183" s="531"/>
      <c r="P183" s="531"/>
      <c r="Q183" s="531"/>
      <c r="R183" s="531"/>
      <c r="S183" s="531"/>
      <c r="T183" s="531"/>
      <c r="U183" s="531"/>
      <c r="V183" s="531"/>
      <c r="W183" s="531"/>
      <c r="X183" s="531"/>
      <c r="Y183" s="531"/>
      <c r="Z183" s="531"/>
      <c r="AA183" s="531"/>
    </row>
    <row r="184" spans="1:27" ht="15">
      <c r="A184" s="527"/>
      <c r="B184" s="527"/>
      <c r="C184" s="527"/>
      <c r="D184" s="527"/>
      <c r="E184" s="527"/>
      <c r="F184" s="527"/>
      <c r="G184" s="527"/>
      <c r="H184" s="527"/>
      <c r="I184" s="528"/>
      <c r="K184" s="531"/>
      <c r="L184" s="531"/>
      <c r="M184" s="531"/>
      <c r="N184" s="531"/>
      <c r="O184" s="531"/>
      <c r="P184" s="531"/>
      <c r="Q184" s="531"/>
      <c r="R184" s="531"/>
      <c r="S184" s="531"/>
      <c r="T184" s="531"/>
      <c r="U184" s="531"/>
      <c r="V184" s="531"/>
      <c r="W184" s="531"/>
      <c r="X184" s="531"/>
      <c r="Y184" s="531"/>
      <c r="Z184" s="531"/>
      <c r="AA184" s="531"/>
    </row>
    <row r="185" spans="1:27" ht="15">
      <c r="A185" s="527"/>
      <c r="B185" s="527"/>
      <c r="C185" s="527"/>
      <c r="D185" s="527"/>
      <c r="E185" s="527"/>
      <c r="F185" s="527"/>
      <c r="G185" s="527"/>
      <c r="H185" s="527"/>
      <c r="I185" s="528"/>
      <c r="K185" s="531"/>
      <c r="L185" s="531"/>
      <c r="M185" s="531"/>
      <c r="N185" s="531"/>
      <c r="O185" s="531"/>
      <c r="P185" s="531"/>
      <c r="Q185" s="531"/>
      <c r="R185" s="531"/>
      <c r="S185" s="531"/>
      <c r="T185" s="531"/>
      <c r="U185" s="531"/>
      <c r="V185" s="531"/>
      <c r="W185" s="531"/>
      <c r="X185" s="531"/>
      <c r="Y185" s="531"/>
      <c r="Z185" s="531"/>
      <c r="AA185" s="531"/>
    </row>
    <row r="186" spans="1:27" ht="15">
      <c r="A186" s="527"/>
      <c r="B186" s="527"/>
      <c r="C186" s="527"/>
      <c r="D186" s="527"/>
      <c r="E186" s="527"/>
      <c r="F186" s="527"/>
      <c r="G186" s="527"/>
      <c r="H186" s="527"/>
      <c r="I186" s="528"/>
      <c r="K186" s="531"/>
      <c r="L186" s="531"/>
      <c r="M186" s="531"/>
      <c r="N186" s="531"/>
      <c r="O186" s="531"/>
      <c r="P186" s="531"/>
      <c r="Q186" s="531"/>
      <c r="R186" s="531"/>
      <c r="S186" s="531"/>
      <c r="T186" s="531"/>
      <c r="U186" s="531"/>
      <c r="V186" s="531"/>
      <c r="W186" s="531"/>
      <c r="X186" s="531"/>
      <c r="Y186" s="531"/>
      <c r="Z186" s="531"/>
      <c r="AA186" s="531"/>
    </row>
    <row r="187" spans="1:27" ht="15">
      <c r="A187" s="527"/>
      <c r="B187" s="527"/>
      <c r="C187" s="527"/>
      <c r="D187" s="527"/>
      <c r="E187" s="527"/>
      <c r="F187" s="527"/>
      <c r="G187" s="527"/>
      <c r="H187" s="527"/>
      <c r="I187" s="528"/>
      <c r="K187" s="531"/>
      <c r="L187" s="531"/>
      <c r="M187" s="531"/>
      <c r="N187" s="531"/>
      <c r="O187" s="531"/>
      <c r="P187" s="531"/>
      <c r="Q187" s="531"/>
      <c r="R187" s="531"/>
      <c r="S187" s="531"/>
      <c r="T187" s="531"/>
      <c r="U187" s="531"/>
      <c r="V187" s="531"/>
      <c r="W187" s="531"/>
      <c r="X187" s="531"/>
      <c r="Y187" s="531"/>
      <c r="Z187" s="531"/>
      <c r="AA187" s="531"/>
    </row>
    <row r="188" spans="1:27" ht="15">
      <c r="A188" s="527"/>
      <c r="B188" s="527"/>
      <c r="C188" s="527"/>
      <c r="D188" s="527"/>
      <c r="E188" s="527"/>
      <c r="F188" s="527"/>
      <c r="G188" s="527"/>
      <c r="H188" s="527"/>
      <c r="I188" s="528"/>
      <c r="K188" s="531"/>
      <c r="L188" s="531"/>
      <c r="M188" s="531"/>
      <c r="N188" s="531"/>
      <c r="O188" s="531"/>
      <c r="P188" s="531"/>
      <c r="Q188" s="531"/>
      <c r="R188" s="531"/>
      <c r="S188" s="531"/>
      <c r="T188" s="531"/>
      <c r="U188" s="531"/>
      <c r="V188" s="531"/>
      <c r="W188" s="531"/>
      <c r="X188" s="531"/>
      <c r="Y188" s="531"/>
      <c r="Z188" s="531"/>
      <c r="AA188" s="531"/>
    </row>
    <row r="189" spans="1:27" ht="15">
      <c r="A189" s="527"/>
      <c r="B189" s="527"/>
      <c r="C189" s="527"/>
      <c r="D189" s="527"/>
      <c r="E189" s="527"/>
      <c r="F189" s="527"/>
      <c r="G189" s="527"/>
      <c r="H189" s="527"/>
      <c r="I189" s="528"/>
      <c r="K189" s="531"/>
      <c r="L189" s="531"/>
      <c r="M189" s="531"/>
      <c r="N189" s="531"/>
      <c r="O189" s="531"/>
      <c r="P189" s="531"/>
      <c r="Q189" s="531"/>
      <c r="R189" s="531"/>
      <c r="S189" s="531"/>
      <c r="T189" s="531"/>
      <c r="U189" s="531"/>
      <c r="V189" s="531"/>
      <c r="W189" s="531"/>
      <c r="X189" s="531"/>
      <c r="Y189" s="531"/>
      <c r="Z189" s="531"/>
      <c r="AA189" s="531"/>
    </row>
    <row r="190" spans="1:27" ht="15">
      <c r="A190" s="527"/>
      <c r="B190" s="527"/>
      <c r="C190" s="527"/>
      <c r="D190" s="527"/>
      <c r="E190" s="527"/>
      <c r="F190" s="527"/>
      <c r="G190" s="527"/>
      <c r="H190" s="527"/>
      <c r="I190" s="528"/>
      <c r="K190" s="531"/>
      <c r="L190" s="531"/>
      <c r="M190" s="531"/>
      <c r="N190" s="531"/>
      <c r="O190" s="531"/>
      <c r="P190" s="531"/>
      <c r="Q190" s="531"/>
      <c r="R190" s="531"/>
      <c r="S190" s="531"/>
      <c r="T190" s="531"/>
      <c r="U190" s="531"/>
      <c r="V190" s="531"/>
      <c r="W190" s="531"/>
      <c r="X190" s="531"/>
      <c r="Y190" s="531"/>
      <c r="Z190" s="531"/>
      <c r="AA190" s="531"/>
    </row>
    <row r="191" spans="1:27" ht="15">
      <c r="A191" s="527"/>
      <c r="B191" s="527"/>
      <c r="C191" s="527"/>
      <c r="D191" s="527"/>
      <c r="E191" s="527"/>
      <c r="F191" s="527"/>
      <c r="G191" s="527"/>
      <c r="H191" s="527"/>
      <c r="I191" s="528"/>
      <c r="K191" s="531"/>
      <c r="L191" s="531"/>
      <c r="M191" s="531"/>
      <c r="N191" s="531"/>
      <c r="O191" s="531"/>
      <c r="P191" s="531"/>
      <c r="Q191" s="531"/>
      <c r="R191" s="531"/>
      <c r="S191" s="531"/>
      <c r="T191" s="531"/>
      <c r="U191" s="531"/>
      <c r="V191" s="531"/>
      <c r="W191" s="531"/>
      <c r="X191" s="531"/>
      <c r="Y191" s="531"/>
      <c r="Z191" s="531"/>
      <c r="AA191" s="531"/>
    </row>
    <row r="192" spans="1:27" ht="15">
      <c r="A192" s="527"/>
      <c r="B192" s="527"/>
      <c r="C192" s="527"/>
      <c r="D192" s="527"/>
      <c r="E192" s="527"/>
      <c r="F192" s="527"/>
      <c r="G192" s="527"/>
      <c r="H192" s="527"/>
      <c r="I192" s="528"/>
      <c r="K192" s="531"/>
      <c r="L192" s="531"/>
      <c r="M192" s="531"/>
      <c r="N192" s="531"/>
      <c r="O192" s="531"/>
      <c r="P192" s="531"/>
      <c r="Q192" s="531"/>
      <c r="R192" s="531"/>
      <c r="S192" s="531"/>
      <c r="T192" s="531"/>
      <c r="U192" s="531"/>
      <c r="V192" s="531"/>
      <c r="W192" s="531"/>
      <c r="X192" s="531"/>
      <c r="Y192" s="531"/>
      <c r="Z192" s="531"/>
      <c r="AA192" s="531"/>
    </row>
    <row r="193" spans="1:27" ht="15">
      <c r="A193" s="527"/>
      <c r="B193" s="527"/>
      <c r="C193" s="527"/>
      <c r="D193" s="527"/>
      <c r="E193" s="527"/>
      <c r="F193" s="527"/>
      <c r="G193" s="527"/>
      <c r="H193" s="527"/>
      <c r="I193" s="528"/>
      <c r="K193" s="531"/>
      <c r="L193" s="531"/>
      <c r="M193" s="531"/>
      <c r="N193" s="531"/>
      <c r="O193" s="531"/>
      <c r="P193" s="531"/>
      <c r="Q193" s="531"/>
      <c r="R193" s="531"/>
      <c r="S193" s="531"/>
      <c r="T193" s="531"/>
      <c r="U193" s="531"/>
      <c r="V193" s="531"/>
      <c r="W193" s="531"/>
      <c r="X193" s="531"/>
      <c r="Y193" s="531"/>
      <c r="Z193" s="531"/>
      <c r="AA193" s="531"/>
    </row>
    <row r="194" spans="1:27" ht="15">
      <c r="A194" s="527"/>
      <c r="B194" s="527"/>
      <c r="C194" s="527"/>
      <c r="D194" s="527"/>
      <c r="E194" s="527"/>
      <c r="F194" s="527"/>
      <c r="G194" s="527"/>
      <c r="H194" s="527"/>
      <c r="I194" s="528"/>
      <c r="K194" s="531"/>
      <c r="L194" s="531"/>
      <c r="M194" s="531"/>
      <c r="N194" s="531"/>
      <c r="O194" s="531"/>
      <c r="P194" s="531"/>
      <c r="Q194" s="531"/>
      <c r="R194" s="531"/>
      <c r="S194" s="531"/>
      <c r="T194" s="531"/>
      <c r="U194" s="531"/>
      <c r="V194" s="531"/>
      <c r="W194" s="531"/>
      <c r="X194" s="531"/>
      <c r="Y194" s="531"/>
      <c r="Z194" s="531"/>
      <c r="AA194" s="531"/>
    </row>
    <row r="195" spans="1:27" ht="15">
      <c r="A195" s="527"/>
      <c r="B195" s="527"/>
      <c r="C195" s="527"/>
      <c r="D195" s="527"/>
      <c r="E195" s="527"/>
      <c r="F195" s="527"/>
      <c r="G195" s="527"/>
      <c r="H195" s="527"/>
      <c r="I195" s="528"/>
      <c r="K195" s="531"/>
      <c r="L195" s="531"/>
      <c r="M195" s="531"/>
      <c r="N195" s="531"/>
      <c r="O195" s="531"/>
      <c r="P195" s="531"/>
      <c r="Q195" s="531"/>
      <c r="R195" s="531"/>
      <c r="S195" s="531"/>
      <c r="T195" s="531"/>
      <c r="U195" s="531"/>
      <c r="V195" s="531"/>
      <c r="W195" s="531"/>
      <c r="X195" s="531"/>
      <c r="Y195" s="531"/>
      <c r="Z195" s="531"/>
      <c r="AA195" s="531"/>
    </row>
    <row r="196" spans="1:27" ht="15">
      <c r="A196" s="527"/>
      <c r="B196" s="527"/>
      <c r="C196" s="527"/>
      <c r="D196" s="527"/>
      <c r="E196" s="527"/>
      <c r="F196" s="527"/>
      <c r="G196" s="527"/>
      <c r="H196" s="527"/>
      <c r="I196" s="528"/>
      <c r="K196" s="531"/>
      <c r="L196" s="531"/>
      <c r="M196" s="531"/>
      <c r="N196" s="531"/>
      <c r="O196" s="531"/>
      <c r="P196" s="531"/>
      <c r="Q196" s="531"/>
      <c r="R196" s="531"/>
      <c r="S196" s="531"/>
      <c r="T196" s="531"/>
      <c r="U196" s="531"/>
      <c r="V196" s="531"/>
      <c r="W196" s="531"/>
      <c r="X196" s="531"/>
      <c r="Y196" s="531"/>
      <c r="Z196" s="531"/>
      <c r="AA196" s="531"/>
    </row>
    <row r="197" spans="1:27" ht="15">
      <c r="A197" s="527"/>
      <c r="B197" s="527"/>
      <c r="C197" s="527"/>
      <c r="D197" s="527"/>
      <c r="E197" s="527"/>
      <c r="F197" s="527"/>
      <c r="G197" s="527"/>
      <c r="H197" s="527"/>
      <c r="I197" s="528"/>
      <c r="K197" s="531"/>
      <c r="L197" s="531"/>
      <c r="M197" s="531"/>
      <c r="N197" s="531"/>
      <c r="O197" s="531"/>
      <c r="P197" s="531"/>
      <c r="Q197" s="531"/>
      <c r="R197" s="531"/>
      <c r="S197" s="531"/>
      <c r="T197" s="531"/>
      <c r="U197" s="531"/>
      <c r="V197" s="531"/>
      <c r="W197" s="531"/>
      <c r="X197" s="531"/>
      <c r="Y197" s="531"/>
      <c r="Z197" s="531"/>
      <c r="AA197" s="531"/>
    </row>
    <row r="198" spans="1:27" ht="15">
      <c r="A198" s="527"/>
      <c r="B198" s="527"/>
      <c r="C198" s="527"/>
      <c r="D198" s="527"/>
      <c r="E198" s="527"/>
      <c r="F198" s="527"/>
      <c r="G198" s="527"/>
      <c r="H198" s="527"/>
      <c r="I198" s="528"/>
      <c r="K198" s="531"/>
      <c r="L198" s="531"/>
      <c r="M198" s="531"/>
      <c r="N198" s="531"/>
      <c r="O198" s="531"/>
      <c r="P198" s="531"/>
      <c r="Q198" s="531"/>
      <c r="R198" s="531"/>
      <c r="S198" s="531"/>
      <c r="T198" s="531"/>
      <c r="U198" s="531"/>
      <c r="V198" s="531"/>
      <c r="W198" s="531"/>
      <c r="X198" s="531"/>
      <c r="Y198" s="531"/>
      <c r="Z198" s="531"/>
      <c r="AA198" s="531"/>
    </row>
    <row r="199" spans="1:27" ht="15">
      <c r="A199" s="527"/>
      <c r="B199" s="527"/>
      <c r="C199" s="527"/>
      <c r="D199" s="527"/>
      <c r="E199" s="527"/>
      <c r="F199" s="527"/>
      <c r="G199" s="527"/>
      <c r="H199" s="527"/>
      <c r="I199" s="528"/>
      <c r="K199" s="531"/>
      <c r="L199" s="531"/>
      <c r="M199" s="531"/>
      <c r="N199" s="531"/>
      <c r="O199" s="531"/>
      <c r="P199" s="531"/>
      <c r="Q199" s="531"/>
      <c r="R199" s="531"/>
      <c r="S199" s="531"/>
      <c r="T199" s="531"/>
      <c r="U199" s="531"/>
      <c r="V199" s="531"/>
      <c r="W199" s="531"/>
      <c r="X199" s="531"/>
      <c r="Y199" s="531"/>
      <c r="Z199" s="531"/>
      <c r="AA199" s="531"/>
    </row>
    <row r="200" spans="1:27" ht="15">
      <c r="A200" s="527"/>
      <c r="B200" s="527"/>
      <c r="C200" s="527"/>
      <c r="D200" s="527"/>
      <c r="E200" s="527"/>
      <c r="F200" s="527"/>
      <c r="G200" s="527"/>
      <c r="H200" s="527"/>
      <c r="I200" s="528"/>
      <c r="K200" s="531"/>
      <c r="L200" s="531"/>
      <c r="M200" s="531"/>
      <c r="N200" s="531"/>
      <c r="O200" s="531"/>
      <c r="P200" s="531"/>
      <c r="Q200" s="531"/>
      <c r="R200" s="531"/>
      <c r="S200" s="531"/>
      <c r="T200" s="531"/>
      <c r="U200" s="531"/>
      <c r="V200" s="531"/>
      <c r="W200" s="531"/>
      <c r="X200" s="531"/>
      <c r="Y200" s="531"/>
      <c r="Z200" s="531"/>
      <c r="AA200" s="531"/>
    </row>
    <row r="201" spans="1:27" ht="15">
      <c r="A201" s="527"/>
      <c r="B201" s="527"/>
      <c r="C201" s="527"/>
      <c r="D201" s="527"/>
      <c r="E201" s="527"/>
      <c r="F201" s="527"/>
      <c r="G201" s="527"/>
      <c r="H201" s="527"/>
      <c r="I201" s="528"/>
      <c r="K201" s="531"/>
      <c r="L201" s="531"/>
      <c r="M201" s="531"/>
      <c r="N201" s="531"/>
      <c r="O201" s="531"/>
      <c r="P201" s="531"/>
      <c r="Q201" s="531"/>
      <c r="R201" s="531"/>
      <c r="S201" s="531"/>
      <c r="T201" s="531"/>
      <c r="U201" s="531"/>
      <c r="V201" s="531"/>
      <c r="W201" s="531"/>
      <c r="X201" s="531"/>
      <c r="Y201" s="531"/>
      <c r="Z201" s="531"/>
      <c r="AA201" s="531"/>
    </row>
    <row r="202" spans="1:27" ht="15">
      <c r="A202" s="527"/>
      <c r="B202" s="527"/>
      <c r="C202" s="527"/>
      <c r="D202" s="527"/>
      <c r="E202" s="527"/>
      <c r="F202" s="527"/>
      <c r="G202" s="527"/>
      <c r="H202" s="527"/>
      <c r="I202" s="528"/>
      <c r="K202" s="531"/>
      <c r="L202" s="531"/>
      <c r="M202" s="531"/>
      <c r="N202" s="531"/>
      <c r="O202" s="531"/>
      <c r="P202" s="531"/>
      <c r="Q202" s="531"/>
      <c r="R202" s="531"/>
      <c r="S202" s="531"/>
      <c r="T202" s="531"/>
      <c r="U202" s="531"/>
      <c r="V202" s="531"/>
      <c r="W202" s="531"/>
      <c r="X202" s="531"/>
      <c r="Y202" s="531"/>
      <c r="Z202" s="531"/>
      <c r="AA202" s="531"/>
    </row>
    <row r="203" spans="1:27" ht="15">
      <c r="A203" s="527"/>
      <c r="B203" s="527"/>
      <c r="C203" s="527"/>
      <c r="D203" s="527"/>
      <c r="E203" s="527"/>
      <c r="F203" s="527"/>
      <c r="G203" s="527"/>
      <c r="H203" s="527"/>
      <c r="I203" s="528"/>
      <c r="K203" s="531"/>
      <c r="L203" s="531"/>
      <c r="M203" s="531"/>
      <c r="N203" s="531"/>
      <c r="O203" s="531"/>
      <c r="P203" s="531"/>
      <c r="Q203" s="531"/>
      <c r="R203" s="531"/>
      <c r="S203" s="531"/>
      <c r="T203" s="531"/>
      <c r="U203" s="531"/>
      <c r="V203" s="531"/>
      <c r="W203" s="531"/>
      <c r="X203" s="531"/>
      <c r="Y203" s="531"/>
      <c r="Z203" s="531"/>
      <c r="AA203" s="531"/>
    </row>
    <row r="204" spans="1:27" ht="15">
      <c r="A204" s="527"/>
      <c r="B204" s="527"/>
      <c r="C204" s="527"/>
      <c r="D204" s="527"/>
      <c r="E204" s="527"/>
      <c r="F204" s="527"/>
      <c r="G204" s="527"/>
      <c r="H204" s="527"/>
      <c r="I204" s="528"/>
      <c r="K204" s="531"/>
      <c r="L204" s="531"/>
      <c r="M204" s="531"/>
      <c r="N204" s="531"/>
      <c r="O204" s="531"/>
      <c r="P204" s="531"/>
      <c r="Q204" s="531"/>
      <c r="R204" s="531"/>
      <c r="S204" s="531"/>
      <c r="T204" s="531"/>
      <c r="U204" s="531"/>
      <c r="V204" s="531"/>
      <c r="W204" s="531"/>
      <c r="X204" s="531"/>
      <c r="Y204" s="531"/>
      <c r="Z204" s="531"/>
      <c r="AA204" s="531"/>
    </row>
    <row r="205" spans="1:27" ht="15">
      <c r="A205" s="527"/>
      <c r="B205" s="527"/>
      <c r="C205" s="527"/>
      <c r="D205" s="527"/>
      <c r="E205" s="527"/>
      <c r="F205" s="527"/>
      <c r="G205" s="527"/>
      <c r="H205" s="527"/>
      <c r="I205" s="528"/>
      <c r="K205" s="531"/>
      <c r="L205" s="531"/>
      <c r="M205" s="531"/>
      <c r="N205" s="531"/>
      <c r="O205" s="531"/>
      <c r="P205" s="531"/>
      <c r="Q205" s="531"/>
      <c r="R205" s="531"/>
      <c r="S205" s="531"/>
      <c r="T205" s="531"/>
      <c r="U205" s="531"/>
      <c r="V205" s="531"/>
      <c r="W205" s="531"/>
      <c r="X205" s="531"/>
      <c r="Y205" s="531"/>
      <c r="Z205" s="531"/>
      <c r="AA205" s="531"/>
    </row>
    <row r="206" spans="1:27" ht="15">
      <c r="A206" s="527"/>
      <c r="B206" s="527"/>
      <c r="C206" s="527"/>
      <c r="D206" s="527"/>
      <c r="E206" s="527"/>
      <c r="F206" s="527"/>
      <c r="G206" s="527"/>
      <c r="H206" s="527"/>
      <c r="I206" s="528"/>
      <c r="K206" s="531"/>
      <c r="L206" s="531"/>
      <c r="M206" s="531"/>
      <c r="N206" s="531"/>
      <c r="O206" s="531"/>
      <c r="P206" s="531"/>
      <c r="Q206" s="531"/>
      <c r="R206" s="531"/>
      <c r="S206" s="531"/>
      <c r="T206" s="531"/>
      <c r="U206" s="531"/>
      <c r="V206" s="531"/>
      <c r="W206" s="531"/>
      <c r="X206" s="531"/>
      <c r="Y206" s="531"/>
      <c r="Z206" s="531"/>
      <c r="AA206" s="531"/>
    </row>
    <row r="207" spans="1:27" ht="15">
      <c r="A207" s="527"/>
      <c r="B207" s="527"/>
      <c r="C207" s="527"/>
      <c r="D207" s="527"/>
      <c r="E207" s="527"/>
      <c r="F207" s="527"/>
      <c r="G207" s="527"/>
      <c r="H207" s="527"/>
      <c r="I207" s="528"/>
      <c r="K207" s="531"/>
      <c r="L207" s="531"/>
      <c r="M207" s="531"/>
      <c r="N207" s="531"/>
      <c r="O207" s="531"/>
      <c r="P207" s="531"/>
      <c r="Q207" s="531"/>
      <c r="R207" s="531"/>
      <c r="S207" s="531"/>
      <c r="T207" s="531"/>
      <c r="U207" s="531"/>
      <c r="V207" s="531"/>
      <c r="W207" s="531"/>
      <c r="X207" s="531"/>
      <c r="Y207" s="531"/>
      <c r="Z207" s="531"/>
      <c r="AA207" s="531"/>
    </row>
    <row r="208" spans="1:27" ht="15">
      <c r="A208" s="527"/>
      <c r="B208" s="527"/>
      <c r="C208" s="527"/>
      <c r="D208" s="527"/>
      <c r="E208" s="527"/>
      <c r="F208" s="527"/>
      <c r="G208" s="527"/>
      <c r="H208" s="527"/>
      <c r="I208" s="528"/>
      <c r="K208" s="531"/>
      <c r="L208" s="531"/>
      <c r="M208" s="531"/>
      <c r="N208" s="531"/>
      <c r="O208" s="531"/>
      <c r="P208" s="531"/>
      <c r="Q208" s="531"/>
      <c r="R208" s="531"/>
      <c r="S208" s="531"/>
      <c r="T208" s="531"/>
      <c r="U208" s="531"/>
      <c r="V208" s="531"/>
      <c r="W208" s="531"/>
      <c r="X208" s="531"/>
      <c r="Y208" s="531"/>
      <c r="Z208" s="531"/>
      <c r="AA208" s="531"/>
    </row>
    <row r="209" spans="1:27" ht="15">
      <c r="A209" s="527"/>
      <c r="B209" s="527"/>
      <c r="C209" s="527"/>
      <c r="D209" s="527"/>
      <c r="E209" s="527"/>
      <c r="F209" s="527"/>
      <c r="G209" s="527"/>
      <c r="H209" s="527"/>
      <c r="I209" s="528"/>
      <c r="K209" s="531"/>
      <c r="L209" s="531"/>
      <c r="M209" s="531"/>
      <c r="N209" s="531"/>
      <c r="O209" s="531"/>
      <c r="P209" s="531"/>
      <c r="Q209" s="531"/>
      <c r="R209" s="531"/>
      <c r="S209" s="531"/>
      <c r="T209" s="531"/>
      <c r="U209" s="531"/>
      <c r="V209" s="531"/>
      <c r="W209" s="531"/>
      <c r="X209" s="531"/>
      <c r="Y209" s="531"/>
      <c r="Z209" s="531"/>
      <c r="AA209" s="531"/>
    </row>
    <row r="210" spans="1:27" ht="15">
      <c r="A210" s="527"/>
      <c r="B210" s="527"/>
      <c r="C210" s="527"/>
      <c r="D210" s="527"/>
      <c r="E210" s="527"/>
      <c r="F210" s="527"/>
      <c r="G210" s="527"/>
      <c r="H210" s="527"/>
      <c r="I210" s="528"/>
      <c r="K210" s="531"/>
      <c r="L210" s="531"/>
      <c r="M210" s="531"/>
      <c r="N210" s="531"/>
      <c r="O210" s="531"/>
      <c r="P210" s="531"/>
      <c r="Q210" s="531"/>
      <c r="R210" s="531"/>
      <c r="S210" s="531"/>
      <c r="T210" s="531"/>
      <c r="U210" s="531"/>
      <c r="V210" s="531"/>
      <c r="W210" s="531"/>
      <c r="X210" s="531"/>
      <c r="Y210" s="531"/>
      <c r="Z210" s="531"/>
      <c r="AA210" s="531"/>
    </row>
    <row r="211" spans="1:27" ht="15">
      <c r="A211" s="527"/>
      <c r="B211" s="527"/>
      <c r="C211" s="527"/>
      <c r="D211" s="527"/>
      <c r="E211" s="527"/>
      <c r="F211" s="527"/>
      <c r="G211" s="527"/>
      <c r="H211" s="527"/>
      <c r="I211" s="528"/>
      <c r="K211" s="531"/>
      <c r="L211" s="531"/>
      <c r="M211" s="531"/>
      <c r="N211" s="531"/>
      <c r="O211" s="531"/>
      <c r="P211" s="531"/>
      <c r="Q211" s="531"/>
      <c r="R211" s="531"/>
      <c r="S211" s="531"/>
      <c r="T211" s="531"/>
      <c r="U211" s="531"/>
      <c r="V211" s="531"/>
      <c r="W211" s="531"/>
      <c r="X211" s="531"/>
      <c r="Y211" s="531"/>
      <c r="Z211" s="531"/>
      <c r="AA211" s="531"/>
    </row>
    <row r="212" spans="1:27" ht="15">
      <c r="A212" s="527"/>
      <c r="B212" s="527"/>
      <c r="C212" s="527"/>
      <c r="D212" s="527"/>
      <c r="E212" s="527"/>
      <c r="F212" s="527"/>
      <c r="G212" s="527"/>
      <c r="H212" s="527"/>
      <c r="I212" s="528"/>
      <c r="K212" s="531"/>
      <c r="L212" s="531"/>
      <c r="M212" s="531"/>
      <c r="N212" s="531"/>
      <c r="O212" s="531"/>
      <c r="P212" s="531"/>
      <c r="Q212" s="531"/>
      <c r="R212" s="531"/>
      <c r="S212" s="531"/>
      <c r="T212" s="531"/>
      <c r="U212" s="531"/>
      <c r="V212" s="531"/>
      <c r="W212" s="531"/>
      <c r="X212" s="531"/>
      <c r="Y212" s="531"/>
      <c r="Z212" s="531"/>
      <c r="AA212" s="531"/>
    </row>
    <row r="213" spans="1:27" ht="15">
      <c r="A213" s="527"/>
      <c r="B213" s="527"/>
      <c r="C213" s="527"/>
      <c r="D213" s="527"/>
      <c r="E213" s="527"/>
      <c r="F213" s="527"/>
      <c r="G213" s="527"/>
      <c r="H213" s="527"/>
      <c r="I213" s="528"/>
      <c r="K213" s="531"/>
      <c r="L213" s="531"/>
      <c r="M213" s="531"/>
      <c r="N213" s="531"/>
      <c r="O213" s="531"/>
      <c r="P213" s="531"/>
      <c r="Q213" s="531"/>
      <c r="R213" s="531"/>
      <c r="S213" s="531"/>
      <c r="T213" s="531"/>
      <c r="U213" s="531"/>
      <c r="V213" s="531"/>
      <c r="W213" s="531"/>
      <c r="X213" s="531"/>
      <c r="Y213" s="531"/>
      <c r="Z213" s="531"/>
      <c r="AA213" s="531"/>
    </row>
    <row r="214" spans="1:27" ht="15">
      <c r="A214" s="527"/>
      <c r="B214" s="527"/>
      <c r="C214" s="527"/>
      <c r="D214" s="527"/>
      <c r="E214" s="527"/>
      <c r="F214" s="527"/>
      <c r="G214" s="527"/>
      <c r="H214" s="527"/>
      <c r="I214" s="528"/>
      <c r="K214" s="531"/>
      <c r="L214" s="531"/>
      <c r="M214" s="531"/>
      <c r="N214" s="531"/>
      <c r="O214" s="531"/>
      <c r="P214" s="531"/>
      <c r="Q214" s="531"/>
      <c r="R214" s="531"/>
      <c r="S214" s="531"/>
      <c r="T214" s="531"/>
      <c r="U214" s="531"/>
      <c r="V214" s="531"/>
      <c r="W214" s="531"/>
      <c r="X214" s="531"/>
      <c r="Y214" s="531"/>
      <c r="Z214" s="531"/>
      <c r="AA214" s="531"/>
    </row>
    <row r="215" spans="1:27" ht="15">
      <c r="A215" s="527"/>
      <c r="B215" s="527"/>
      <c r="C215" s="527"/>
      <c r="D215" s="527"/>
      <c r="E215" s="527"/>
      <c r="F215" s="527"/>
      <c r="G215" s="527"/>
      <c r="H215" s="527"/>
      <c r="I215" s="528"/>
      <c r="K215" s="531"/>
      <c r="L215" s="531"/>
      <c r="M215" s="531"/>
      <c r="N215" s="531"/>
      <c r="O215" s="531"/>
      <c r="P215" s="531"/>
      <c r="Q215" s="531"/>
      <c r="R215" s="531"/>
      <c r="S215" s="531"/>
      <c r="T215" s="531"/>
      <c r="U215" s="531"/>
      <c r="V215" s="531"/>
      <c r="W215" s="531"/>
      <c r="X215" s="531"/>
      <c r="Y215" s="531"/>
      <c r="Z215" s="531"/>
      <c r="AA215" s="531"/>
    </row>
    <row r="216" spans="1:27" ht="15">
      <c r="A216" s="527"/>
      <c r="B216" s="527"/>
      <c r="C216" s="527"/>
      <c r="D216" s="527"/>
      <c r="E216" s="527"/>
      <c r="F216" s="527"/>
      <c r="G216" s="527"/>
      <c r="H216" s="527"/>
      <c r="I216" s="528"/>
      <c r="K216" s="531"/>
      <c r="L216" s="531"/>
      <c r="M216" s="531"/>
      <c r="N216" s="531"/>
      <c r="O216" s="531"/>
      <c r="P216" s="531"/>
      <c r="Q216" s="531"/>
      <c r="R216" s="531"/>
      <c r="S216" s="531"/>
      <c r="T216" s="531"/>
      <c r="U216" s="531"/>
      <c r="V216" s="531"/>
      <c r="W216" s="531"/>
      <c r="X216" s="531"/>
      <c r="Y216" s="531"/>
      <c r="Z216" s="531"/>
      <c r="AA216" s="531"/>
    </row>
    <row r="217" spans="1:27" ht="15">
      <c r="A217" s="527"/>
      <c r="B217" s="527"/>
      <c r="C217" s="527"/>
      <c r="D217" s="527"/>
      <c r="E217" s="527"/>
      <c r="F217" s="527"/>
      <c r="G217" s="527"/>
      <c r="H217" s="527"/>
      <c r="I217" s="528"/>
      <c r="K217" s="531"/>
      <c r="L217" s="531"/>
      <c r="M217" s="531"/>
      <c r="N217" s="531"/>
      <c r="O217" s="531"/>
      <c r="P217" s="531"/>
      <c r="Q217" s="531"/>
      <c r="R217" s="531"/>
      <c r="S217" s="531"/>
      <c r="T217" s="531"/>
      <c r="U217" s="531"/>
      <c r="V217" s="531"/>
      <c r="W217" s="531"/>
      <c r="X217" s="531"/>
      <c r="Y217" s="531"/>
      <c r="Z217" s="531"/>
      <c r="AA217" s="531"/>
    </row>
    <row r="218" spans="1:27" ht="15">
      <c r="A218" s="527"/>
      <c r="B218" s="527"/>
      <c r="C218" s="527"/>
      <c r="D218" s="527"/>
      <c r="E218" s="527"/>
      <c r="F218" s="527"/>
      <c r="G218" s="527"/>
      <c r="H218" s="527"/>
      <c r="I218" s="528"/>
      <c r="K218" s="531"/>
      <c r="L218" s="531"/>
      <c r="M218" s="531"/>
      <c r="N218" s="531"/>
      <c r="O218" s="531"/>
      <c r="P218" s="531"/>
      <c r="Q218" s="531"/>
      <c r="R218" s="531"/>
      <c r="S218" s="531"/>
      <c r="T218" s="531"/>
      <c r="U218" s="531"/>
      <c r="V218" s="531"/>
      <c r="W218" s="531"/>
      <c r="X218" s="531"/>
      <c r="Y218" s="531"/>
      <c r="Z218" s="531"/>
      <c r="AA218" s="531"/>
    </row>
    <row r="219" spans="1:27" ht="15">
      <c r="A219" s="527"/>
      <c r="B219" s="527"/>
      <c r="C219" s="527"/>
      <c r="D219" s="527"/>
      <c r="E219" s="527"/>
      <c r="F219" s="527"/>
      <c r="G219" s="527"/>
      <c r="H219" s="527"/>
      <c r="I219" s="528"/>
      <c r="K219" s="531"/>
      <c r="L219" s="531"/>
      <c r="M219" s="531"/>
      <c r="N219" s="531"/>
      <c r="O219" s="531"/>
      <c r="P219" s="531"/>
      <c r="Q219" s="531"/>
      <c r="R219" s="531"/>
      <c r="S219" s="531"/>
      <c r="T219" s="531"/>
      <c r="U219" s="531"/>
      <c r="V219" s="531"/>
      <c r="W219" s="531"/>
      <c r="X219" s="531"/>
      <c r="Y219" s="531"/>
      <c r="Z219" s="531"/>
      <c r="AA219" s="531"/>
    </row>
    <row r="220" spans="1:27" ht="15">
      <c r="A220" s="527"/>
      <c r="B220" s="527"/>
      <c r="C220" s="527"/>
      <c r="D220" s="527"/>
      <c r="E220" s="527"/>
      <c r="F220" s="527"/>
      <c r="G220" s="527"/>
      <c r="H220" s="527"/>
      <c r="I220" s="528"/>
      <c r="K220" s="531"/>
      <c r="L220" s="531"/>
      <c r="M220" s="531"/>
      <c r="N220" s="531"/>
      <c r="O220" s="531"/>
      <c r="P220" s="531"/>
      <c r="Q220" s="531"/>
      <c r="R220" s="531"/>
      <c r="S220" s="531"/>
      <c r="T220" s="531"/>
      <c r="U220" s="531"/>
      <c r="V220" s="531"/>
      <c r="W220" s="531"/>
      <c r="X220" s="531"/>
      <c r="Y220" s="531"/>
      <c r="Z220" s="531"/>
      <c r="AA220" s="531"/>
    </row>
    <row r="221" spans="1:27" ht="15">
      <c r="A221" s="527"/>
      <c r="B221" s="527"/>
      <c r="C221" s="527"/>
      <c r="D221" s="527"/>
      <c r="E221" s="527"/>
      <c r="F221" s="527"/>
      <c r="G221" s="527"/>
      <c r="H221" s="527"/>
      <c r="I221" s="528"/>
      <c r="K221" s="531"/>
      <c r="L221" s="531"/>
      <c r="M221" s="531"/>
      <c r="N221" s="531"/>
      <c r="O221" s="531"/>
      <c r="P221" s="531"/>
      <c r="Q221" s="531"/>
      <c r="R221" s="531"/>
      <c r="S221" s="531"/>
      <c r="T221" s="531"/>
      <c r="U221" s="531"/>
      <c r="V221" s="531"/>
      <c r="W221" s="531"/>
      <c r="X221" s="531"/>
      <c r="Y221" s="531"/>
      <c r="Z221" s="531"/>
      <c r="AA221" s="531"/>
    </row>
    <row r="222" spans="1:27" ht="15">
      <c r="A222" s="527"/>
      <c r="B222" s="527"/>
      <c r="C222" s="527"/>
      <c r="D222" s="527"/>
      <c r="E222" s="527"/>
      <c r="F222" s="527"/>
      <c r="G222" s="527"/>
      <c r="H222" s="527"/>
      <c r="I222" s="528"/>
      <c r="K222" s="531"/>
      <c r="L222" s="531"/>
      <c r="M222" s="531"/>
      <c r="N222" s="531"/>
      <c r="O222" s="531"/>
      <c r="P222" s="531"/>
      <c r="Q222" s="531"/>
      <c r="R222" s="531"/>
      <c r="S222" s="531"/>
      <c r="T222" s="531"/>
      <c r="U222" s="531"/>
      <c r="V222" s="531"/>
      <c r="W222" s="531"/>
      <c r="X222" s="531"/>
      <c r="Y222" s="531"/>
      <c r="Z222" s="531"/>
      <c r="AA222" s="531"/>
    </row>
    <row r="223" spans="1:27" ht="15">
      <c r="A223" s="527"/>
      <c r="B223" s="527"/>
      <c r="C223" s="527"/>
      <c r="D223" s="527"/>
      <c r="E223" s="527"/>
      <c r="F223" s="527"/>
      <c r="G223" s="527"/>
      <c r="H223" s="527"/>
      <c r="I223" s="528"/>
      <c r="K223" s="531"/>
      <c r="L223" s="531"/>
      <c r="M223" s="531"/>
      <c r="N223" s="531"/>
      <c r="O223" s="531"/>
      <c r="P223" s="531"/>
      <c r="Q223" s="531"/>
      <c r="R223" s="531"/>
      <c r="S223" s="531"/>
      <c r="T223" s="531"/>
      <c r="U223" s="531"/>
      <c r="V223" s="531"/>
      <c r="W223" s="531"/>
      <c r="X223" s="531"/>
      <c r="Y223" s="531"/>
      <c r="Z223" s="531"/>
      <c r="AA223" s="531"/>
    </row>
    <row r="224" spans="1:27" ht="15">
      <c r="A224" s="527"/>
      <c r="B224" s="527"/>
      <c r="C224" s="527"/>
      <c r="D224" s="527"/>
      <c r="E224" s="527"/>
      <c r="F224" s="527"/>
      <c r="G224" s="527"/>
      <c r="H224" s="527"/>
      <c r="I224" s="528"/>
      <c r="K224" s="531"/>
      <c r="L224" s="531"/>
      <c r="M224" s="531"/>
      <c r="N224" s="531"/>
      <c r="O224" s="531"/>
      <c r="P224" s="531"/>
      <c r="Q224" s="531"/>
      <c r="R224" s="531"/>
      <c r="S224" s="531"/>
      <c r="T224" s="531"/>
      <c r="U224" s="531"/>
      <c r="V224" s="531"/>
      <c r="W224" s="531"/>
      <c r="X224" s="531"/>
      <c r="Y224" s="531"/>
      <c r="Z224" s="531"/>
      <c r="AA224" s="531"/>
    </row>
    <row r="225" spans="1:27" ht="15">
      <c r="A225" s="527"/>
      <c r="B225" s="527"/>
      <c r="C225" s="527"/>
      <c r="D225" s="527"/>
      <c r="E225" s="527"/>
      <c r="F225" s="527"/>
      <c r="G225" s="527"/>
      <c r="H225" s="527"/>
      <c r="I225" s="528"/>
      <c r="K225" s="531"/>
      <c r="L225" s="531"/>
      <c r="M225" s="531"/>
      <c r="N225" s="531"/>
      <c r="O225" s="531"/>
      <c r="P225" s="531"/>
      <c r="Q225" s="531"/>
      <c r="R225" s="531"/>
      <c r="S225" s="531"/>
      <c r="T225" s="531"/>
      <c r="U225" s="531"/>
      <c r="V225" s="531"/>
      <c r="W225" s="531"/>
      <c r="X225" s="531"/>
      <c r="Y225" s="531"/>
      <c r="Z225" s="531"/>
      <c r="AA225" s="531"/>
    </row>
    <row r="226" spans="1:27" ht="15">
      <c r="A226" s="527"/>
      <c r="B226" s="527"/>
      <c r="C226" s="527"/>
      <c r="D226" s="527"/>
      <c r="E226" s="527"/>
      <c r="F226" s="527"/>
      <c r="G226" s="527"/>
      <c r="H226" s="527"/>
      <c r="I226" s="528"/>
      <c r="K226" s="531"/>
      <c r="L226" s="531"/>
      <c r="M226" s="531"/>
      <c r="N226" s="531"/>
      <c r="O226" s="531"/>
      <c r="P226" s="531"/>
      <c r="Q226" s="531"/>
      <c r="R226" s="531"/>
      <c r="S226" s="531"/>
      <c r="T226" s="531"/>
      <c r="U226" s="531"/>
      <c r="V226" s="531"/>
      <c r="W226" s="531"/>
      <c r="X226" s="531"/>
      <c r="Y226" s="531"/>
      <c r="Z226" s="531"/>
      <c r="AA226" s="531"/>
    </row>
    <row r="227" spans="1:27" ht="15">
      <c r="A227" s="527"/>
      <c r="B227" s="527"/>
      <c r="C227" s="527"/>
      <c r="D227" s="527"/>
      <c r="E227" s="527"/>
      <c r="F227" s="527"/>
      <c r="G227" s="527"/>
      <c r="H227" s="527"/>
      <c r="I227" s="528"/>
      <c r="K227" s="531"/>
      <c r="L227" s="531"/>
      <c r="M227" s="531"/>
      <c r="N227" s="531"/>
      <c r="O227" s="531"/>
      <c r="P227" s="531"/>
      <c r="Q227" s="531"/>
      <c r="R227" s="531"/>
      <c r="S227" s="531"/>
      <c r="T227" s="531"/>
      <c r="U227" s="531"/>
      <c r="V227" s="531"/>
      <c r="W227" s="531"/>
      <c r="X227" s="531"/>
      <c r="Y227" s="531"/>
      <c r="Z227" s="531"/>
      <c r="AA227" s="531"/>
    </row>
    <row r="228" spans="1:27" ht="15">
      <c r="A228" s="527"/>
      <c r="B228" s="527"/>
      <c r="C228" s="527"/>
      <c r="D228" s="527"/>
      <c r="E228" s="527"/>
      <c r="F228" s="527"/>
      <c r="G228" s="527"/>
      <c r="H228" s="527"/>
      <c r="I228" s="528"/>
      <c r="K228" s="531"/>
      <c r="L228" s="531"/>
      <c r="M228" s="531"/>
      <c r="N228" s="531"/>
      <c r="O228" s="531"/>
      <c r="P228" s="531"/>
      <c r="Q228" s="531"/>
      <c r="R228" s="531"/>
      <c r="S228" s="531"/>
      <c r="T228" s="531"/>
      <c r="U228" s="531"/>
      <c r="V228" s="531"/>
      <c r="W228" s="531"/>
      <c r="X228" s="531"/>
      <c r="Y228" s="531"/>
      <c r="Z228" s="531"/>
      <c r="AA228" s="531"/>
    </row>
    <row r="229" spans="1:27" ht="15">
      <c r="A229" s="527"/>
      <c r="B229" s="527"/>
      <c r="C229" s="527"/>
      <c r="D229" s="527"/>
      <c r="E229" s="527"/>
      <c r="F229" s="527"/>
      <c r="G229" s="527"/>
      <c r="H229" s="527"/>
      <c r="I229" s="528"/>
      <c r="K229" s="531"/>
      <c r="L229" s="531"/>
      <c r="M229" s="531"/>
      <c r="N229" s="531"/>
      <c r="O229" s="531"/>
      <c r="P229" s="531"/>
      <c r="Q229" s="531"/>
      <c r="R229" s="531"/>
      <c r="S229" s="531"/>
      <c r="T229" s="531"/>
      <c r="U229" s="531"/>
      <c r="V229" s="531"/>
      <c r="W229" s="531"/>
      <c r="X229" s="531"/>
      <c r="Y229" s="531"/>
      <c r="Z229" s="531"/>
      <c r="AA229" s="531"/>
    </row>
    <row r="230" spans="1:27" ht="15">
      <c r="A230" s="527"/>
      <c r="B230" s="527"/>
      <c r="C230" s="527"/>
      <c r="D230" s="527"/>
      <c r="E230" s="527"/>
      <c r="F230" s="527"/>
      <c r="G230" s="527"/>
      <c r="H230" s="527"/>
      <c r="I230" s="528"/>
      <c r="K230" s="531"/>
      <c r="L230" s="531"/>
      <c r="M230" s="531"/>
      <c r="N230" s="531"/>
      <c r="O230" s="531"/>
      <c r="P230" s="531"/>
      <c r="Q230" s="531"/>
      <c r="R230" s="531"/>
      <c r="S230" s="531"/>
      <c r="T230" s="531"/>
      <c r="U230" s="531"/>
      <c r="V230" s="531"/>
      <c r="W230" s="531"/>
      <c r="X230" s="531"/>
      <c r="Y230" s="531"/>
      <c r="Z230" s="531"/>
      <c r="AA230" s="531"/>
    </row>
    <row r="231" spans="1:27" ht="15">
      <c r="A231" s="527"/>
      <c r="B231" s="527"/>
      <c r="C231" s="527"/>
      <c r="D231" s="527"/>
      <c r="E231" s="527"/>
      <c r="F231" s="527"/>
      <c r="G231" s="527"/>
      <c r="H231" s="527"/>
      <c r="I231" s="528"/>
      <c r="K231" s="531"/>
      <c r="L231" s="531"/>
      <c r="M231" s="531"/>
      <c r="N231" s="531"/>
      <c r="O231" s="531"/>
      <c r="P231" s="531"/>
      <c r="Q231" s="531"/>
      <c r="R231" s="531"/>
      <c r="S231" s="531"/>
      <c r="T231" s="531"/>
      <c r="U231" s="531"/>
      <c r="V231" s="531"/>
      <c r="W231" s="531"/>
      <c r="X231" s="531"/>
      <c r="Y231" s="531"/>
      <c r="Z231" s="531"/>
      <c r="AA231" s="531"/>
    </row>
    <row r="232" spans="1:27" ht="15">
      <c r="A232" s="527"/>
      <c r="B232" s="527"/>
      <c r="C232" s="527"/>
      <c r="D232" s="527"/>
      <c r="E232" s="527"/>
      <c r="F232" s="527"/>
      <c r="G232" s="527"/>
      <c r="H232" s="527"/>
      <c r="I232" s="528"/>
      <c r="K232" s="531"/>
      <c r="L232" s="531"/>
      <c r="M232" s="531"/>
      <c r="N232" s="531"/>
      <c r="O232" s="531"/>
      <c r="P232" s="531"/>
      <c r="Q232" s="531"/>
      <c r="R232" s="531"/>
      <c r="S232" s="531"/>
      <c r="T232" s="531"/>
      <c r="U232" s="531"/>
      <c r="V232" s="531"/>
      <c r="W232" s="531"/>
      <c r="X232" s="531"/>
      <c r="Y232" s="531"/>
      <c r="Z232" s="531"/>
      <c r="AA232" s="531"/>
    </row>
    <row r="233" spans="1:27" ht="15">
      <c r="A233" s="527"/>
      <c r="B233" s="527"/>
      <c r="C233" s="527"/>
      <c r="D233" s="527"/>
      <c r="E233" s="527"/>
      <c r="F233" s="527"/>
      <c r="G233" s="527"/>
      <c r="H233" s="527"/>
      <c r="I233" s="528"/>
      <c r="K233" s="531"/>
      <c r="L233" s="531"/>
      <c r="M233" s="531"/>
      <c r="N233" s="531"/>
      <c r="O233" s="531"/>
      <c r="P233" s="531"/>
      <c r="Q233" s="531"/>
      <c r="R233" s="531"/>
      <c r="S233" s="531"/>
      <c r="T233" s="531"/>
      <c r="U233" s="531"/>
      <c r="V233" s="531"/>
      <c r="W233" s="531"/>
      <c r="X233" s="531"/>
      <c r="Y233" s="531"/>
      <c r="Z233" s="531"/>
      <c r="AA233" s="531"/>
    </row>
    <row r="234" spans="1:27" ht="15">
      <c r="A234" s="527"/>
      <c r="B234" s="527"/>
      <c r="C234" s="527"/>
      <c r="D234" s="527"/>
      <c r="E234" s="527"/>
      <c r="F234" s="527"/>
      <c r="G234" s="527"/>
      <c r="H234" s="527"/>
      <c r="I234" s="528"/>
      <c r="K234" s="531"/>
      <c r="L234" s="531"/>
      <c r="M234" s="531"/>
      <c r="N234" s="531"/>
      <c r="O234" s="531"/>
      <c r="P234" s="531"/>
      <c r="Q234" s="531"/>
      <c r="R234" s="531"/>
      <c r="S234" s="531"/>
      <c r="T234" s="531"/>
      <c r="U234" s="531"/>
      <c r="V234" s="531"/>
      <c r="W234" s="531"/>
      <c r="X234" s="531"/>
      <c r="Y234" s="531"/>
      <c r="Z234" s="531"/>
      <c r="AA234" s="531"/>
    </row>
    <row r="235" spans="1:27" ht="15">
      <c r="A235" s="527"/>
      <c r="B235" s="527"/>
      <c r="C235" s="527"/>
      <c r="D235" s="527"/>
      <c r="E235" s="527"/>
      <c r="F235" s="527"/>
      <c r="G235" s="527"/>
      <c r="H235" s="527"/>
      <c r="I235" s="528"/>
      <c r="K235" s="531"/>
      <c r="L235" s="531"/>
      <c r="M235" s="531"/>
      <c r="N235" s="531"/>
      <c r="O235" s="531"/>
      <c r="P235" s="531"/>
      <c r="Q235" s="531"/>
      <c r="R235" s="531"/>
      <c r="S235" s="531"/>
      <c r="T235" s="531"/>
      <c r="U235" s="531"/>
      <c r="V235" s="531"/>
      <c r="W235" s="531"/>
      <c r="X235" s="531"/>
      <c r="Y235" s="531"/>
      <c r="Z235" s="531"/>
      <c r="AA235" s="531"/>
    </row>
    <row r="236" spans="1:27" ht="15">
      <c r="A236" s="527"/>
      <c r="B236" s="527"/>
      <c r="C236" s="527"/>
      <c r="D236" s="527"/>
      <c r="E236" s="527"/>
      <c r="F236" s="527"/>
      <c r="G236" s="527"/>
      <c r="H236" s="527"/>
      <c r="I236" s="528"/>
      <c r="K236" s="531"/>
      <c r="L236" s="531"/>
      <c r="M236" s="531"/>
      <c r="N236" s="531"/>
      <c r="O236" s="531"/>
      <c r="P236" s="531"/>
      <c r="Q236" s="531"/>
      <c r="R236" s="531"/>
      <c r="S236" s="531"/>
      <c r="T236" s="531"/>
      <c r="U236" s="531"/>
      <c r="V236" s="531"/>
      <c r="W236" s="531"/>
      <c r="X236" s="531"/>
      <c r="Y236" s="531"/>
      <c r="Z236" s="531"/>
      <c r="AA236" s="531"/>
    </row>
    <row r="237" spans="1:27" ht="15">
      <c r="A237" s="527"/>
      <c r="B237" s="527"/>
      <c r="C237" s="527"/>
      <c r="D237" s="527"/>
      <c r="E237" s="527"/>
      <c r="F237" s="527"/>
      <c r="G237" s="527"/>
      <c r="H237" s="527"/>
      <c r="I237" s="528"/>
      <c r="K237" s="531"/>
      <c r="L237" s="531"/>
      <c r="M237" s="531"/>
      <c r="N237" s="531"/>
      <c r="O237" s="531"/>
      <c r="P237" s="531"/>
      <c r="Q237" s="531"/>
      <c r="R237" s="531"/>
      <c r="S237" s="531"/>
      <c r="T237" s="531"/>
      <c r="U237" s="531"/>
      <c r="V237" s="531"/>
      <c r="W237" s="531"/>
      <c r="X237" s="531"/>
      <c r="Y237" s="531"/>
      <c r="Z237" s="531"/>
      <c r="AA237" s="531"/>
    </row>
    <row r="238" spans="1:27" ht="15">
      <c r="A238" s="527"/>
      <c r="B238" s="527"/>
      <c r="C238" s="527"/>
      <c r="D238" s="527"/>
      <c r="E238" s="527"/>
      <c r="F238" s="527"/>
      <c r="G238" s="527"/>
      <c r="H238" s="527"/>
      <c r="I238" s="528"/>
      <c r="K238" s="531"/>
      <c r="L238" s="531"/>
      <c r="M238" s="531"/>
      <c r="N238" s="531"/>
      <c r="O238" s="531"/>
      <c r="P238" s="531"/>
      <c r="Q238" s="531"/>
      <c r="R238" s="531"/>
      <c r="S238" s="531"/>
      <c r="T238" s="531"/>
      <c r="U238" s="531"/>
      <c r="V238" s="531"/>
      <c r="W238" s="531"/>
      <c r="X238" s="531"/>
      <c r="Y238" s="531"/>
      <c r="Z238" s="531"/>
      <c r="AA238" s="531"/>
    </row>
    <row r="239" spans="1:27" ht="15">
      <c r="A239" s="527"/>
      <c r="B239" s="527"/>
      <c r="C239" s="527"/>
      <c r="D239" s="527"/>
      <c r="E239" s="527"/>
      <c r="F239" s="527"/>
      <c r="G239" s="527"/>
      <c r="H239" s="527"/>
      <c r="I239" s="528"/>
      <c r="K239" s="531"/>
      <c r="L239" s="531"/>
      <c r="M239" s="531"/>
      <c r="N239" s="531"/>
      <c r="O239" s="531"/>
      <c r="P239" s="531"/>
      <c r="Q239" s="531"/>
      <c r="R239" s="531"/>
      <c r="S239" s="531"/>
      <c r="T239" s="531"/>
      <c r="U239" s="531"/>
      <c r="V239" s="531"/>
      <c r="W239" s="531"/>
      <c r="X239" s="531"/>
      <c r="Y239" s="531"/>
      <c r="Z239" s="531"/>
      <c r="AA239" s="531"/>
    </row>
    <row r="240" spans="1:27" ht="15">
      <c r="A240" s="527"/>
      <c r="B240" s="527"/>
      <c r="C240" s="527"/>
      <c r="D240" s="527"/>
      <c r="E240" s="527"/>
      <c r="F240" s="527"/>
      <c r="G240" s="527"/>
      <c r="H240" s="527"/>
      <c r="I240" s="528"/>
      <c r="K240" s="531"/>
      <c r="L240" s="531"/>
      <c r="M240" s="531"/>
      <c r="N240" s="531"/>
      <c r="O240" s="531"/>
      <c r="P240" s="531"/>
      <c r="Q240" s="531"/>
      <c r="R240" s="531"/>
      <c r="S240" s="531"/>
      <c r="T240" s="531"/>
      <c r="U240" s="531"/>
      <c r="V240" s="531"/>
      <c r="W240" s="531"/>
      <c r="X240" s="531"/>
      <c r="Y240" s="531"/>
      <c r="Z240" s="531"/>
      <c r="AA240" s="531"/>
    </row>
    <row r="241" spans="1:27" ht="15">
      <c r="A241" s="527"/>
      <c r="B241" s="527"/>
      <c r="C241" s="527"/>
      <c r="D241" s="527"/>
      <c r="E241" s="527"/>
      <c r="F241" s="527"/>
      <c r="G241" s="527"/>
      <c r="H241" s="527"/>
      <c r="I241" s="528"/>
      <c r="K241" s="531"/>
      <c r="L241" s="531"/>
      <c r="M241" s="531"/>
      <c r="N241" s="531"/>
      <c r="O241" s="531"/>
      <c r="P241" s="531"/>
      <c r="Q241" s="531"/>
      <c r="R241" s="531"/>
      <c r="S241" s="531"/>
      <c r="T241" s="531"/>
      <c r="U241" s="531"/>
      <c r="V241" s="531"/>
      <c r="W241" s="531"/>
      <c r="X241" s="531"/>
      <c r="Y241" s="531"/>
      <c r="Z241" s="531"/>
      <c r="AA241" s="531"/>
    </row>
    <row r="242" spans="1:27" ht="15">
      <c r="A242" s="527"/>
      <c r="B242" s="527"/>
      <c r="C242" s="527"/>
      <c r="D242" s="527"/>
      <c r="E242" s="527"/>
      <c r="F242" s="527"/>
      <c r="G242" s="527"/>
      <c r="H242" s="527"/>
      <c r="I242" s="528"/>
      <c r="K242" s="531"/>
      <c r="L242" s="531"/>
      <c r="M242" s="531"/>
      <c r="N242" s="531"/>
      <c r="O242" s="531"/>
      <c r="P242" s="531"/>
      <c r="Q242" s="531"/>
      <c r="R242" s="531"/>
      <c r="S242" s="531"/>
      <c r="T242" s="531"/>
      <c r="U242" s="531"/>
      <c r="V242" s="531"/>
      <c r="W242" s="531"/>
      <c r="X242" s="531"/>
      <c r="Y242" s="531"/>
      <c r="Z242" s="531"/>
      <c r="AA242" s="531"/>
    </row>
    <row r="243" spans="1:27" ht="15">
      <c r="A243" s="527"/>
      <c r="B243" s="527"/>
      <c r="C243" s="527"/>
      <c r="D243" s="527"/>
      <c r="E243" s="527"/>
      <c r="F243" s="527"/>
      <c r="G243" s="527"/>
      <c r="H243" s="527"/>
      <c r="I243" s="528"/>
      <c r="K243" s="531"/>
      <c r="L243" s="531"/>
      <c r="M243" s="531"/>
      <c r="N243" s="531"/>
      <c r="O243" s="531"/>
      <c r="P243" s="531"/>
      <c r="Q243" s="531"/>
      <c r="R243" s="531"/>
      <c r="S243" s="531"/>
      <c r="T243" s="531"/>
      <c r="U243" s="531"/>
      <c r="V243" s="531"/>
      <c r="W243" s="531"/>
      <c r="X243" s="531"/>
      <c r="Y243" s="531"/>
      <c r="Z243" s="531"/>
      <c r="AA243" s="531"/>
    </row>
    <row r="244" spans="1:27" ht="15">
      <c r="A244" s="527"/>
      <c r="B244" s="527"/>
      <c r="C244" s="527"/>
      <c r="D244" s="527"/>
      <c r="E244" s="527"/>
      <c r="F244" s="527"/>
      <c r="G244" s="527"/>
      <c r="H244" s="527"/>
      <c r="I244" s="528"/>
      <c r="K244" s="531"/>
      <c r="L244" s="531"/>
      <c r="M244" s="531"/>
      <c r="N244" s="531"/>
      <c r="O244" s="531"/>
      <c r="P244" s="531"/>
      <c r="Q244" s="531"/>
      <c r="R244" s="531"/>
      <c r="S244" s="531"/>
      <c r="T244" s="531"/>
      <c r="U244" s="531"/>
      <c r="V244" s="531"/>
      <c r="W244" s="531"/>
      <c r="X244" s="531"/>
      <c r="Y244" s="531"/>
      <c r="Z244" s="531"/>
      <c r="AA244" s="531"/>
    </row>
    <row r="245" spans="1:27" ht="15">
      <c r="A245" s="527"/>
      <c r="B245" s="527"/>
      <c r="C245" s="527"/>
      <c r="D245" s="527"/>
      <c r="E245" s="527"/>
      <c r="F245" s="527"/>
      <c r="G245" s="527"/>
      <c r="H245" s="527"/>
      <c r="I245" s="528"/>
      <c r="K245" s="531"/>
      <c r="L245" s="531"/>
      <c r="M245" s="531"/>
      <c r="N245" s="531"/>
      <c r="O245" s="531"/>
      <c r="P245" s="531"/>
      <c r="Q245" s="531"/>
      <c r="R245" s="531"/>
      <c r="S245" s="531"/>
      <c r="T245" s="531"/>
      <c r="U245" s="531"/>
      <c r="V245" s="531"/>
      <c r="W245" s="531"/>
      <c r="X245" s="531"/>
      <c r="Y245" s="531"/>
      <c r="Z245" s="531"/>
      <c r="AA245" s="531"/>
    </row>
    <row r="246" spans="1:27" ht="15">
      <c r="A246" s="527"/>
      <c r="B246" s="527"/>
      <c r="C246" s="527"/>
      <c r="D246" s="527"/>
      <c r="E246" s="527"/>
      <c r="F246" s="527"/>
      <c r="G246" s="527"/>
      <c r="H246" s="527"/>
      <c r="I246" s="528"/>
      <c r="K246" s="531"/>
      <c r="L246" s="531"/>
      <c r="M246" s="531"/>
      <c r="N246" s="531"/>
      <c r="O246" s="531"/>
      <c r="P246" s="531"/>
      <c r="Q246" s="531"/>
      <c r="R246" s="531"/>
      <c r="S246" s="531"/>
      <c r="T246" s="531"/>
      <c r="U246" s="531"/>
      <c r="V246" s="531"/>
      <c r="W246" s="531"/>
      <c r="X246" s="531"/>
      <c r="Y246" s="531"/>
      <c r="Z246" s="531"/>
      <c r="AA246" s="531"/>
    </row>
    <row r="247" spans="1:27" ht="15">
      <c r="A247" s="527"/>
      <c r="B247" s="527"/>
      <c r="C247" s="527"/>
      <c r="D247" s="527"/>
      <c r="E247" s="527"/>
      <c r="F247" s="527"/>
      <c r="G247" s="527"/>
      <c r="H247" s="527"/>
      <c r="I247" s="528"/>
      <c r="K247" s="531"/>
      <c r="L247" s="531"/>
      <c r="M247" s="531"/>
      <c r="N247" s="531"/>
      <c r="O247" s="531"/>
      <c r="P247" s="531"/>
      <c r="Q247" s="531"/>
      <c r="R247" s="531"/>
      <c r="S247" s="531"/>
      <c r="T247" s="531"/>
      <c r="U247" s="531"/>
      <c r="V247" s="531"/>
      <c r="W247" s="531"/>
      <c r="X247" s="531"/>
      <c r="Y247" s="531"/>
      <c r="Z247" s="531"/>
      <c r="AA247" s="531"/>
    </row>
    <row r="248" spans="1:27" ht="15">
      <c r="A248" s="527"/>
      <c r="B248" s="527"/>
      <c r="C248" s="527"/>
      <c r="D248" s="527"/>
      <c r="E248" s="527"/>
      <c r="F248" s="527"/>
      <c r="G248" s="527"/>
      <c r="H248" s="527"/>
      <c r="I248" s="528"/>
      <c r="K248" s="531"/>
      <c r="L248" s="531"/>
      <c r="M248" s="531"/>
      <c r="N248" s="531"/>
      <c r="O248" s="531"/>
      <c r="P248" s="531"/>
      <c r="Q248" s="531"/>
      <c r="R248" s="531"/>
      <c r="S248" s="531"/>
      <c r="T248" s="531"/>
      <c r="U248" s="531"/>
      <c r="V248" s="531"/>
      <c r="W248" s="531"/>
      <c r="X248" s="531"/>
      <c r="Y248" s="531"/>
      <c r="Z248" s="531"/>
      <c r="AA248" s="531"/>
    </row>
    <row r="249" spans="1:27" ht="15">
      <c r="A249" s="527"/>
      <c r="B249" s="527"/>
      <c r="C249" s="527"/>
      <c r="D249" s="527"/>
      <c r="E249" s="527"/>
      <c r="F249" s="527"/>
      <c r="G249" s="527"/>
      <c r="H249" s="527"/>
      <c r="I249" s="528"/>
      <c r="K249" s="531"/>
      <c r="L249" s="531"/>
      <c r="M249" s="531"/>
      <c r="N249" s="531"/>
      <c r="O249" s="531"/>
      <c r="P249" s="531"/>
      <c r="Q249" s="531"/>
      <c r="R249" s="531"/>
      <c r="S249" s="531"/>
      <c r="T249" s="531"/>
      <c r="U249" s="531"/>
      <c r="V249" s="531"/>
      <c r="W249" s="531"/>
      <c r="X249" s="531"/>
      <c r="Y249" s="531"/>
      <c r="Z249" s="531"/>
      <c r="AA249" s="531"/>
    </row>
    <row r="250" spans="1:27" ht="15">
      <c r="A250" s="527"/>
      <c r="B250" s="527"/>
      <c r="C250" s="527"/>
      <c r="D250" s="527"/>
      <c r="E250" s="527"/>
      <c r="F250" s="527"/>
      <c r="G250" s="527"/>
      <c r="H250" s="527"/>
      <c r="I250" s="528"/>
      <c r="K250" s="531"/>
      <c r="L250" s="531"/>
      <c r="M250" s="531"/>
      <c r="N250" s="531"/>
      <c r="O250" s="531"/>
      <c r="P250" s="531"/>
      <c r="Q250" s="531"/>
      <c r="R250" s="531"/>
      <c r="S250" s="531"/>
      <c r="T250" s="531"/>
      <c r="U250" s="531"/>
      <c r="V250" s="531"/>
      <c r="W250" s="531"/>
      <c r="X250" s="531"/>
      <c r="Y250" s="531"/>
      <c r="Z250" s="531"/>
      <c r="AA250" s="531"/>
    </row>
    <row r="251" spans="1:27" ht="15">
      <c r="A251" s="527"/>
      <c r="B251" s="527"/>
      <c r="C251" s="527"/>
      <c r="D251" s="527"/>
      <c r="E251" s="527"/>
      <c r="F251" s="527"/>
      <c r="G251" s="527"/>
      <c r="H251" s="527"/>
      <c r="I251" s="528"/>
      <c r="K251" s="531"/>
      <c r="L251" s="531"/>
      <c r="M251" s="531"/>
      <c r="N251" s="531"/>
      <c r="O251" s="531"/>
      <c r="P251" s="531"/>
      <c r="Q251" s="531"/>
      <c r="R251" s="531"/>
      <c r="S251" s="531"/>
      <c r="T251" s="531"/>
      <c r="U251" s="531"/>
      <c r="V251" s="531"/>
      <c r="W251" s="531"/>
      <c r="X251" s="531"/>
      <c r="Y251" s="531"/>
      <c r="Z251" s="531"/>
      <c r="AA251" s="531"/>
    </row>
    <row r="252" spans="1:27" ht="15">
      <c r="A252" s="527"/>
      <c r="B252" s="527"/>
      <c r="C252" s="527"/>
      <c r="D252" s="527"/>
      <c r="E252" s="527"/>
      <c r="F252" s="527"/>
      <c r="G252" s="527"/>
      <c r="H252" s="527"/>
      <c r="I252" s="528"/>
      <c r="K252" s="531"/>
      <c r="L252" s="531"/>
      <c r="M252" s="531"/>
      <c r="N252" s="531"/>
      <c r="O252" s="531"/>
      <c r="P252" s="531"/>
      <c r="Q252" s="531"/>
      <c r="R252" s="531"/>
      <c r="S252" s="531"/>
      <c r="T252" s="531"/>
      <c r="U252" s="531"/>
      <c r="V252" s="531"/>
      <c r="W252" s="531"/>
      <c r="X252" s="531"/>
      <c r="Y252" s="531"/>
      <c r="Z252" s="531"/>
      <c r="AA252" s="531"/>
    </row>
    <row r="253" spans="1:27" ht="15">
      <c r="A253" s="527"/>
      <c r="B253" s="527"/>
      <c r="C253" s="527"/>
      <c r="D253" s="527"/>
      <c r="E253" s="527"/>
      <c r="F253" s="527"/>
      <c r="G253" s="527"/>
      <c r="H253" s="527"/>
      <c r="I253" s="528"/>
      <c r="K253" s="531"/>
      <c r="L253" s="531"/>
      <c r="M253" s="531"/>
      <c r="N253" s="531"/>
      <c r="O253" s="531"/>
      <c r="P253" s="531"/>
      <c r="Q253" s="531"/>
      <c r="R253" s="531"/>
      <c r="S253" s="531"/>
      <c r="T253" s="531"/>
      <c r="U253" s="531"/>
      <c r="V253" s="531"/>
      <c r="W253" s="531"/>
      <c r="X253" s="531"/>
      <c r="Y253" s="531"/>
      <c r="Z253" s="531"/>
      <c r="AA253" s="531"/>
    </row>
    <row r="254" spans="1:27" ht="15">
      <c r="A254" s="527"/>
      <c r="B254" s="527"/>
      <c r="C254" s="527"/>
      <c r="D254" s="527"/>
      <c r="E254" s="527"/>
      <c r="F254" s="527"/>
      <c r="G254" s="527"/>
      <c r="H254" s="527"/>
      <c r="I254" s="528"/>
      <c r="K254" s="531"/>
      <c r="L254" s="531"/>
      <c r="M254" s="531"/>
      <c r="N254" s="531"/>
      <c r="O254" s="531"/>
      <c r="P254" s="531"/>
      <c r="Q254" s="531"/>
      <c r="R254" s="531"/>
      <c r="S254" s="531"/>
      <c r="T254" s="531"/>
      <c r="U254" s="531"/>
      <c r="V254" s="531"/>
      <c r="W254" s="531"/>
      <c r="X254" s="531"/>
      <c r="Y254" s="531"/>
      <c r="Z254" s="531"/>
      <c r="AA254" s="531"/>
    </row>
    <row r="255" spans="1:27" ht="15">
      <c r="A255" s="527"/>
      <c r="B255" s="527"/>
      <c r="C255" s="527"/>
      <c r="D255" s="527"/>
      <c r="E255" s="527"/>
      <c r="F255" s="527"/>
      <c r="G255" s="527"/>
      <c r="H255" s="527"/>
      <c r="I255" s="528"/>
      <c r="K255" s="531"/>
      <c r="L255" s="531"/>
      <c r="M255" s="531"/>
      <c r="N255" s="531"/>
      <c r="O255" s="531"/>
      <c r="P255" s="531"/>
      <c r="Q255" s="531"/>
      <c r="R255" s="531"/>
      <c r="S255" s="531"/>
      <c r="T255" s="531"/>
      <c r="U255" s="531"/>
      <c r="V255" s="531"/>
      <c r="W255" s="531"/>
      <c r="X255" s="531"/>
      <c r="Y255" s="531"/>
      <c r="Z255" s="531"/>
      <c r="AA255" s="531"/>
    </row>
    <row r="256" spans="1:27" ht="15">
      <c r="A256" s="527"/>
      <c r="B256" s="527"/>
      <c r="C256" s="527"/>
      <c r="D256" s="527"/>
      <c r="E256" s="527"/>
      <c r="F256" s="527"/>
      <c r="G256" s="527"/>
      <c r="H256" s="527"/>
      <c r="I256" s="528"/>
      <c r="K256" s="531"/>
      <c r="L256" s="531"/>
      <c r="M256" s="531"/>
      <c r="N256" s="531"/>
      <c r="O256" s="531"/>
      <c r="P256" s="531"/>
      <c r="Q256" s="531"/>
      <c r="R256" s="531"/>
      <c r="S256" s="531"/>
      <c r="T256" s="531"/>
      <c r="U256" s="531"/>
      <c r="V256" s="531"/>
      <c r="W256" s="531"/>
      <c r="X256" s="531"/>
      <c r="Y256" s="531"/>
      <c r="Z256" s="531"/>
      <c r="AA256" s="531"/>
    </row>
    <row r="257" spans="1:27" ht="15">
      <c r="A257" s="527"/>
      <c r="B257" s="527"/>
      <c r="C257" s="527"/>
      <c r="D257" s="527"/>
      <c r="E257" s="527"/>
      <c r="F257" s="527"/>
      <c r="G257" s="527"/>
      <c r="H257" s="527"/>
      <c r="I257" s="528"/>
      <c r="K257" s="531"/>
      <c r="L257" s="531"/>
      <c r="M257" s="531"/>
      <c r="N257" s="531"/>
      <c r="O257" s="531"/>
      <c r="P257" s="531"/>
      <c r="Q257" s="531"/>
      <c r="R257" s="531"/>
      <c r="S257" s="531"/>
      <c r="T257" s="531"/>
      <c r="U257" s="531"/>
      <c r="V257" s="531"/>
      <c r="W257" s="531"/>
      <c r="X257" s="531"/>
      <c r="Y257" s="531"/>
      <c r="Z257" s="531"/>
      <c r="AA257" s="531"/>
    </row>
    <row r="258" spans="1:27" ht="15">
      <c r="A258" s="527"/>
      <c r="B258" s="527"/>
      <c r="C258" s="527"/>
      <c r="D258" s="527"/>
      <c r="E258" s="527"/>
      <c r="F258" s="527"/>
      <c r="G258" s="527"/>
      <c r="H258" s="527"/>
      <c r="I258" s="528"/>
      <c r="K258" s="531"/>
      <c r="L258" s="531"/>
      <c r="M258" s="531"/>
      <c r="N258" s="531"/>
      <c r="O258" s="531"/>
      <c r="P258" s="531"/>
      <c r="Q258" s="531"/>
      <c r="R258" s="531"/>
      <c r="S258" s="531"/>
      <c r="T258" s="531"/>
      <c r="U258" s="531"/>
      <c r="V258" s="531"/>
      <c r="W258" s="531"/>
      <c r="X258" s="531"/>
      <c r="Y258" s="531"/>
      <c r="Z258" s="531"/>
      <c r="AA258" s="531"/>
    </row>
    <row r="259" spans="1:27" ht="15">
      <c r="A259" s="527"/>
      <c r="B259" s="527"/>
      <c r="C259" s="527"/>
      <c r="D259" s="527"/>
      <c r="E259" s="527"/>
      <c r="F259" s="527"/>
      <c r="G259" s="527"/>
      <c r="H259" s="527"/>
      <c r="I259" s="528"/>
      <c r="K259" s="531"/>
      <c r="L259" s="531"/>
      <c r="M259" s="531"/>
      <c r="N259" s="531"/>
      <c r="O259" s="531"/>
      <c r="P259" s="531"/>
      <c r="Q259" s="531"/>
      <c r="R259" s="531"/>
      <c r="S259" s="531"/>
      <c r="T259" s="531"/>
      <c r="U259" s="531"/>
      <c r="V259" s="531"/>
      <c r="W259" s="531"/>
      <c r="X259" s="531"/>
      <c r="Y259" s="531"/>
      <c r="Z259" s="531"/>
      <c r="AA259" s="531"/>
    </row>
    <row r="260" spans="1:27" ht="15">
      <c r="A260" s="527"/>
      <c r="B260" s="527"/>
      <c r="C260" s="527"/>
      <c r="D260" s="527"/>
      <c r="E260" s="527"/>
      <c r="F260" s="527"/>
      <c r="G260" s="527"/>
      <c r="H260" s="527"/>
      <c r="I260" s="528"/>
      <c r="K260" s="531"/>
      <c r="L260" s="531"/>
      <c r="M260" s="531"/>
      <c r="N260" s="531"/>
      <c r="O260" s="531"/>
      <c r="P260" s="531"/>
      <c r="Q260" s="531"/>
      <c r="R260" s="531"/>
      <c r="S260" s="531"/>
      <c r="T260" s="531"/>
      <c r="U260" s="531"/>
      <c r="V260" s="531"/>
      <c r="W260" s="531"/>
      <c r="X260" s="531"/>
      <c r="Y260" s="531"/>
      <c r="Z260" s="531"/>
      <c r="AA260" s="531"/>
    </row>
    <row r="261" spans="1:27" ht="15">
      <c r="A261" s="527"/>
      <c r="B261" s="527"/>
      <c r="C261" s="527"/>
      <c r="D261" s="527"/>
      <c r="E261" s="527"/>
      <c r="F261" s="527"/>
      <c r="G261" s="527"/>
      <c r="H261" s="527"/>
      <c r="I261" s="528"/>
      <c r="K261" s="531"/>
      <c r="L261" s="531"/>
      <c r="M261" s="531"/>
      <c r="N261" s="531"/>
      <c r="O261" s="531"/>
      <c r="P261" s="531"/>
      <c r="Q261" s="531"/>
      <c r="R261" s="531"/>
      <c r="S261" s="531"/>
      <c r="T261" s="531"/>
      <c r="U261" s="531"/>
      <c r="V261" s="531"/>
      <c r="W261" s="531"/>
      <c r="X261" s="531"/>
      <c r="Y261" s="531"/>
      <c r="Z261" s="531"/>
      <c r="AA261" s="531"/>
    </row>
    <row r="262" spans="1:27" ht="15">
      <c r="A262" s="527"/>
      <c r="B262" s="527"/>
      <c r="C262" s="527"/>
      <c r="D262" s="527"/>
      <c r="E262" s="527"/>
      <c r="F262" s="527"/>
      <c r="G262" s="527"/>
      <c r="H262" s="527"/>
      <c r="I262" s="528"/>
      <c r="K262" s="531"/>
      <c r="L262" s="531"/>
      <c r="M262" s="531"/>
      <c r="N262" s="531"/>
      <c r="O262" s="531"/>
      <c r="P262" s="531"/>
      <c r="Q262" s="531"/>
      <c r="R262" s="531"/>
      <c r="S262" s="531"/>
      <c r="T262" s="531"/>
      <c r="U262" s="531"/>
      <c r="V262" s="531"/>
      <c r="W262" s="531"/>
      <c r="X262" s="531"/>
      <c r="Y262" s="531"/>
      <c r="Z262" s="531"/>
      <c r="AA262" s="531"/>
    </row>
    <row r="263" spans="1:27" ht="15">
      <c r="A263" s="527"/>
      <c r="B263" s="527"/>
      <c r="C263" s="527"/>
      <c r="D263" s="527"/>
      <c r="E263" s="527"/>
      <c r="F263" s="527"/>
      <c r="G263" s="527"/>
      <c r="H263" s="527"/>
      <c r="I263" s="528"/>
      <c r="K263" s="531"/>
      <c r="L263" s="531"/>
      <c r="M263" s="531"/>
      <c r="N263" s="531"/>
      <c r="O263" s="531"/>
      <c r="P263" s="531"/>
      <c r="Q263" s="531"/>
      <c r="R263" s="531"/>
      <c r="S263" s="531"/>
      <c r="T263" s="531"/>
      <c r="U263" s="531"/>
      <c r="V263" s="531"/>
      <c r="W263" s="531"/>
      <c r="X263" s="531"/>
      <c r="Y263" s="531"/>
      <c r="Z263" s="531"/>
      <c r="AA263" s="531"/>
    </row>
    <row r="264" spans="1:27" ht="15">
      <c r="A264" s="527"/>
      <c r="B264" s="527"/>
      <c r="C264" s="527"/>
      <c r="D264" s="527"/>
      <c r="E264" s="527"/>
      <c r="F264" s="527"/>
      <c r="G264" s="527"/>
      <c r="H264" s="527"/>
      <c r="I264" s="528"/>
      <c r="K264" s="531"/>
      <c r="L264" s="531"/>
      <c r="M264" s="531"/>
      <c r="N264" s="531"/>
      <c r="O264" s="531"/>
      <c r="P264" s="531"/>
      <c r="Q264" s="531"/>
      <c r="R264" s="531"/>
      <c r="S264" s="531"/>
      <c r="T264" s="531"/>
      <c r="U264" s="531"/>
      <c r="V264" s="531"/>
      <c r="W264" s="531"/>
      <c r="X264" s="531"/>
      <c r="Y264" s="531"/>
      <c r="Z264" s="531"/>
      <c r="AA264" s="531"/>
    </row>
    <row r="265" spans="1:27" ht="15">
      <c r="A265" s="527"/>
      <c r="B265" s="527"/>
      <c r="C265" s="527"/>
      <c r="D265" s="527"/>
      <c r="E265" s="527"/>
      <c r="F265" s="527"/>
      <c r="G265" s="527"/>
      <c r="H265" s="527"/>
      <c r="I265" s="528"/>
      <c r="K265" s="531"/>
      <c r="L265" s="531"/>
      <c r="M265" s="531"/>
      <c r="N265" s="531"/>
      <c r="O265" s="531"/>
      <c r="P265" s="531"/>
      <c r="Q265" s="531"/>
      <c r="R265" s="531"/>
      <c r="S265" s="531"/>
      <c r="T265" s="531"/>
      <c r="U265" s="531"/>
      <c r="V265" s="531"/>
      <c r="W265" s="531"/>
      <c r="X265" s="531"/>
      <c r="Y265" s="531"/>
      <c r="Z265" s="531"/>
      <c r="AA265" s="531"/>
    </row>
    <row r="266" spans="1:27" ht="15">
      <c r="A266" s="527"/>
      <c r="B266" s="527"/>
      <c r="C266" s="527"/>
      <c r="D266" s="527"/>
      <c r="E266" s="527"/>
      <c r="F266" s="527"/>
      <c r="G266" s="527"/>
      <c r="H266" s="527"/>
      <c r="I266" s="528"/>
      <c r="K266" s="531"/>
      <c r="L266" s="531"/>
      <c r="M266" s="531"/>
      <c r="N266" s="531"/>
      <c r="O266" s="531"/>
      <c r="P266" s="531"/>
      <c r="Q266" s="531"/>
      <c r="R266" s="531"/>
      <c r="S266" s="531"/>
      <c r="T266" s="531"/>
      <c r="U266" s="531"/>
      <c r="V266" s="531"/>
      <c r="W266" s="531"/>
      <c r="X266" s="531"/>
      <c r="Y266" s="531"/>
      <c r="Z266" s="531"/>
      <c r="AA266" s="531"/>
    </row>
    <row r="267" spans="1:27" ht="15">
      <c r="A267" s="527"/>
      <c r="B267" s="527"/>
      <c r="C267" s="527"/>
      <c r="D267" s="527"/>
      <c r="E267" s="527"/>
      <c r="F267" s="527"/>
      <c r="G267" s="527"/>
      <c r="H267" s="527"/>
      <c r="I267" s="528"/>
      <c r="K267" s="531"/>
      <c r="L267" s="531"/>
      <c r="M267" s="531"/>
      <c r="N267" s="531"/>
      <c r="O267" s="531"/>
      <c r="P267" s="531"/>
      <c r="Q267" s="531"/>
      <c r="R267" s="531"/>
      <c r="S267" s="531"/>
      <c r="T267" s="531"/>
      <c r="U267" s="531"/>
      <c r="V267" s="531"/>
      <c r="W267" s="531"/>
      <c r="X267" s="531"/>
      <c r="Y267" s="531"/>
      <c r="Z267" s="531"/>
      <c r="AA267" s="531"/>
    </row>
    <row r="268" spans="1:27" ht="15">
      <c r="A268" s="527"/>
      <c r="B268" s="527"/>
      <c r="C268" s="527"/>
      <c r="D268" s="527"/>
      <c r="E268" s="527"/>
      <c r="F268" s="527"/>
      <c r="G268" s="527"/>
      <c r="H268" s="527"/>
      <c r="I268" s="528"/>
      <c r="K268" s="531"/>
      <c r="L268" s="531"/>
      <c r="M268" s="531"/>
      <c r="N268" s="531"/>
      <c r="O268" s="531"/>
      <c r="P268" s="531"/>
      <c r="Q268" s="531"/>
      <c r="R268" s="531"/>
      <c r="S268" s="531"/>
      <c r="T268" s="531"/>
      <c r="U268" s="531"/>
      <c r="V268" s="531"/>
      <c r="W268" s="531"/>
      <c r="X268" s="531"/>
      <c r="Y268" s="531"/>
      <c r="Z268" s="531"/>
      <c r="AA268" s="531"/>
    </row>
    <row r="269" spans="1:27" ht="15">
      <c r="A269" s="527"/>
      <c r="B269" s="527"/>
      <c r="C269" s="527"/>
      <c r="D269" s="527"/>
      <c r="E269" s="527"/>
      <c r="F269" s="527"/>
      <c r="G269" s="527"/>
      <c r="H269" s="527"/>
      <c r="I269" s="528"/>
      <c r="K269" s="531"/>
      <c r="L269" s="531"/>
      <c r="M269" s="531"/>
      <c r="N269" s="531"/>
      <c r="O269" s="531"/>
      <c r="P269" s="531"/>
      <c r="Q269" s="531"/>
      <c r="R269" s="531"/>
      <c r="S269" s="531"/>
      <c r="T269" s="531"/>
      <c r="U269" s="531"/>
      <c r="V269" s="531"/>
      <c r="W269" s="531"/>
      <c r="X269" s="531"/>
      <c r="Y269" s="531"/>
      <c r="Z269" s="531"/>
      <c r="AA269" s="531"/>
    </row>
    <row r="270" spans="1:27" ht="15">
      <c r="A270" s="527"/>
      <c r="B270" s="527"/>
      <c r="C270" s="527"/>
      <c r="D270" s="527"/>
      <c r="E270" s="527"/>
      <c r="F270" s="527"/>
      <c r="G270" s="527"/>
      <c r="H270" s="527"/>
      <c r="I270" s="528"/>
      <c r="K270" s="531"/>
      <c r="L270" s="531"/>
      <c r="M270" s="531"/>
      <c r="N270" s="531"/>
      <c r="O270" s="531"/>
      <c r="P270" s="531"/>
      <c r="Q270" s="531"/>
      <c r="R270" s="531"/>
      <c r="S270" s="531"/>
      <c r="T270" s="531"/>
      <c r="U270" s="531"/>
      <c r="V270" s="531"/>
      <c r="W270" s="531"/>
      <c r="X270" s="531"/>
      <c r="Y270" s="531"/>
      <c r="Z270" s="531"/>
      <c r="AA270" s="531"/>
    </row>
    <row r="271" spans="1:27" ht="15">
      <c r="A271" s="527"/>
      <c r="B271" s="527"/>
      <c r="C271" s="527"/>
      <c r="D271" s="527"/>
      <c r="E271" s="527"/>
      <c r="F271" s="527"/>
      <c r="G271" s="527"/>
      <c r="H271" s="527"/>
      <c r="I271" s="528"/>
      <c r="K271" s="531"/>
      <c r="L271" s="531"/>
      <c r="M271" s="531"/>
      <c r="N271" s="531"/>
      <c r="O271" s="531"/>
      <c r="P271" s="531"/>
      <c r="Q271" s="531"/>
      <c r="R271" s="531"/>
      <c r="S271" s="531"/>
      <c r="T271" s="531"/>
      <c r="U271" s="531"/>
      <c r="V271" s="531"/>
      <c r="W271" s="531"/>
      <c r="X271" s="531"/>
      <c r="Y271" s="531"/>
      <c r="Z271" s="531"/>
      <c r="AA271" s="531"/>
    </row>
    <row r="272" spans="1:27" ht="15">
      <c r="A272" s="527"/>
      <c r="B272" s="527"/>
      <c r="C272" s="527"/>
      <c r="D272" s="527"/>
      <c r="E272" s="527"/>
      <c r="F272" s="527"/>
      <c r="G272" s="527"/>
      <c r="H272" s="527"/>
      <c r="I272" s="528"/>
      <c r="K272" s="531"/>
      <c r="L272" s="531"/>
      <c r="M272" s="531"/>
      <c r="N272" s="531"/>
      <c r="O272" s="531"/>
      <c r="P272" s="531"/>
      <c r="Q272" s="531"/>
      <c r="R272" s="531"/>
      <c r="S272" s="531"/>
      <c r="T272" s="531"/>
      <c r="U272" s="531"/>
      <c r="V272" s="531"/>
      <c r="W272" s="531"/>
      <c r="X272" s="531"/>
      <c r="Y272" s="531"/>
      <c r="Z272" s="531"/>
      <c r="AA272" s="531"/>
    </row>
    <row r="273" spans="1:27" ht="15">
      <c r="A273" s="527"/>
      <c r="B273" s="527"/>
      <c r="C273" s="527"/>
      <c r="D273" s="527"/>
      <c r="E273" s="527"/>
      <c r="F273" s="527"/>
      <c r="G273" s="527"/>
      <c r="H273" s="527"/>
      <c r="I273" s="528"/>
      <c r="K273" s="531"/>
      <c r="L273" s="531"/>
      <c r="M273" s="531"/>
      <c r="N273" s="531"/>
      <c r="O273" s="531"/>
      <c r="P273" s="531"/>
      <c r="Q273" s="531"/>
      <c r="R273" s="531"/>
      <c r="S273" s="531"/>
      <c r="T273" s="531"/>
      <c r="U273" s="531"/>
      <c r="V273" s="531"/>
      <c r="W273" s="531"/>
      <c r="X273" s="531"/>
      <c r="Y273" s="531"/>
      <c r="Z273" s="531"/>
      <c r="AA273" s="531"/>
    </row>
    <row r="274" spans="1:27" ht="15">
      <c r="A274" s="527"/>
      <c r="B274" s="527"/>
      <c r="C274" s="527"/>
      <c r="D274" s="527"/>
      <c r="E274" s="527"/>
      <c r="F274" s="527"/>
      <c r="G274" s="527"/>
      <c r="H274" s="527"/>
      <c r="I274" s="528"/>
      <c r="K274" s="531"/>
      <c r="L274" s="531"/>
      <c r="M274" s="531"/>
      <c r="N274" s="531"/>
      <c r="O274" s="531"/>
      <c r="P274" s="531"/>
      <c r="Q274" s="531"/>
      <c r="R274" s="531"/>
      <c r="S274" s="531"/>
      <c r="T274" s="531"/>
      <c r="U274" s="531"/>
      <c r="V274" s="531"/>
      <c r="W274" s="531"/>
      <c r="X274" s="531"/>
      <c r="Y274" s="531"/>
      <c r="Z274" s="531"/>
      <c r="AA274" s="531"/>
    </row>
    <row r="275" spans="1:27" ht="15">
      <c r="A275" s="527"/>
      <c r="B275" s="527"/>
      <c r="C275" s="527"/>
      <c r="D275" s="527"/>
      <c r="E275" s="527"/>
      <c r="F275" s="527"/>
      <c r="G275" s="527"/>
      <c r="H275" s="527"/>
      <c r="I275" s="528"/>
      <c r="K275" s="531"/>
      <c r="L275" s="531"/>
      <c r="M275" s="531"/>
      <c r="N275" s="531"/>
      <c r="O275" s="531"/>
      <c r="P275" s="531"/>
      <c r="Q275" s="531"/>
      <c r="R275" s="531"/>
      <c r="S275" s="531"/>
      <c r="T275" s="531"/>
      <c r="U275" s="531"/>
      <c r="V275" s="531"/>
      <c r="W275" s="531"/>
      <c r="X275" s="531"/>
      <c r="Y275" s="531"/>
      <c r="Z275" s="531"/>
      <c r="AA275" s="531"/>
    </row>
    <row r="276" spans="1:27" ht="15">
      <c r="A276" s="527"/>
      <c r="B276" s="527"/>
      <c r="C276" s="527"/>
      <c r="D276" s="527"/>
      <c r="E276" s="527"/>
      <c r="F276" s="527"/>
      <c r="G276" s="527"/>
      <c r="H276" s="527"/>
      <c r="I276" s="528"/>
      <c r="K276" s="531"/>
      <c r="L276" s="531"/>
      <c r="M276" s="531"/>
      <c r="N276" s="531"/>
      <c r="O276" s="531"/>
      <c r="P276" s="531"/>
      <c r="Q276" s="531"/>
      <c r="R276" s="531"/>
      <c r="S276" s="531"/>
      <c r="T276" s="531"/>
      <c r="U276" s="531"/>
      <c r="V276" s="531"/>
      <c r="W276" s="531"/>
      <c r="X276" s="531"/>
      <c r="Y276" s="531"/>
      <c r="Z276" s="531"/>
      <c r="AA276" s="531"/>
    </row>
    <row r="277" spans="1:27" ht="15">
      <c r="A277" s="527"/>
      <c r="B277" s="527"/>
      <c r="C277" s="527"/>
      <c r="D277" s="527"/>
      <c r="E277" s="527"/>
      <c r="F277" s="527"/>
      <c r="G277" s="527"/>
      <c r="H277" s="527"/>
      <c r="I277" s="528"/>
      <c r="K277" s="531"/>
      <c r="L277" s="531"/>
      <c r="M277" s="531"/>
      <c r="N277" s="531"/>
      <c r="O277" s="531"/>
      <c r="P277" s="531"/>
      <c r="Q277" s="531"/>
      <c r="R277" s="531"/>
      <c r="S277" s="531"/>
      <c r="T277" s="531"/>
      <c r="U277" s="531"/>
      <c r="V277" s="531"/>
      <c r="W277" s="531"/>
      <c r="X277" s="531"/>
      <c r="Y277" s="531"/>
      <c r="Z277" s="531"/>
      <c r="AA277" s="531"/>
    </row>
    <row r="278" spans="1:27" ht="15">
      <c r="A278" s="527"/>
      <c r="B278" s="527"/>
      <c r="C278" s="527"/>
      <c r="D278" s="527"/>
      <c r="E278" s="527"/>
      <c r="F278" s="527"/>
      <c r="G278" s="527"/>
      <c r="H278" s="527"/>
      <c r="I278" s="528"/>
      <c r="K278" s="531"/>
      <c r="L278" s="531"/>
      <c r="M278" s="531"/>
      <c r="N278" s="531"/>
      <c r="O278" s="531"/>
      <c r="P278" s="531"/>
      <c r="Q278" s="531"/>
      <c r="R278" s="531"/>
      <c r="S278" s="531"/>
      <c r="T278" s="531"/>
      <c r="U278" s="531"/>
      <c r="V278" s="531"/>
      <c r="W278" s="531"/>
      <c r="X278" s="531"/>
      <c r="Y278" s="531"/>
      <c r="Z278" s="531"/>
      <c r="AA278" s="531"/>
    </row>
    <row r="279" spans="1:27" ht="15">
      <c r="A279" s="527"/>
      <c r="B279" s="527"/>
      <c r="C279" s="527"/>
      <c r="D279" s="527"/>
      <c r="E279" s="527"/>
      <c r="F279" s="527"/>
      <c r="G279" s="527"/>
      <c r="H279" s="527"/>
      <c r="I279" s="528"/>
      <c r="K279" s="531"/>
      <c r="L279" s="531"/>
      <c r="M279" s="531"/>
      <c r="N279" s="531"/>
      <c r="O279" s="531"/>
      <c r="P279" s="531"/>
      <c r="Q279" s="531"/>
      <c r="R279" s="531"/>
      <c r="S279" s="531"/>
      <c r="T279" s="531"/>
      <c r="U279" s="531"/>
      <c r="V279" s="531"/>
      <c r="W279" s="531"/>
      <c r="X279" s="531"/>
      <c r="Y279" s="531"/>
      <c r="Z279" s="531"/>
      <c r="AA279" s="531"/>
    </row>
    <row r="280" spans="1:27" ht="15">
      <c r="A280" s="527"/>
      <c r="B280" s="527"/>
      <c r="C280" s="527"/>
      <c r="D280" s="527"/>
      <c r="E280" s="527"/>
      <c r="F280" s="527"/>
      <c r="G280" s="527"/>
      <c r="H280" s="527"/>
      <c r="I280" s="528"/>
      <c r="K280" s="531"/>
      <c r="L280" s="531"/>
      <c r="M280" s="531"/>
      <c r="N280" s="531"/>
      <c r="O280" s="531"/>
      <c r="P280" s="531"/>
      <c r="Q280" s="531"/>
      <c r="R280" s="531"/>
      <c r="S280" s="531"/>
      <c r="T280" s="531"/>
      <c r="U280" s="531"/>
      <c r="V280" s="531"/>
      <c r="W280" s="531"/>
      <c r="X280" s="531"/>
      <c r="Y280" s="531"/>
      <c r="Z280" s="531"/>
      <c r="AA280" s="531"/>
    </row>
    <row r="281" spans="1:27" ht="15">
      <c r="A281" s="527"/>
      <c r="B281" s="527"/>
      <c r="C281" s="527"/>
      <c r="D281" s="527"/>
      <c r="E281" s="527"/>
      <c r="F281" s="527"/>
      <c r="G281" s="527"/>
      <c r="H281" s="527"/>
      <c r="I281" s="528"/>
      <c r="K281" s="531"/>
      <c r="L281" s="531"/>
      <c r="M281" s="531"/>
      <c r="N281" s="531"/>
      <c r="O281" s="531"/>
      <c r="P281" s="531"/>
      <c r="Q281" s="531"/>
      <c r="R281" s="531"/>
      <c r="S281" s="531"/>
      <c r="T281" s="531"/>
      <c r="U281" s="531"/>
      <c r="V281" s="531"/>
      <c r="W281" s="531"/>
      <c r="X281" s="531"/>
      <c r="Y281" s="531"/>
      <c r="Z281" s="531"/>
      <c r="AA281" s="531"/>
    </row>
    <row r="282" spans="1:27" ht="15">
      <c r="A282" s="527"/>
      <c r="B282" s="527"/>
      <c r="C282" s="527"/>
      <c r="D282" s="527"/>
      <c r="E282" s="527"/>
      <c r="F282" s="527"/>
      <c r="G282" s="527"/>
      <c r="H282" s="527"/>
      <c r="I282" s="528"/>
      <c r="K282" s="531"/>
      <c r="L282" s="531"/>
      <c r="M282" s="531"/>
      <c r="N282" s="531"/>
      <c r="O282" s="531"/>
      <c r="P282" s="531"/>
      <c r="Q282" s="531"/>
      <c r="R282" s="531"/>
      <c r="S282" s="531"/>
      <c r="T282" s="531"/>
      <c r="U282" s="531"/>
      <c r="V282" s="531"/>
      <c r="W282" s="531"/>
      <c r="X282" s="531"/>
      <c r="Y282" s="531"/>
      <c r="Z282" s="531"/>
      <c r="AA282" s="531"/>
    </row>
    <row r="283" spans="1:27" ht="15">
      <c r="A283" s="527"/>
      <c r="B283" s="527"/>
      <c r="C283" s="527"/>
      <c r="D283" s="527"/>
      <c r="E283" s="527"/>
      <c r="F283" s="527"/>
      <c r="G283" s="527"/>
      <c r="H283" s="527"/>
      <c r="I283" s="528"/>
      <c r="K283" s="531"/>
      <c r="L283" s="531"/>
      <c r="M283" s="531"/>
      <c r="N283" s="531"/>
      <c r="O283" s="531"/>
      <c r="P283" s="531"/>
      <c r="Q283" s="531"/>
      <c r="R283" s="531"/>
      <c r="S283" s="531"/>
      <c r="T283" s="531"/>
      <c r="U283" s="531"/>
      <c r="V283" s="531"/>
      <c r="W283" s="531"/>
      <c r="X283" s="531"/>
      <c r="Y283" s="531"/>
      <c r="Z283" s="531"/>
      <c r="AA283" s="531"/>
    </row>
    <row r="284" spans="1:27" ht="15">
      <c r="A284" s="527"/>
      <c r="B284" s="527"/>
      <c r="C284" s="527"/>
      <c r="D284" s="527"/>
      <c r="E284" s="527"/>
      <c r="F284" s="527"/>
      <c r="G284" s="527"/>
      <c r="H284" s="527"/>
      <c r="I284" s="528"/>
      <c r="K284" s="531"/>
      <c r="L284" s="531"/>
      <c r="M284" s="531"/>
      <c r="N284" s="531"/>
      <c r="O284" s="531"/>
      <c r="P284" s="531"/>
      <c r="Q284" s="531"/>
      <c r="R284" s="531"/>
      <c r="S284" s="531"/>
      <c r="T284" s="531"/>
      <c r="U284" s="531"/>
      <c r="V284" s="531"/>
      <c r="W284" s="531"/>
      <c r="X284" s="531"/>
      <c r="Y284" s="531"/>
      <c r="Z284" s="531"/>
      <c r="AA284" s="531"/>
    </row>
    <row r="285" spans="1:27" ht="15">
      <c r="A285" s="527"/>
      <c r="B285" s="527"/>
      <c r="C285" s="527"/>
      <c r="D285" s="527"/>
      <c r="E285" s="527"/>
      <c r="F285" s="527"/>
      <c r="G285" s="527"/>
      <c r="H285" s="527"/>
      <c r="I285" s="528"/>
      <c r="K285" s="531"/>
      <c r="L285" s="531"/>
      <c r="M285" s="531"/>
      <c r="N285" s="531"/>
      <c r="O285" s="531"/>
      <c r="P285" s="531"/>
      <c r="Q285" s="531"/>
      <c r="R285" s="531"/>
      <c r="S285" s="531"/>
      <c r="T285" s="531"/>
      <c r="U285" s="531"/>
      <c r="V285" s="531"/>
      <c r="W285" s="531"/>
      <c r="X285" s="531"/>
      <c r="Y285" s="531"/>
      <c r="Z285" s="531"/>
      <c r="AA285" s="531"/>
    </row>
    <row r="286" spans="1:27" ht="15">
      <c r="A286" s="527"/>
      <c r="B286" s="527"/>
      <c r="C286" s="527"/>
      <c r="D286" s="527"/>
      <c r="E286" s="527"/>
      <c r="F286" s="527"/>
      <c r="G286" s="527"/>
      <c r="H286" s="527"/>
      <c r="I286" s="528"/>
      <c r="K286" s="531"/>
      <c r="L286" s="531"/>
      <c r="M286" s="531"/>
      <c r="N286" s="531"/>
      <c r="O286" s="531"/>
      <c r="P286" s="531"/>
      <c r="Q286" s="531"/>
      <c r="R286" s="531"/>
      <c r="S286" s="531"/>
      <c r="T286" s="531"/>
      <c r="U286" s="531"/>
      <c r="V286" s="531"/>
      <c r="W286" s="531"/>
      <c r="X286" s="531"/>
      <c r="Y286" s="531"/>
      <c r="Z286" s="531"/>
      <c r="AA286" s="531"/>
    </row>
    <row r="287" spans="1:27" ht="15">
      <c r="A287" s="527"/>
      <c r="B287" s="527"/>
      <c r="C287" s="527"/>
      <c r="D287" s="527"/>
      <c r="E287" s="527"/>
      <c r="F287" s="527"/>
      <c r="G287" s="527"/>
      <c r="H287" s="527"/>
      <c r="I287" s="528"/>
      <c r="K287" s="531"/>
      <c r="L287" s="531"/>
      <c r="M287" s="531"/>
      <c r="N287" s="531"/>
      <c r="O287" s="531"/>
      <c r="P287" s="531"/>
      <c r="Q287" s="531"/>
      <c r="R287" s="531"/>
      <c r="S287" s="531"/>
      <c r="T287" s="531"/>
      <c r="U287" s="531"/>
      <c r="V287" s="531"/>
      <c r="W287" s="531"/>
      <c r="X287" s="531"/>
      <c r="Y287" s="531"/>
      <c r="Z287" s="531"/>
      <c r="AA287" s="531"/>
    </row>
    <row r="288" spans="1:27" ht="15">
      <c r="A288" s="527"/>
      <c r="B288" s="527"/>
      <c r="C288" s="527"/>
      <c r="D288" s="527"/>
      <c r="E288" s="527"/>
      <c r="F288" s="527"/>
      <c r="G288" s="527"/>
      <c r="H288" s="527"/>
      <c r="I288" s="528"/>
      <c r="K288" s="531"/>
      <c r="L288" s="531"/>
      <c r="M288" s="531"/>
      <c r="N288" s="531"/>
      <c r="O288" s="531"/>
      <c r="P288" s="531"/>
      <c r="Q288" s="531"/>
      <c r="R288" s="531"/>
      <c r="S288" s="531"/>
      <c r="T288" s="531"/>
      <c r="U288" s="531"/>
      <c r="V288" s="531"/>
      <c r="W288" s="531"/>
      <c r="X288" s="531"/>
      <c r="Y288" s="531"/>
      <c r="Z288" s="531"/>
      <c r="AA288" s="531"/>
    </row>
    <row r="289" spans="1:27" ht="15">
      <c r="A289" s="527"/>
      <c r="B289" s="527"/>
      <c r="C289" s="527"/>
      <c r="D289" s="527"/>
      <c r="E289" s="527"/>
      <c r="F289" s="527"/>
      <c r="G289" s="527"/>
      <c r="H289" s="527"/>
      <c r="I289" s="528"/>
      <c r="K289" s="531"/>
      <c r="L289" s="531"/>
      <c r="M289" s="531"/>
      <c r="N289" s="531"/>
      <c r="O289" s="531"/>
      <c r="P289" s="531"/>
      <c r="Q289" s="531"/>
      <c r="R289" s="531"/>
      <c r="S289" s="531"/>
      <c r="T289" s="531"/>
      <c r="U289" s="531"/>
      <c r="V289" s="531"/>
      <c r="W289" s="531"/>
      <c r="X289" s="531"/>
      <c r="Y289" s="531"/>
      <c r="Z289" s="531"/>
      <c r="AA289" s="531"/>
    </row>
    <row r="290" spans="1:27" ht="15">
      <c r="A290" s="527"/>
      <c r="B290" s="527"/>
      <c r="C290" s="527"/>
      <c r="D290" s="527"/>
      <c r="E290" s="527"/>
      <c r="F290" s="527"/>
      <c r="G290" s="527"/>
      <c r="H290" s="527"/>
      <c r="I290" s="528"/>
      <c r="K290" s="531"/>
      <c r="L290" s="531"/>
      <c r="M290" s="531"/>
      <c r="N290" s="531"/>
      <c r="O290" s="531"/>
      <c r="P290" s="531"/>
      <c r="Q290" s="531"/>
      <c r="R290" s="531"/>
      <c r="S290" s="531"/>
      <c r="T290" s="531"/>
      <c r="U290" s="531"/>
      <c r="V290" s="531"/>
      <c r="W290" s="531"/>
      <c r="X290" s="531"/>
      <c r="Y290" s="531"/>
      <c r="Z290" s="531"/>
      <c r="AA290" s="531"/>
    </row>
    <row r="291" spans="1:27" ht="15">
      <c r="A291" s="527"/>
      <c r="B291" s="527"/>
      <c r="C291" s="527"/>
      <c r="D291" s="527"/>
      <c r="E291" s="527"/>
      <c r="F291" s="527"/>
      <c r="G291" s="527"/>
      <c r="H291" s="527"/>
      <c r="I291" s="528"/>
      <c r="K291" s="531"/>
      <c r="L291" s="531"/>
      <c r="M291" s="531"/>
      <c r="N291" s="531"/>
      <c r="O291" s="531"/>
      <c r="P291" s="531"/>
      <c r="Q291" s="531"/>
      <c r="R291" s="531"/>
      <c r="S291" s="531"/>
      <c r="T291" s="531"/>
      <c r="U291" s="531"/>
      <c r="V291" s="531"/>
      <c r="W291" s="531"/>
      <c r="X291" s="531"/>
      <c r="Y291" s="531"/>
      <c r="Z291" s="531"/>
      <c r="AA291" s="531"/>
    </row>
    <row r="292" spans="1:27" ht="15">
      <c r="A292" s="527"/>
      <c r="B292" s="527"/>
      <c r="C292" s="527"/>
      <c r="D292" s="527"/>
      <c r="E292" s="527"/>
      <c r="F292" s="527"/>
      <c r="G292" s="527"/>
      <c r="H292" s="527"/>
      <c r="I292" s="528"/>
      <c r="K292" s="531"/>
      <c r="L292" s="531"/>
      <c r="M292" s="531"/>
      <c r="N292" s="531"/>
      <c r="O292" s="531"/>
      <c r="P292" s="531"/>
      <c r="Q292" s="531"/>
      <c r="R292" s="531"/>
      <c r="S292" s="531"/>
      <c r="T292" s="531"/>
      <c r="U292" s="531"/>
      <c r="V292" s="531"/>
      <c r="W292" s="531"/>
      <c r="X292" s="531"/>
      <c r="Y292" s="531"/>
      <c r="Z292" s="531"/>
      <c r="AA292" s="531"/>
    </row>
    <row r="293" spans="1:27" ht="15">
      <c r="A293" s="527"/>
      <c r="B293" s="527"/>
      <c r="C293" s="527"/>
      <c r="D293" s="527"/>
      <c r="E293" s="527"/>
      <c r="F293" s="527"/>
      <c r="G293" s="527"/>
      <c r="H293" s="527"/>
      <c r="I293" s="528"/>
      <c r="K293" s="531"/>
      <c r="L293" s="531"/>
      <c r="M293" s="531"/>
      <c r="N293" s="531"/>
      <c r="O293" s="531"/>
      <c r="P293" s="531"/>
      <c r="Q293" s="531"/>
      <c r="R293" s="531"/>
      <c r="S293" s="531"/>
      <c r="T293" s="531"/>
      <c r="U293" s="531"/>
      <c r="V293" s="531"/>
      <c r="W293" s="531"/>
      <c r="X293" s="531"/>
      <c r="Y293" s="531"/>
      <c r="Z293" s="531"/>
      <c r="AA293" s="531"/>
    </row>
    <row r="294" spans="1:27" ht="15">
      <c r="A294" s="527"/>
      <c r="B294" s="527"/>
      <c r="C294" s="527"/>
      <c r="D294" s="527"/>
      <c r="E294" s="527"/>
      <c r="F294" s="527"/>
      <c r="G294" s="527"/>
      <c r="H294" s="527"/>
      <c r="I294" s="528"/>
      <c r="K294" s="531"/>
      <c r="L294" s="531"/>
      <c r="M294" s="531"/>
      <c r="N294" s="531"/>
      <c r="O294" s="531"/>
      <c r="P294" s="531"/>
      <c r="Q294" s="531"/>
      <c r="R294" s="531"/>
      <c r="S294" s="531"/>
      <c r="T294" s="531"/>
      <c r="U294" s="531"/>
      <c r="V294" s="531"/>
      <c r="W294" s="531"/>
      <c r="X294" s="531"/>
      <c r="Y294" s="531"/>
      <c r="Z294" s="531"/>
      <c r="AA294" s="531"/>
    </row>
    <row r="295" spans="1:27" ht="15">
      <c r="A295" s="527"/>
      <c r="B295" s="527"/>
      <c r="C295" s="527"/>
      <c r="D295" s="527"/>
      <c r="E295" s="527"/>
      <c r="F295" s="527"/>
      <c r="G295" s="527"/>
      <c r="H295" s="527"/>
      <c r="I295" s="528"/>
      <c r="K295" s="531"/>
      <c r="L295" s="531"/>
      <c r="M295" s="531"/>
      <c r="N295" s="531"/>
      <c r="O295" s="531"/>
      <c r="P295" s="531"/>
      <c r="Q295" s="531"/>
      <c r="R295" s="531"/>
      <c r="S295" s="531"/>
      <c r="T295" s="531"/>
      <c r="U295" s="531"/>
      <c r="V295" s="531"/>
      <c r="W295" s="531"/>
      <c r="X295" s="531"/>
      <c r="Y295" s="531"/>
      <c r="Z295" s="531"/>
      <c r="AA295" s="531"/>
    </row>
    <row r="296" spans="1:27" ht="15">
      <c r="A296" s="527"/>
      <c r="B296" s="527"/>
      <c r="C296" s="527"/>
      <c r="D296" s="527"/>
      <c r="E296" s="527"/>
      <c r="F296" s="527"/>
      <c r="G296" s="527"/>
      <c r="H296" s="527"/>
      <c r="I296" s="528"/>
      <c r="K296" s="531"/>
      <c r="L296" s="531"/>
      <c r="M296" s="531"/>
      <c r="N296" s="531"/>
      <c r="O296" s="531"/>
      <c r="P296" s="531"/>
      <c r="Q296" s="531"/>
      <c r="R296" s="531"/>
      <c r="S296" s="531"/>
      <c r="T296" s="531"/>
      <c r="U296" s="531"/>
      <c r="V296" s="531"/>
      <c r="W296" s="531"/>
      <c r="X296" s="531"/>
      <c r="Y296" s="531"/>
      <c r="Z296" s="531"/>
      <c r="AA296" s="531"/>
    </row>
    <row r="297" spans="1:27" ht="15">
      <c r="A297" s="527"/>
      <c r="B297" s="527"/>
      <c r="C297" s="527"/>
      <c r="D297" s="527"/>
      <c r="E297" s="527"/>
      <c r="F297" s="527"/>
      <c r="G297" s="527"/>
      <c r="H297" s="527"/>
      <c r="I297" s="528"/>
      <c r="K297" s="531"/>
      <c r="L297" s="531"/>
      <c r="M297" s="531"/>
      <c r="N297" s="531"/>
      <c r="O297" s="531"/>
      <c r="P297" s="531"/>
      <c r="Q297" s="531"/>
      <c r="R297" s="531"/>
      <c r="S297" s="531"/>
      <c r="T297" s="531"/>
      <c r="U297" s="531"/>
      <c r="V297" s="531"/>
      <c r="W297" s="531"/>
      <c r="X297" s="531"/>
      <c r="Y297" s="531"/>
      <c r="Z297" s="531"/>
      <c r="AA297" s="531"/>
    </row>
    <row r="298" spans="1:27" ht="15">
      <c r="A298" s="527"/>
      <c r="B298" s="527"/>
      <c r="C298" s="527"/>
      <c r="D298" s="527"/>
      <c r="E298" s="527"/>
      <c r="F298" s="527"/>
      <c r="G298" s="527"/>
      <c r="H298" s="527"/>
      <c r="I298" s="528"/>
      <c r="K298" s="531"/>
      <c r="L298" s="531"/>
      <c r="M298" s="531"/>
      <c r="N298" s="531"/>
      <c r="O298" s="531"/>
      <c r="P298" s="531"/>
      <c r="Q298" s="531"/>
      <c r="R298" s="531"/>
      <c r="S298" s="531"/>
      <c r="T298" s="531"/>
      <c r="U298" s="531"/>
      <c r="V298" s="531"/>
      <c r="W298" s="531"/>
      <c r="X298" s="531"/>
      <c r="Y298" s="531"/>
      <c r="Z298" s="531"/>
      <c r="AA298" s="531"/>
    </row>
    <row r="299" spans="1:27" ht="15">
      <c r="A299" s="527"/>
      <c r="B299" s="527"/>
      <c r="C299" s="527"/>
      <c r="D299" s="527"/>
      <c r="E299" s="527"/>
      <c r="F299" s="527"/>
      <c r="G299" s="527"/>
      <c r="H299" s="527"/>
      <c r="I299" s="528"/>
      <c r="K299" s="531"/>
      <c r="L299" s="531"/>
      <c r="M299" s="531"/>
      <c r="N299" s="531"/>
      <c r="O299" s="531"/>
      <c r="P299" s="531"/>
      <c r="Q299" s="531"/>
      <c r="R299" s="531"/>
      <c r="S299" s="531"/>
      <c r="T299" s="531"/>
      <c r="U299" s="531"/>
      <c r="V299" s="531"/>
      <c r="W299" s="531"/>
      <c r="X299" s="531"/>
      <c r="Y299" s="531"/>
      <c r="Z299" s="531"/>
      <c r="AA299" s="531"/>
    </row>
    <row r="300" spans="1:27" ht="15">
      <c r="A300" s="527"/>
      <c r="B300" s="527"/>
      <c r="C300" s="527"/>
      <c r="D300" s="527"/>
      <c r="E300" s="527"/>
      <c r="F300" s="527"/>
      <c r="G300" s="527"/>
      <c r="H300" s="527"/>
      <c r="I300" s="528"/>
      <c r="K300" s="531"/>
      <c r="L300" s="531"/>
      <c r="M300" s="531"/>
      <c r="N300" s="531"/>
      <c r="O300" s="531"/>
      <c r="P300" s="531"/>
      <c r="Q300" s="531"/>
      <c r="R300" s="531"/>
      <c r="S300" s="531"/>
      <c r="T300" s="531"/>
      <c r="U300" s="531"/>
      <c r="V300" s="531"/>
      <c r="W300" s="531"/>
      <c r="X300" s="531"/>
      <c r="Y300" s="531"/>
      <c r="Z300" s="531"/>
      <c r="AA300" s="531"/>
    </row>
    <row r="301" spans="1:27" ht="15">
      <c r="A301" s="527"/>
      <c r="B301" s="527"/>
      <c r="C301" s="527"/>
      <c r="D301" s="527"/>
      <c r="E301" s="527"/>
      <c r="F301" s="527"/>
      <c r="G301" s="527"/>
      <c r="H301" s="527"/>
      <c r="I301" s="528"/>
      <c r="K301" s="531"/>
      <c r="L301" s="531"/>
      <c r="M301" s="531"/>
      <c r="N301" s="531"/>
      <c r="O301" s="531"/>
      <c r="P301" s="531"/>
      <c r="Q301" s="531"/>
      <c r="R301" s="531"/>
      <c r="S301" s="531"/>
      <c r="T301" s="531"/>
      <c r="U301" s="531"/>
      <c r="V301" s="531"/>
      <c r="W301" s="531"/>
      <c r="X301" s="531"/>
      <c r="Y301" s="531"/>
      <c r="Z301" s="531"/>
      <c r="AA301" s="531"/>
    </row>
    <row r="302" spans="1:27" ht="15">
      <c r="A302" s="527"/>
      <c r="B302" s="527"/>
      <c r="C302" s="527"/>
      <c r="D302" s="527"/>
      <c r="E302" s="527"/>
      <c r="F302" s="527"/>
      <c r="G302" s="527"/>
      <c r="H302" s="527"/>
      <c r="I302" s="528"/>
      <c r="K302" s="531"/>
      <c r="L302" s="531"/>
      <c r="M302" s="531"/>
      <c r="N302" s="531"/>
      <c r="O302" s="531"/>
      <c r="P302" s="531"/>
      <c r="Q302" s="531"/>
      <c r="R302" s="531"/>
      <c r="S302" s="531"/>
      <c r="T302" s="531"/>
      <c r="U302" s="531"/>
      <c r="V302" s="531"/>
      <c r="W302" s="531"/>
      <c r="X302" s="531"/>
      <c r="Y302" s="531"/>
      <c r="Z302" s="531"/>
      <c r="AA302" s="531"/>
    </row>
    <row r="303" spans="1:27" ht="15">
      <c r="A303" s="527"/>
      <c r="B303" s="527"/>
      <c r="C303" s="527"/>
      <c r="D303" s="527"/>
      <c r="E303" s="527"/>
      <c r="F303" s="527"/>
      <c r="G303" s="527"/>
      <c r="H303" s="527"/>
      <c r="I303" s="528"/>
      <c r="K303" s="531"/>
      <c r="L303" s="531"/>
      <c r="M303" s="531"/>
      <c r="N303" s="531"/>
      <c r="O303" s="531"/>
      <c r="P303" s="531"/>
      <c r="Q303" s="531"/>
      <c r="R303" s="531"/>
      <c r="S303" s="531"/>
      <c r="T303" s="531"/>
      <c r="U303" s="531"/>
      <c r="V303" s="531"/>
      <c r="W303" s="531"/>
      <c r="X303" s="531"/>
      <c r="Y303" s="531"/>
      <c r="Z303" s="531"/>
      <c r="AA303" s="531"/>
    </row>
    <row r="304" spans="1:27" ht="15">
      <c r="A304" s="527"/>
      <c r="B304" s="527"/>
      <c r="C304" s="527"/>
      <c r="D304" s="527"/>
      <c r="E304" s="527"/>
      <c r="F304" s="527"/>
      <c r="G304" s="527"/>
      <c r="H304" s="527"/>
      <c r="I304" s="528"/>
      <c r="K304" s="531"/>
      <c r="L304" s="531"/>
      <c r="M304" s="531"/>
      <c r="N304" s="531"/>
      <c r="O304" s="531"/>
      <c r="P304" s="531"/>
      <c r="Q304" s="531"/>
      <c r="R304" s="531"/>
      <c r="S304" s="531"/>
      <c r="T304" s="531"/>
      <c r="U304" s="531"/>
      <c r="V304" s="531"/>
      <c r="W304" s="531"/>
      <c r="X304" s="531"/>
      <c r="Y304" s="531"/>
      <c r="Z304" s="531"/>
      <c r="AA304" s="531"/>
    </row>
    <row r="305" spans="1:27" ht="15">
      <c r="A305" s="527"/>
      <c r="B305" s="527"/>
      <c r="C305" s="527"/>
      <c r="D305" s="527"/>
      <c r="E305" s="527"/>
      <c r="F305" s="527"/>
      <c r="G305" s="527"/>
      <c r="H305" s="527"/>
      <c r="I305" s="528"/>
      <c r="K305" s="531"/>
      <c r="L305" s="531"/>
      <c r="M305" s="531"/>
      <c r="N305" s="531"/>
      <c r="O305" s="531"/>
      <c r="P305" s="531"/>
      <c r="Q305" s="531"/>
      <c r="R305" s="531"/>
      <c r="S305" s="531"/>
      <c r="T305" s="531"/>
      <c r="U305" s="531"/>
      <c r="V305" s="531"/>
      <c r="W305" s="531"/>
      <c r="X305" s="531"/>
      <c r="Y305" s="531"/>
      <c r="Z305" s="531"/>
      <c r="AA305" s="531"/>
    </row>
    <row r="306" spans="1:27" ht="15">
      <c r="A306" s="527"/>
      <c r="B306" s="527"/>
      <c r="C306" s="527"/>
      <c r="D306" s="527"/>
      <c r="E306" s="527"/>
      <c r="F306" s="527"/>
      <c r="G306" s="527"/>
      <c r="H306" s="527"/>
      <c r="I306" s="528"/>
      <c r="K306" s="531"/>
      <c r="L306" s="531"/>
      <c r="M306" s="531"/>
      <c r="N306" s="531"/>
      <c r="O306" s="531"/>
      <c r="P306" s="531"/>
      <c r="Q306" s="531"/>
      <c r="R306" s="531"/>
      <c r="S306" s="531"/>
      <c r="T306" s="531"/>
      <c r="U306" s="531"/>
      <c r="V306" s="531"/>
      <c r="W306" s="531"/>
      <c r="X306" s="531"/>
      <c r="Y306" s="531"/>
      <c r="Z306" s="531"/>
      <c r="AA306" s="531"/>
    </row>
    <row r="307" spans="1:27" ht="15">
      <c r="A307" s="527"/>
      <c r="B307" s="527"/>
      <c r="C307" s="527"/>
      <c r="D307" s="527"/>
      <c r="E307" s="527"/>
      <c r="F307" s="527"/>
      <c r="G307" s="527"/>
      <c r="H307" s="527"/>
      <c r="I307" s="528"/>
      <c r="K307" s="531"/>
      <c r="L307" s="531"/>
      <c r="M307" s="531"/>
      <c r="N307" s="531"/>
      <c r="O307" s="531"/>
      <c r="P307" s="531"/>
      <c r="Q307" s="531"/>
      <c r="R307" s="531"/>
      <c r="S307" s="531"/>
      <c r="T307" s="531"/>
      <c r="U307" s="531"/>
      <c r="V307" s="531"/>
      <c r="W307" s="531"/>
      <c r="X307" s="531"/>
      <c r="Y307" s="531"/>
      <c r="Z307" s="531"/>
      <c r="AA307" s="531"/>
    </row>
    <row r="308" spans="1:27" ht="15">
      <c r="A308" s="527"/>
      <c r="B308" s="527"/>
      <c r="C308" s="527"/>
      <c r="D308" s="527"/>
      <c r="E308" s="527"/>
      <c r="F308" s="527"/>
      <c r="G308" s="527"/>
      <c r="H308" s="527"/>
      <c r="I308" s="528"/>
      <c r="K308" s="531"/>
      <c r="L308" s="531"/>
      <c r="M308" s="531"/>
      <c r="N308" s="531"/>
      <c r="O308" s="531"/>
      <c r="P308" s="531"/>
      <c r="Q308" s="531"/>
      <c r="R308" s="531"/>
      <c r="S308" s="531"/>
      <c r="T308" s="531"/>
      <c r="U308" s="531"/>
      <c r="V308" s="531"/>
      <c r="W308" s="531"/>
      <c r="X308" s="531"/>
      <c r="Y308" s="531"/>
      <c r="Z308" s="531"/>
      <c r="AA308" s="531"/>
    </row>
    <row r="309" spans="1:27" ht="15">
      <c r="A309" s="527"/>
      <c r="B309" s="527"/>
      <c r="C309" s="527"/>
      <c r="D309" s="527"/>
      <c r="E309" s="527"/>
      <c r="F309" s="527"/>
      <c r="G309" s="527"/>
      <c r="H309" s="527"/>
      <c r="I309" s="528"/>
      <c r="K309" s="531"/>
      <c r="L309" s="531"/>
      <c r="M309" s="531"/>
      <c r="N309" s="531"/>
      <c r="O309" s="531"/>
      <c r="P309" s="531"/>
      <c r="Q309" s="531"/>
      <c r="R309" s="531"/>
      <c r="S309" s="531"/>
      <c r="T309" s="531"/>
      <c r="U309" s="531"/>
      <c r="V309" s="531"/>
      <c r="W309" s="531"/>
      <c r="X309" s="531"/>
      <c r="Y309" s="531"/>
      <c r="Z309" s="531"/>
      <c r="AA309" s="531"/>
    </row>
    <row r="310" spans="1:27" ht="15">
      <c r="A310" s="527"/>
      <c r="B310" s="527"/>
      <c r="C310" s="527"/>
      <c r="D310" s="527"/>
      <c r="E310" s="527"/>
      <c r="F310" s="527"/>
      <c r="G310" s="527"/>
      <c r="H310" s="527"/>
      <c r="I310" s="528"/>
      <c r="K310" s="531"/>
      <c r="L310" s="531"/>
      <c r="M310" s="531"/>
      <c r="N310" s="531"/>
      <c r="O310" s="531"/>
      <c r="P310" s="531"/>
      <c r="Q310" s="531"/>
      <c r="R310" s="531"/>
      <c r="S310" s="531"/>
      <c r="T310" s="531"/>
      <c r="U310" s="531"/>
      <c r="V310" s="531"/>
      <c r="W310" s="531"/>
      <c r="X310" s="531"/>
      <c r="Y310" s="531"/>
      <c r="Z310" s="531"/>
      <c r="AA310" s="531"/>
    </row>
    <row r="311" spans="1:27" ht="15">
      <c r="A311" s="527"/>
      <c r="B311" s="527"/>
      <c r="C311" s="527"/>
      <c r="D311" s="527"/>
      <c r="E311" s="527"/>
      <c r="F311" s="527"/>
      <c r="G311" s="527"/>
      <c r="H311" s="527"/>
      <c r="I311" s="528"/>
      <c r="K311" s="531"/>
      <c r="L311" s="531"/>
      <c r="M311" s="531"/>
      <c r="N311" s="531"/>
      <c r="O311" s="531"/>
      <c r="P311" s="531"/>
      <c r="Q311" s="531"/>
      <c r="R311" s="531"/>
      <c r="S311" s="531"/>
      <c r="T311" s="531"/>
      <c r="U311" s="531"/>
      <c r="V311" s="531"/>
      <c r="W311" s="531"/>
      <c r="X311" s="531"/>
      <c r="Y311" s="531"/>
      <c r="Z311" s="531"/>
      <c r="AA311" s="531"/>
    </row>
    <row r="312" spans="1:27" ht="15">
      <c r="A312" s="527"/>
      <c r="B312" s="527"/>
      <c r="C312" s="527"/>
      <c r="D312" s="527"/>
      <c r="E312" s="527"/>
      <c r="F312" s="527"/>
      <c r="G312" s="527"/>
      <c r="H312" s="527"/>
      <c r="I312" s="528"/>
      <c r="K312" s="531"/>
      <c r="L312" s="531"/>
      <c r="M312" s="531"/>
      <c r="N312" s="531"/>
      <c r="O312" s="531"/>
      <c r="P312" s="531"/>
      <c r="Q312" s="531"/>
      <c r="R312" s="531"/>
      <c r="S312" s="531"/>
      <c r="T312" s="531"/>
      <c r="U312" s="531"/>
      <c r="V312" s="531"/>
      <c r="W312" s="531"/>
      <c r="X312" s="531"/>
      <c r="Y312" s="531"/>
      <c r="Z312" s="531"/>
      <c r="AA312" s="531"/>
    </row>
    <row r="313" spans="1:27" ht="15">
      <c r="A313" s="527"/>
      <c r="B313" s="527"/>
      <c r="C313" s="527"/>
      <c r="D313" s="527"/>
      <c r="E313" s="527"/>
      <c r="F313" s="527"/>
      <c r="G313" s="527"/>
      <c r="H313" s="527"/>
      <c r="I313" s="528"/>
      <c r="K313" s="531"/>
      <c r="L313" s="531"/>
      <c r="M313" s="531"/>
      <c r="N313" s="531"/>
      <c r="O313" s="531"/>
      <c r="P313" s="531"/>
      <c r="Q313" s="531"/>
      <c r="R313" s="531"/>
      <c r="S313" s="531"/>
      <c r="T313" s="531"/>
      <c r="U313" s="531"/>
      <c r="V313" s="531"/>
      <c r="W313" s="531"/>
      <c r="X313" s="531"/>
      <c r="Y313" s="531"/>
      <c r="Z313" s="531"/>
      <c r="AA313" s="531"/>
    </row>
    <row r="314" spans="1:27" ht="15">
      <c r="A314" s="527"/>
      <c r="B314" s="527"/>
      <c r="C314" s="527"/>
      <c r="D314" s="527"/>
      <c r="E314" s="527"/>
      <c r="F314" s="527"/>
      <c r="G314" s="527"/>
      <c r="H314" s="527"/>
      <c r="I314" s="528"/>
      <c r="K314" s="531"/>
      <c r="L314" s="531"/>
      <c r="M314" s="531"/>
      <c r="N314" s="531"/>
      <c r="O314" s="531"/>
      <c r="P314" s="531"/>
      <c r="Q314" s="531"/>
      <c r="R314" s="531"/>
      <c r="S314" s="531"/>
      <c r="T314" s="531"/>
      <c r="U314" s="531"/>
      <c r="V314" s="531"/>
      <c r="W314" s="531"/>
      <c r="X314" s="531"/>
      <c r="Y314" s="531"/>
      <c r="Z314" s="531"/>
      <c r="AA314" s="531"/>
    </row>
    <row r="315" spans="1:27" ht="15">
      <c r="A315" s="527"/>
      <c r="B315" s="527"/>
      <c r="C315" s="527"/>
      <c r="D315" s="527"/>
      <c r="E315" s="527"/>
      <c r="F315" s="527"/>
      <c r="G315" s="527"/>
      <c r="H315" s="527"/>
      <c r="I315" s="528"/>
      <c r="K315" s="531"/>
      <c r="L315" s="531"/>
      <c r="M315" s="531"/>
      <c r="N315" s="531"/>
      <c r="O315" s="531"/>
      <c r="P315" s="531"/>
      <c r="Q315" s="531"/>
      <c r="R315" s="531"/>
      <c r="S315" s="531"/>
      <c r="T315" s="531"/>
      <c r="U315" s="531"/>
      <c r="V315" s="531"/>
      <c r="W315" s="531"/>
      <c r="X315" s="531"/>
      <c r="Y315" s="531"/>
      <c r="Z315" s="531"/>
      <c r="AA315" s="531"/>
    </row>
    <row r="316" spans="1:27" ht="15">
      <c r="A316" s="527"/>
      <c r="B316" s="527"/>
      <c r="C316" s="527"/>
      <c r="D316" s="527"/>
      <c r="E316" s="527"/>
      <c r="F316" s="527"/>
      <c r="G316" s="527"/>
      <c r="H316" s="527"/>
      <c r="I316" s="528"/>
      <c r="K316" s="531"/>
      <c r="L316" s="531"/>
      <c r="M316" s="531"/>
      <c r="N316" s="531"/>
      <c r="O316" s="531"/>
      <c r="P316" s="531"/>
      <c r="Q316" s="531"/>
      <c r="R316" s="531"/>
      <c r="S316" s="531"/>
      <c r="T316" s="531"/>
      <c r="U316" s="531"/>
      <c r="V316" s="531"/>
      <c r="W316" s="531"/>
      <c r="X316" s="531"/>
      <c r="Y316" s="531"/>
      <c r="Z316" s="531"/>
      <c r="AA316" s="531"/>
    </row>
    <row r="317" spans="1:27" ht="15">
      <c r="A317" s="527"/>
      <c r="B317" s="527"/>
      <c r="C317" s="527"/>
      <c r="D317" s="527"/>
      <c r="E317" s="527"/>
      <c r="F317" s="527"/>
      <c r="G317" s="527"/>
      <c r="H317" s="527"/>
      <c r="I317" s="528"/>
      <c r="K317" s="531"/>
      <c r="L317" s="531"/>
      <c r="M317" s="531"/>
      <c r="N317" s="531"/>
      <c r="O317" s="531"/>
      <c r="P317" s="531"/>
      <c r="Q317" s="531"/>
      <c r="R317" s="531"/>
      <c r="S317" s="531"/>
      <c r="T317" s="531"/>
      <c r="U317" s="531"/>
      <c r="V317" s="531"/>
      <c r="W317" s="531"/>
      <c r="X317" s="531"/>
      <c r="Y317" s="531"/>
      <c r="Z317" s="531"/>
      <c r="AA317" s="531"/>
    </row>
    <row r="318" spans="1:27" ht="15">
      <c r="A318" s="527"/>
      <c r="B318" s="527"/>
      <c r="C318" s="527"/>
      <c r="D318" s="527"/>
      <c r="E318" s="527"/>
      <c r="F318" s="527"/>
      <c r="G318" s="527"/>
      <c r="H318" s="527"/>
      <c r="I318" s="528"/>
      <c r="K318" s="531"/>
      <c r="L318" s="531"/>
      <c r="M318" s="531"/>
      <c r="N318" s="531"/>
      <c r="O318" s="531"/>
      <c r="P318" s="531"/>
      <c r="Q318" s="531"/>
      <c r="R318" s="531"/>
      <c r="S318" s="531"/>
      <c r="T318" s="531"/>
      <c r="U318" s="531"/>
      <c r="V318" s="531"/>
      <c r="W318" s="531"/>
      <c r="X318" s="531"/>
      <c r="Y318" s="531"/>
      <c r="Z318" s="531"/>
      <c r="AA318" s="531"/>
    </row>
    <row r="319" spans="1:27" ht="15">
      <c r="A319" s="527"/>
      <c r="B319" s="527"/>
      <c r="C319" s="527"/>
      <c r="D319" s="527"/>
      <c r="E319" s="527"/>
      <c r="F319" s="527"/>
      <c r="G319" s="527"/>
      <c r="H319" s="527"/>
      <c r="I319" s="528"/>
      <c r="K319" s="531"/>
      <c r="L319" s="531"/>
      <c r="M319" s="531"/>
      <c r="N319" s="531"/>
      <c r="O319" s="531"/>
      <c r="P319" s="531"/>
      <c r="Q319" s="531"/>
      <c r="R319" s="531"/>
      <c r="S319" s="531"/>
      <c r="T319" s="531"/>
      <c r="U319" s="531"/>
      <c r="V319" s="531"/>
      <c r="W319" s="531"/>
      <c r="X319" s="531"/>
      <c r="Y319" s="531"/>
      <c r="Z319" s="531"/>
      <c r="AA319" s="531"/>
    </row>
    <row r="320" spans="1:27" ht="15">
      <c r="A320" s="527"/>
      <c r="B320" s="527"/>
      <c r="C320" s="527"/>
      <c r="D320" s="527"/>
      <c r="E320" s="527"/>
      <c r="F320" s="527"/>
      <c r="G320" s="527"/>
      <c r="H320" s="527"/>
      <c r="I320" s="528"/>
      <c r="K320" s="531"/>
      <c r="L320" s="531"/>
      <c r="M320" s="531"/>
      <c r="N320" s="531"/>
      <c r="O320" s="531"/>
      <c r="P320" s="531"/>
      <c r="Q320" s="531"/>
      <c r="R320" s="531"/>
      <c r="S320" s="531"/>
      <c r="T320" s="531"/>
      <c r="U320" s="531"/>
      <c r="V320" s="531"/>
      <c r="W320" s="531"/>
      <c r="X320" s="531"/>
      <c r="Y320" s="531"/>
      <c r="Z320" s="531"/>
      <c r="AA320" s="531"/>
    </row>
    <row r="321" spans="1:27" ht="15">
      <c r="A321" s="527"/>
      <c r="B321" s="527"/>
      <c r="C321" s="527"/>
      <c r="D321" s="527"/>
      <c r="E321" s="527"/>
      <c r="F321" s="527"/>
      <c r="G321" s="527"/>
      <c r="H321" s="527"/>
      <c r="I321" s="528"/>
      <c r="K321" s="531"/>
      <c r="L321" s="531"/>
      <c r="M321" s="531"/>
      <c r="N321" s="531"/>
      <c r="O321" s="531"/>
      <c r="P321" s="531"/>
      <c r="Q321" s="531"/>
      <c r="R321" s="531"/>
      <c r="S321" s="531"/>
      <c r="T321" s="531"/>
      <c r="U321" s="531"/>
      <c r="V321" s="531"/>
      <c r="W321" s="531"/>
      <c r="X321" s="531"/>
      <c r="Y321" s="531"/>
      <c r="Z321" s="531"/>
      <c r="AA321" s="531"/>
    </row>
    <row r="322" spans="1:27" ht="15">
      <c r="A322" s="527"/>
      <c r="B322" s="527"/>
      <c r="C322" s="527"/>
      <c r="D322" s="527"/>
      <c r="E322" s="527"/>
      <c r="F322" s="527"/>
      <c r="G322" s="527"/>
      <c r="H322" s="527"/>
      <c r="I322" s="528"/>
      <c r="K322" s="531"/>
      <c r="L322" s="531"/>
      <c r="M322" s="531"/>
      <c r="N322" s="531"/>
      <c r="O322" s="531"/>
      <c r="P322" s="531"/>
      <c r="Q322" s="531"/>
      <c r="R322" s="531"/>
      <c r="S322" s="531"/>
      <c r="T322" s="531"/>
      <c r="U322" s="531"/>
      <c r="V322" s="531"/>
      <c r="W322" s="531"/>
      <c r="X322" s="531"/>
      <c r="Y322" s="531"/>
      <c r="Z322" s="531"/>
      <c r="AA322" s="531"/>
    </row>
    <row r="323" spans="1:27" ht="15">
      <c r="A323" s="527"/>
      <c r="B323" s="527"/>
      <c r="C323" s="527"/>
      <c r="D323" s="527"/>
      <c r="E323" s="527"/>
      <c r="F323" s="527"/>
      <c r="G323" s="527"/>
      <c r="H323" s="527"/>
      <c r="I323" s="528"/>
      <c r="K323" s="531"/>
      <c r="L323" s="531"/>
      <c r="M323" s="531"/>
      <c r="N323" s="531"/>
      <c r="O323" s="531"/>
      <c r="P323" s="531"/>
      <c r="Q323" s="531"/>
      <c r="R323" s="531"/>
      <c r="S323" s="531"/>
      <c r="T323" s="531"/>
      <c r="U323" s="531"/>
      <c r="V323" s="531"/>
      <c r="W323" s="531"/>
      <c r="X323" s="531"/>
      <c r="Y323" s="531"/>
      <c r="Z323" s="531"/>
      <c r="AA323" s="531"/>
    </row>
    <row r="324" spans="1:27" ht="15">
      <c r="A324" s="527"/>
      <c r="B324" s="527"/>
      <c r="C324" s="527"/>
      <c r="D324" s="527"/>
      <c r="E324" s="527"/>
      <c r="F324" s="527"/>
      <c r="G324" s="527"/>
      <c r="H324" s="527"/>
      <c r="I324" s="528"/>
      <c r="K324" s="531"/>
      <c r="L324" s="531"/>
      <c r="M324" s="531"/>
      <c r="N324" s="531"/>
      <c r="O324" s="531"/>
      <c r="P324" s="531"/>
      <c r="Q324" s="531"/>
      <c r="R324" s="531"/>
      <c r="S324" s="531"/>
      <c r="T324" s="531"/>
      <c r="U324" s="531"/>
      <c r="V324" s="531"/>
      <c r="W324" s="531"/>
      <c r="X324" s="531"/>
      <c r="Y324" s="531"/>
      <c r="Z324" s="531"/>
      <c r="AA324" s="531"/>
    </row>
    <row r="325" spans="1:27" ht="15">
      <c r="A325" s="527"/>
      <c r="B325" s="527"/>
      <c r="C325" s="527"/>
      <c r="D325" s="527"/>
      <c r="E325" s="527"/>
      <c r="F325" s="527"/>
      <c r="G325" s="527"/>
      <c r="H325" s="527"/>
      <c r="I325" s="528"/>
      <c r="K325" s="531"/>
      <c r="L325" s="531"/>
      <c r="M325" s="531"/>
      <c r="N325" s="531"/>
      <c r="O325" s="531"/>
      <c r="P325" s="531"/>
      <c r="Q325" s="531"/>
      <c r="R325" s="531"/>
      <c r="S325" s="531"/>
      <c r="T325" s="531"/>
      <c r="U325" s="531"/>
      <c r="V325" s="531"/>
      <c r="W325" s="531"/>
      <c r="X325" s="531"/>
      <c r="Y325" s="531"/>
      <c r="Z325" s="531"/>
      <c r="AA325" s="531"/>
    </row>
    <row r="326" spans="1:27" ht="15">
      <c r="A326" s="527"/>
      <c r="B326" s="527"/>
      <c r="C326" s="527"/>
      <c r="D326" s="527"/>
      <c r="E326" s="527"/>
      <c r="F326" s="527"/>
      <c r="G326" s="527"/>
      <c r="H326" s="527"/>
      <c r="I326" s="528"/>
      <c r="K326" s="531"/>
      <c r="L326" s="531"/>
      <c r="M326" s="531"/>
      <c r="N326" s="531"/>
      <c r="O326" s="531"/>
      <c r="P326" s="531"/>
      <c r="Q326" s="531"/>
      <c r="R326" s="531"/>
      <c r="S326" s="531"/>
      <c r="T326" s="531"/>
      <c r="U326" s="531"/>
      <c r="V326" s="531"/>
      <c r="W326" s="531"/>
      <c r="X326" s="531"/>
      <c r="Y326" s="531"/>
      <c r="Z326" s="531"/>
      <c r="AA326" s="531"/>
    </row>
    <row r="327" spans="1:27" ht="15">
      <c r="A327" s="527"/>
      <c r="B327" s="527"/>
      <c r="C327" s="527"/>
      <c r="D327" s="527"/>
      <c r="E327" s="527"/>
      <c r="F327" s="527"/>
      <c r="G327" s="527"/>
      <c r="H327" s="527"/>
      <c r="I327" s="528"/>
      <c r="K327" s="531"/>
      <c r="L327" s="531"/>
      <c r="M327" s="531"/>
      <c r="N327" s="531"/>
      <c r="O327" s="531"/>
      <c r="P327" s="531"/>
      <c r="Q327" s="531"/>
      <c r="R327" s="531"/>
      <c r="S327" s="531"/>
      <c r="T327" s="531"/>
      <c r="U327" s="531"/>
      <c r="V327" s="531"/>
      <c r="W327" s="531"/>
      <c r="X327" s="531"/>
      <c r="Y327" s="531"/>
      <c r="Z327" s="531"/>
      <c r="AA327" s="531"/>
    </row>
    <row r="328" spans="1:27" ht="15">
      <c r="A328" s="527"/>
      <c r="B328" s="527"/>
      <c r="C328" s="527"/>
      <c r="D328" s="527"/>
      <c r="E328" s="527"/>
      <c r="F328" s="527"/>
      <c r="G328" s="527"/>
      <c r="H328" s="527"/>
      <c r="I328" s="528"/>
      <c r="K328" s="531"/>
      <c r="L328" s="531"/>
      <c r="M328" s="531"/>
      <c r="N328" s="531"/>
      <c r="O328" s="531"/>
      <c r="P328" s="531"/>
      <c r="Q328" s="531"/>
      <c r="R328" s="531"/>
      <c r="S328" s="531"/>
      <c r="T328" s="531"/>
      <c r="U328" s="531"/>
      <c r="V328" s="531"/>
      <c r="W328" s="531"/>
      <c r="X328" s="531"/>
      <c r="Y328" s="531"/>
      <c r="Z328" s="531"/>
      <c r="AA328" s="531"/>
    </row>
    <row r="329" spans="1:27" ht="15">
      <c r="A329" s="527"/>
      <c r="B329" s="527"/>
      <c r="C329" s="527"/>
      <c r="D329" s="527"/>
      <c r="E329" s="527"/>
      <c r="F329" s="527"/>
      <c r="G329" s="527"/>
      <c r="H329" s="527"/>
      <c r="I329" s="528"/>
      <c r="K329" s="531"/>
      <c r="L329" s="531"/>
      <c r="M329" s="531"/>
      <c r="N329" s="531"/>
      <c r="O329" s="531"/>
      <c r="P329" s="531"/>
      <c r="Q329" s="531"/>
      <c r="R329" s="531"/>
      <c r="S329" s="531"/>
      <c r="T329" s="531"/>
      <c r="U329" s="531"/>
      <c r="V329" s="531"/>
      <c r="W329" s="531"/>
      <c r="X329" s="531"/>
      <c r="Y329" s="531"/>
      <c r="Z329" s="531"/>
      <c r="AA329" s="531"/>
    </row>
    <row r="330" spans="1:27" ht="15">
      <c r="A330" s="527"/>
      <c r="B330" s="527"/>
      <c r="C330" s="527"/>
      <c r="D330" s="527"/>
      <c r="E330" s="527"/>
      <c r="F330" s="527"/>
      <c r="G330" s="527"/>
      <c r="H330" s="527"/>
      <c r="I330" s="528"/>
      <c r="K330" s="531"/>
      <c r="L330" s="531"/>
      <c r="M330" s="531"/>
      <c r="N330" s="531"/>
      <c r="O330" s="531"/>
      <c r="P330" s="531"/>
      <c r="Q330" s="531"/>
      <c r="R330" s="531"/>
      <c r="S330" s="531"/>
      <c r="T330" s="531"/>
      <c r="U330" s="531"/>
      <c r="V330" s="531"/>
      <c r="W330" s="531"/>
      <c r="X330" s="531"/>
      <c r="Y330" s="531"/>
      <c r="Z330" s="531"/>
      <c r="AA330" s="531"/>
    </row>
    <row r="331" spans="1:27" ht="15">
      <c r="A331" s="527"/>
      <c r="B331" s="527"/>
      <c r="C331" s="527"/>
      <c r="D331" s="527"/>
      <c r="E331" s="527"/>
      <c r="F331" s="527"/>
      <c r="G331" s="527"/>
      <c r="H331" s="527"/>
      <c r="I331" s="528"/>
      <c r="K331" s="531"/>
      <c r="L331" s="531"/>
      <c r="M331" s="531"/>
      <c r="N331" s="531"/>
      <c r="O331" s="531"/>
      <c r="P331" s="531"/>
      <c r="Q331" s="531"/>
      <c r="R331" s="531"/>
      <c r="S331" s="531"/>
      <c r="T331" s="531"/>
      <c r="U331" s="531"/>
      <c r="V331" s="531"/>
      <c r="W331" s="531"/>
      <c r="X331" s="531"/>
      <c r="Y331" s="531"/>
      <c r="Z331" s="531"/>
      <c r="AA331" s="531"/>
    </row>
    <row r="332" spans="1:27" ht="15">
      <c r="A332" s="527"/>
      <c r="B332" s="527"/>
      <c r="C332" s="527"/>
      <c r="D332" s="527"/>
      <c r="E332" s="527"/>
      <c r="F332" s="527"/>
      <c r="G332" s="527"/>
      <c r="H332" s="527"/>
      <c r="I332" s="528"/>
      <c r="K332" s="531"/>
      <c r="L332" s="531"/>
      <c r="M332" s="531"/>
      <c r="N332" s="531"/>
      <c r="O332" s="531"/>
      <c r="P332" s="531"/>
      <c r="Q332" s="531"/>
      <c r="R332" s="531"/>
      <c r="S332" s="531"/>
      <c r="T332" s="531"/>
      <c r="U332" s="531"/>
      <c r="V332" s="531"/>
      <c r="W332" s="531"/>
      <c r="X332" s="531"/>
      <c r="Y332" s="531"/>
      <c r="Z332" s="531"/>
      <c r="AA332" s="531"/>
    </row>
    <row r="333" spans="1:27" ht="15">
      <c r="A333" s="527"/>
      <c r="B333" s="527"/>
      <c r="C333" s="527"/>
      <c r="D333" s="527"/>
      <c r="E333" s="527"/>
      <c r="F333" s="527"/>
      <c r="G333" s="527"/>
      <c r="H333" s="527"/>
      <c r="I333" s="528"/>
      <c r="K333" s="531"/>
      <c r="L333" s="531"/>
      <c r="M333" s="531"/>
      <c r="N333" s="531"/>
      <c r="O333" s="531"/>
      <c r="P333" s="531"/>
      <c r="Q333" s="531"/>
      <c r="R333" s="531"/>
      <c r="S333" s="531"/>
      <c r="T333" s="531"/>
      <c r="U333" s="531"/>
      <c r="V333" s="531"/>
      <c r="W333" s="531"/>
      <c r="X333" s="531"/>
      <c r="Y333" s="531"/>
      <c r="Z333" s="531"/>
      <c r="AA333" s="531"/>
    </row>
    <row r="334" spans="1:27" ht="15">
      <c r="A334" s="527"/>
      <c r="B334" s="527"/>
      <c r="C334" s="527"/>
      <c r="D334" s="527"/>
      <c r="E334" s="527"/>
      <c r="F334" s="527"/>
      <c r="G334" s="527"/>
      <c r="H334" s="527"/>
      <c r="I334" s="528"/>
      <c r="K334" s="531"/>
      <c r="L334" s="531"/>
      <c r="M334" s="531"/>
      <c r="N334" s="531"/>
      <c r="O334" s="531"/>
      <c r="P334" s="531"/>
      <c r="Q334" s="531"/>
      <c r="R334" s="531"/>
      <c r="S334" s="531"/>
      <c r="T334" s="531"/>
      <c r="U334" s="531"/>
      <c r="V334" s="531"/>
      <c r="W334" s="531"/>
      <c r="X334" s="531"/>
      <c r="Y334" s="531"/>
      <c r="Z334" s="531"/>
      <c r="AA334" s="531"/>
    </row>
    <row r="335" spans="1:27" ht="15">
      <c r="A335" s="527"/>
      <c r="B335" s="527"/>
      <c r="C335" s="527"/>
      <c r="D335" s="527"/>
      <c r="E335" s="527"/>
      <c r="F335" s="527"/>
      <c r="G335" s="527"/>
      <c r="H335" s="527"/>
      <c r="I335" s="528"/>
      <c r="K335" s="531"/>
      <c r="L335" s="531"/>
      <c r="M335" s="531"/>
      <c r="N335" s="531"/>
      <c r="O335" s="531"/>
      <c r="P335" s="531"/>
      <c r="Q335" s="531"/>
      <c r="R335" s="531"/>
      <c r="S335" s="531"/>
      <c r="T335" s="531"/>
      <c r="U335" s="531"/>
      <c r="V335" s="531"/>
      <c r="W335" s="531"/>
      <c r="X335" s="531"/>
      <c r="Y335" s="531"/>
      <c r="Z335" s="531"/>
      <c r="AA335" s="531"/>
    </row>
    <row r="336" spans="1:27" ht="15">
      <c r="A336" s="527"/>
      <c r="B336" s="527"/>
      <c r="C336" s="527"/>
      <c r="D336" s="527"/>
      <c r="E336" s="527"/>
      <c r="F336" s="527"/>
      <c r="G336" s="527"/>
      <c r="H336" s="527"/>
      <c r="I336" s="528"/>
      <c r="K336" s="531"/>
      <c r="L336" s="531"/>
      <c r="M336" s="531"/>
      <c r="N336" s="531"/>
      <c r="O336" s="531"/>
      <c r="P336" s="531"/>
      <c r="Q336" s="531"/>
      <c r="R336" s="531"/>
      <c r="S336" s="531"/>
      <c r="T336" s="531"/>
      <c r="U336" s="531"/>
      <c r="V336" s="531"/>
      <c r="W336" s="531"/>
      <c r="X336" s="531"/>
      <c r="Y336" s="531"/>
      <c r="Z336" s="531"/>
      <c r="AA336" s="531"/>
    </row>
    <row r="337" spans="1:27" ht="15">
      <c r="A337" s="527"/>
      <c r="B337" s="527"/>
      <c r="C337" s="527"/>
      <c r="D337" s="527"/>
      <c r="E337" s="527"/>
      <c r="F337" s="527"/>
      <c r="G337" s="527"/>
      <c r="H337" s="527"/>
      <c r="I337" s="528"/>
      <c r="K337" s="531"/>
      <c r="L337" s="531"/>
      <c r="M337" s="531"/>
      <c r="N337" s="531"/>
      <c r="O337" s="531"/>
      <c r="P337" s="531"/>
      <c r="Q337" s="531"/>
      <c r="R337" s="531"/>
      <c r="S337" s="531"/>
      <c r="T337" s="531"/>
      <c r="U337" s="531"/>
      <c r="V337" s="531"/>
      <c r="W337" s="531"/>
      <c r="X337" s="531"/>
      <c r="Y337" s="531"/>
      <c r="Z337" s="531"/>
      <c r="AA337" s="531"/>
    </row>
    <row r="338" spans="1:27" ht="15">
      <c r="A338" s="527"/>
      <c r="B338" s="527"/>
      <c r="C338" s="527"/>
      <c r="D338" s="527"/>
      <c r="E338" s="527"/>
      <c r="F338" s="527"/>
      <c r="G338" s="527"/>
      <c r="H338" s="527"/>
      <c r="I338" s="528"/>
      <c r="K338" s="531"/>
      <c r="L338" s="531"/>
      <c r="M338" s="531"/>
      <c r="N338" s="531"/>
      <c r="O338" s="531"/>
      <c r="P338" s="531"/>
      <c r="Q338" s="531"/>
      <c r="R338" s="531"/>
      <c r="S338" s="531"/>
      <c r="T338" s="531"/>
      <c r="U338" s="531"/>
      <c r="V338" s="531"/>
      <c r="W338" s="531"/>
      <c r="X338" s="531"/>
      <c r="Y338" s="531"/>
      <c r="Z338" s="531"/>
      <c r="AA338" s="531"/>
    </row>
    <row r="339" spans="1:27" ht="15">
      <c r="A339" s="527"/>
      <c r="B339" s="527"/>
      <c r="C339" s="527"/>
      <c r="D339" s="527"/>
      <c r="E339" s="527"/>
      <c r="F339" s="527"/>
      <c r="G339" s="527"/>
      <c r="H339" s="527"/>
      <c r="I339" s="528"/>
      <c r="K339" s="531"/>
      <c r="L339" s="531"/>
      <c r="M339" s="531"/>
      <c r="N339" s="531"/>
      <c r="O339" s="531"/>
      <c r="P339" s="531"/>
      <c r="Q339" s="531"/>
      <c r="R339" s="531"/>
      <c r="S339" s="531"/>
      <c r="T339" s="531"/>
      <c r="U339" s="531"/>
      <c r="V339" s="531"/>
      <c r="W339" s="531"/>
      <c r="X339" s="531"/>
      <c r="Y339" s="531"/>
      <c r="Z339" s="531"/>
      <c r="AA339" s="531"/>
    </row>
    <row r="340" spans="1:27" ht="15">
      <c r="A340" s="527"/>
      <c r="B340" s="527"/>
      <c r="C340" s="527"/>
      <c r="D340" s="527"/>
      <c r="E340" s="527"/>
      <c r="F340" s="527"/>
      <c r="G340" s="527"/>
      <c r="H340" s="527"/>
      <c r="I340" s="528"/>
      <c r="K340" s="531"/>
      <c r="L340" s="531"/>
      <c r="M340" s="531"/>
      <c r="N340" s="531"/>
      <c r="O340" s="531"/>
      <c r="P340" s="531"/>
      <c r="Q340" s="531"/>
      <c r="R340" s="531"/>
      <c r="S340" s="531"/>
      <c r="T340" s="531"/>
      <c r="U340" s="531"/>
      <c r="V340" s="531"/>
      <c r="W340" s="531"/>
      <c r="X340" s="531"/>
      <c r="Y340" s="531"/>
      <c r="Z340" s="531"/>
      <c r="AA340" s="531"/>
    </row>
    <row r="341" spans="1:27" ht="15">
      <c r="A341" s="527"/>
      <c r="B341" s="527"/>
      <c r="C341" s="527"/>
      <c r="D341" s="527"/>
      <c r="E341" s="527"/>
      <c r="F341" s="527"/>
      <c r="G341" s="527"/>
      <c r="H341" s="527"/>
      <c r="I341" s="528"/>
      <c r="K341" s="531"/>
      <c r="L341" s="531"/>
      <c r="M341" s="531"/>
      <c r="N341" s="531"/>
      <c r="O341" s="531"/>
      <c r="P341" s="531"/>
      <c r="Q341" s="531"/>
      <c r="R341" s="531"/>
      <c r="S341" s="531"/>
      <c r="T341" s="531"/>
      <c r="U341" s="531"/>
      <c r="V341" s="531"/>
      <c r="W341" s="531"/>
      <c r="X341" s="531"/>
      <c r="Y341" s="531"/>
      <c r="Z341" s="531"/>
      <c r="AA341" s="531"/>
    </row>
    <row r="342" spans="1:27" ht="15">
      <c r="A342" s="527"/>
      <c r="B342" s="527"/>
      <c r="C342" s="527"/>
      <c r="D342" s="527"/>
      <c r="E342" s="527"/>
      <c r="F342" s="527"/>
      <c r="G342" s="527"/>
      <c r="H342" s="527"/>
      <c r="I342" s="528"/>
      <c r="K342" s="531"/>
      <c r="L342" s="531"/>
      <c r="M342" s="531"/>
      <c r="N342" s="531"/>
      <c r="O342" s="531"/>
      <c r="P342" s="531"/>
      <c r="Q342" s="531"/>
      <c r="R342" s="531"/>
      <c r="S342" s="531"/>
      <c r="T342" s="531"/>
      <c r="U342" s="531"/>
      <c r="V342" s="531"/>
      <c r="W342" s="531"/>
      <c r="X342" s="531"/>
      <c r="Y342" s="531"/>
      <c r="Z342" s="531"/>
      <c r="AA342" s="531"/>
    </row>
    <row r="343" spans="1:27" ht="15">
      <c r="A343" s="527"/>
      <c r="B343" s="527"/>
      <c r="C343" s="527"/>
      <c r="D343" s="527"/>
      <c r="E343" s="527"/>
      <c r="F343" s="527"/>
      <c r="G343" s="527"/>
      <c r="H343" s="527"/>
      <c r="I343" s="528"/>
      <c r="K343" s="531"/>
      <c r="L343" s="531"/>
      <c r="M343" s="531"/>
      <c r="N343" s="531"/>
      <c r="O343" s="531"/>
      <c r="P343" s="531"/>
      <c r="Q343" s="531"/>
      <c r="R343" s="531"/>
      <c r="S343" s="531"/>
      <c r="T343" s="531"/>
      <c r="U343" s="531"/>
      <c r="V343" s="531"/>
      <c r="W343" s="531"/>
      <c r="X343" s="531"/>
      <c r="Y343" s="531"/>
      <c r="Z343" s="531"/>
      <c r="AA343" s="531"/>
    </row>
    <row r="344" spans="1:27" ht="15">
      <c r="A344" s="527"/>
      <c r="B344" s="527"/>
      <c r="C344" s="527"/>
      <c r="D344" s="527"/>
      <c r="E344" s="527"/>
      <c r="F344" s="527"/>
      <c r="G344" s="527"/>
      <c r="H344" s="527"/>
      <c r="I344" s="528"/>
      <c r="K344" s="531"/>
      <c r="L344" s="531"/>
      <c r="M344" s="531"/>
      <c r="N344" s="531"/>
      <c r="O344" s="531"/>
      <c r="P344" s="531"/>
      <c r="Q344" s="531"/>
      <c r="R344" s="531"/>
      <c r="S344" s="531"/>
      <c r="T344" s="531"/>
      <c r="U344" s="531"/>
      <c r="V344" s="531"/>
      <c r="W344" s="531"/>
      <c r="X344" s="531"/>
      <c r="Y344" s="531"/>
      <c r="Z344" s="531"/>
      <c r="AA344" s="531"/>
    </row>
    <row r="345" spans="1:27" ht="15">
      <c r="A345" s="527"/>
      <c r="B345" s="527"/>
      <c r="C345" s="527"/>
      <c r="D345" s="527"/>
      <c r="E345" s="527"/>
      <c r="F345" s="527"/>
      <c r="G345" s="527"/>
      <c r="H345" s="527"/>
      <c r="I345" s="528"/>
      <c r="K345" s="531"/>
      <c r="L345" s="531"/>
      <c r="M345" s="531"/>
      <c r="N345" s="531"/>
      <c r="O345" s="531"/>
      <c r="P345" s="531"/>
      <c r="Q345" s="531"/>
      <c r="R345" s="531"/>
      <c r="S345" s="531"/>
      <c r="T345" s="531"/>
      <c r="U345" s="531"/>
      <c r="V345" s="531"/>
      <c r="W345" s="531"/>
      <c r="X345" s="531"/>
      <c r="Y345" s="531"/>
      <c r="Z345" s="531"/>
      <c r="AA345" s="531"/>
    </row>
    <row r="346" spans="1:27" ht="15">
      <c r="A346" s="527"/>
      <c r="B346" s="527"/>
      <c r="C346" s="527"/>
      <c r="D346" s="527"/>
      <c r="E346" s="527"/>
      <c r="F346" s="527"/>
      <c r="G346" s="527"/>
      <c r="H346" s="527"/>
      <c r="I346" s="528"/>
      <c r="K346" s="531"/>
      <c r="L346" s="531"/>
      <c r="M346" s="531"/>
      <c r="N346" s="531"/>
      <c r="O346" s="531"/>
      <c r="P346" s="531"/>
      <c r="Q346" s="531"/>
      <c r="R346" s="531"/>
      <c r="S346" s="531"/>
      <c r="T346" s="531"/>
      <c r="U346" s="531"/>
      <c r="V346" s="531"/>
      <c r="W346" s="531"/>
      <c r="X346" s="531"/>
      <c r="Y346" s="531"/>
      <c r="Z346" s="531"/>
      <c r="AA346" s="531"/>
    </row>
    <row r="347" spans="1:27" ht="15">
      <c r="A347" s="527"/>
      <c r="B347" s="527"/>
      <c r="C347" s="527"/>
      <c r="D347" s="527"/>
      <c r="E347" s="527"/>
      <c r="F347" s="527"/>
      <c r="G347" s="527"/>
      <c r="H347" s="527"/>
      <c r="I347" s="528"/>
      <c r="K347" s="531"/>
      <c r="L347" s="531"/>
      <c r="M347" s="531"/>
      <c r="N347" s="531"/>
      <c r="O347" s="531"/>
      <c r="P347" s="531"/>
      <c r="Q347" s="531"/>
      <c r="R347" s="531"/>
      <c r="S347" s="531"/>
      <c r="T347" s="531"/>
      <c r="U347" s="531"/>
      <c r="V347" s="531"/>
      <c r="W347" s="531"/>
      <c r="X347" s="531"/>
      <c r="Y347" s="531"/>
      <c r="Z347" s="531"/>
      <c r="AA347" s="531"/>
    </row>
    <row r="348" spans="1:27" ht="15">
      <c r="A348" s="527"/>
      <c r="B348" s="527"/>
      <c r="C348" s="527"/>
      <c r="D348" s="527"/>
      <c r="E348" s="527"/>
      <c r="F348" s="527"/>
      <c r="G348" s="527"/>
      <c r="H348" s="527"/>
      <c r="I348" s="528"/>
      <c r="K348" s="531"/>
      <c r="L348" s="531"/>
      <c r="M348" s="531"/>
      <c r="N348" s="531"/>
      <c r="O348" s="531"/>
      <c r="P348" s="531"/>
      <c r="Q348" s="531"/>
      <c r="R348" s="531"/>
      <c r="S348" s="531"/>
      <c r="T348" s="531"/>
      <c r="U348" s="531"/>
      <c r="V348" s="531"/>
      <c r="W348" s="531"/>
      <c r="X348" s="531"/>
      <c r="Y348" s="531"/>
      <c r="Z348" s="531"/>
      <c r="AA348" s="531"/>
    </row>
    <row r="349" spans="1:27" ht="15">
      <c r="A349" s="527"/>
      <c r="B349" s="527"/>
      <c r="C349" s="527"/>
      <c r="D349" s="527"/>
      <c r="E349" s="527"/>
      <c r="F349" s="527"/>
      <c r="G349" s="527"/>
      <c r="H349" s="527"/>
      <c r="I349" s="528"/>
      <c r="K349" s="531"/>
      <c r="L349" s="531"/>
      <c r="M349" s="531"/>
      <c r="N349" s="531"/>
      <c r="O349" s="531"/>
      <c r="P349" s="531"/>
      <c r="Q349" s="531"/>
      <c r="R349" s="531"/>
      <c r="S349" s="531"/>
      <c r="T349" s="531"/>
      <c r="U349" s="531"/>
      <c r="V349" s="531"/>
      <c r="W349" s="531"/>
      <c r="X349" s="531"/>
      <c r="Y349" s="531"/>
      <c r="Z349" s="531"/>
      <c r="AA349" s="531"/>
    </row>
    <row r="350" spans="1:27" ht="15">
      <c r="A350" s="527"/>
      <c r="B350" s="527"/>
      <c r="C350" s="527"/>
      <c r="D350" s="527"/>
      <c r="E350" s="527"/>
      <c r="F350" s="527"/>
      <c r="G350" s="527"/>
      <c r="H350" s="527"/>
      <c r="I350" s="528"/>
      <c r="K350" s="531"/>
      <c r="L350" s="531"/>
      <c r="M350" s="531"/>
      <c r="N350" s="531"/>
      <c r="O350" s="531"/>
      <c r="P350" s="531"/>
      <c r="Q350" s="531"/>
      <c r="R350" s="531"/>
      <c r="S350" s="531"/>
      <c r="T350" s="531"/>
      <c r="U350" s="531"/>
      <c r="V350" s="531"/>
      <c r="W350" s="531"/>
      <c r="X350" s="531"/>
      <c r="Y350" s="531"/>
      <c r="Z350" s="531"/>
      <c r="AA350" s="531"/>
    </row>
    <row r="351" spans="1:27" ht="15">
      <c r="A351" s="527"/>
      <c r="B351" s="527"/>
      <c r="C351" s="527"/>
      <c r="D351" s="527"/>
      <c r="E351" s="527"/>
      <c r="F351" s="527"/>
      <c r="G351" s="527"/>
      <c r="H351" s="527"/>
      <c r="I351" s="528"/>
      <c r="K351" s="531"/>
      <c r="L351" s="531"/>
      <c r="M351" s="531"/>
      <c r="N351" s="531"/>
      <c r="O351" s="531"/>
      <c r="P351" s="531"/>
      <c r="Q351" s="531"/>
      <c r="R351" s="531"/>
      <c r="S351" s="531"/>
      <c r="T351" s="531"/>
      <c r="U351" s="531"/>
      <c r="V351" s="531"/>
      <c r="W351" s="531"/>
      <c r="X351" s="531"/>
      <c r="Y351" s="531"/>
      <c r="Z351" s="531"/>
      <c r="AA351" s="531"/>
    </row>
    <row r="352" spans="1:27" ht="15">
      <c r="A352" s="527"/>
      <c r="B352" s="527"/>
      <c r="C352" s="527"/>
      <c r="D352" s="527"/>
      <c r="E352" s="527"/>
      <c r="F352" s="527"/>
      <c r="G352" s="527"/>
      <c r="H352" s="527"/>
      <c r="I352" s="528"/>
      <c r="K352" s="531"/>
      <c r="L352" s="531"/>
      <c r="M352" s="531"/>
      <c r="N352" s="531"/>
      <c r="O352" s="531"/>
      <c r="P352" s="531"/>
      <c r="Q352" s="531"/>
      <c r="R352" s="531"/>
      <c r="S352" s="531"/>
      <c r="T352" s="531"/>
      <c r="U352" s="531"/>
      <c r="V352" s="531"/>
      <c r="W352" s="531"/>
      <c r="X352" s="531"/>
      <c r="Y352" s="531"/>
      <c r="Z352" s="531"/>
      <c r="AA352" s="531"/>
    </row>
    <row r="353" spans="1:27" ht="15">
      <c r="A353" s="527"/>
      <c r="B353" s="527"/>
      <c r="C353" s="527"/>
      <c r="D353" s="527"/>
      <c r="E353" s="527"/>
      <c r="F353" s="527"/>
      <c r="G353" s="527"/>
      <c r="H353" s="527"/>
      <c r="I353" s="528"/>
      <c r="K353" s="531"/>
      <c r="L353" s="531"/>
      <c r="M353" s="531"/>
      <c r="N353" s="531"/>
      <c r="O353" s="531"/>
      <c r="P353" s="531"/>
      <c r="Q353" s="531"/>
      <c r="R353" s="531"/>
      <c r="S353" s="531"/>
      <c r="T353" s="531"/>
      <c r="U353" s="531"/>
      <c r="V353" s="531"/>
      <c r="W353" s="531"/>
      <c r="X353" s="531"/>
      <c r="Y353" s="531"/>
      <c r="Z353" s="531"/>
      <c r="AA353" s="531"/>
    </row>
    <row r="354" spans="1:27" ht="15">
      <c r="A354" s="527"/>
      <c r="B354" s="527"/>
      <c r="C354" s="527"/>
      <c r="D354" s="527"/>
      <c r="E354" s="527"/>
      <c r="F354" s="527"/>
      <c r="G354" s="527"/>
      <c r="H354" s="527"/>
      <c r="I354" s="528"/>
      <c r="K354" s="531"/>
      <c r="L354" s="531"/>
      <c r="M354" s="531"/>
      <c r="N354" s="531"/>
      <c r="O354" s="531"/>
      <c r="P354" s="531"/>
      <c r="Q354" s="531"/>
      <c r="R354" s="531"/>
      <c r="S354" s="531"/>
      <c r="T354" s="531"/>
      <c r="U354" s="531"/>
      <c r="V354" s="531"/>
      <c r="W354" s="531"/>
      <c r="X354" s="531"/>
      <c r="Y354" s="531"/>
      <c r="Z354" s="531"/>
      <c r="AA354" s="531"/>
    </row>
    <row r="355" spans="1:27" ht="15">
      <c r="A355" s="527"/>
      <c r="B355" s="527"/>
      <c r="C355" s="527"/>
      <c r="D355" s="527"/>
      <c r="E355" s="527"/>
      <c r="F355" s="527"/>
      <c r="G355" s="527"/>
      <c r="H355" s="527"/>
      <c r="I355" s="528"/>
      <c r="K355" s="531"/>
      <c r="L355" s="531"/>
      <c r="M355" s="531"/>
      <c r="N355" s="531"/>
      <c r="O355" s="531"/>
      <c r="P355" s="531"/>
      <c r="Q355" s="531"/>
      <c r="R355" s="531"/>
      <c r="S355" s="531"/>
      <c r="T355" s="531"/>
      <c r="U355" s="531"/>
      <c r="V355" s="531"/>
      <c r="W355" s="531"/>
      <c r="X355" s="531"/>
      <c r="Y355" s="531"/>
      <c r="Z355" s="531"/>
      <c r="AA355" s="531"/>
    </row>
    <row r="356" spans="1:27" ht="15">
      <c r="A356" s="527"/>
      <c r="B356" s="527"/>
      <c r="C356" s="527"/>
      <c r="D356" s="527"/>
      <c r="E356" s="527"/>
      <c r="F356" s="527"/>
      <c r="G356" s="527"/>
      <c r="H356" s="527"/>
      <c r="I356" s="528"/>
      <c r="K356" s="531"/>
      <c r="L356" s="531"/>
      <c r="M356" s="531"/>
      <c r="N356" s="531"/>
      <c r="O356" s="531"/>
      <c r="P356" s="531"/>
      <c r="Q356" s="531"/>
      <c r="R356" s="531"/>
      <c r="S356" s="531"/>
      <c r="T356" s="531"/>
      <c r="U356" s="531"/>
      <c r="V356" s="531"/>
      <c r="W356" s="531"/>
      <c r="X356" s="531"/>
      <c r="Y356" s="531"/>
      <c r="Z356" s="531"/>
      <c r="AA356" s="531"/>
    </row>
    <row r="357" spans="1:27" ht="15">
      <c r="A357" s="527"/>
      <c r="B357" s="527"/>
      <c r="C357" s="527"/>
      <c r="D357" s="527"/>
      <c r="E357" s="527"/>
      <c r="F357" s="527"/>
      <c r="G357" s="527"/>
      <c r="H357" s="527"/>
      <c r="I357" s="528"/>
      <c r="K357" s="531"/>
      <c r="L357" s="531"/>
      <c r="M357" s="531"/>
      <c r="N357" s="531"/>
      <c r="O357" s="531"/>
      <c r="P357" s="531"/>
      <c r="Q357" s="531"/>
      <c r="R357" s="531"/>
      <c r="S357" s="531"/>
      <c r="T357" s="531"/>
      <c r="U357" s="531"/>
      <c r="V357" s="531"/>
      <c r="W357" s="531"/>
      <c r="X357" s="531"/>
      <c r="Y357" s="531"/>
      <c r="Z357" s="531"/>
      <c r="AA357" s="531"/>
    </row>
    <row r="358" spans="1:27" ht="15">
      <c r="A358" s="527"/>
      <c r="B358" s="527"/>
      <c r="C358" s="527"/>
      <c r="D358" s="527"/>
      <c r="E358" s="527"/>
      <c r="F358" s="527"/>
      <c r="G358" s="527"/>
      <c r="H358" s="527"/>
      <c r="I358" s="528"/>
      <c r="K358" s="531"/>
      <c r="L358" s="531"/>
      <c r="M358" s="531"/>
      <c r="N358" s="531"/>
      <c r="O358" s="531"/>
      <c r="P358" s="531"/>
      <c r="Q358" s="531"/>
      <c r="R358" s="531"/>
      <c r="S358" s="531"/>
      <c r="T358" s="531"/>
      <c r="U358" s="531"/>
      <c r="V358" s="531"/>
      <c r="W358" s="531"/>
      <c r="X358" s="531"/>
      <c r="Y358" s="531"/>
      <c r="Z358" s="531"/>
      <c r="AA358" s="531"/>
    </row>
    <row r="359" spans="1:27" ht="15">
      <c r="A359" s="527"/>
      <c r="B359" s="527"/>
      <c r="C359" s="527"/>
      <c r="D359" s="527"/>
      <c r="E359" s="527"/>
      <c r="F359" s="527"/>
      <c r="G359" s="527"/>
      <c r="H359" s="527"/>
      <c r="I359" s="528"/>
      <c r="K359" s="531"/>
      <c r="L359" s="531"/>
      <c r="M359" s="531"/>
      <c r="N359" s="531"/>
      <c r="O359" s="531"/>
      <c r="P359" s="531"/>
      <c r="Q359" s="531"/>
      <c r="R359" s="531"/>
      <c r="S359" s="531"/>
      <c r="T359" s="531"/>
      <c r="U359" s="531"/>
      <c r="V359" s="531"/>
      <c r="W359" s="531"/>
      <c r="X359" s="531"/>
      <c r="Y359" s="531"/>
      <c r="Z359" s="531"/>
      <c r="AA359" s="531"/>
    </row>
    <row r="360" spans="1:27" ht="15">
      <c r="A360" s="527"/>
      <c r="B360" s="527"/>
      <c r="C360" s="527"/>
      <c r="D360" s="527"/>
      <c r="E360" s="527"/>
      <c r="F360" s="527"/>
      <c r="G360" s="527"/>
      <c r="H360" s="527"/>
      <c r="I360" s="528"/>
      <c r="K360" s="531"/>
      <c r="L360" s="531"/>
      <c r="M360" s="531"/>
      <c r="N360" s="531"/>
      <c r="O360" s="531"/>
      <c r="P360" s="531"/>
      <c r="Q360" s="531"/>
      <c r="R360" s="531"/>
      <c r="S360" s="531"/>
      <c r="T360" s="531"/>
      <c r="U360" s="531"/>
      <c r="V360" s="531"/>
      <c r="W360" s="531"/>
      <c r="X360" s="531"/>
      <c r="Y360" s="531"/>
      <c r="Z360" s="531"/>
      <c r="AA360" s="531"/>
    </row>
    <row r="361" spans="1:27" ht="15">
      <c r="A361" s="527"/>
      <c r="B361" s="527"/>
      <c r="C361" s="527"/>
      <c r="D361" s="527"/>
      <c r="E361" s="527"/>
      <c r="F361" s="527"/>
      <c r="G361" s="527"/>
      <c r="H361" s="527"/>
      <c r="I361" s="528"/>
      <c r="K361" s="531"/>
      <c r="L361" s="531"/>
      <c r="M361" s="531"/>
      <c r="N361" s="531"/>
      <c r="O361" s="531"/>
      <c r="P361" s="531"/>
      <c r="Q361" s="531"/>
      <c r="R361" s="531"/>
      <c r="S361" s="531"/>
      <c r="T361" s="531"/>
      <c r="U361" s="531"/>
      <c r="V361" s="531"/>
      <c r="W361" s="531"/>
      <c r="X361" s="531"/>
      <c r="Y361" s="531"/>
      <c r="Z361" s="531"/>
      <c r="AA361" s="531"/>
    </row>
    <row r="362" spans="1:27" ht="15">
      <c r="A362" s="527"/>
      <c r="B362" s="527"/>
      <c r="C362" s="527"/>
      <c r="D362" s="527"/>
      <c r="E362" s="527"/>
      <c r="F362" s="527"/>
      <c r="G362" s="527"/>
      <c r="H362" s="527"/>
      <c r="I362" s="528"/>
      <c r="K362" s="531"/>
      <c r="L362" s="531"/>
      <c r="M362" s="531"/>
      <c r="N362" s="531"/>
      <c r="O362" s="531"/>
      <c r="P362" s="531"/>
      <c r="Q362" s="531"/>
      <c r="R362" s="531"/>
      <c r="S362" s="531"/>
      <c r="T362" s="531"/>
      <c r="U362" s="531"/>
      <c r="V362" s="531"/>
      <c r="W362" s="531"/>
      <c r="X362" s="531"/>
      <c r="Y362" s="531"/>
      <c r="Z362" s="531"/>
      <c r="AA362" s="531"/>
    </row>
    <row r="363" spans="1:27" ht="15">
      <c r="A363" s="527"/>
      <c r="B363" s="527"/>
      <c r="C363" s="527"/>
      <c r="D363" s="527"/>
      <c r="E363" s="527"/>
      <c r="F363" s="527"/>
      <c r="G363" s="527"/>
      <c r="H363" s="527"/>
      <c r="I363" s="528"/>
      <c r="K363" s="531"/>
      <c r="L363" s="531"/>
      <c r="M363" s="531"/>
      <c r="N363" s="531"/>
      <c r="O363" s="531"/>
      <c r="P363" s="531"/>
      <c r="Q363" s="531"/>
      <c r="R363" s="531"/>
      <c r="S363" s="531"/>
      <c r="T363" s="531"/>
      <c r="U363" s="531"/>
      <c r="V363" s="531"/>
      <c r="W363" s="531"/>
      <c r="X363" s="531"/>
      <c r="Y363" s="531"/>
      <c r="Z363" s="531"/>
      <c r="AA363" s="531"/>
    </row>
    <row r="364" spans="1:27" ht="15">
      <c r="A364" s="527"/>
      <c r="B364" s="527"/>
      <c r="C364" s="527"/>
      <c r="D364" s="527"/>
      <c r="E364" s="527"/>
      <c r="F364" s="527"/>
      <c r="G364" s="527"/>
      <c r="H364" s="527"/>
      <c r="I364" s="528"/>
      <c r="K364" s="531"/>
      <c r="L364" s="531"/>
      <c r="M364" s="531"/>
      <c r="N364" s="531"/>
      <c r="O364" s="531"/>
      <c r="P364" s="531"/>
      <c r="Q364" s="531"/>
      <c r="R364" s="531"/>
      <c r="S364" s="531"/>
      <c r="T364" s="531"/>
      <c r="U364" s="531"/>
      <c r="V364" s="531"/>
      <c r="W364" s="531"/>
      <c r="X364" s="531"/>
      <c r="Y364" s="531"/>
      <c r="Z364" s="531"/>
      <c r="AA364" s="531"/>
    </row>
    <row r="365" spans="1:27" ht="15">
      <c r="A365" s="527"/>
      <c r="B365" s="527"/>
      <c r="C365" s="527"/>
      <c r="D365" s="527"/>
      <c r="E365" s="527"/>
      <c r="F365" s="527"/>
      <c r="G365" s="527"/>
      <c r="H365" s="527"/>
      <c r="I365" s="528"/>
      <c r="K365" s="531"/>
      <c r="L365" s="531"/>
      <c r="M365" s="531"/>
      <c r="N365" s="531"/>
      <c r="O365" s="531"/>
      <c r="P365" s="531"/>
      <c r="Q365" s="531"/>
      <c r="R365" s="531"/>
      <c r="S365" s="531"/>
      <c r="T365" s="531"/>
      <c r="U365" s="531"/>
      <c r="V365" s="531"/>
      <c r="W365" s="531"/>
      <c r="X365" s="531"/>
      <c r="Y365" s="531"/>
      <c r="Z365" s="531"/>
      <c r="AA365" s="531"/>
    </row>
    <row r="366" spans="1:27" ht="15">
      <c r="A366" s="527"/>
      <c r="B366" s="527"/>
      <c r="C366" s="527"/>
      <c r="D366" s="527"/>
      <c r="E366" s="527"/>
      <c r="F366" s="527"/>
      <c r="G366" s="527"/>
      <c r="H366" s="527"/>
      <c r="I366" s="528"/>
      <c r="K366" s="531"/>
      <c r="L366" s="531"/>
      <c r="M366" s="531"/>
      <c r="N366" s="531"/>
      <c r="O366" s="531"/>
      <c r="P366" s="531"/>
      <c r="Q366" s="531"/>
      <c r="R366" s="531"/>
      <c r="S366" s="531"/>
      <c r="T366" s="531"/>
      <c r="U366" s="531"/>
      <c r="V366" s="531"/>
      <c r="W366" s="531"/>
      <c r="X366" s="531"/>
      <c r="Y366" s="531"/>
      <c r="Z366" s="531"/>
      <c r="AA366" s="531"/>
    </row>
    <row r="367" spans="1:27" ht="15">
      <c r="A367" s="527"/>
      <c r="B367" s="527"/>
      <c r="C367" s="527"/>
      <c r="D367" s="527"/>
      <c r="E367" s="527"/>
      <c r="F367" s="527"/>
      <c r="G367" s="527"/>
      <c r="H367" s="527"/>
      <c r="I367" s="528"/>
      <c r="K367" s="531"/>
      <c r="L367" s="531"/>
      <c r="M367" s="531"/>
      <c r="N367" s="531"/>
      <c r="O367" s="531"/>
      <c r="P367" s="531"/>
      <c r="Q367" s="531"/>
      <c r="R367" s="531"/>
      <c r="S367" s="531"/>
      <c r="T367" s="531"/>
      <c r="U367" s="531"/>
      <c r="V367" s="531"/>
      <c r="W367" s="531"/>
      <c r="X367" s="531"/>
      <c r="Y367" s="531"/>
      <c r="Z367" s="531"/>
      <c r="AA367" s="531"/>
    </row>
    <row r="368" spans="1:27" ht="15">
      <c r="A368" s="527"/>
      <c r="B368" s="527"/>
      <c r="C368" s="527"/>
      <c r="D368" s="527"/>
      <c r="E368" s="527"/>
      <c r="F368" s="527"/>
      <c r="G368" s="527"/>
      <c r="H368" s="527"/>
      <c r="I368" s="528"/>
      <c r="K368" s="531"/>
      <c r="L368" s="531"/>
      <c r="M368" s="531"/>
      <c r="N368" s="531"/>
      <c r="O368" s="531"/>
      <c r="P368" s="531"/>
      <c r="Q368" s="531"/>
      <c r="R368" s="531"/>
      <c r="S368" s="531"/>
      <c r="T368" s="531"/>
      <c r="U368" s="531"/>
      <c r="V368" s="531"/>
      <c r="W368" s="531"/>
      <c r="X368" s="531"/>
      <c r="Y368" s="531"/>
      <c r="Z368" s="531"/>
      <c r="AA368" s="531"/>
    </row>
    <row r="369" spans="1:27" ht="15">
      <c r="A369" s="527"/>
      <c r="B369" s="527"/>
      <c r="C369" s="527"/>
      <c r="D369" s="527"/>
      <c r="E369" s="527"/>
      <c r="F369" s="527"/>
      <c r="G369" s="527"/>
      <c r="H369" s="527"/>
      <c r="I369" s="528"/>
      <c r="K369" s="531"/>
      <c r="L369" s="531"/>
      <c r="M369" s="531"/>
      <c r="N369" s="531"/>
      <c r="O369" s="531"/>
      <c r="P369" s="531"/>
      <c r="Q369" s="531"/>
      <c r="R369" s="531"/>
      <c r="S369" s="531"/>
      <c r="T369" s="531"/>
      <c r="U369" s="531"/>
      <c r="V369" s="531"/>
      <c r="W369" s="531"/>
      <c r="X369" s="531"/>
      <c r="Y369" s="531"/>
      <c r="Z369" s="531"/>
      <c r="AA369" s="531"/>
    </row>
    <row r="370" spans="1:27" ht="15">
      <c r="A370" s="527"/>
      <c r="B370" s="527"/>
      <c r="C370" s="527"/>
      <c r="D370" s="527"/>
      <c r="E370" s="527"/>
      <c r="F370" s="527"/>
      <c r="G370" s="527"/>
      <c r="H370" s="527"/>
      <c r="I370" s="528"/>
      <c r="K370" s="531"/>
      <c r="L370" s="531"/>
      <c r="M370" s="531"/>
      <c r="N370" s="531"/>
      <c r="O370" s="531"/>
      <c r="P370" s="531"/>
      <c r="Q370" s="531"/>
      <c r="R370" s="531"/>
      <c r="S370" s="531"/>
      <c r="T370" s="531"/>
      <c r="U370" s="531"/>
      <c r="V370" s="531"/>
      <c r="W370" s="531"/>
      <c r="X370" s="531"/>
      <c r="Y370" s="531"/>
      <c r="Z370" s="531"/>
      <c r="AA370" s="531"/>
    </row>
    <row r="371" spans="1:27" ht="15">
      <c r="A371" s="527"/>
      <c r="B371" s="527"/>
      <c r="C371" s="527"/>
      <c r="D371" s="527"/>
      <c r="E371" s="527"/>
      <c r="F371" s="527"/>
      <c r="G371" s="527"/>
      <c r="H371" s="527"/>
      <c r="I371" s="528"/>
      <c r="K371" s="531"/>
      <c r="L371" s="531"/>
      <c r="M371" s="531"/>
      <c r="N371" s="531"/>
      <c r="O371" s="531"/>
      <c r="P371" s="531"/>
      <c r="Q371" s="531"/>
      <c r="R371" s="531"/>
      <c r="S371" s="531"/>
      <c r="T371" s="531"/>
      <c r="U371" s="531"/>
      <c r="V371" s="531"/>
      <c r="W371" s="531"/>
      <c r="X371" s="531"/>
      <c r="Y371" s="531"/>
      <c r="Z371" s="531"/>
      <c r="AA371" s="531"/>
    </row>
    <row r="372" spans="1:27" ht="15">
      <c r="A372" s="527"/>
      <c r="B372" s="527"/>
      <c r="C372" s="527"/>
      <c r="D372" s="527"/>
      <c r="E372" s="527"/>
      <c r="F372" s="527"/>
      <c r="G372" s="527"/>
      <c r="H372" s="527"/>
      <c r="I372" s="528"/>
      <c r="K372" s="531"/>
      <c r="L372" s="531"/>
      <c r="M372" s="531"/>
      <c r="N372" s="531"/>
      <c r="O372" s="531"/>
      <c r="P372" s="531"/>
      <c r="Q372" s="531"/>
      <c r="R372" s="531"/>
      <c r="S372" s="531"/>
      <c r="T372" s="531"/>
      <c r="U372" s="531"/>
      <c r="V372" s="531"/>
      <c r="W372" s="531"/>
      <c r="X372" s="531"/>
      <c r="Y372" s="531"/>
      <c r="Z372" s="531"/>
      <c r="AA372" s="531"/>
    </row>
    <row r="373" spans="1:27" ht="15">
      <c r="A373" s="527"/>
      <c r="B373" s="527"/>
      <c r="C373" s="527"/>
      <c r="D373" s="527"/>
      <c r="E373" s="527"/>
      <c r="F373" s="527"/>
      <c r="G373" s="527"/>
      <c r="H373" s="527"/>
      <c r="I373" s="528"/>
      <c r="K373" s="531"/>
      <c r="L373" s="531"/>
      <c r="M373" s="531"/>
      <c r="N373" s="531"/>
      <c r="O373" s="531"/>
      <c r="P373" s="531"/>
      <c r="Q373" s="531"/>
      <c r="R373" s="531"/>
      <c r="S373" s="531"/>
      <c r="T373" s="531"/>
      <c r="U373" s="531"/>
      <c r="V373" s="531"/>
      <c r="W373" s="531"/>
      <c r="X373" s="531"/>
      <c r="Y373" s="531"/>
      <c r="Z373" s="531"/>
      <c r="AA373" s="531"/>
    </row>
    <row r="374" spans="1:27" ht="15">
      <c r="A374" s="527"/>
      <c r="B374" s="527"/>
      <c r="C374" s="527"/>
      <c r="D374" s="527"/>
      <c r="E374" s="527"/>
      <c r="F374" s="527"/>
      <c r="G374" s="527"/>
      <c r="H374" s="527"/>
      <c r="I374" s="528"/>
      <c r="K374" s="531"/>
      <c r="L374" s="531"/>
      <c r="M374" s="531"/>
      <c r="N374" s="531"/>
      <c r="O374" s="531"/>
      <c r="P374" s="531"/>
      <c r="Q374" s="531"/>
      <c r="R374" s="531"/>
      <c r="S374" s="531"/>
      <c r="T374" s="531"/>
      <c r="U374" s="531"/>
      <c r="V374" s="531"/>
      <c r="W374" s="531"/>
      <c r="X374" s="531"/>
      <c r="Y374" s="531"/>
      <c r="Z374" s="531"/>
      <c r="AA374" s="531"/>
    </row>
    <row r="375" spans="1:27" ht="15">
      <c r="A375" s="527"/>
      <c r="B375" s="527"/>
      <c r="C375" s="527"/>
      <c r="D375" s="527"/>
      <c r="E375" s="527"/>
      <c r="F375" s="527"/>
      <c r="G375" s="527"/>
      <c r="H375" s="527"/>
      <c r="I375" s="528"/>
      <c r="K375" s="531"/>
      <c r="L375" s="531"/>
      <c r="M375" s="531"/>
      <c r="N375" s="531"/>
      <c r="O375" s="531"/>
      <c r="P375" s="531"/>
      <c r="Q375" s="531"/>
      <c r="R375" s="531"/>
      <c r="S375" s="531"/>
      <c r="T375" s="531"/>
      <c r="U375" s="531"/>
      <c r="V375" s="531"/>
      <c r="W375" s="531"/>
      <c r="X375" s="531"/>
      <c r="Y375" s="531"/>
      <c r="Z375" s="531"/>
      <c r="AA375" s="531"/>
    </row>
    <row r="376" spans="1:27" ht="15">
      <c r="A376" s="527"/>
      <c r="B376" s="527"/>
      <c r="C376" s="527"/>
      <c r="D376" s="527"/>
      <c r="E376" s="527"/>
      <c r="F376" s="527"/>
      <c r="G376" s="527"/>
      <c r="H376" s="527"/>
      <c r="I376" s="528"/>
      <c r="K376" s="531"/>
      <c r="L376" s="531"/>
      <c r="M376" s="531"/>
      <c r="N376" s="531"/>
      <c r="O376" s="531"/>
      <c r="P376" s="531"/>
      <c r="Q376" s="531"/>
      <c r="R376" s="531"/>
      <c r="S376" s="531"/>
      <c r="T376" s="531"/>
      <c r="U376" s="531"/>
      <c r="V376" s="531"/>
      <c r="W376" s="531"/>
      <c r="X376" s="531"/>
      <c r="Y376" s="531"/>
      <c r="Z376" s="531"/>
      <c r="AA376" s="531"/>
    </row>
    <row r="377" spans="1:27" ht="15">
      <c r="A377" s="527"/>
      <c r="B377" s="527"/>
      <c r="C377" s="527"/>
      <c r="D377" s="527"/>
      <c r="E377" s="527"/>
      <c r="F377" s="527"/>
      <c r="G377" s="527"/>
      <c r="H377" s="527"/>
      <c r="I377" s="528"/>
      <c r="K377" s="531"/>
      <c r="L377" s="531"/>
      <c r="M377" s="531"/>
      <c r="N377" s="531"/>
      <c r="O377" s="531"/>
      <c r="P377" s="531"/>
      <c r="Q377" s="531"/>
      <c r="R377" s="531"/>
      <c r="S377" s="531"/>
      <c r="T377" s="531"/>
      <c r="U377" s="531"/>
      <c r="V377" s="531"/>
      <c r="W377" s="531"/>
      <c r="X377" s="531"/>
      <c r="Y377" s="531"/>
      <c r="Z377" s="531"/>
      <c r="AA377" s="531"/>
    </row>
    <row r="378" spans="1:27" ht="15">
      <c r="A378" s="527"/>
      <c r="B378" s="527"/>
      <c r="C378" s="527"/>
      <c r="D378" s="527"/>
      <c r="E378" s="527"/>
      <c r="F378" s="527"/>
      <c r="G378" s="527"/>
      <c r="H378" s="527"/>
      <c r="I378" s="528"/>
      <c r="K378" s="531"/>
      <c r="L378" s="531"/>
      <c r="M378" s="531"/>
      <c r="N378" s="531"/>
      <c r="O378" s="531"/>
      <c r="P378" s="531"/>
      <c r="Q378" s="531"/>
      <c r="R378" s="531"/>
      <c r="S378" s="531"/>
      <c r="T378" s="531"/>
      <c r="U378" s="531"/>
      <c r="V378" s="531"/>
      <c r="W378" s="531"/>
      <c r="X378" s="531"/>
      <c r="Y378" s="531"/>
      <c r="Z378" s="531"/>
      <c r="AA378" s="531"/>
    </row>
    <row r="379" spans="1:27" ht="15">
      <c r="A379" s="527"/>
      <c r="B379" s="527"/>
      <c r="C379" s="527"/>
      <c r="D379" s="527"/>
      <c r="E379" s="527"/>
      <c r="F379" s="527"/>
      <c r="G379" s="527"/>
      <c r="H379" s="527"/>
      <c r="I379" s="528"/>
      <c r="K379" s="531"/>
      <c r="L379" s="531"/>
      <c r="M379" s="531"/>
      <c r="N379" s="531"/>
      <c r="O379" s="531"/>
      <c r="P379" s="531"/>
      <c r="Q379" s="531"/>
      <c r="R379" s="531"/>
      <c r="S379" s="531"/>
      <c r="T379" s="531"/>
      <c r="U379" s="531"/>
      <c r="V379" s="531"/>
      <c r="W379" s="531"/>
      <c r="X379" s="531"/>
      <c r="Y379" s="531"/>
      <c r="Z379" s="531"/>
      <c r="AA379" s="531"/>
    </row>
    <row r="380" spans="1:27" ht="15">
      <c r="A380" s="527"/>
      <c r="B380" s="527"/>
      <c r="C380" s="527"/>
      <c r="D380" s="527"/>
      <c r="E380" s="527"/>
      <c r="F380" s="527"/>
      <c r="G380" s="527"/>
      <c r="H380" s="527"/>
      <c r="I380" s="528"/>
      <c r="K380" s="531"/>
      <c r="L380" s="531"/>
      <c r="M380" s="531"/>
      <c r="N380" s="531"/>
      <c r="O380" s="531"/>
      <c r="P380" s="531"/>
      <c r="Q380" s="531"/>
      <c r="R380" s="531"/>
      <c r="S380" s="531"/>
      <c r="T380" s="531"/>
      <c r="U380" s="531"/>
      <c r="V380" s="531"/>
      <c r="W380" s="531"/>
      <c r="X380" s="531"/>
      <c r="Y380" s="531"/>
      <c r="Z380" s="531"/>
      <c r="AA380" s="531"/>
    </row>
    <row r="381" spans="1:27" ht="15">
      <c r="A381" s="527"/>
      <c r="B381" s="527"/>
      <c r="C381" s="527"/>
      <c r="D381" s="527"/>
      <c r="E381" s="527"/>
      <c r="F381" s="527"/>
      <c r="G381" s="527"/>
      <c r="H381" s="527"/>
      <c r="I381" s="528"/>
      <c r="K381" s="531"/>
      <c r="L381" s="531"/>
      <c r="M381" s="531"/>
      <c r="N381" s="531"/>
      <c r="O381" s="531"/>
      <c r="P381" s="531"/>
      <c r="Q381" s="531"/>
      <c r="R381" s="531"/>
      <c r="S381" s="531"/>
      <c r="T381" s="531"/>
      <c r="U381" s="531"/>
      <c r="V381" s="531"/>
      <c r="W381" s="531"/>
      <c r="X381" s="531"/>
      <c r="Y381" s="531"/>
      <c r="Z381" s="531"/>
      <c r="AA381" s="531"/>
    </row>
    <row r="382" spans="1:27" ht="15">
      <c r="A382" s="527"/>
      <c r="B382" s="527"/>
      <c r="C382" s="527"/>
      <c r="D382" s="527"/>
      <c r="E382" s="527"/>
      <c r="F382" s="527"/>
      <c r="G382" s="527"/>
      <c r="H382" s="527"/>
      <c r="I382" s="528"/>
      <c r="K382" s="531"/>
      <c r="L382" s="531"/>
      <c r="M382" s="531"/>
      <c r="N382" s="531"/>
      <c r="O382" s="531"/>
      <c r="P382" s="531"/>
      <c r="Q382" s="531"/>
      <c r="R382" s="531"/>
      <c r="S382" s="531"/>
      <c r="T382" s="531"/>
      <c r="U382" s="531"/>
      <c r="V382" s="531"/>
      <c r="W382" s="531"/>
      <c r="X382" s="531"/>
      <c r="Y382" s="531"/>
      <c r="Z382" s="531"/>
      <c r="AA382" s="531"/>
    </row>
    <row r="383" spans="1:27" ht="15">
      <c r="A383" s="527"/>
      <c r="B383" s="527"/>
      <c r="C383" s="527"/>
      <c r="D383" s="527"/>
      <c r="E383" s="527"/>
      <c r="F383" s="527"/>
      <c r="G383" s="527"/>
      <c r="H383" s="527"/>
      <c r="I383" s="528"/>
      <c r="K383" s="531"/>
      <c r="L383" s="531"/>
      <c r="M383" s="531"/>
      <c r="N383" s="531"/>
      <c r="O383" s="531"/>
      <c r="P383" s="531"/>
      <c r="Q383" s="531"/>
      <c r="R383" s="531"/>
      <c r="S383" s="531"/>
      <c r="T383" s="531"/>
      <c r="U383" s="531"/>
      <c r="V383" s="531"/>
      <c r="W383" s="531"/>
      <c r="X383" s="531"/>
      <c r="Y383" s="531"/>
      <c r="Z383" s="531"/>
      <c r="AA383" s="531"/>
    </row>
    <row r="384" spans="1:27" ht="15">
      <c r="A384" s="527"/>
      <c r="B384" s="527"/>
      <c r="C384" s="527"/>
      <c r="D384" s="527"/>
      <c r="E384" s="527"/>
      <c r="F384" s="527"/>
      <c r="G384" s="527"/>
      <c r="H384" s="527"/>
      <c r="I384" s="528"/>
      <c r="K384" s="531"/>
      <c r="L384" s="531"/>
      <c r="M384" s="531"/>
      <c r="N384" s="531"/>
      <c r="O384" s="531"/>
      <c r="P384" s="531"/>
      <c r="Q384" s="531"/>
      <c r="R384" s="531"/>
      <c r="S384" s="531"/>
      <c r="T384" s="531"/>
      <c r="U384" s="531"/>
      <c r="V384" s="531"/>
      <c r="W384" s="531"/>
      <c r="X384" s="531"/>
      <c r="Y384" s="531"/>
      <c r="Z384" s="531"/>
      <c r="AA384" s="531"/>
    </row>
    <row r="385" spans="1:27" ht="15">
      <c r="A385" s="527"/>
      <c r="B385" s="527"/>
      <c r="C385" s="527"/>
      <c r="D385" s="527"/>
      <c r="E385" s="527"/>
      <c r="F385" s="527"/>
      <c r="G385" s="527"/>
      <c r="H385" s="527"/>
      <c r="I385" s="528"/>
      <c r="K385" s="531"/>
      <c r="L385" s="531"/>
      <c r="M385" s="531"/>
      <c r="N385" s="531"/>
      <c r="O385" s="531"/>
      <c r="P385" s="531"/>
      <c r="Q385" s="531"/>
      <c r="R385" s="531"/>
      <c r="S385" s="531"/>
      <c r="T385" s="531"/>
      <c r="U385" s="531"/>
      <c r="V385" s="531"/>
      <c r="W385" s="531"/>
      <c r="X385" s="531"/>
      <c r="Y385" s="531"/>
      <c r="Z385" s="531"/>
      <c r="AA385" s="531"/>
    </row>
    <row r="386" spans="1:27" ht="15">
      <c r="A386" s="527"/>
      <c r="B386" s="527"/>
      <c r="C386" s="527"/>
      <c r="D386" s="527"/>
      <c r="E386" s="527"/>
      <c r="F386" s="527"/>
      <c r="G386" s="527"/>
      <c r="H386" s="527"/>
      <c r="I386" s="528"/>
      <c r="K386" s="531"/>
      <c r="L386" s="531"/>
      <c r="M386" s="531"/>
      <c r="N386" s="531"/>
      <c r="O386" s="531"/>
      <c r="P386" s="531"/>
      <c r="Q386" s="531"/>
      <c r="R386" s="531"/>
      <c r="S386" s="531"/>
      <c r="T386" s="531"/>
      <c r="U386" s="531"/>
      <c r="V386" s="531"/>
      <c r="W386" s="531"/>
      <c r="X386" s="531"/>
      <c r="Y386" s="531"/>
      <c r="Z386" s="531"/>
      <c r="AA386" s="531"/>
    </row>
    <row r="387" spans="1:27" ht="15">
      <c r="A387" s="527"/>
      <c r="B387" s="527"/>
      <c r="C387" s="527"/>
      <c r="D387" s="527"/>
      <c r="E387" s="527"/>
      <c r="F387" s="527"/>
      <c r="G387" s="527"/>
      <c r="H387" s="527"/>
      <c r="I387" s="528"/>
      <c r="K387" s="531"/>
      <c r="L387" s="531"/>
      <c r="M387" s="531"/>
      <c r="N387" s="531"/>
      <c r="O387" s="531"/>
      <c r="P387" s="531"/>
      <c r="Q387" s="531"/>
      <c r="R387" s="531"/>
      <c r="S387" s="531"/>
      <c r="T387" s="531"/>
      <c r="U387" s="531"/>
      <c r="V387" s="531"/>
      <c r="W387" s="531"/>
      <c r="X387" s="531"/>
      <c r="Y387" s="531"/>
      <c r="Z387" s="531"/>
      <c r="AA387" s="531"/>
    </row>
    <row r="388" spans="1:27" ht="15">
      <c r="A388" s="527"/>
      <c r="B388" s="527"/>
      <c r="C388" s="527"/>
      <c r="D388" s="527"/>
      <c r="E388" s="527"/>
      <c r="F388" s="527"/>
      <c r="G388" s="527"/>
      <c r="H388" s="527"/>
      <c r="I388" s="528"/>
      <c r="K388" s="531"/>
      <c r="L388" s="531"/>
      <c r="M388" s="531"/>
      <c r="N388" s="531"/>
      <c r="O388" s="531"/>
      <c r="P388" s="531"/>
      <c r="Q388" s="531"/>
      <c r="R388" s="531"/>
      <c r="S388" s="531"/>
      <c r="T388" s="531"/>
      <c r="U388" s="531"/>
      <c r="V388" s="531"/>
      <c r="W388" s="531"/>
      <c r="X388" s="531"/>
      <c r="Y388" s="531"/>
      <c r="Z388" s="531"/>
      <c r="AA388" s="531"/>
    </row>
    <row r="389" spans="1:27" ht="15">
      <c r="A389" s="527"/>
      <c r="B389" s="527"/>
      <c r="C389" s="527"/>
      <c r="D389" s="527"/>
      <c r="E389" s="527"/>
      <c r="F389" s="527"/>
      <c r="G389" s="527"/>
      <c r="H389" s="527"/>
      <c r="I389" s="528"/>
      <c r="K389" s="531"/>
      <c r="L389" s="531"/>
      <c r="M389" s="531"/>
      <c r="N389" s="531"/>
      <c r="O389" s="531"/>
      <c r="P389" s="531"/>
      <c r="Q389" s="531"/>
      <c r="R389" s="531"/>
      <c r="S389" s="531"/>
      <c r="T389" s="531"/>
      <c r="U389" s="531"/>
      <c r="V389" s="531"/>
      <c r="W389" s="531"/>
      <c r="X389" s="531"/>
      <c r="Y389" s="531"/>
      <c r="Z389" s="531"/>
      <c r="AA389" s="531"/>
    </row>
    <row r="390" spans="1:27" ht="15">
      <c r="A390" s="527"/>
      <c r="B390" s="527"/>
      <c r="C390" s="527"/>
      <c r="D390" s="527"/>
      <c r="E390" s="527"/>
      <c r="F390" s="527"/>
      <c r="G390" s="527"/>
      <c r="H390" s="527"/>
      <c r="I390" s="528"/>
      <c r="K390" s="531"/>
      <c r="L390" s="531"/>
      <c r="M390" s="531"/>
      <c r="N390" s="531"/>
      <c r="O390" s="531"/>
      <c r="P390" s="531"/>
      <c r="Q390" s="531"/>
      <c r="R390" s="531"/>
      <c r="S390" s="531"/>
      <c r="T390" s="531"/>
      <c r="U390" s="531"/>
      <c r="V390" s="531"/>
      <c r="W390" s="531"/>
      <c r="X390" s="531"/>
      <c r="Y390" s="531"/>
      <c r="Z390" s="531"/>
      <c r="AA390" s="531"/>
    </row>
    <row r="391" spans="1:27" ht="15">
      <c r="A391" s="527"/>
      <c r="B391" s="527"/>
      <c r="C391" s="527"/>
      <c r="D391" s="527"/>
      <c r="E391" s="527"/>
      <c r="F391" s="527"/>
      <c r="G391" s="527"/>
      <c r="H391" s="527"/>
      <c r="I391" s="528"/>
      <c r="K391" s="531"/>
      <c r="L391" s="531"/>
      <c r="M391" s="531"/>
      <c r="N391" s="531"/>
      <c r="O391" s="531"/>
      <c r="P391" s="531"/>
      <c r="Q391" s="531"/>
      <c r="R391" s="531"/>
      <c r="S391" s="531"/>
      <c r="T391" s="531"/>
      <c r="U391" s="531"/>
      <c r="V391" s="531"/>
      <c r="W391" s="531"/>
      <c r="X391" s="531"/>
      <c r="Y391" s="531"/>
      <c r="Z391" s="531"/>
      <c r="AA391" s="531"/>
    </row>
    <row r="392" spans="1:27" ht="15">
      <c r="A392" s="527"/>
      <c r="B392" s="527"/>
      <c r="C392" s="527"/>
      <c r="D392" s="527"/>
      <c r="E392" s="527"/>
      <c r="F392" s="527"/>
      <c r="G392" s="527"/>
      <c r="H392" s="527"/>
      <c r="I392" s="528"/>
      <c r="K392" s="531"/>
      <c r="L392" s="531"/>
      <c r="M392" s="531"/>
      <c r="N392" s="531"/>
      <c r="O392" s="531"/>
      <c r="P392" s="531"/>
      <c r="Q392" s="531"/>
      <c r="R392" s="531"/>
      <c r="S392" s="531"/>
      <c r="T392" s="531"/>
      <c r="U392" s="531"/>
      <c r="V392" s="531"/>
      <c r="W392" s="531"/>
      <c r="X392" s="531"/>
      <c r="Y392" s="531"/>
      <c r="Z392" s="531"/>
      <c r="AA392" s="531"/>
    </row>
    <row r="393" spans="1:27" ht="15">
      <c r="A393" s="527"/>
      <c r="B393" s="527"/>
      <c r="C393" s="527"/>
      <c r="D393" s="527"/>
      <c r="E393" s="527"/>
      <c r="F393" s="527"/>
      <c r="G393" s="527"/>
      <c r="H393" s="527"/>
      <c r="I393" s="528"/>
      <c r="K393" s="531"/>
      <c r="L393" s="531"/>
      <c r="M393" s="531"/>
      <c r="N393" s="531"/>
      <c r="O393" s="531"/>
      <c r="P393" s="531"/>
      <c r="Q393" s="531"/>
      <c r="R393" s="531"/>
      <c r="S393" s="531"/>
      <c r="T393" s="531"/>
      <c r="U393" s="531"/>
      <c r="V393" s="531"/>
      <c r="W393" s="531"/>
      <c r="X393" s="531"/>
      <c r="Y393" s="531"/>
      <c r="Z393" s="531"/>
      <c r="AA393" s="531"/>
    </row>
    <row r="394" spans="1:27" ht="15">
      <c r="A394" s="527"/>
      <c r="B394" s="527"/>
      <c r="C394" s="527"/>
      <c r="D394" s="527"/>
      <c r="E394" s="527"/>
      <c r="F394" s="527"/>
      <c r="G394" s="527"/>
      <c r="H394" s="527"/>
      <c r="I394" s="528"/>
      <c r="K394" s="531"/>
      <c r="L394" s="531"/>
      <c r="M394" s="531"/>
      <c r="N394" s="531"/>
      <c r="O394" s="531"/>
      <c r="P394" s="531"/>
      <c r="Q394" s="531"/>
      <c r="R394" s="531"/>
      <c r="S394" s="531"/>
      <c r="T394" s="531"/>
      <c r="U394" s="531"/>
      <c r="V394" s="531"/>
      <c r="W394" s="531"/>
      <c r="X394" s="531"/>
      <c r="Y394" s="531"/>
      <c r="Z394" s="531"/>
      <c r="AA394" s="531"/>
    </row>
    <row r="395" spans="1:27" ht="15">
      <c r="A395" s="527"/>
      <c r="B395" s="527"/>
      <c r="C395" s="527"/>
      <c r="D395" s="527"/>
      <c r="E395" s="527"/>
      <c r="F395" s="527"/>
      <c r="G395" s="527"/>
      <c r="H395" s="527"/>
      <c r="I395" s="528"/>
      <c r="K395" s="531"/>
      <c r="L395" s="531"/>
      <c r="M395" s="531"/>
      <c r="N395" s="531"/>
      <c r="O395" s="531"/>
      <c r="P395" s="531"/>
      <c r="Q395" s="531"/>
      <c r="R395" s="531"/>
      <c r="S395" s="531"/>
      <c r="T395" s="531"/>
      <c r="U395" s="531"/>
      <c r="V395" s="531"/>
      <c r="W395" s="531"/>
      <c r="X395" s="531"/>
      <c r="Y395" s="531"/>
      <c r="Z395" s="531"/>
      <c r="AA395" s="531"/>
    </row>
    <row r="396" spans="1:27" ht="15">
      <c r="A396" s="527"/>
      <c r="B396" s="527"/>
      <c r="C396" s="527"/>
      <c r="D396" s="527"/>
      <c r="E396" s="527"/>
      <c r="F396" s="527"/>
      <c r="G396" s="527"/>
      <c r="H396" s="527"/>
      <c r="I396" s="528"/>
      <c r="K396" s="531"/>
      <c r="L396" s="531"/>
      <c r="M396" s="531"/>
      <c r="N396" s="531"/>
      <c r="O396" s="531"/>
      <c r="P396" s="531"/>
      <c r="Q396" s="531"/>
      <c r="R396" s="531"/>
      <c r="S396" s="531"/>
      <c r="T396" s="531"/>
      <c r="U396" s="531"/>
      <c r="V396" s="531"/>
      <c r="W396" s="531"/>
      <c r="X396" s="531"/>
      <c r="Y396" s="531"/>
      <c r="Z396" s="531"/>
      <c r="AA396" s="531"/>
    </row>
    <row r="397" spans="1:27" ht="15">
      <c r="A397" s="527"/>
      <c r="B397" s="527"/>
      <c r="C397" s="527"/>
      <c r="D397" s="527"/>
      <c r="E397" s="527"/>
      <c r="F397" s="527"/>
      <c r="G397" s="527"/>
      <c r="H397" s="527"/>
      <c r="I397" s="528"/>
      <c r="K397" s="531"/>
      <c r="L397" s="531"/>
      <c r="M397" s="531"/>
      <c r="N397" s="531"/>
      <c r="O397" s="531"/>
      <c r="P397" s="531"/>
      <c r="Q397" s="531"/>
      <c r="R397" s="531"/>
      <c r="S397" s="531"/>
      <c r="T397" s="531"/>
      <c r="U397" s="531"/>
      <c r="V397" s="531"/>
      <c r="W397" s="531"/>
      <c r="X397" s="531"/>
      <c r="Y397" s="531"/>
      <c r="Z397" s="531"/>
      <c r="AA397" s="531"/>
    </row>
    <row r="398" spans="1:27" ht="15">
      <c r="A398" s="527"/>
      <c r="B398" s="527"/>
      <c r="C398" s="527"/>
      <c r="D398" s="527"/>
      <c r="E398" s="527"/>
      <c r="F398" s="527"/>
      <c r="G398" s="527"/>
      <c r="H398" s="527"/>
      <c r="I398" s="528"/>
      <c r="K398" s="531"/>
      <c r="L398" s="531"/>
      <c r="M398" s="531"/>
      <c r="N398" s="531"/>
      <c r="O398" s="531"/>
      <c r="P398" s="531"/>
      <c r="Q398" s="531"/>
      <c r="R398" s="531"/>
      <c r="S398" s="531"/>
      <c r="T398" s="531"/>
      <c r="U398" s="531"/>
      <c r="V398" s="531"/>
      <c r="W398" s="531"/>
      <c r="X398" s="531"/>
      <c r="Y398" s="531"/>
      <c r="Z398" s="531"/>
      <c r="AA398" s="531"/>
    </row>
    <row r="399" spans="1:27" ht="15">
      <c r="A399" s="527"/>
      <c r="B399" s="527"/>
      <c r="C399" s="527"/>
      <c r="D399" s="527"/>
      <c r="E399" s="527"/>
      <c r="F399" s="527"/>
      <c r="G399" s="527"/>
      <c r="H399" s="527"/>
      <c r="I399" s="528"/>
      <c r="K399" s="531"/>
      <c r="L399" s="531"/>
      <c r="M399" s="531"/>
      <c r="N399" s="531"/>
      <c r="O399" s="531"/>
      <c r="P399" s="531"/>
      <c r="Q399" s="531"/>
      <c r="R399" s="531"/>
      <c r="S399" s="531"/>
      <c r="T399" s="531"/>
      <c r="U399" s="531"/>
      <c r="V399" s="531"/>
      <c r="W399" s="531"/>
      <c r="X399" s="531"/>
      <c r="Y399" s="531"/>
      <c r="Z399" s="531"/>
      <c r="AA399" s="531"/>
    </row>
    <row r="400" spans="1:27" ht="15">
      <c r="A400" s="527"/>
      <c r="B400" s="527"/>
      <c r="C400" s="527"/>
      <c r="D400" s="527"/>
      <c r="E400" s="527"/>
      <c r="F400" s="527"/>
      <c r="G400" s="527"/>
      <c r="H400" s="527"/>
      <c r="I400" s="528"/>
      <c r="K400" s="531"/>
      <c r="L400" s="531"/>
      <c r="M400" s="531"/>
      <c r="N400" s="531"/>
      <c r="O400" s="531"/>
      <c r="P400" s="531"/>
      <c r="Q400" s="531"/>
      <c r="R400" s="531"/>
      <c r="S400" s="531"/>
      <c r="T400" s="531"/>
      <c r="U400" s="531"/>
      <c r="V400" s="531"/>
      <c r="W400" s="531"/>
      <c r="X400" s="531"/>
      <c r="Y400" s="531"/>
      <c r="Z400" s="531"/>
      <c r="AA400" s="531"/>
    </row>
    <row r="401" spans="1:27" ht="15">
      <c r="A401" s="527"/>
      <c r="B401" s="527"/>
      <c r="C401" s="527"/>
      <c r="D401" s="527"/>
      <c r="E401" s="527"/>
      <c r="F401" s="527"/>
      <c r="G401" s="527"/>
      <c r="H401" s="527"/>
      <c r="I401" s="528"/>
      <c r="K401" s="531"/>
      <c r="L401" s="531"/>
      <c r="M401" s="531"/>
      <c r="N401" s="531"/>
      <c r="O401" s="531"/>
      <c r="P401" s="531"/>
      <c r="Q401" s="531"/>
      <c r="R401" s="531"/>
      <c r="S401" s="531"/>
      <c r="T401" s="531"/>
      <c r="U401" s="531"/>
      <c r="V401" s="531"/>
      <c r="W401" s="531"/>
      <c r="X401" s="531"/>
      <c r="Y401" s="531"/>
      <c r="Z401" s="531"/>
      <c r="AA401" s="531"/>
    </row>
    <row r="402" spans="1:27" ht="15">
      <c r="A402" s="527"/>
      <c r="B402" s="527"/>
      <c r="C402" s="527"/>
      <c r="D402" s="527"/>
      <c r="E402" s="527"/>
      <c r="F402" s="527"/>
      <c r="G402" s="527"/>
      <c r="H402" s="527"/>
      <c r="I402" s="528"/>
      <c r="K402" s="531"/>
      <c r="L402" s="531"/>
      <c r="M402" s="531"/>
      <c r="N402" s="531"/>
      <c r="O402" s="531"/>
      <c r="P402" s="531"/>
      <c r="Q402" s="531"/>
      <c r="R402" s="531"/>
      <c r="S402" s="531"/>
      <c r="T402" s="531"/>
      <c r="U402" s="531"/>
      <c r="V402" s="531"/>
      <c r="W402" s="531"/>
      <c r="X402" s="531"/>
      <c r="Y402" s="531"/>
      <c r="Z402" s="531"/>
      <c r="AA402" s="531"/>
    </row>
    <row r="403" spans="1:27" ht="15">
      <c r="A403" s="527"/>
      <c r="B403" s="527"/>
      <c r="C403" s="527"/>
      <c r="D403" s="527"/>
      <c r="E403" s="527"/>
      <c r="F403" s="527"/>
      <c r="G403" s="527"/>
      <c r="H403" s="527"/>
      <c r="I403" s="528"/>
      <c r="K403" s="531"/>
      <c r="L403" s="531"/>
      <c r="M403" s="531"/>
      <c r="N403" s="531"/>
      <c r="O403" s="531"/>
      <c r="P403" s="531"/>
      <c r="Q403" s="531"/>
      <c r="R403" s="531"/>
      <c r="S403" s="531"/>
      <c r="T403" s="531"/>
      <c r="U403" s="531"/>
      <c r="V403" s="531"/>
      <c r="W403" s="531"/>
      <c r="X403" s="531"/>
      <c r="Y403" s="531"/>
      <c r="Z403" s="531"/>
      <c r="AA403" s="531"/>
    </row>
    <row r="404" spans="1:27" ht="15">
      <c r="A404" s="527"/>
      <c r="B404" s="527"/>
      <c r="C404" s="527"/>
      <c r="D404" s="527"/>
      <c r="E404" s="527"/>
      <c r="F404" s="527"/>
      <c r="G404" s="527"/>
      <c r="H404" s="527"/>
      <c r="I404" s="528"/>
      <c r="K404" s="531"/>
      <c r="L404" s="531"/>
      <c r="M404" s="531"/>
      <c r="N404" s="531"/>
      <c r="O404" s="531"/>
      <c r="P404" s="531"/>
      <c r="Q404" s="531"/>
      <c r="R404" s="531"/>
      <c r="S404" s="531"/>
      <c r="T404" s="531"/>
      <c r="U404" s="531"/>
      <c r="V404" s="531"/>
      <c r="W404" s="531"/>
      <c r="X404" s="531"/>
      <c r="Y404" s="531"/>
      <c r="Z404" s="531"/>
      <c r="AA404" s="531"/>
    </row>
    <row r="405" spans="1:27" ht="15">
      <c r="A405" s="527"/>
      <c r="B405" s="527"/>
      <c r="C405" s="527"/>
      <c r="D405" s="527"/>
      <c r="E405" s="527"/>
      <c r="F405" s="527"/>
      <c r="G405" s="527"/>
      <c r="H405" s="527"/>
      <c r="I405" s="528"/>
      <c r="K405" s="531"/>
      <c r="L405" s="531"/>
      <c r="M405" s="531"/>
      <c r="N405" s="531"/>
      <c r="O405" s="531"/>
      <c r="P405" s="531"/>
      <c r="Q405" s="531"/>
      <c r="R405" s="531"/>
      <c r="S405" s="531"/>
      <c r="T405" s="531"/>
      <c r="U405" s="531"/>
      <c r="V405" s="531"/>
      <c r="W405" s="531"/>
      <c r="X405" s="531"/>
      <c r="Y405" s="531"/>
      <c r="Z405" s="531"/>
      <c r="AA405" s="531"/>
    </row>
    <row r="406" spans="1:27" ht="15">
      <c r="A406" s="527"/>
      <c r="B406" s="527"/>
      <c r="C406" s="527"/>
      <c r="D406" s="527"/>
      <c r="E406" s="527"/>
      <c r="F406" s="527"/>
      <c r="G406" s="527"/>
      <c r="H406" s="527"/>
      <c r="I406" s="528"/>
      <c r="K406" s="531"/>
      <c r="L406" s="531"/>
      <c r="M406" s="531"/>
      <c r="N406" s="531"/>
      <c r="O406" s="531"/>
      <c r="P406" s="531"/>
      <c r="Q406" s="531"/>
      <c r="R406" s="531"/>
      <c r="S406" s="531"/>
      <c r="T406" s="531"/>
      <c r="U406" s="531"/>
      <c r="V406" s="531"/>
      <c r="W406" s="531"/>
      <c r="X406" s="531"/>
      <c r="Y406" s="531"/>
      <c r="Z406" s="531"/>
      <c r="AA406" s="531"/>
    </row>
    <row r="407" spans="1:27" ht="15">
      <c r="A407" s="527"/>
      <c r="B407" s="527"/>
      <c r="C407" s="527"/>
      <c r="D407" s="527"/>
      <c r="E407" s="527"/>
      <c r="F407" s="527"/>
      <c r="G407" s="527"/>
      <c r="H407" s="527"/>
      <c r="I407" s="528"/>
      <c r="K407" s="531"/>
      <c r="L407" s="531"/>
      <c r="M407" s="531"/>
      <c r="N407" s="531"/>
      <c r="O407" s="531"/>
      <c r="P407" s="531"/>
      <c r="Q407" s="531"/>
      <c r="R407" s="531"/>
      <c r="S407" s="531"/>
      <c r="T407" s="531"/>
      <c r="U407" s="531"/>
      <c r="V407" s="531"/>
      <c r="W407" s="531"/>
      <c r="X407" s="531"/>
      <c r="Y407" s="531"/>
      <c r="Z407" s="531"/>
      <c r="AA407" s="531"/>
    </row>
    <row r="408" spans="1:27" ht="15">
      <c r="A408" s="527"/>
      <c r="B408" s="527"/>
      <c r="C408" s="527"/>
      <c r="D408" s="527"/>
      <c r="E408" s="527"/>
      <c r="F408" s="527"/>
      <c r="G408" s="527"/>
      <c r="H408" s="527"/>
      <c r="I408" s="528"/>
      <c r="K408" s="531"/>
      <c r="L408" s="531"/>
      <c r="M408" s="531"/>
      <c r="N408" s="531"/>
      <c r="O408" s="531"/>
      <c r="P408" s="531"/>
      <c r="Q408" s="531"/>
      <c r="R408" s="531"/>
      <c r="S408" s="531"/>
      <c r="T408" s="531"/>
      <c r="U408" s="531"/>
      <c r="V408" s="531"/>
      <c r="W408" s="531"/>
      <c r="X408" s="531"/>
      <c r="Y408" s="531"/>
      <c r="Z408" s="531"/>
      <c r="AA408" s="531"/>
    </row>
    <row r="409" spans="1:27" ht="15">
      <c r="A409" s="527"/>
      <c r="B409" s="527"/>
      <c r="C409" s="527"/>
      <c r="D409" s="527"/>
      <c r="E409" s="527"/>
      <c r="F409" s="527"/>
      <c r="G409" s="527"/>
      <c r="H409" s="527"/>
      <c r="I409" s="528"/>
      <c r="K409" s="531"/>
      <c r="L409" s="531"/>
      <c r="M409" s="531"/>
      <c r="N409" s="531"/>
      <c r="O409" s="531"/>
      <c r="P409" s="531"/>
      <c r="Q409" s="531"/>
      <c r="R409" s="531"/>
      <c r="S409" s="531"/>
      <c r="T409" s="531"/>
      <c r="U409" s="531"/>
      <c r="V409" s="531"/>
      <c r="W409" s="531"/>
      <c r="X409" s="531"/>
      <c r="Y409" s="531"/>
      <c r="Z409" s="531"/>
      <c r="AA409" s="531"/>
    </row>
    <row r="410" spans="1:27" ht="15">
      <c r="A410" s="527"/>
      <c r="B410" s="527"/>
      <c r="C410" s="527"/>
      <c r="D410" s="527"/>
      <c r="E410" s="527"/>
      <c r="F410" s="527"/>
      <c r="G410" s="527"/>
      <c r="H410" s="527"/>
      <c r="I410" s="528"/>
      <c r="K410" s="531"/>
      <c r="L410" s="531"/>
      <c r="M410" s="531"/>
      <c r="N410" s="531"/>
      <c r="O410" s="531"/>
      <c r="P410" s="531"/>
      <c r="Q410" s="531"/>
      <c r="R410" s="531"/>
      <c r="S410" s="531"/>
      <c r="T410" s="531"/>
      <c r="U410" s="531"/>
      <c r="V410" s="531"/>
      <c r="W410" s="531"/>
      <c r="X410" s="531"/>
      <c r="Y410" s="531"/>
      <c r="Z410" s="531"/>
      <c r="AA410" s="531"/>
    </row>
    <row r="411" spans="1:27" ht="15">
      <c r="A411" s="527"/>
      <c r="B411" s="527"/>
      <c r="C411" s="527"/>
      <c r="D411" s="527"/>
      <c r="E411" s="527"/>
      <c r="F411" s="527"/>
      <c r="G411" s="527"/>
      <c r="H411" s="527"/>
      <c r="I411" s="528"/>
      <c r="K411" s="531"/>
      <c r="L411" s="531"/>
      <c r="M411" s="531"/>
      <c r="N411" s="531"/>
      <c r="O411" s="531"/>
      <c r="P411" s="531"/>
      <c r="Q411" s="531"/>
      <c r="R411" s="531"/>
      <c r="S411" s="531"/>
      <c r="T411" s="531"/>
      <c r="U411" s="531"/>
      <c r="V411" s="531"/>
      <c r="W411" s="531"/>
      <c r="X411" s="531"/>
      <c r="Y411" s="531"/>
      <c r="Z411" s="531"/>
      <c r="AA411" s="531"/>
    </row>
    <row r="412" spans="1:27" ht="15">
      <c r="A412" s="527"/>
      <c r="B412" s="527"/>
      <c r="C412" s="527"/>
      <c r="D412" s="527"/>
      <c r="E412" s="527"/>
      <c r="F412" s="527"/>
      <c r="G412" s="527"/>
      <c r="H412" s="527"/>
      <c r="I412" s="528"/>
      <c r="K412" s="531"/>
      <c r="L412" s="531"/>
      <c r="M412" s="531"/>
      <c r="N412" s="531"/>
      <c r="O412" s="531"/>
      <c r="P412" s="531"/>
      <c r="Q412" s="531"/>
      <c r="R412" s="531"/>
      <c r="S412" s="531"/>
      <c r="T412" s="531"/>
      <c r="U412" s="531"/>
      <c r="V412" s="531"/>
      <c r="W412" s="531"/>
      <c r="X412" s="531"/>
      <c r="Y412" s="531"/>
      <c r="Z412" s="531"/>
      <c r="AA412" s="531"/>
    </row>
    <row r="413" spans="1:27" ht="15">
      <c r="A413" s="527"/>
      <c r="B413" s="527"/>
      <c r="C413" s="527"/>
      <c r="D413" s="527"/>
      <c r="E413" s="527"/>
      <c r="F413" s="527"/>
      <c r="G413" s="527"/>
      <c r="H413" s="527"/>
      <c r="I413" s="528"/>
      <c r="K413" s="531"/>
      <c r="L413" s="531"/>
      <c r="M413" s="531"/>
      <c r="N413" s="531"/>
      <c r="O413" s="531"/>
      <c r="P413" s="531"/>
      <c r="Q413" s="531"/>
      <c r="R413" s="531"/>
      <c r="S413" s="531"/>
      <c r="T413" s="531"/>
      <c r="U413" s="531"/>
      <c r="V413" s="531"/>
      <c r="W413" s="531"/>
      <c r="X413" s="531"/>
      <c r="Y413" s="531"/>
      <c r="Z413" s="531"/>
      <c r="AA413" s="531"/>
    </row>
    <row r="414" spans="1:27" ht="15">
      <c r="A414" s="527"/>
      <c r="B414" s="527"/>
      <c r="C414" s="527"/>
      <c r="D414" s="527"/>
      <c r="E414" s="527"/>
      <c r="F414" s="527"/>
      <c r="G414" s="527"/>
      <c r="H414" s="527"/>
      <c r="I414" s="528"/>
      <c r="K414" s="531"/>
      <c r="L414" s="531"/>
      <c r="M414" s="531"/>
      <c r="N414" s="531"/>
      <c r="O414" s="531"/>
      <c r="P414" s="531"/>
      <c r="Q414" s="531"/>
      <c r="R414" s="531"/>
      <c r="S414" s="531"/>
      <c r="T414" s="531"/>
      <c r="U414" s="531"/>
      <c r="V414" s="531"/>
      <c r="W414" s="531"/>
      <c r="X414" s="531"/>
      <c r="Y414" s="531"/>
      <c r="Z414" s="531"/>
      <c r="AA414" s="531"/>
    </row>
    <row r="415" spans="1:27" ht="15">
      <c r="A415" s="527"/>
      <c r="B415" s="527"/>
      <c r="C415" s="527"/>
      <c r="D415" s="527"/>
      <c r="E415" s="527"/>
      <c r="F415" s="527"/>
      <c r="G415" s="527"/>
      <c r="H415" s="527"/>
      <c r="I415" s="528"/>
      <c r="K415" s="531"/>
      <c r="L415" s="531"/>
      <c r="M415" s="531"/>
      <c r="N415" s="531"/>
      <c r="O415" s="531"/>
      <c r="P415" s="531"/>
      <c r="Q415" s="531"/>
      <c r="R415" s="531"/>
      <c r="S415" s="531"/>
      <c r="T415" s="531"/>
      <c r="U415" s="531"/>
      <c r="V415" s="531"/>
      <c r="W415" s="531"/>
      <c r="X415" s="531"/>
      <c r="Y415" s="531"/>
      <c r="Z415" s="531"/>
      <c r="AA415" s="531"/>
    </row>
    <row r="416" spans="1:27" ht="15">
      <c r="A416" s="527"/>
      <c r="B416" s="527"/>
      <c r="C416" s="527"/>
      <c r="D416" s="527"/>
      <c r="E416" s="527"/>
      <c r="F416" s="527"/>
      <c r="G416" s="527"/>
      <c r="H416" s="527"/>
      <c r="I416" s="528"/>
      <c r="K416" s="531"/>
      <c r="L416" s="531"/>
      <c r="M416" s="531"/>
      <c r="N416" s="531"/>
      <c r="O416" s="531"/>
      <c r="P416" s="531"/>
      <c r="Q416" s="531"/>
      <c r="R416" s="531"/>
      <c r="S416" s="531"/>
      <c r="T416" s="531"/>
      <c r="U416" s="531"/>
      <c r="V416" s="531"/>
      <c r="W416" s="531"/>
      <c r="X416" s="531"/>
      <c r="Y416" s="531"/>
      <c r="Z416" s="531"/>
      <c r="AA416" s="531"/>
    </row>
    <row r="417" spans="1:27" ht="15">
      <c r="A417" s="527"/>
      <c r="B417" s="527"/>
      <c r="C417" s="527"/>
      <c r="D417" s="527"/>
      <c r="E417" s="527"/>
      <c r="F417" s="527"/>
      <c r="G417" s="527"/>
      <c r="H417" s="527"/>
      <c r="I417" s="528"/>
      <c r="K417" s="531"/>
      <c r="L417" s="531"/>
      <c r="M417" s="531"/>
      <c r="N417" s="531"/>
      <c r="O417" s="531"/>
      <c r="P417" s="531"/>
      <c r="Q417" s="531"/>
      <c r="R417" s="531"/>
      <c r="S417" s="531"/>
      <c r="T417" s="531"/>
      <c r="U417" s="531"/>
      <c r="V417" s="531"/>
      <c r="W417" s="531"/>
      <c r="X417" s="531"/>
      <c r="Y417" s="531"/>
      <c r="Z417" s="531"/>
      <c r="AA417" s="531"/>
    </row>
    <row r="418" spans="1:27" ht="15">
      <c r="A418" s="527"/>
      <c r="B418" s="527"/>
      <c r="C418" s="527"/>
      <c r="D418" s="527"/>
      <c r="E418" s="527"/>
      <c r="F418" s="527"/>
      <c r="G418" s="527"/>
      <c r="H418" s="527"/>
      <c r="I418" s="528"/>
      <c r="K418" s="531"/>
      <c r="L418" s="531"/>
      <c r="M418" s="531"/>
      <c r="N418" s="531"/>
      <c r="O418" s="531"/>
      <c r="P418" s="531"/>
      <c r="Q418" s="531"/>
      <c r="R418" s="531"/>
      <c r="S418" s="531"/>
      <c r="T418" s="531"/>
      <c r="U418" s="531"/>
      <c r="V418" s="531"/>
      <c r="W418" s="531"/>
      <c r="X418" s="531"/>
      <c r="Y418" s="531"/>
      <c r="Z418" s="531"/>
      <c r="AA418" s="531"/>
    </row>
    <row r="419" spans="1:27" ht="15">
      <c r="A419" s="527"/>
      <c r="B419" s="527"/>
      <c r="C419" s="527"/>
      <c r="D419" s="527"/>
      <c r="E419" s="527"/>
      <c r="F419" s="527"/>
      <c r="G419" s="527"/>
      <c r="H419" s="527"/>
      <c r="I419" s="528"/>
      <c r="K419" s="531"/>
      <c r="L419" s="531"/>
      <c r="M419" s="531"/>
      <c r="N419" s="531"/>
      <c r="O419" s="531"/>
      <c r="P419" s="531"/>
      <c r="Q419" s="531"/>
      <c r="R419" s="531"/>
      <c r="S419" s="531"/>
      <c r="T419" s="531"/>
      <c r="U419" s="531"/>
      <c r="V419" s="531"/>
      <c r="W419" s="531"/>
      <c r="X419" s="531"/>
      <c r="Y419" s="531"/>
      <c r="Z419" s="531"/>
      <c r="AA419" s="531"/>
    </row>
    <row r="420" spans="1:27" ht="15">
      <c r="A420" s="527"/>
      <c r="B420" s="527"/>
      <c r="C420" s="527"/>
      <c r="D420" s="527"/>
      <c r="E420" s="527"/>
      <c r="F420" s="527"/>
      <c r="G420" s="527"/>
      <c r="H420" s="527"/>
      <c r="I420" s="528"/>
      <c r="K420" s="531"/>
      <c r="L420" s="531"/>
      <c r="M420" s="531"/>
      <c r="N420" s="531"/>
      <c r="O420" s="531"/>
      <c r="P420" s="531"/>
      <c r="Q420" s="531"/>
      <c r="R420" s="531"/>
      <c r="S420" s="531"/>
      <c r="T420" s="531"/>
      <c r="U420" s="531"/>
      <c r="V420" s="531"/>
      <c r="W420" s="531"/>
      <c r="X420" s="531"/>
      <c r="Y420" s="531"/>
      <c r="Z420" s="531"/>
      <c r="AA420" s="531"/>
    </row>
    <row r="421" spans="1:27" ht="15">
      <c r="A421" s="527"/>
      <c r="B421" s="527"/>
      <c r="C421" s="527"/>
      <c r="D421" s="527"/>
      <c r="E421" s="527"/>
      <c r="F421" s="527"/>
      <c r="G421" s="527"/>
      <c r="H421" s="527"/>
      <c r="I421" s="528"/>
      <c r="K421" s="531"/>
      <c r="L421" s="531"/>
      <c r="M421" s="531"/>
      <c r="N421" s="531"/>
      <c r="O421" s="531"/>
      <c r="P421" s="531"/>
      <c r="Q421" s="531"/>
      <c r="R421" s="531"/>
      <c r="S421" s="531"/>
      <c r="T421" s="531"/>
      <c r="U421" s="531"/>
      <c r="V421" s="531"/>
      <c r="W421" s="531"/>
      <c r="X421" s="531"/>
      <c r="Y421" s="531"/>
      <c r="Z421" s="531"/>
      <c r="AA421" s="531"/>
    </row>
    <row r="422" spans="1:27" ht="15">
      <c r="A422" s="527"/>
      <c r="B422" s="527"/>
      <c r="C422" s="527"/>
      <c r="D422" s="527"/>
      <c r="E422" s="527"/>
      <c r="F422" s="527"/>
      <c r="G422" s="527"/>
      <c r="H422" s="527"/>
      <c r="I422" s="528"/>
      <c r="K422" s="531"/>
      <c r="L422" s="531"/>
      <c r="M422" s="531"/>
      <c r="N422" s="531"/>
      <c r="O422" s="531"/>
      <c r="P422" s="531"/>
      <c r="Q422" s="531"/>
      <c r="R422" s="531"/>
      <c r="S422" s="531"/>
      <c r="T422" s="531"/>
      <c r="U422" s="531"/>
      <c r="V422" s="531"/>
      <c r="W422" s="531"/>
      <c r="X422" s="531"/>
      <c r="Y422" s="531"/>
      <c r="Z422" s="531"/>
      <c r="AA422" s="531"/>
    </row>
    <row r="423" spans="1:27" ht="15">
      <c r="A423" s="527"/>
      <c r="B423" s="527"/>
      <c r="C423" s="527"/>
      <c r="D423" s="527"/>
      <c r="E423" s="527"/>
      <c r="F423" s="527"/>
      <c r="G423" s="527"/>
      <c r="H423" s="527"/>
      <c r="I423" s="528"/>
      <c r="K423" s="531"/>
      <c r="L423" s="531"/>
      <c r="M423" s="531"/>
      <c r="N423" s="531"/>
      <c r="O423" s="531"/>
      <c r="P423" s="531"/>
      <c r="Q423" s="531"/>
      <c r="R423" s="531"/>
      <c r="S423" s="531"/>
      <c r="T423" s="531"/>
      <c r="U423" s="531"/>
      <c r="V423" s="531"/>
      <c r="W423" s="531"/>
      <c r="X423" s="531"/>
      <c r="Y423" s="531"/>
      <c r="Z423" s="531"/>
      <c r="AA423" s="531"/>
    </row>
    <row r="424" spans="1:27" ht="15">
      <c r="A424" s="527"/>
      <c r="B424" s="527"/>
      <c r="C424" s="527"/>
      <c r="D424" s="527"/>
      <c r="E424" s="527"/>
      <c r="F424" s="527"/>
      <c r="G424" s="527"/>
      <c r="H424" s="527"/>
      <c r="I424" s="528"/>
      <c r="K424" s="531"/>
      <c r="L424" s="531"/>
      <c r="M424" s="531"/>
      <c r="N424" s="531"/>
      <c r="O424" s="531"/>
      <c r="P424" s="531"/>
      <c r="Q424" s="531"/>
      <c r="R424" s="531"/>
      <c r="S424" s="531"/>
      <c r="T424" s="531"/>
      <c r="U424" s="531"/>
      <c r="V424" s="531"/>
      <c r="W424" s="531"/>
      <c r="X424" s="531"/>
      <c r="Y424" s="531"/>
      <c r="Z424" s="531"/>
      <c r="AA424" s="531"/>
    </row>
    <row r="425" spans="1:27" ht="15">
      <c r="A425" s="527"/>
      <c r="B425" s="527"/>
      <c r="C425" s="527"/>
      <c r="D425" s="527"/>
      <c r="E425" s="527"/>
      <c r="F425" s="527"/>
      <c r="G425" s="527"/>
      <c r="H425" s="527"/>
      <c r="I425" s="528"/>
      <c r="K425" s="531"/>
      <c r="L425" s="531"/>
      <c r="M425" s="531"/>
      <c r="N425" s="531"/>
      <c r="O425" s="531"/>
      <c r="P425" s="531"/>
      <c r="Q425" s="531"/>
      <c r="R425" s="531"/>
      <c r="S425" s="531"/>
      <c r="T425" s="531"/>
      <c r="U425" s="531"/>
      <c r="V425" s="531"/>
      <c r="W425" s="531"/>
      <c r="X425" s="531"/>
      <c r="Y425" s="531"/>
      <c r="Z425" s="531"/>
      <c r="AA425" s="531"/>
    </row>
    <row r="426" spans="1:27" ht="15">
      <c r="A426" s="527"/>
      <c r="B426" s="527"/>
      <c r="C426" s="527"/>
      <c r="D426" s="527"/>
      <c r="E426" s="527"/>
      <c r="F426" s="527"/>
      <c r="G426" s="527"/>
      <c r="H426" s="527"/>
      <c r="I426" s="528"/>
      <c r="K426" s="531"/>
      <c r="L426" s="531"/>
      <c r="M426" s="531"/>
      <c r="N426" s="531"/>
      <c r="O426" s="531"/>
      <c r="P426" s="531"/>
      <c r="Q426" s="531"/>
      <c r="R426" s="531"/>
      <c r="S426" s="531"/>
      <c r="T426" s="531"/>
      <c r="U426" s="531"/>
      <c r="V426" s="531"/>
      <c r="W426" s="531"/>
      <c r="X426" s="531"/>
      <c r="Y426" s="531"/>
      <c r="Z426" s="531"/>
      <c r="AA426" s="531"/>
    </row>
    <row r="427" spans="1:27" ht="15">
      <c r="A427" s="527"/>
      <c r="B427" s="527"/>
      <c r="C427" s="527"/>
      <c r="D427" s="527"/>
      <c r="E427" s="527"/>
      <c r="F427" s="527"/>
      <c r="G427" s="527"/>
      <c r="H427" s="527"/>
      <c r="I427" s="528"/>
      <c r="K427" s="531"/>
      <c r="L427" s="531"/>
      <c r="M427" s="531"/>
      <c r="N427" s="531"/>
      <c r="O427" s="531"/>
      <c r="P427" s="531"/>
      <c r="Q427" s="531"/>
      <c r="R427" s="531"/>
      <c r="S427" s="531"/>
      <c r="T427" s="531"/>
      <c r="U427" s="531"/>
      <c r="V427" s="531"/>
      <c r="W427" s="531"/>
      <c r="X427" s="531"/>
      <c r="Y427" s="531"/>
      <c r="Z427" s="531"/>
      <c r="AA427" s="531"/>
    </row>
    <row r="428" spans="1:27" ht="15">
      <c r="A428" s="527"/>
      <c r="B428" s="527"/>
      <c r="C428" s="527"/>
      <c r="D428" s="527"/>
      <c r="E428" s="527"/>
      <c r="F428" s="527"/>
      <c r="G428" s="527"/>
      <c r="H428" s="527"/>
      <c r="I428" s="528"/>
      <c r="K428" s="531"/>
      <c r="L428" s="531"/>
      <c r="M428" s="531"/>
      <c r="N428" s="531"/>
      <c r="O428" s="531"/>
      <c r="P428" s="531"/>
      <c r="Q428" s="531"/>
      <c r="R428" s="531"/>
      <c r="S428" s="531"/>
      <c r="T428" s="531"/>
      <c r="U428" s="531"/>
      <c r="V428" s="531"/>
      <c r="W428" s="531"/>
      <c r="X428" s="531"/>
      <c r="Y428" s="531"/>
      <c r="Z428" s="531"/>
      <c r="AA428" s="531"/>
    </row>
    <row r="429" spans="1:27" ht="15">
      <c r="A429" s="527"/>
      <c r="B429" s="527"/>
      <c r="C429" s="527"/>
      <c r="D429" s="527"/>
      <c r="E429" s="527"/>
      <c r="F429" s="527"/>
      <c r="G429" s="527"/>
      <c r="H429" s="527"/>
      <c r="I429" s="528"/>
      <c r="K429" s="531"/>
      <c r="L429" s="531"/>
      <c r="M429" s="531"/>
      <c r="N429" s="531"/>
      <c r="O429" s="531"/>
      <c r="P429" s="531"/>
      <c r="Q429" s="531"/>
      <c r="R429" s="531"/>
      <c r="S429" s="531"/>
      <c r="T429" s="531"/>
      <c r="U429" s="531"/>
      <c r="V429" s="531"/>
      <c r="W429" s="531"/>
      <c r="X429" s="531"/>
      <c r="Y429" s="531"/>
      <c r="Z429" s="531"/>
      <c r="AA429" s="531"/>
    </row>
    <row r="430" spans="1:27" ht="15">
      <c r="A430" s="527"/>
      <c r="B430" s="527"/>
      <c r="C430" s="527"/>
      <c r="D430" s="527"/>
      <c r="E430" s="527"/>
      <c r="F430" s="527"/>
      <c r="G430" s="527"/>
      <c r="H430" s="527"/>
      <c r="I430" s="528"/>
      <c r="K430" s="531"/>
      <c r="L430" s="531"/>
      <c r="M430" s="531"/>
      <c r="N430" s="531"/>
      <c r="O430" s="531"/>
      <c r="P430" s="531"/>
      <c r="Q430" s="531"/>
      <c r="R430" s="531"/>
      <c r="S430" s="531"/>
      <c r="T430" s="531"/>
      <c r="U430" s="531"/>
      <c r="V430" s="531"/>
      <c r="W430" s="531"/>
      <c r="X430" s="531"/>
      <c r="Y430" s="531"/>
      <c r="Z430" s="531"/>
      <c r="AA430" s="531"/>
    </row>
    <row r="431" spans="1:27" ht="15">
      <c r="A431" s="527"/>
      <c r="B431" s="527"/>
      <c r="C431" s="527"/>
      <c r="D431" s="527"/>
      <c r="E431" s="527"/>
      <c r="F431" s="527"/>
      <c r="G431" s="527"/>
      <c r="H431" s="527"/>
      <c r="I431" s="528"/>
      <c r="K431" s="531"/>
      <c r="L431" s="531"/>
      <c r="M431" s="531"/>
      <c r="N431" s="531"/>
      <c r="O431" s="531"/>
      <c r="P431" s="531"/>
      <c r="Q431" s="531"/>
      <c r="R431" s="531"/>
      <c r="S431" s="531"/>
      <c r="T431" s="531"/>
      <c r="U431" s="531"/>
      <c r="V431" s="531"/>
      <c r="W431" s="531"/>
      <c r="X431" s="531"/>
      <c r="Y431" s="531"/>
      <c r="Z431" s="531"/>
      <c r="AA431" s="531"/>
    </row>
    <row r="432" spans="1:27" ht="15">
      <c r="A432" s="527"/>
      <c r="B432" s="527"/>
      <c r="C432" s="527"/>
      <c r="D432" s="527"/>
      <c r="E432" s="527"/>
      <c r="F432" s="527"/>
      <c r="G432" s="527"/>
      <c r="H432" s="527"/>
      <c r="I432" s="528"/>
      <c r="K432" s="531"/>
      <c r="L432" s="531"/>
      <c r="M432" s="531"/>
      <c r="N432" s="531"/>
      <c r="O432" s="531"/>
      <c r="P432" s="531"/>
      <c r="Q432" s="531"/>
      <c r="R432" s="531"/>
      <c r="S432" s="531"/>
      <c r="T432" s="531"/>
      <c r="U432" s="531"/>
      <c r="V432" s="531"/>
      <c r="W432" s="531"/>
      <c r="X432" s="531"/>
      <c r="Y432" s="531"/>
      <c r="Z432" s="531"/>
      <c r="AA432" s="531"/>
    </row>
    <row r="433" spans="1:27" ht="15">
      <c r="A433" s="527"/>
      <c r="B433" s="527"/>
      <c r="C433" s="527"/>
      <c r="D433" s="527"/>
      <c r="E433" s="527"/>
      <c r="F433" s="527"/>
      <c r="G433" s="527"/>
      <c r="H433" s="527"/>
      <c r="I433" s="528"/>
      <c r="K433" s="531"/>
      <c r="L433" s="531"/>
      <c r="M433" s="531"/>
      <c r="N433" s="531"/>
      <c r="O433" s="531"/>
      <c r="P433" s="531"/>
      <c r="Q433" s="531"/>
      <c r="R433" s="531"/>
      <c r="S433" s="531"/>
      <c r="T433" s="531"/>
      <c r="U433" s="531"/>
      <c r="V433" s="531"/>
      <c r="W433" s="531"/>
      <c r="X433" s="531"/>
      <c r="Y433" s="531"/>
      <c r="Z433" s="531"/>
      <c r="AA433" s="531"/>
    </row>
    <row r="434" spans="1:27" ht="15">
      <c r="A434" s="527"/>
      <c r="B434" s="527"/>
      <c r="C434" s="527"/>
      <c r="D434" s="527"/>
      <c r="E434" s="527"/>
      <c r="F434" s="527"/>
      <c r="G434" s="527"/>
      <c r="H434" s="527"/>
      <c r="I434" s="528"/>
      <c r="K434" s="531"/>
      <c r="L434" s="531"/>
      <c r="M434" s="531"/>
      <c r="N434" s="531"/>
      <c r="O434" s="531"/>
      <c r="P434" s="531"/>
      <c r="Q434" s="531"/>
      <c r="R434" s="531"/>
      <c r="S434" s="531"/>
      <c r="T434" s="531"/>
      <c r="U434" s="531"/>
      <c r="V434" s="531"/>
      <c r="W434" s="531"/>
      <c r="X434" s="531"/>
      <c r="Y434" s="531"/>
      <c r="Z434" s="531"/>
      <c r="AA434" s="531"/>
    </row>
    <row r="435" spans="1:27" ht="15">
      <c r="A435" s="527"/>
      <c r="B435" s="527"/>
      <c r="C435" s="527"/>
      <c r="D435" s="527"/>
      <c r="E435" s="527"/>
      <c r="F435" s="527"/>
      <c r="G435" s="527"/>
      <c r="H435" s="527"/>
      <c r="I435" s="528"/>
      <c r="K435" s="531"/>
      <c r="L435" s="531"/>
      <c r="M435" s="531"/>
      <c r="N435" s="531"/>
      <c r="O435" s="531"/>
      <c r="P435" s="531"/>
      <c r="Q435" s="531"/>
      <c r="R435" s="531"/>
      <c r="S435" s="531"/>
      <c r="T435" s="531"/>
      <c r="U435" s="531"/>
      <c r="V435" s="531"/>
      <c r="W435" s="531"/>
      <c r="X435" s="531"/>
      <c r="Y435" s="531"/>
      <c r="Z435" s="531"/>
      <c r="AA435" s="531"/>
    </row>
    <row r="436" spans="1:27" ht="15">
      <c r="A436" s="527"/>
      <c r="B436" s="527"/>
      <c r="C436" s="527"/>
      <c r="D436" s="527"/>
      <c r="E436" s="527"/>
      <c r="F436" s="527"/>
      <c r="G436" s="527"/>
      <c r="H436" s="527"/>
      <c r="I436" s="528"/>
      <c r="K436" s="531"/>
      <c r="L436" s="531"/>
      <c r="M436" s="531"/>
      <c r="N436" s="531"/>
      <c r="O436" s="531"/>
      <c r="P436" s="531"/>
      <c r="Q436" s="531"/>
      <c r="R436" s="531"/>
      <c r="S436" s="531"/>
      <c r="T436" s="531"/>
      <c r="U436" s="531"/>
      <c r="V436" s="531"/>
      <c r="W436" s="531"/>
      <c r="X436" s="531"/>
      <c r="Y436" s="531"/>
      <c r="Z436" s="531"/>
      <c r="AA436" s="531"/>
    </row>
    <row r="437" spans="1:27" ht="15">
      <c r="A437" s="527"/>
      <c r="B437" s="527"/>
      <c r="C437" s="527"/>
      <c r="D437" s="527"/>
      <c r="E437" s="527"/>
      <c r="F437" s="527"/>
      <c r="G437" s="527"/>
      <c r="H437" s="527"/>
      <c r="I437" s="528"/>
      <c r="K437" s="531"/>
      <c r="L437" s="531"/>
      <c r="M437" s="531"/>
      <c r="N437" s="531"/>
      <c r="O437" s="531"/>
      <c r="P437" s="531"/>
      <c r="Q437" s="531"/>
      <c r="R437" s="531"/>
      <c r="S437" s="531"/>
      <c r="T437" s="531"/>
      <c r="U437" s="531"/>
      <c r="V437" s="531"/>
      <c r="W437" s="531"/>
      <c r="X437" s="531"/>
      <c r="Y437" s="531"/>
      <c r="Z437" s="531"/>
      <c r="AA437" s="531"/>
    </row>
    <row r="438" spans="1:27" ht="15">
      <c r="A438" s="527"/>
      <c r="B438" s="527"/>
      <c r="C438" s="527"/>
      <c r="D438" s="527"/>
      <c r="E438" s="527"/>
      <c r="F438" s="527"/>
      <c r="G438" s="527"/>
      <c r="H438" s="527"/>
      <c r="I438" s="528"/>
      <c r="K438" s="531"/>
      <c r="L438" s="531"/>
      <c r="M438" s="531"/>
      <c r="N438" s="531"/>
      <c r="O438" s="531"/>
      <c r="P438" s="531"/>
      <c r="Q438" s="531"/>
      <c r="R438" s="531"/>
      <c r="S438" s="531"/>
      <c r="T438" s="531"/>
      <c r="U438" s="531"/>
      <c r="V438" s="531"/>
      <c r="W438" s="531"/>
      <c r="X438" s="531"/>
      <c r="Y438" s="531"/>
      <c r="Z438" s="531"/>
      <c r="AA438" s="531"/>
    </row>
    <row r="439" spans="1:27" ht="15">
      <c r="A439" s="527"/>
      <c r="B439" s="527"/>
      <c r="C439" s="527"/>
      <c r="D439" s="527"/>
      <c r="E439" s="527"/>
      <c r="F439" s="527"/>
      <c r="G439" s="527"/>
      <c r="H439" s="527"/>
      <c r="I439" s="528"/>
      <c r="K439" s="531"/>
      <c r="L439" s="531"/>
      <c r="M439" s="531"/>
      <c r="N439" s="531"/>
      <c r="O439" s="531"/>
      <c r="P439" s="531"/>
      <c r="Q439" s="531"/>
      <c r="R439" s="531"/>
      <c r="S439" s="531"/>
      <c r="T439" s="531"/>
      <c r="U439" s="531"/>
      <c r="V439" s="531"/>
      <c r="W439" s="531"/>
      <c r="X439" s="531"/>
      <c r="Y439" s="531"/>
      <c r="Z439" s="531"/>
      <c r="AA439" s="531"/>
    </row>
    <row r="440" spans="1:27" ht="15">
      <c r="A440" s="527"/>
      <c r="B440" s="527"/>
      <c r="C440" s="527"/>
      <c r="D440" s="527"/>
      <c r="E440" s="527"/>
      <c r="F440" s="527"/>
      <c r="G440" s="527"/>
      <c r="H440" s="527"/>
      <c r="I440" s="528"/>
      <c r="K440" s="531"/>
      <c r="L440" s="531"/>
      <c r="M440" s="531"/>
      <c r="N440" s="531"/>
      <c r="O440" s="531"/>
      <c r="P440" s="531"/>
      <c r="Q440" s="531"/>
      <c r="R440" s="531"/>
      <c r="S440" s="531"/>
      <c r="T440" s="531"/>
      <c r="U440" s="531"/>
      <c r="V440" s="531"/>
      <c r="W440" s="531"/>
      <c r="X440" s="531"/>
      <c r="Y440" s="531"/>
      <c r="Z440" s="531"/>
      <c r="AA440" s="531"/>
    </row>
    <row r="441" spans="1:27" ht="15">
      <c r="A441" s="527"/>
      <c r="B441" s="527"/>
      <c r="C441" s="527"/>
      <c r="D441" s="527"/>
      <c r="E441" s="527"/>
      <c r="F441" s="527"/>
      <c r="G441" s="527"/>
      <c r="H441" s="527"/>
      <c r="I441" s="528"/>
      <c r="K441" s="531"/>
      <c r="L441" s="531"/>
      <c r="M441" s="531"/>
      <c r="N441" s="531"/>
      <c r="O441" s="531"/>
      <c r="P441" s="531"/>
      <c r="Q441" s="531"/>
      <c r="R441" s="531"/>
      <c r="S441" s="531"/>
      <c r="T441" s="531"/>
      <c r="U441" s="531"/>
      <c r="V441" s="531"/>
      <c r="W441" s="531"/>
      <c r="X441" s="531"/>
      <c r="Y441" s="531"/>
      <c r="Z441" s="531"/>
      <c r="AA441" s="531"/>
    </row>
    <row r="442" spans="1:27" ht="15">
      <c r="A442" s="527"/>
      <c r="B442" s="527"/>
      <c r="C442" s="527"/>
      <c r="D442" s="527"/>
      <c r="E442" s="527"/>
      <c r="F442" s="527"/>
      <c r="G442" s="527"/>
      <c r="H442" s="527"/>
      <c r="I442" s="528"/>
      <c r="K442" s="531"/>
      <c r="L442" s="531"/>
      <c r="M442" s="531"/>
      <c r="N442" s="531"/>
      <c r="O442" s="531"/>
      <c r="P442" s="531"/>
      <c r="Q442" s="531"/>
      <c r="R442" s="531"/>
      <c r="S442" s="531"/>
      <c r="T442" s="531"/>
      <c r="U442" s="531"/>
      <c r="V442" s="531"/>
      <c r="W442" s="531"/>
      <c r="X442" s="531"/>
      <c r="Y442" s="531"/>
      <c r="Z442" s="531"/>
      <c r="AA442" s="531"/>
    </row>
    <row r="443" spans="1:27" ht="15">
      <c r="A443" s="527"/>
      <c r="B443" s="527"/>
      <c r="C443" s="527"/>
      <c r="D443" s="527"/>
      <c r="E443" s="527"/>
      <c r="F443" s="527"/>
      <c r="G443" s="527"/>
      <c r="H443" s="527"/>
      <c r="I443" s="528"/>
      <c r="K443" s="531"/>
      <c r="L443" s="531"/>
      <c r="M443" s="531"/>
      <c r="N443" s="531"/>
      <c r="O443" s="531"/>
      <c r="P443" s="531"/>
      <c r="Q443" s="531"/>
      <c r="R443" s="531"/>
      <c r="S443" s="531"/>
      <c r="T443" s="531"/>
      <c r="U443" s="531"/>
      <c r="V443" s="531"/>
      <c r="W443" s="531"/>
      <c r="X443" s="531"/>
      <c r="Y443" s="531"/>
      <c r="Z443" s="531"/>
      <c r="AA443" s="531"/>
    </row>
    <row r="444" spans="1:27" ht="15">
      <c r="A444" s="527"/>
      <c r="B444" s="527"/>
      <c r="C444" s="527"/>
      <c r="D444" s="527"/>
      <c r="E444" s="527"/>
      <c r="F444" s="527"/>
      <c r="G444" s="527"/>
      <c r="H444" s="527"/>
      <c r="I444" s="528"/>
      <c r="K444" s="531"/>
      <c r="L444" s="531"/>
      <c r="M444" s="531"/>
      <c r="N444" s="531"/>
      <c r="O444" s="531"/>
      <c r="P444" s="531"/>
      <c r="Q444" s="531"/>
      <c r="R444" s="531"/>
      <c r="S444" s="531"/>
      <c r="T444" s="531"/>
      <c r="U444" s="531"/>
      <c r="V444" s="531"/>
      <c r="W444" s="531"/>
      <c r="X444" s="531"/>
      <c r="Y444" s="531"/>
      <c r="Z444" s="531"/>
      <c r="AA444" s="531"/>
    </row>
    <row r="445" spans="1:27" ht="15">
      <c r="A445" s="527"/>
      <c r="B445" s="527"/>
      <c r="C445" s="527"/>
      <c r="D445" s="527"/>
      <c r="E445" s="527"/>
      <c r="F445" s="527"/>
      <c r="G445" s="527"/>
      <c r="H445" s="527"/>
      <c r="I445" s="528"/>
      <c r="K445" s="531"/>
      <c r="L445" s="531"/>
      <c r="M445" s="531"/>
      <c r="N445" s="531"/>
      <c r="O445" s="531"/>
      <c r="P445" s="531"/>
      <c r="Q445" s="531"/>
      <c r="R445" s="531"/>
      <c r="S445" s="531"/>
      <c r="T445" s="531"/>
      <c r="U445" s="531"/>
      <c r="V445" s="531"/>
      <c r="W445" s="531"/>
      <c r="X445" s="531"/>
      <c r="Y445" s="531"/>
      <c r="Z445" s="531"/>
      <c r="AA445" s="531"/>
    </row>
    <row r="446" spans="1:27" ht="15">
      <c r="A446" s="527"/>
      <c r="B446" s="527"/>
      <c r="C446" s="527"/>
      <c r="D446" s="527"/>
      <c r="E446" s="527"/>
      <c r="F446" s="527"/>
      <c r="G446" s="527"/>
      <c r="H446" s="527"/>
      <c r="I446" s="528"/>
      <c r="K446" s="531"/>
      <c r="L446" s="531"/>
      <c r="M446" s="531"/>
      <c r="N446" s="531"/>
      <c r="O446" s="531"/>
      <c r="P446" s="531"/>
      <c r="Q446" s="531"/>
      <c r="R446" s="531"/>
      <c r="S446" s="531"/>
      <c r="T446" s="531"/>
      <c r="U446" s="531"/>
      <c r="V446" s="531"/>
      <c r="W446" s="531"/>
      <c r="X446" s="531"/>
      <c r="Y446" s="531"/>
      <c r="Z446" s="531"/>
      <c r="AA446" s="531"/>
    </row>
    <row r="447" spans="1:27" ht="15">
      <c r="A447" s="527"/>
      <c r="B447" s="527"/>
      <c r="C447" s="527"/>
      <c r="D447" s="527"/>
      <c r="E447" s="527"/>
      <c r="F447" s="527"/>
      <c r="G447" s="527"/>
      <c r="H447" s="527"/>
      <c r="I447" s="528"/>
      <c r="K447" s="531"/>
      <c r="L447" s="531"/>
      <c r="M447" s="531"/>
      <c r="N447" s="531"/>
      <c r="O447" s="531"/>
      <c r="P447" s="531"/>
      <c r="Q447" s="531"/>
      <c r="R447" s="531"/>
      <c r="S447" s="531"/>
      <c r="T447" s="531"/>
      <c r="U447" s="531"/>
      <c r="V447" s="531"/>
      <c r="W447" s="531"/>
      <c r="X447" s="531"/>
      <c r="Y447" s="531"/>
      <c r="Z447" s="531"/>
      <c r="AA447" s="531"/>
    </row>
    <row r="448" spans="1:27" ht="15">
      <c r="A448" s="527"/>
      <c r="B448" s="527"/>
      <c r="C448" s="527"/>
      <c r="D448" s="527"/>
      <c r="E448" s="527"/>
      <c r="F448" s="527"/>
      <c r="G448" s="527"/>
      <c r="H448" s="527"/>
      <c r="I448" s="528"/>
      <c r="K448" s="531"/>
      <c r="L448" s="531"/>
      <c r="M448" s="531"/>
      <c r="N448" s="531"/>
      <c r="O448" s="531"/>
      <c r="P448" s="531"/>
      <c r="Q448" s="531"/>
      <c r="R448" s="531"/>
      <c r="S448" s="531"/>
      <c r="T448" s="531"/>
      <c r="U448" s="531"/>
      <c r="V448" s="531"/>
      <c r="W448" s="531"/>
      <c r="X448" s="531"/>
      <c r="Y448" s="531"/>
      <c r="Z448" s="531"/>
      <c r="AA448" s="531"/>
    </row>
    <row r="449" spans="1:27" ht="15">
      <c r="A449" s="527"/>
      <c r="B449" s="527"/>
      <c r="C449" s="527"/>
      <c r="D449" s="527"/>
      <c r="E449" s="527"/>
      <c r="F449" s="527"/>
      <c r="G449" s="527"/>
      <c r="H449" s="527"/>
      <c r="I449" s="528"/>
      <c r="K449" s="531"/>
      <c r="L449" s="531"/>
      <c r="M449" s="531"/>
      <c r="N449" s="531"/>
      <c r="O449" s="531"/>
      <c r="P449" s="531"/>
      <c r="Q449" s="531"/>
      <c r="R449" s="531"/>
      <c r="S449" s="531"/>
      <c r="T449" s="531"/>
      <c r="U449" s="531"/>
      <c r="V449" s="531"/>
      <c r="W449" s="531"/>
      <c r="X449" s="531"/>
      <c r="Y449" s="531"/>
      <c r="Z449" s="531"/>
      <c r="AA449" s="531"/>
    </row>
    <row r="450" spans="1:27" ht="15">
      <c r="A450" s="527"/>
      <c r="B450" s="527"/>
      <c r="C450" s="527"/>
      <c r="D450" s="527"/>
      <c r="E450" s="527"/>
      <c r="F450" s="527"/>
      <c r="G450" s="527"/>
      <c r="H450" s="527"/>
      <c r="I450" s="528"/>
      <c r="K450" s="531"/>
      <c r="L450" s="531"/>
      <c r="M450" s="531"/>
      <c r="N450" s="531"/>
      <c r="O450" s="531"/>
      <c r="P450" s="531"/>
      <c r="Q450" s="531"/>
      <c r="R450" s="531"/>
      <c r="S450" s="531"/>
      <c r="T450" s="531"/>
      <c r="U450" s="531"/>
      <c r="V450" s="531"/>
      <c r="W450" s="531"/>
      <c r="X450" s="531"/>
      <c r="Y450" s="531"/>
      <c r="Z450" s="531"/>
      <c r="AA450" s="531"/>
    </row>
    <row r="451" spans="1:27" ht="15">
      <c r="A451" s="527"/>
      <c r="B451" s="527"/>
      <c r="C451" s="527"/>
      <c r="D451" s="527"/>
      <c r="E451" s="527"/>
      <c r="F451" s="527"/>
      <c r="G451" s="527"/>
      <c r="H451" s="527"/>
      <c r="I451" s="528"/>
      <c r="K451" s="531"/>
      <c r="L451" s="531"/>
      <c r="M451" s="531"/>
      <c r="N451" s="531"/>
      <c r="O451" s="531"/>
      <c r="P451" s="531"/>
      <c r="Q451" s="531"/>
      <c r="R451" s="531"/>
      <c r="S451" s="531"/>
      <c r="T451" s="531"/>
      <c r="U451" s="531"/>
      <c r="V451" s="531"/>
      <c r="W451" s="531"/>
      <c r="X451" s="531"/>
      <c r="Y451" s="531"/>
      <c r="Z451" s="531"/>
      <c r="AA451" s="531"/>
    </row>
    <row r="452" spans="1:27" ht="15">
      <c r="A452" s="527"/>
      <c r="B452" s="527"/>
      <c r="C452" s="527"/>
      <c r="D452" s="527"/>
      <c r="E452" s="527"/>
      <c r="F452" s="527"/>
      <c r="G452" s="527"/>
      <c r="H452" s="527"/>
      <c r="I452" s="528"/>
      <c r="K452" s="531"/>
      <c r="L452" s="531"/>
      <c r="M452" s="531"/>
      <c r="N452" s="531"/>
      <c r="O452" s="531"/>
      <c r="P452" s="531"/>
      <c r="Q452" s="531"/>
      <c r="R452" s="531"/>
      <c r="S452" s="531"/>
      <c r="T452" s="531"/>
      <c r="U452" s="531"/>
      <c r="V452" s="531"/>
      <c r="W452" s="531"/>
      <c r="X452" s="531"/>
      <c r="Y452" s="531"/>
      <c r="Z452" s="531"/>
      <c r="AA452" s="531"/>
    </row>
    <row r="453" spans="1:27" ht="15">
      <c r="A453" s="527"/>
      <c r="B453" s="527"/>
      <c r="C453" s="527"/>
      <c r="D453" s="527"/>
      <c r="E453" s="527"/>
      <c r="F453" s="527"/>
      <c r="G453" s="527"/>
      <c r="H453" s="527"/>
      <c r="I453" s="528"/>
      <c r="K453" s="531"/>
      <c r="L453" s="531"/>
      <c r="M453" s="531"/>
      <c r="N453" s="531"/>
      <c r="O453" s="531"/>
      <c r="P453" s="531"/>
      <c r="Q453" s="531"/>
      <c r="R453" s="531"/>
      <c r="S453" s="531"/>
      <c r="T453" s="531"/>
      <c r="U453" s="531"/>
      <c r="V453" s="531"/>
      <c r="W453" s="531"/>
      <c r="X453" s="531"/>
      <c r="Y453" s="531"/>
      <c r="Z453" s="531"/>
      <c r="AA453" s="531"/>
    </row>
    <row r="454" spans="1:27" ht="15">
      <c r="A454" s="527"/>
      <c r="B454" s="527"/>
      <c r="C454" s="527"/>
      <c r="D454" s="527"/>
      <c r="E454" s="527"/>
      <c r="F454" s="527"/>
      <c r="G454" s="527"/>
      <c r="H454" s="527"/>
      <c r="I454" s="528"/>
      <c r="K454" s="531"/>
      <c r="L454" s="531"/>
      <c r="M454" s="531"/>
      <c r="N454" s="531"/>
      <c r="O454" s="531"/>
      <c r="P454" s="531"/>
      <c r="Q454" s="531"/>
      <c r="R454" s="531"/>
      <c r="S454" s="531"/>
      <c r="T454" s="531"/>
      <c r="U454" s="531"/>
      <c r="V454" s="531"/>
      <c r="W454" s="531"/>
      <c r="X454" s="531"/>
      <c r="Y454" s="531"/>
      <c r="Z454" s="531"/>
      <c r="AA454" s="531"/>
    </row>
    <row r="455" spans="1:27" ht="15">
      <c r="A455" s="527"/>
      <c r="B455" s="527"/>
      <c r="C455" s="527"/>
      <c r="D455" s="527"/>
      <c r="E455" s="527"/>
      <c r="F455" s="527"/>
      <c r="G455" s="527"/>
      <c r="H455" s="527"/>
      <c r="I455" s="528"/>
      <c r="K455" s="531"/>
      <c r="L455" s="531"/>
      <c r="M455" s="531"/>
      <c r="N455" s="531"/>
      <c r="O455" s="531"/>
      <c r="P455" s="531"/>
      <c r="Q455" s="531"/>
      <c r="R455" s="531"/>
      <c r="S455" s="531"/>
      <c r="T455" s="531"/>
      <c r="U455" s="531"/>
      <c r="V455" s="531"/>
      <c r="W455" s="531"/>
      <c r="X455" s="531"/>
      <c r="Y455" s="531"/>
      <c r="Z455" s="531"/>
      <c r="AA455" s="531"/>
    </row>
    <row r="456" spans="1:27" ht="15">
      <c r="A456" s="527"/>
      <c r="B456" s="527"/>
      <c r="C456" s="527"/>
      <c r="D456" s="527"/>
      <c r="E456" s="527"/>
      <c r="F456" s="527"/>
      <c r="G456" s="527"/>
      <c r="H456" s="527"/>
      <c r="I456" s="528"/>
      <c r="K456" s="531"/>
      <c r="L456" s="531"/>
      <c r="M456" s="531"/>
      <c r="N456" s="531"/>
      <c r="O456" s="531"/>
      <c r="P456" s="531"/>
      <c r="Q456" s="531"/>
      <c r="R456" s="531"/>
      <c r="S456" s="531"/>
      <c r="T456" s="531"/>
      <c r="U456" s="531"/>
      <c r="V456" s="531"/>
      <c r="W456" s="531"/>
      <c r="X456" s="531"/>
      <c r="Y456" s="531"/>
      <c r="Z456" s="531"/>
      <c r="AA456" s="531"/>
    </row>
    <row r="457" spans="1:27" ht="15">
      <c r="A457" s="527"/>
      <c r="B457" s="527"/>
      <c r="C457" s="527"/>
      <c r="D457" s="527"/>
      <c r="E457" s="527"/>
      <c r="F457" s="527"/>
      <c r="G457" s="527"/>
      <c r="H457" s="527"/>
      <c r="I457" s="528"/>
      <c r="K457" s="531"/>
      <c r="L457" s="531"/>
      <c r="M457" s="531"/>
      <c r="N457" s="531"/>
      <c r="O457" s="531"/>
      <c r="P457" s="531"/>
      <c r="Q457" s="531"/>
      <c r="R457" s="531"/>
      <c r="S457" s="531"/>
      <c r="T457" s="531"/>
      <c r="U457" s="531"/>
      <c r="V457" s="531"/>
      <c r="W457" s="531"/>
      <c r="X457" s="531"/>
      <c r="Y457" s="531"/>
      <c r="Z457" s="531"/>
      <c r="AA457" s="531"/>
    </row>
    <row r="458" spans="1:27" ht="15">
      <c r="A458" s="527"/>
      <c r="B458" s="527"/>
      <c r="C458" s="527"/>
      <c r="D458" s="527"/>
      <c r="E458" s="527"/>
      <c r="F458" s="527"/>
      <c r="G458" s="527"/>
      <c r="H458" s="527"/>
      <c r="I458" s="528"/>
      <c r="K458" s="531"/>
      <c r="L458" s="531"/>
      <c r="M458" s="531"/>
      <c r="N458" s="531"/>
      <c r="O458" s="531"/>
      <c r="P458" s="531"/>
      <c r="Q458" s="531"/>
      <c r="R458" s="531"/>
      <c r="S458" s="531"/>
      <c r="T458" s="531"/>
      <c r="U458" s="531"/>
      <c r="V458" s="531"/>
      <c r="W458" s="531"/>
      <c r="X458" s="531"/>
      <c r="Y458" s="531"/>
      <c r="Z458" s="531"/>
      <c r="AA458" s="531"/>
    </row>
    <row r="459" spans="1:27" ht="15">
      <c r="A459" s="527"/>
      <c r="B459" s="527"/>
      <c r="C459" s="527"/>
      <c r="D459" s="527"/>
      <c r="E459" s="527"/>
      <c r="F459" s="527"/>
      <c r="G459" s="527"/>
      <c r="H459" s="527"/>
      <c r="I459" s="528"/>
      <c r="K459" s="531"/>
      <c r="L459" s="531"/>
      <c r="M459" s="531"/>
      <c r="N459" s="531"/>
      <c r="O459" s="531"/>
      <c r="P459" s="531"/>
      <c r="Q459" s="531"/>
      <c r="R459" s="531"/>
      <c r="S459" s="531"/>
      <c r="T459" s="531"/>
      <c r="U459" s="531"/>
      <c r="V459" s="531"/>
      <c r="W459" s="531"/>
      <c r="X459" s="531"/>
      <c r="Y459" s="531"/>
      <c r="Z459" s="531"/>
      <c r="AA459" s="531"/>
    </row>
    <row r="460" spans="1:27" ht="15">
      <c r="A460" s="527"/>
      <c r="B460" s="527"/>
      <c r="C460" s="527"/>
      <c r="D460" s="527"/>
      <c r="E460" s="527"/>
      <c r="F460" s="527"/>
      <c r="G460" s="527"/>
      <c r="H460" s="527"/>
      <c r="I460" s="528"/>
      <c r="K460" s="531"/>
      <c r="L460" s="531"/>
      <c r="M460" s="531"/>
      <c r="N460" s="531"/>
      <c r="O460" s="531"/>
      <c r="P460" s="531"/>
      <c r="Q460" s="531"/>
      <c r="R460" s="531"/>
      <c r="S460" s="531"/>
      <c r="T460" s="531"/>
      <c r="U460" s="531"/>
      <c r="V460" s="531"/>
      <c r="W460" s="531"/>
      <c r="X460" s="531"/>
      <c r="Y460" s="531"/>
      <c r="Z460" s="531"/>
      <c r="AA460" s="531"/>
    </row>
    <row r="461" spans="1:27" ht="15">
      <c r="A461" s="527"/>
      <c r="B461" s="527"/>
      <c r="C461" s="527"/>
      <c r="D461" s="527"/>
      <c r="E461" s="527"/>
      <c r="F461" s="527"/>
      <c r="G461" s="527"/>
      <c r="H461" s="527"/>
      <c r="I461" s="528"/>
      <c r="K461" s="531"/>
      <c r="L461" s="531"/>
      <c r="M461" s="531"/>
      <c r="N461" s="531"/>
      <c r="O461" s="531"/>
      <c r="P461" s="531"/>
      <c r="Q461" s="531"/>
      <c r="R461" s="531"/>
      <c r="S461" s="531"/>
      <c r="T461" s="531"/>
      <c r="U461" s="531"/>
      <c r="V461" s="531"/>
      <c r="W461" s="531"/>
      <c r="X461" s="531"/>
      <c r="Y461" s="531"/>
      <c r="Z461" s="531"/>
      <c r="AA461" s="531"/>
    </row>
    <row r="462" spans="1:27" ht="15">
      <c r="A462" s="527"/>
      <c r="B462" s="527"/>
      <c r="C462" s="527"/>
      <c r="D462" s="527"/>
      <c r="E462" s="527"/>
      <c r="F462" s="527"/>
      <c r="G462" s="527"/>
      <c r="H462" s="527"/>
      <c r="I462" s="528"/>
      <c r="K462" s="531"/>
      <c r="L462" s="531"/>
      <c r="M462" s="531"/>
      <c r="N462" s="531"/>
      <c r="O462" s="531"/>
      <c r="P462" s="531"/>
      <c r="Q462" s="531"/>
      <c r="R462" s="531"/>
      <c r="S462" s="531"/>
      <c r="T462" s="531"/>
      <c r="U462" s="531"/>
      <c r="V462" s="531"/>
      <c r="W462" s="531"/>
      <c r="X462" s="531"/>
      <c r="Y462" s="531"/>
      <c r="Z462" s="531"/>
      <c r="AA462" s="531"/>
    </row>
    <row r="463" spans="1:27" ht="15">
      <c r="A463" s="527"/>
      <c r="B463" s="527"/>
      <c r="C463" s="527"/>
      <c r="D463" s="532"/>
      <c r="E463" s="527"/>
      <c r="F463" s="527"/>
      <c r="G463" s="527"/>
      <c r="H463" s="527"/>
      <c r="I463" s="528"/>
      <c r="K463" s="531"/>
      <c r="L463" s="531"/>
      <c r="M463" s="531"/>
      <c r="N463" s="531"/>
      <c r="O463" s="531"/>
      <c r="P463" s="531"/>
      <c r="Q463" s="531"/>
      <c r="R463" s="531"/>
      <c r="S463" s="531"/>
      <c r="T463" s="531"/>
      <c r="U463" s="531"/>
      <c r="V463" s="531"/>
      <c r="W463" s="531"/>
      <c r="X463" s="531"/>
      <c r="Y463" s="531"/>
      <c r="Z463" s="531"/>
      <c r="AA463" s="531"/>
    </row>
    <row r="464" spans="1:27" ht="15">
      <c r="A464" s="527"/>
      <c r="B464" s="527"/>
      <c r="C464" s="527"/>
      <c r="D464" s="527"/>
      <c r="E464" s="527"/>
      <c r="F464" s="527"/>
      <c r="G464" s="527"/>
      <c r="H464" s="527"/>
      <c r="I464" s="528"/>
      <c r="K464" s="531"/>
      <c r="L464" s="531"/>
      <c r="M464" s="531"/>
      <c r="N464" s="531"/>
      <c r="O464" s="531"/>
      <c r="P464" s="531"/>
      <c r="Q464" s="531"/>
      <c r="R464" s="531"/>
      <c r="S464" s="531"/>
      <c r="T464" s="531"/>
      <c r="U464" s="531"/>
      <c r="V464" s="531"/>
      <c r="W464" s="531"/>
      <c r="X464" s="531"/>
      <c r="Y464" s="531"/>
      <c r="Z464" s="531"/>
      <c r="AA464" s="531"/>
    </row>
    <row r="465" spans="1:27" ht="15">
      <c r="A465" s="527"/>
      <c r="B465" s="527"/>
      <c r="C465" s="527"/>
      <c r="D465" s="527"/>
      <c r="E465" s="527"/>
      <c r="F465" s="527"/>
      <c r="G465" s="527"/>
      <c r="H465" s="527"/>
      <c r="I465" s="528"/>
      <c r="K465" s="531"/>
      <c r="L465" s="531"/>
      <c r="M465" s="531"/>
      <c r="N465" s="531"/>
      <c r="O465" s="531"/>
      <c r="P465" s="531"/>
      <c r="Q465" s="531"/>
      <c r="R465" s="531"/>
      <c r="S465" s="531"/>
      <c r="T465" s="531"/>
      <c r="U465" s="531"/>
      <c r="V465" s="531"/>
      <c r="W465" s="531"/>
      <c r="X465" s="531"/>
      <c r="Y465" s="531"/>
      <c r="Z465" s="531"/>
      <c r="AA465" s="531"/>
    </row>
    <row r="466" spans="1:27" ht="15">
      <c r="A466" s="527"/>
      <c r="B466" s="527"/>
      <c r="C466" s="527"/>
      <c r="D466" s="527"/>
      <c r="E466" s="527"/>
      <c r="F466" s="527"/>
      <c r="G466" s="527"/>
      <c r="H466" s="527"/>
      <c r="I466" s="528"/>
      <c r="K466" s="531"/>
      <c r="L466" s="531"/>
      <c r="M466" s="531"/>
      <c r="N466" s="531"/>
      <c r="O466" s="531"/>
      <c r="P466" s="531"/>
      <c r="Q466" s="531"/>
      <c r="R466" s="531"/>
      <c r="S466" s="531"/>
      <c r="T466" s="531"/>
      <c r="U466" s="531"/>
      <c r="V466" s="531"/>
      <c r="W466" s="531"/>
      <c r="X466" s="531"/>
      <c r="Y466" s="531"/>
      <c r="Z466" s="531"/>
      <c r="AA466" s="531"/>
    </row>
    <row r="467" spans="1:27" ht="15">
      <c r="A467" s="527"/>
      <c r="B467" s="527"/>
      <c r="C467" s="527"/>
      <c r="D467" s="527"/>
      <c r="E467" s="527"/>
      <c r="F467" s="527"/>
      <c r="G467" s="527"/>
      <c r="H467" s="527"/>
      <c r="I467" s="528"/>
      <c r="K467" s="531"/>
      <c r="L467" s="531"/>
      <c r="M467" s="531"/>
      <c r="N467" s="531"/>
      <c r="O467" s="531"/>
      <c r="P467" s="531"/>
      <c r="Q467" s="531"/>
      <c r="R467" s="531"/>
      <c r="S467" s="531"/>
      <c r="T467" s="531"/>
      <c r="U467" s="531"/>
      <c r="V467" s="531"/>
      <c r="W467" s="531"/>
      <c r="X467" s="531"/>
      <c r="Y467" s="531"/>
      <c r="Z467" s="531"/>
      <c r="AA467" s="531"/>
    </row>
    <row r="468" spans="1:27" ht="15">
      <c r="A468" s="527"/>
      <c r="B468" s="527"/>
      <c r="C468" s="527"/>
      <c r="D468" s="527"/>
      <c r="E468" s="527"/>
      <c r="F468" s="527"/>
      <c r="G468" s="527"/>
      <c r="H468" s="527"/>
      <c r="I468" s="528"/>
      <c r="K468" s="531"/>
      <c r="L468" s="531"/>
      <c r="M468" s="531"/>
      <c r="N468" s="531"/>
      <c r="O468" s="531"/>
      <c r="P468" s="531"/>
      <c r="Q468" s="531"/>
      <c r="R468" s="531"/>
      <c r="S468" s="531"/>
      <c r="T468" s="531"/>
      <c r="U468" s="531"/>
      <c r="V468" s="531"/>
      <c r="W468" s="531"/>
      <c r="X468" s="531"/>
      <c r="Y468" s="531"/>
      <c r="Z468" s="531"/>
      <c r="AA468" s="531"/>
    </row>
    <row r="469" spans="1:27" ht="15">
      <c r="A469" s="527"/>
      <c r="B469" s="527"/>
      <c r="C469" s="527"/>
      <c r="D469" s="527"/>
      <c r="E469" s="527"/>
      <c r="F469" s="527"/>
      <c r="G469" s="527"/>
      <c r="H469" s="527"/>
      <c r="I469" s="528"/>
      <c r="K469" s="531"/>
      <c r="L469" s="531"/>
      <c r="M469" s="531"/>
      <c r="N469" s="531"/>
      <c r="O469" s="531"/>
      <c r="P469" s="531"/>
      <c r="Q469" s="531"/>
      <c r="R469" s="531"/>
      <c r="S469" s="531"/>
      <c r="T469" s="531"/>
      <c r="U469" s="531"/>
      <c r="V469" s="531"/>
      <c r="W469" s="531"/>
      <c r="X469" s="531"/>
      <c r="Y469" s="531"/>
      <c r="Z469" s="531"/>
      <c r="AA469" s="531"/>
    </row>
    <row r="470" spans="1:27" ht="15">
      <c r="A470" s="527"/>
      <c r="B470" s="527"/>
      <c r="C470" s="527"/>
      <c r="D470" s="527"/>
      <c r="E470" s="527"/>
      <c r="F470" s="527"/>
      <c r="G470" s="527"/>
      <c r="H470" s="527"/>
      <c r="I470" s="528"/>
      <c r="K470" s="531"/>
      <c r="L470" s="531"/>
      <c r="M470" s="531"/>
      <c r="N470" s="531"/>
      <c r="O470" s="531"/>
      <c r="P470" s="531"/>
      <c r="Q470" s="531"/>
      <c r="R470" s="531"/>
      <c r="S470" s="531"/>
      <c r="T470" s="531"/>
      <c r="U470" s="531"/>
      <c r="V470" s="531"/>
      <c r="W470" s="531"/>
      <c r="X470" s="531"/>
      <c r="Y470" s="531"/>
      <c r="Z470" s="531"/>
      <c r="AA470" s="531"/>
    </row>
    <row r="471" spans="1:27" ht="15">
      <c r="A471" s="527"/>
      <c r="B471" s="527"/>
      <c r="C471" s="527"/>
      <c r="D471" s="527"/>
      <c r="E471" s="527"/>
      <c r="F471" s="527"/>
      <c r="G471" s="527"/>
      <c r="H471" s="527"/>
      <c r="I471" s="528"/>
      <c r="K471" s="531"/>
      <c r="L471" s="531"/>
      <c r="M471" s="531"/>
      <c r="N471" s="531"/>
      <c r="O471" s="531"/>
      <c r="P471" s="531"/>
      <c r="Q471" s="531"/>
      <c r="R471" s="531"/>
      <c r="S471" s="531"/>
      <c r="T471" s="531"/>
      <c r="U471" s="531"/>
      <c r="V471" s="531"/>
      <c r="W471" s="531"/>
      <c r="X471" s="531"/>
      <c r="Y471" s="531"/>
      <c r="Z471" s="531"/>
      <c r="AA471" s="531"/>
    </row>
    <row r="472" spans="1:27" ht="15">
      <c r="A472" s="527"/>
      <c r="B472" s="527"/>
      <c r="C472" s="527"/>
      <c r="D472" s="527"/>
      <c r="E472" s="527"/>
      <c r="F472" s="527"/>
      <c r="G472" s="527"/>
      <c r="H472" s="527"/>
      <c r="I472" s="528"/>
      <c r="K472" s="531"/>
      <c r="L472" s="531"/>
      <c r="M472" s="531"/>
      <c r="N472" s="531"/>
      <c r="O472" s="531"/>
      <c r="P472" s="531"/>
      <c r="Q472" s="531"/>
      <c r="R472" s="531"/>
      <c r="S472" s="531"/>
      <c r="T472" s="531"/>
      <c r="U472" s="531"/>
      <c r="V472" s="531"/>
      <c r="W472" s="531"/>
      <c r="X472" s="531"/>
      <c r="Y472" s="531"/>
      <c r="Z472" s="531"/>
      <c r="AA472" s="531"/>
    </row>
    <row r="473" spans="1:27" ht="15">
      <c r="A473" s="527"/>
      <c r="B473" s="527"/>
      <c r="C473" s="527"/>
      <c r="D473" s="527"/>
      <c r="E473" s="527"/>
      <c r="F473" s="527"/>
      <c r="G473" s="527"/>
      <c r="H473" s="527"/>
      <c r="I473" s="528"/>
      <c r="K473" s="531"/>
      <c r="L473" s="531"/>
      <c r="M473" s="531"/>
      <c r="N473" s="531"/>
      <c r="O473" s="531"/>
      <c r="P473" s="531"/>
      <c r="Q473" s="531"/>
      <c r="R473" s="531"/>
      <c r="S473" s="531"/>
      <c r="T473" s="531"/>
      <c r="U473" s="531"/>
      <c r="V473" s="531"/>
      <c r="W473" s="531"/>
      <c r="X473" s="531"/>
      <c r="Y473" s="531"/>
      <c r="Z473" s="531"/>
      <c r="AA473" s="531"/>
    </row>
    <row r="474" spans="1:27" ht="15">
      <c r="A474" s="527"/>
      <c r="B474" s="527"/>
      <c r="C474" s="527"/>
      <c r="D474" s="527"/>
      <c r="E474" s="527"/>
      <c r="F474" s="527"/>
      <c r="G474" s="527"/>
      <c r="H474" s="527"/>
      <c r="I474" s="528"/>
      <c r="K474" s="531"/>
      <c r="L474" s="531"/>
      <c r="M474" s="531"/>
      <c r="N474" s="531"/>
      <c r="O474" s="531"/>
      <c r="P474" s="531"/>
      <c r="Q474" s="531"/>
      <c r="R474" s="531"/>
      <c r="S474" s="531"/>
      <c r="T474" s="531"/>
      <c r="U474" s="531"/>
      <c r="V474" s="531"/>
      <c r="W474" s="531"/>
      <c r="X474" s="531"/>
      <c r="Y474" s="531"/>
      <c r="Z474" s="531"/>
      <c r="AA474" s="531"/>
    </row>
    <row r="475" spans="1:27" ht="15">
      <c r="A475" s="527"/>
      <c r="B475" s="527"/>
      <c r="C475" s="527"/>
      <c r="D475" s="527"/>
      <c r="E475" s="527"/>
      <c r="F475" s="527"/>
      <c r="G475" s="527"/>
      <c r="H475" s="527"/>
      <c r="I475" s="528"/>
      <c r="K475" s="531"/>
      <c r="L475" s="531"/>
      <c r="M475" s="531"/>
      <c r="N475" s="531"/>
      <c r="O475" s="531"/>
      <c r="P475" s="531"/>
      <c r="Q475" s="531"/>
      <c r="R475" s="531"/>
      <c r="S475" s="531"/>
      <c r="T475" s="531"/>
      <c r="U475" s="531"/>
      <c r="V475" s="531"/>
      <c r="W475" s="531"/>
      <c r="X475" s="531"/>
      <c r="Y475" s="531"/>
      <c r="Z475" s="531"/>
      <c r="AA475" s="531"/>
    </row>
    <row r="476" spans="1:27" ht="15">
      <c r="A476" s="527"/>
      <c r="B476" s="527"/>
      <c r="C476" s="527"/>
      <c r="D476" s="527"/>
      <c r="E476" s="527"/>
      <c r="F476" s="527"/>
      <c r="G476" s="527"/>
      <c r="H476" s="527"/>
      <c r="I476" s="528"/>
      <c r="K476" s="531"/>
      <c r="L476" s="531"/>
      <c r="M476" s="531"/>
      <c r="N476" s="531"/>
      <c r="O476" s="531"/>
      <c r="P476" s="531"/>
      <c r="Q476" s="531"/>
      <c r="R476" s="531"/>
      <c r="S476" s="531"/>
      <c r="T476" s="531"/>
      <c r="U476" s="531"/>
      <c r="V476" s="531"/>
      <c r="W476" s="531"/>
      <c r="X476" s="531"/>
      <c r="Y476" s="531"/>
      <c r="Z476" s="531"/>
      <c r="AA476" s="531"/>
    </row>
    <row r="477" spans="1:27" ht="15">
      <c r="A477" s="527"/>
      <c r="B477" s="527"/>
      <c r="C477" s="527"/>
      <c r="D477" s="527"/>
      <c r="E477" s="527"/>
      <c r="F477" s="527"/>
      <c r="G477" s="527"/>
      <c r="H477" s="527"/>
      <c r="I477" s="528"/>
      <c r="K477" s="531"/>
      <c r="L477" s="531"/>
      <c r="M477" s="531"/>
      <c r="N477" s="531"/>
      <c r="O477" s="531"/>
      <c r="P477" s="531"/>
      <c r="Q477" s="531"/>
      <c r="R477" s="531"/>
      <c r="S477" s="531"/>
      <c r="T477" s="531"/>
      <c r="U477" s="531"/>
      <c r="V477" s="531"/>
      <c r="W477" s="531"/>
      <c r="X477" s="531"/>
      <c r="Y477" s="531"/>
      <c r="Z477" s="531"/>
      <c r="AA477" s="531"/>
    </row>
    <row r="478" spans="1:27" ht="15">
      <c r="A478" s="527"/>
      <c r="B478" s="527"/>
      <c r="C478" s="527"/>
      <c r="D478" s="527"/>
      <c r="E478" s="527"/>
      <c r="F478" s="527"/>
      <c r="G478" s="527"/>
      <c r="H478" s="527"/>
      <c r="I478" s="528"/>
      <c r="K478" s="531"/>
      <c r="L478" s="531"/>
      <c r="M478" s="531"/>
      <c r="N478" s="531"/>
      <c r="O478" s="531"/>
      <c r="P478" s="531"/>
      <c r="Q478" s="531"/>
      <c r="R478" s="531"/>
      <c r="S478" s="531"/>
      <c r="T478" s="531"/>
      <c r="U478" s="531"/>
      <c r="V478" s="531"/>
      <c r="W478" s="531"/>
      <c r="X478" s="531"/>
      <c r="Y478" s="531"/>
      <c r="Z478" s="531"/>
      <c r="AA478" s="531"/>
    </row>
    <row r="479" spans="1:27" ht="15">
      <c r="A479" s="527"/>
      <c r="B479" s="527"/>
      <c r="C479" s="527"/>
      <c r="D479" s="527"/>
      <c r="E479" s="527"/>
      <c r="F479" s="527"/>
      <c r="G479" s="527"/>
      <c r="H479" s="527"/>
      <c r="I479" s="528"/>
      <c r="K479" s="531"/>
      <c r="L479" s="531"/>
      <c r="M479" s="531"/>
      <c r="N479" s="531"/>
      <c r="O479" s="531"/>
      <c r="P479" s="531"/>
      <c r="Q479" s="531"/>
      <c r="R479" s="531"/>
      <c r="S479" s="531"/>
      <c r="T479" s="531"/>
      <c r="U479" s="531"/>
      <c r="V479" s="531"/>
      <c r="W479" s="531"/>
      <c r="X479" s="531"/>
      <c r="Y479" s="531"/>
      <c r="Z479" s="531"/>
      <c r="AA479" s="531"/>
    </row>
    <row r="480" spans="1:27" ht="15">
      <c r="A480" s="527"/>
      <c r="B480" s="527"/>
      <c r="C480" s="527"/>
      <c r="D480" s="527"/>
      <c r="E480" s="527"/>
      <c r="F480" s="527"/>
      <c r="G480" s="527"/>
      <c r="H480" s="527"/>
      <c r="I480" s="528"/>
      <c r="K480" s="531"/>
      <c r="L480" s="531"/>
      <c r="M480" s="531"/>
      <c r="N480" s="531"/>
      <c r="O480" s="531"/>
      <c r="P480" s="531"/>
      <c r="Q480" s="531"/>
      <c r="R480" s="531"/>
      <c r="S480" s="531"/>
      <c r="T480" s="531"/>
      <c r="U480" s="531"/>
      <c r="V480" s="531"/>
      <c r="W480" s="531"/>
      <c r="X480" s="531"/>
      <c r="Y480" s="531"/>
      <c r="Z480" s="531"/>
      <c r="AA480" s="531"/>
    </row>
    <row r="481" spans="1:27" ht="15">
      <c r="A481" s="527"/>
      <c r="B481" s="527"/>
      <c r="C481" s="527"/>
      <c r="D481" s="527"/>
      <c r="E481" s="527"/>
      <c r="F481" s="527"/>
      <c r="G481" s="527"/>
      <c r="H481" s="527"/>
      <c r="I481" s="528"/>
      <c r="K481" s="531"/>
      <c r="L481" s="531"/>
      <c r="M481" s="531"/>
      <c r="N481" s="531"/>
      <c r="O481" s="531"/>
      <c r="P481" s="531"/>
      <c r="Q481" s="531"/>
      <c r="R481" s="531"/>
      <c r="S481" s="531"/>
      <c r="T481" s="531"/>
      <c r="U481" s="531"/>
      <c r="V481" s="531"/>
      <c r="W481" s="531"/>
      <c r="X481" s="531"/>
      <c r="Y481" s="531"/>
      <c r="Z481" s="531"/>
      <c r="AA481" s="531"/>
    </row>
    <row r="482" spans="1:27" ht="15">
      <c r="A482" s="527"/>
      <c r="B482" s="527"/>
      <c r="C482" s="527"/>
      <c r="D482" s="527"/>
      <c r="E482" s="527"/>
      <c r="F482" s="527"/>
      <c r="G482" s="527"/>
      <c r="H482" s="527"/>
      <c r="I482" s="528"/>
      <c r="K482" s="531"/>
      <c r="L482" s="531"/>
      <c r="M482" s="531"/>
      <c r="N482" s="531"/>
      <c r="O482" s="531"/>
      <c r="P482" s="531"/>
      <c r="Q482" s="531"/>
      <c r="R482" s="531"/>
      <c r="S482" s="531"/>
      <c r="T482" s="531"/>
      <c r="U482" s="531"/>
      <c r="V482" s="531"/>
      <c r="W482" s="531"/>
      <c r="X482" s="531"/>
      <c r="Y482" s="531"/>
      <c r="Z482" s="531"/>
      <c r="AA482" s="531"/>
    </row>
    <row r="483" spans="1:27" ht="15">
      <c r="A483" s="527"/>
      <c r="B483" s="527"/>
      <c r="C483" s="527"/>
      <c r="D483" s="527"/>
      <c r="E483" s="527"/>
      <c r="F483" s="527"/>
      <c r="G483" s="527"/>
      <c r="H483" s="527"/>
      <c r="I483" s="528"/>
      <c r="K483" s="531"/>
      <c r="L483" s="531"/>
      <c r="M483" s="531"/>
      <c r="N483" s="531"/>
      <c r="O483" s="531"/>
      <c r="P483" s="531"/>
      <c r="Q483" s="531"/>
      <c r="R483" s="531"/>
      <c r="S483" s="531"/>
      <c r="T483" s="531"/>
      <c r="U483" s="531"/>
      <c r="V483" s="531"/>
      <c r="W483" s="531"/>
      <c r="X483" s="531"/>
      <c r="Y483" s="531"/>
      <c r="Z483" s="531"/>
      <c r="AA483" s="531"/>
    </row>
    <row r="484" spans="1:27" ht="15">
      <c r="A484" s="527"/>
      <c r="B484" s="527"/>
      <c r="C484" s="527"/>
      <c r="D484" s="527"/>
      <c r="E484" s="527"/>
      <c r="F484" s="527"/>
      <c r="G484" s="527"/>
      <c r="H484" s="527"/>
      <c r="I484" s="528"/>
      <c r="K484" s="531"/>
      <c r="L484" s="531"/>
      <c r="M484" s="531"/>
      <c r="N484" s="531"/>
      <c r="O484" s="531"/>
      <c r="P484" s="531"/>
      <c r="Q484" s="531"/>
      <c r="R484" s="531"/>
      <c r="S484" s="531"/>
      <c r="T484" s="531"/>
      <c r="U484" s="531"/>
      <c r="V484" s="531"/>
      <c r="W484" s="531"/>
      <c r="X484" s="531"/>
      <c r="Y484" s="531"/>
      <c r="Z484" s="531"/>
      <c r="AA484" s="531"/>
    </row>
    <row r="485" spans="1:27" ht="15">
      <c r="A485" s="527"/>
      <c r="B485" s="527"/>
      <c r="C485" s="527"/>
      <c r="D485" s="527"/>
      <c r="E485" s="527"/>
      <c r="F485" s="527"/>
      <c r="G485" s="527"/>
      <c r="H485" s="527"/>
      <c r="I485" s="528"/>
      <c r="K485" s="531"/>
      <c r="L485" s="531"/>
      <c r="M485" s="531"/>
      <c r="N485" s="531"/>
      <c r="O485" s="531"/>
      <c r="P485" s="531"/>
      <c r="Q485" s="531"/>
      <c r="R485" s="531"/>
      <c r="S485" s="531"/>
      <c r="T485" s="531"/>
      <c r="U485" s="531"/>
      <c r="V485" s="531"/>
      <c r="W485" s="531"/>
      <c r="X485" s="531"/>
      <c r="Y485" s="531"/>
      <c r="Z485" s="531"/>
      <c r="AA485" s="531"/>
    </row>
    <row r="486" spans="1:27" ht="15">
      <c r="A486" s="527"/>
      <c r="B486" s="527"/>
      <c r="C486" s="527"/>
      <c r="D486" s="527"/>
      <c r="E486" s="527"/>
      <c r="F486" s="527"/>
      <c r="G486" s="527"/>
      <c r="H486" s="527"/>
      <c r="I486" s="528"/>
      <c r="K486" s="531"/>
      <c r="L486" s="531"/>
      <c r="M486" s="531"/>
      <c r="N486" s="531"/>
      <c r="O486" s="531"/>
      <c r="P486" s="531"/>
      <c r="Q486" s="531"/>
      <c r="R486" s="531"/>
      <c r="S486" s="531"/>
      <c r="T486" s="531"/>
      <c r="U486" s="531"/>
      <c r="V486" s="531"/>
      <c r="W486" s="531"/>
      <c r="X486" s="531"/>
      <c r="Y486" s="531"/>
      <c r="Z486" s="531"/>
      <c r="AA486" s="531"/>
    </row>
    <row r="487" spans="1:27" ht="15">
      <c r="A487" s="527"/>
      <c r="B487" s="527"/>
      <c r="C487" s="527"/>
      <c r="D487" s="527"/>
      <c r="E487" s="527"/>
      <c r="F487" s="527"/>
      <c r="G487" s="527"/>
      <c r="H487" s="527"/>
      <c r="I487" s="528"/>
      <c r="K487" s="531"/>
      <c r="L487" s="531"/>
      <c r="M487" s="531"/>
      <c r="N487" s="531"/>
      <c r="O487" s="531"/>
      <c r="P487" s="531"/>
      <c r="Q487" s="531"/>
      <c r="R487" s="531"/>
      <c r="S487" s="531"/>
      <c r="T487" s="531"/>
      <c r="U487" s="531"/>
      <c r="V487" s="531"/>
      <c r="W487" s="531"/>
      <c r="X487" s="531"/>
      <c r="Y487" s="531"/>
      <c r="Z487" s="531"/>
      <c r="AA487" s="531"/>
    </row>
    <row r="488" spans="1:27" ht="15">
      <c r="A488" s="527"/>
      <c r="B488" s="527"/>
      <c r="C488" s="527"/>
      <c r="D488" s="527"/>
      <c r="E488" s="527"/>
      <c r="F488" s="527"/>
      <c r="G488" s="527"/>
      <c r="H488" s="527"/>
      <c r="I488" s="528"/>
      <c r="K488" s="531"/>
      <c r="L488" s="531"/>
      <c r="M488" s="531"/>
      <c r="N488" s="531"/>
      <c r="O488" s="531"/>
      <c r="P488" s="531"/>
      <c r="Q488" s="531"/>
      <c r="R488" s="531"/>
      <c r="S488" s="531"/>
      <c r="T488" s="531"/>
      <c r="U488" s="531"/>
      <c r="V488" s="531"/>
      <c r="W488" s="531"/>
      <c r="X488" s="531"/>
      <c r="Y488" s="531"/>
      <c r="Z488" s="531"/>
      <c r="AA488" s="531"/>
    </row>
    <row r="489" spans="1:27" ht="15">
      <c r="A489" s="527"/>
      <c r="B489" s="527"/>
      <c r="C489" s="527"/>
      <c r="D489" s="527"/>
      <c r="E489" s="527"/>
      <c r="F489" s="527"/>
      <c r="G489" s="527"/>
      <c r="H489" s="527"/>
      <c r="I489" s="528"/>
      <c r="K489" s="531"/>
      <c r="L489" s="531"/>
      <c r="M489" s="531"/>
      <c r="N489" s="531"/>
      <c r="O489" s="531"/>
      <c r="P489" s="531"/>
      <c r="Q489" s="531"/>
      <c r="R489" s="531"/>
      <c r="S489" s="531"/>
      <c r="T489" s="531"/>
      <c r="U489" s="531"/>
      <c r="V489" s="531"/>
      <c r="W489" s="531"/>
      <c r="X489" s="531"/>
      <c r="Y489" s="531"/>
      <c r="Z489" s="531"/>
      <c r="AA489" s="531"/>
    </row>
    <row r="490" spans="1:27" ht="15">
      <c r="A490" s="527"/>
      <c r="B490" s="527"/>
      <c r="C490" s="527"/>
      <c r="D490" s="527"/>
      <c r="E490" s="527"/>
      <c r="F490" s="527"/>
      <c r="G490" s="527"/>
      <c r="H490" s="527"/>
      <c r="I490" s="528"/>
      <c r="K490" s="531"/>
      <c r="L490" s="531"/>
      <c r="M490" s="531"/>
      <c r="N490" s="531"/>
      <c r="O490" s="531"/>
      <c r="P490" s="531"/>
      <c r="Q490" s="531"/>
      <c r="R490" s="531"/>
      <c r="S490" s="531"/>
      <c r="T490" s="531"/>
      <c r="U490" s="531"/>
      <c r="V490" s="531"/>
      <c r="W490" s="531"/>
      <c r="X490" s="531"/>
      <c r="Y490" s="531"/>
      <c r="Z490" s="531"/>
      <c r="AA490" s="531"/>
    </row>
    <row r="491" spans="1:27" ht="15">
      <c r="A491" s="527"/>
      <c r="B491" s="527"/>
      <c r="C491" s="527"/>
      <c r="D491" s="527"/>
      <c r="E491" s="527"/>
      <c r="F491" s="527"/>
      <c r="G491" s="527"/>
      <c r="H491" s="527"/>
      <c r="I491" s="528"/>
      <c r="K491" s="531"/>
      <c r="L491" s="531"/>
      <c r="M491" s="531"/>
      <c r="N491" s="531"/>
      <c r="O491" s="531"/>
      <c r="P491" s="531"/>
      <c r="Q491" s="531"/>
      <c r="R491" s="531"/>
      <c r="S491" s="531"/>
      <c r="T491" s="531"/>
      <c r="U491" s="531"/>
      <c r="V491" s="531"/>
      <c r="W491" s="531"/>
      <c r="X491" s="531"/>
      <c r="Y491" s="531"/>
      <c r="Z491" s="531"/>
      <c r="AA491" s="531"/>
    </row>
    <row r="492" spans="1:27" ht="15">
      <c r="A492" s="527"/>
      <c r="B492" s="527"/>
      <c r="C492" s="527"/>
      <c r="D492" s="527"/>
      <c r="E492" s="527"/>
      <c r="F492" s="527"/>
      <c r="G492" s="527"/>
      <c r="H492" s="527"/>
      <c r="I492" s="528"/>
      <c r="K492" s="531"/>
      <c r="L492" s="531"/>
      <c r="M492" s="531"/>
      <c r="N492" s="531"/>
      <c r="O492" s="531"/>
      <c r="P492" s="531"/>
      <c r="Q492" s="531"/>
      <c r="R492" s="531"/>
      <c r="S492" s="531"/>
      <c r="T492" s="531"/>
      <c r="U492" s="531"/>
      <c r="V492" s="531"/>
      <c r="W492" s="531"/>
      <c r="X492" s="531"/>
      <c r="Y492" s="531"/>
      <c r="Z492" s="531"/>
      <c r="AA492" s="531"/>
    </row>
    <row r="493" spans="1:27" ht="15">
      <c r="A493" s="527"/>
      <c r="B493" s="527"/>
      <c r="C493" s="527"/>
      <c r="D493" s="527"/>
      <c r="E493" s="527"/>
      <c r="F493" s="527"/>
      <c r="G493" s="527"/>
      <c r="H493" s="527"/>
      <c r="I493" s="528"/>
      <c r="K493" s="531"/>
      <c r="L493" s="531"/>
      <c r="M493" s="531"/>
      <c r="N493" s="531"/>
      <c r="O493" s="531"/>
      <c r="P493" s="531"/>
      <c r="Q493" s="531"/>
      <c r="R493" s="531"/>
      <c r="S493" s="531"/>
      <c r="T493" s="531"/>
      <c r="U493" s="531"/>
      <c r="V493" s="531"/>
      <c r="W493" s="531"/>
      <c r="X493" s="531"/>
      <c r="Y493" s="531"/>
      <c r="Z493" s="531"/>
      <c r="AA493" s="531"/>
    </row>
    <row r="494" spans="1:27" ht="15">
      <c r="A494" s="527"/>
      <c r="B494" s="527"/>
      <c r="C494" s="527"/>
      <c r="D494" s="527"/>
      <c r="E494" s="527"/>
      <c r="F494" s="527"/>
      <c r="G494" s="527"/>
      <c r="H494" s="527"/>
      <c r="I494" s="528"/>
      <c r="K494" s="531"/>
      <c r="L494" s="531"/>
      <c r="M494" s="531"/>
      <c r="N494" s="531"/>
      <c r="O494" s="531"/>
      <c r="P494" s="531"/>
      <c r="Q494" s="531"/>
      <c r="R494" s="531"/>
      <c r="S494" s="531"/>
      <c r="T494" s="531"/>
      <c r="U494" s="531"/>
      <c r="V494" s="531"/>
      <c r="W494" s="531"/>
      <c r="X494" s="531"/>
      <c r="Y494" s="531"/>
      <c r="Z494" s="531"/>
      <c r="AA494" s="531"/>
    </row>
    <row r="495" spans="1:27" ht="15">
      <c r="A495" s="527"/>
      <c r="B495" s="527"/>
      <c r="C495" s="527"/>
      <c r="D495" s="527"/>
      <c r="E495" s="527"/>
      <c r="F495" s="527"/>
      <c r="G495" s="527"/>
      <c r="H495" s="527"/>
      <c r="I495" s="528"/>
      <c r="K495" s="531"/>
      <c r="L495" s="531"/>
      <c r="M495" s="531"/>
      <c r="N495" s="531"/>
      <c r="O495" s="531"/>
      <c r="P495" s="531"/>
      <c r="Q495" s="531"/>
      <c r="R495" s="531"/>
      <c r="S495" s="531"/>
      <c r="T495" s="531"/>
      <c r="U495" s="531"/>
      <c r="V495" s="531"/>
      <c r="W495" s="531"/>
      <c r="X495" s="531"/>
      <c r="Y495" s="531"/>
      <c r="Z495" s="531"/>
      <c r="AA495" s="531"/>
    </row>
    <row r="496" spans="1:27" ht="15">
      <c r="A496" s="527"/>
      <c r="B496" s="527"/>
      <c r="C496" s="527"/>
      <c r="D496" s="527"/>
      <c r="E496" s="527"/>
      <c r="F496" s="527"/>
      <c r="G496" s="527"/>
      <c r="H496" s="527"/>
      <c r="I496" s="528"/>
      <c r="K496" s="531"/>
      <c r="L496" s="531"/>
      <c r="M496" s="531"/>
      <c r="N496" s="531"/>
      <c r="O496" s="531"/>
      <c r="P496" s="531"/>
      <c r="Q496" s="531"/>
      <c r="R496" s="531"/>
      <c r="S496" s="531"/>
      <c r="T496" s="531"/>
      <c r="U496" s="531"/>
      <c r="V496" s="531"/>
      <c r="W496" s="531"/>
      <c r="X496" s="531"/>
      <c r="Y496" s="531"/>
      <c r="Z496" s="531"/>
      <c r="AA496" s="531"/>
    </row>
    <row r="497" spans="1:27" ht="15">
      <c r="A497" s="527"/>
      <c r="B497" s="527"/>
      <c r="C497" s="527"/>
      <c r="D497" s="527"/>
      <c r="E497" s="527"/>
      <c r="F497" s="527"/>
      <c r="G497" s="527"/>
      <c r="H497" s="527"/>
      <c r="I497" s="528"/>
      <c r="K497" s="531"/>
      <c r="L497" s="531"/>
      <c r="M497" s="531"/>
      <c r="N497" s="531"/>
      <c r="O497" s="531"/>
      <c r="P497" s="531"/>
      <c r="Q497" s="531"/>
      <c r="R497" s="531"/>
      <c r="S497" s="531"/>
      <c r="T497" s="531"/>
      <c r="U497" s="531"/>
      <c r="V497" s="531"/>
      <c r="W497" s="531"/>
      <c r="X497" s="531"/>
      <c r="Y497" s="531"/>
      <c r="Z497" s="531"/>
      <c r="AA497" s="531"/>
    </row>
    <row r="498" spans="1:27" ht="15">
      <c r="A498" s="527"/>
      <c r="B498" s="527"/>
      <c r="C498" s="527"/>
      <c r="D498" s="527"/>
      <c r="E498" s="527"/>
      <c r="F498" s="527"/>
      <c r="G498" s="527"/>
      <c r="H498" s="527"/>
      <c r="I498" s="528"/>
      <c r="K498" s="531"/>
      <c r="L498" s="531"/>
      <c r="M498" s="531"/>
      <c r="N498" s="531"/>
      <c r="O498" s="531"/>
      <c r="P498" s="531"/>
      <c r="Q498" s="531"/>
      <c r="R498" s="531"/>
      <c r="S498" s="531"/>
      <c r="T498" s="531"/>
      <c r="U498" s="531"/>
      <c r="V498" s="531"/>
      <c r="W498" s="531"/>
      <c r="X498" s="531"/>
      <c r="Y498" s="531"/>
      <c r="Z498" s="531"/>
      <c r="AA498" s="531"/>
    </row>
    <row r="499" spans="1:27" ht="15">
      <c r="A499" s="527"/>
      <c r="B499" s="527"/>
      <c r="C499" s="527"/>
      <c r="D499" s="527"/>
      <c r="E499" s="527"/>
      <c r="F499" s="527"/>
      <c r="G499" s="527"/>
      <c r="H499" s="527"/>
      <c r="I499" s="528"/>
      <c r="K499" s="531"/>
      <c r="L499" s="531"/>
      <c r="M499" s="531"/>
      <c r="N499" s="531"/>
      <c r="O499" s="531"/>
      <c r="P499" s="531"/>
      <c r="Q499" s="531"/>
      <c r="R499" s="531"/>
      <c r="S499" s="531"/>
      <c r="T499" s="531"/>
      <c r="U499" s="531"/>
      <c r="V499" s="531"/>
      <c r="W499" s="531"/>
      <c r="X499" s="531"/>
      <c r="Y499" s="531"/>
      <c r="Z499" s="531"/>
      <c r="AA499" s="531"/>
    </row>
    <row r="500" spans="1:27" ht="15">
      <c r="A500" s="527"/>
      <c r="B500" s="527"/>
      <c r="C500" s="527"/>
      <c r="D500" s="527"/>
      <c r="E500" s="527"/>
      <c r="F500" s="527"/>
      <c r="G500" s="527"/>
      <c r="H500" s="527"/>
      <c r="I500" s="528"/>
      <c r="K500" s="531"/>
      <c r="L500" s="531"/>
      <c r="M500" s="531"/>
      <c r="N500" s="531"/>
      <c r="O500" s="531"/>
      <c r="P500" s="531"/>
      <c r="Q500" s="531"/>
      <c r="R500" s="531"/>
      <c r="S500" s="531"/>
      <c r="T500" s="531"/>
      <c r="U500" s="531"/>
      <c r="V500" s="531"/>
      <c r="W500" s="531"/>
      <c r="X500" s="531"/>
      <c r="Y500" s="531"/>
      <c r="Z500" s="531"/>
      <c r="AA500" s="531"/>
    </row>
    <row r="501" spans="1:27" ht="15">
      <c r="A501" s="527"/>
      <c r="B501" s="527"/>
      <c r="C501" s="527"/>
      <c r="D501" s="527"/>
      <c r="E501" s="527"/>
      <c r="F501" s="527"/>
      <c r="G501" s="527"/>
      <c r="H501" s="527"/>
      <c r="I501" s="528"/>
      <c r="K501" s="531"/>
      <c r="L501" s="531"/>
      <c r="M501" s="531"/>
      <c r="N501" s="531"/>
      <c r="O501" s="531"/>
      <c r="P501" s="531"/>
      <c r="Q501" s="531"/>
      <c r="R501" s="531"/>
      <c r="S501" s="531"/>
      <c r="T501" s="531"/>
      <c r="U501" s="531"/>
      <c r="V501" s="531"/>
      <c r="W501" s="531"/>
      <c r="X501" s="531"/>
      <c r="Y501" s="531"/>
      <c r="Z501" s="531"/>
      <c r="AA501" s="531"/>
    </row>
    <row r="502" spans="1:27" ht="15">
      <c r="A502" s="527"/>
      <c r="B502" s="527"/>
      <c r="C502" s="527"/>
      <c r="D502" s="527"/>
      <c r="E502" s="527"/>
      <c r="F502" s="527"/>
      <c r="G502" s="527"/>
      <c r="H502" s="527"/>
      <c r="I502" s="528"/>
      <c r="K502" s="531"/>
      <c r="L502" s="531"/>
      <c r="M502" s="531"/>
      <c r="N502" s="531"/>
      <c r="O502" s="531"/>
      <c r="P502" s="531"/>
      <c r="Q502" s="531"/>
      <c r="R502" s="531"/>
      <c r="S502" s="531"/>
      <c r="T502" s="531"/>
      <c r="U502" s="531"/>
      <c r="V502" s="531"/>
      <c r="W502" s="531"/>
      <c r="X502" s="531"/>
      <c r="Y502" s="531"/>
      <c r="Z502" s="531"/>
      <c r="AA502" s="531"/>
    </row>
    <row r="503" spans="1:27" ht="15">
      <c r="A503" s="527"/>
      <c r="B503" s="527"/>
      <c r="C503" s="527"/>
      <c r="D503" s="527"/>
      <c r="E503" s="527"/>
      <c r="F503" s="527"/>
      <c r="G503" s="527"/>
      <c r="H503" s="527"/>
      <c r="I503" s="528"/>
      <c r="K503" s="531"/>
      <c r="L503" s="531"/>
      <c r="M503" s="531"/>
      <c r="N503" s="531"/>
      <c r="O503" s="531"/>
      <c r="P503" s="531"/>
      <c r="Q503" s="531"/>
      <c r="R503" s="531"/>
      <c r="S503" s="531"/>
      <c r="T503" s="531"/>
      <c r="U503" s="531"/>
      <c r="V503" s="531"/>
      <c r="W503" s="531"/>
      <c r="X503" s="531"/>
      <c r="Y503" s="531"/>
      <c r="Z503" s="531"/>
      <c r="AA503" s="531"/>
    </row>
    <row r="504" spans="1:27" ht="15">
      <c r="A504" s="527"/>
      <c r="B504" s="527"/>
      <c r="C504" s="527"/>
      <c r="D504" s="527"/>
      <c r="E504" s="527"/>
      <c r="F504" s="527"/>
      <c r="G504" s="527"/>
      <c r="H504" s="527"/>
      <c r="I504" s="528"/>
      <c r="K504" s="531"/>
      <c r="L504" s="531"/>
      <c r="M504" s="531"/>
      <c r="N504" s="531"/>
      <c r="O504" s="531"/>
      <c r="P504" s="531"/>
      <c r="Q504" s="531"/>
      <c r="R504" s="531"/>
      <c r="S504" s="531"/>
      <c r="T504" s="531"/>
      <c r="U504" s="531"/>
      <c r="V504" s="531"/>
      <c r="W504" s="531"/>
      <c r="X504" s="531"/>
      <c r="Y504" s="531"/>
      <c r="Z504" s="531"/>
      <c r="AA504" s="531"/>
    </row>
    <row r="505" spans="1:27" ht="15">
      <c r="A505" s="527"/>
      <c r="B505" s="527"/>
      <c r="C505" s="527"/>
      <c r="D505" s="527"/>
      <c r="E505" s="527"/>
      <c r="F505" s="527"/>
      <c r="G505" s="527"/>
      <c r="H505" s="527"/>
      <c r="I505" s="528"/>
      <c r="K505" s="531"/>
      <c r="L505" s="531"/>
      <c r="M505" s="531"/>
      <c r="N505" s="531"/>
      <c r="O505" s="531"/>
      <c r="P505" s="531"/>
      <c r="Q505" s="531"/>
      <c r="R505" s="531"/>
      <c r="S505" s="531"/>
      <c r="T505" s="531"/>
      <c r="U505" s="531"/>
      <c r="V505" s="531"/>
      <c r="W505" s="531"/>
      <c r="X505" s="531"/>
      <c r="Y505" s="531"/>
      <c r="Z505" s="531"/>
      <c r="AA505" s="531"/>
    </row>
    <row r="506" spans="1:27" ht="15">
      <c r="A506" s="527"/>
      <c r="B506" s="527"/>
      <c r="C506" s="527"/>
      <c r="D506" s="527"/>
      <c r="E506" s="527"/>
      <c r="F506" s="527"/>
      <c r="G506" s="527"/>
      <c r="H506" s="527"/>
      <c r="I506" s="528"/>
      <c r="K506" s="531"/>
      <c r="L506" s="531"/>
      <c r="M506" s="531"/>
      <c r="N506" s="531"/>
      <c r="O506" s="531"/>
      <c r="P506" s="531"/>
      <c r="Q506" s="531"/>
      <c r="R506" s="531"/>
      <c r="S506" s="531"/>
      <c r="T506" s="531"/>
      <c r="U506" s="531"/>
      <c r="V506" s="531"/>
      <c r="W506" s="531"/>
      <c r="X506" s="531"/>
      <c r="Y506" s="531"/>
      <c r="Z506" s="531"/>
      <c r="AA506" s="531"/>
    </row>
    <row r="507" spans="1:27" ht="15">
      <c r="A507" s="527"/>
      <c r="B507" s="527"/>
      <c r="C507" s="527"/>
      <c r="D507" s="527"/>
      <c r="E507" s="527"/>
      <c r="F507" s="527"/>
      <c r="G507" s="527"/>
      <c r="H507" s="527"/>
      <c r="I507" s="528"/>
      <c r="K507" s="531"/>
      <c r="L507" s="531"/>
      <c r="M507" s="531"/>
      <c r="N507" s="531"/>
      <c r="O507" s="531"/>
      <c r="P507" s="531"/>
      <c r="Q507" s="531"/>
      <c r="R507" s="531"/>
      <c r="S507" s="531"/>
      <c r="T507" s="531"/>
      <c r="U507" s="531"/>
      <c r="V507" s="531"/>
      <c r="W507" s="531"/>
      <c r="X507" s="531"/>
      <c r="Y507" s="531"/>
      <c r="Z507" s="531"/>
      <c r="AA507" s="531"/>
    </row>
    <row r="508" spans="1:27" ht="15">
      <c r="A508" s="527"/>
      <c r="B508" s="527"/>
      <c r="C508" s="527"/>
      <c r="D508" s="527"/>
      <c r="E508" s="527"/>
      <c r="F508" s="527"/>
      <c r="G508" s="527"/>
      <c r="H508" s="527"/>
      <c r="I508" s="528"/>
      <c r="K508" s="531"/>
      <c r="L508" s="531"/>
      <c r="M508" s="531"/>
      <c r="N508" s="531"/>
      <c r="O508" s="531"/>
      <c r="P508" s="531"/>
      <c r="Q508" s="531"/>
      <c r="R508" s="531"/>
      <c r="S508" s="531"/>
      <c r="T508" s="531"/>
      <c r="U508" s="531"/>
      <c r="V508" s="531"/>
      <c r="W508" s="531"/>
      <c r="X508" s="531"/>
      <c r="Y508" s="531"/>
      <c r="Z508" s="531"/>
      <c r="AA508" s="531"/>
    </row>
    <row r="509" spans="1:27" ht="15">
      <c r="A509" s="527"/>
      <c r="B509" s="527"/>
      <c r="C509" s="527"/>
      <c r="D509" s="527"/>
      <c r="E509" s="527"/>
      <c r="F509" s="527"/>
      <c r="G509" s="527"/>
      <c r="H509" s="527"/>
      <c r="I509" s="528"/>
      <c r="K509" s="531"/>
      <c r="L509" s="531"/>
      <c r="M509" s="531"/>
      <c r="N509" s="531"/>
      <c r="O509" s="531"/>
      <c r="P509" s="531"/>
      <c r="Q509" s="531"/>
      <c r="R509" s="531"/>
      <c r="S509" s="531"/>
      <c r="T509" s="531"/>
      <c r="U509" s="531"/>
      <c r="V509" s="531"/>
      <c r="W509" s="531"/>
      <c r="X509" s="531"/>
      <c r="Y509" s="531"/>
      <c r="Z509" s="531"/>
      <c r="AA509" s="531"/>
    </row>
    <row r="510" spans="1:27" ht="15">
      <c r="A510" s="527"/>
      <c r="B510" s="527"/>
      <c r="C510" s="527"/>
      <c r="D510" s="527"/>
      <c r="E510" s="527"/>
      <c r="F510" s="527"/>
      <c r="G510" s="527"/>
      <c r="H510" s="527"/>
      <c r="I510" s="528"/>
      <c r="K510" s="531"/>
      <c r="L510" s="531"/>
      <c r="M510" s="531"/>
      <c r="N510" s="531"/>
      <c r="O510" s="531"/>
      <c r="P510" s="531"/>
      <c r="Q510" s="531"/>
      <c r="R510" s="531"/>
      <c r="S510" s="531"/>
      <c r="T510" s="531"/>
      <c r="U510" s="531"/>
      <c r="V510" s="531"/>
      <c r="W510" s="531"/>
      <c r="X510" s="531"/>
      <c r="Y510" s="531"/>
      <c r="Z510" s="531"/>
      <c r="AA510" s="531"/>
    </row>
    <row r="511" spans="1:27" ht="15">
      <c r="A511" s="527"/>
      <c r="B511" s="527"/>
      <c r="C511" s="527"/>
      <c r="D511" s="527"/>
      <c r="E511" s="527"/>
      <c r="F511" s="527"/>
      <c r="G511" s="527"/>
      <c r="H511" s="527"/>
      <c r="I511" s="528"/>
      <c r="K511" s="531"/>
      <c r="L511" s="531"/>
      <c r="M511" s="531"/>
      <c r="N511" s="531"/>
      <c r="O511" s="531"/>
      <c r="P511" s="531"/>
      <c r="Q511" s="531"/>
      <c r="R511" s="531"/>
      <c r="S511" s="531"/>
      <c r="T511" s="531"/>
      <c r="U511" s="531"/>
      <c r="V511" s="531"/>
      <c r="W511" s="531"/>
      <c r="X511" s="531"/>
      <c r="Y511" s="531"/>
      <c r="Z511" s="531"/>
      <c r="AA511" s="531"/>
    </row>
    <row r="512" spans="1:27" ht="15">
      <c r="A512" s="527"/>
      <c r="B512" s="527"/>
      <c r="C512" s="527"/>
      <c r="D512" s="527"/>
      <c r="E512" s="527"/>
      <c r="F512" s="527"/>
      <c r="G512" s="527"/>
      <c r="H512" s="527"/>
      <c r="I512" s="528"/>
      <c r="K512" s="531"/>
      <c r="L512" s="531"/>
      <c r="M512" s="531"/>
      <c r="N512" s="531"/>
      <c r="O512" s="531"/>
      <c r="P512" s="531"/>
      <c r="Q512" s="531"/>
      <c r="R512" s="531"/>
      <c r="S512" s="531"/>
      <c r="T512" s="531"/>
      <c r="U512" s="531"/>
      <c r="V512" s="531"/>
      <c r="W512" s="531"/>
      <c r="X512" s="531"/>
      <c r="Y512" s="531"/>
      <c r="Z512" s="531"/>
      <c r="AA512" s="531"/>
    </row>
    <row r="513" spans="1:27" ht="15">
      <c r="A513" s="527"/>
      <c r="B513" s="527"/>
      <c r="C513" s="527"/>
      <c r="D513" s="527"/>
      <c r="E513" s="527"/>
      <c r="F513" s="527"/>
      <c r="G513" s="527"/>
      <c r="H513" s="527"/>
      <c r="I513" s="528"/>
      <c r="K513" s="531"/>
      <c r="L513" s="531"/>
      <c r="M513" s="531"/>
      <c r="N513" s="531"/>
      <c r="O513" s="531"/>
      <c r="P513" s="531"/>
      <c r="Q513" s="531"/>
      <c r="R513" s="531"/>
      <c r="S513" s="531"/>
      <c r="T513" s="531"/>
      <c r="U513" s="531"/>
      <c r="V513" s="531"/>
      <c r="W513" s="531"/>
      <c r="X513" s="531"/>
      <c r="Y513" s="531"/>
      <c r="Z513" s="531"/>
      <c r="AA513" s="531"/>
    </row>
    <row r="514" spans="1:27" ht="15">
      <c r="A514" s="527"/>
      <c r="B514" s="527"/>
      <c r="C514" s="527"/>
      <c r="D514" s="527"/>
      <c r="E514" s="527"/>
      <c r="F514" s="527"/>
      <c r="G514" s="527"/>
      <c r="H514" s="527"/>
      <c r="I514" s="528"/>
      <c r="K514" s="531"/>
      <c r="L514" s="531"/>
      <c r="M514" s="531"/>
      <c r="N514" s="531"/>
      <c r="O514" s="531"/>
      <c r="P514" s="531"/>
      <c r="Q514" s="531"/>
      <c r="R514" s="531"/>
      <c r="S514" s="531"/>
      <c r="T514" s="531"/>
      <c r="U514" s="531"/>
      <c r="V514" s="531"/>
      <c r="W514" s="531"/>
      <c r="X514" s="531"/>
      <c r="Y514" s="531"/>
      <c r="Z514" s="531"/>
      <c r="AA514" s="531"/>
    </row>
    <row r="515" spans="1:27" ht="15">
      <c r="A515" s="527"/>
      <c r="B515" s="527"/>
      <c r="C515" s="527"/>
      <c r="D515" s="527"/>
      <c r="E515" s="527"/>
      <c r="F515" s="527"/>
      <c r="G515" s="527"/>
      <c r="H515" s="527"/>
      <c r="I515" s="528"/>
      <c r="K515" s="531"/>
      <c r="L515" s="531"/>
      <c r="M515" s="531"/>
      <c r="N515" s="531"/>
      <c r="O515" s="531"/>
      <c r="P515" s="531"/>
      <c r="Q515" s="531"/>
      <c r="R515" s="531"/>
      <c r="S515" s="531"/>
      <c r="T515" s="531"/>
      <c r="U515" s="531"/>
      <c r="V515" s="531"/>
      <c r="W515" s="531"/>
      <c r="X515" s="531"/>
      <c r="Y515" s="531"/>
      <c r="Z515" s="531"/>
      <c r="AA515" s="531"/>
    </row>
    <row r="516" spans="1:27" ht="15">
      <c r="A516" s="527"/>
      <c r="B516" s="527"/>
      <c r="C516" s="527"/>
      <c r="D516" s="527"/>
      <c r="E516" s="527"/>
      <c r="F516" s="527"/>
      <c r="G516" s="527"/>
      <c r="H516" s="527"/>
      <c r="I516" s="528"/>
      <c r="K516" s="531"/>
      <c r="L516" s="531"/>
      <c r="M516" s="531"/>
      <c r="N516" s="531"/>
      <c r="O516" s="531"/>
      <c r="P516" s="531"/>
      <c r="Q516" s="531"/>
      <c r="R516" s="531"/>
      <c r="S516" s="531"/>
      <c r="T516" s="531"/>
      <c r="U516" s="531"/>
      <c r="V516" s="531"/>
      <c r="W516" s="531"/>
      <c r="X516" s="531"/>
      <c r="Y516" s="531"/>
      <c r="Z516" s="531"/>
      <c r="AA516" s="531"/>
    </row>
    <row r="517" spans="1:27" ht="15">
      <c r="A517" s="527"/>
      <c r="B517" s="527"/>
      <c r="C517" s="527"/>
      <c r="D517" s="527"/>
      <c r="E517" s="527"/>
      <c r="F517" s="527"/>
      <c r="G517" s="527"/>
      <c r="H517" s="527"/>
      <c r="I517" s="528"/>
      <c r="K517" s="531"/>
      <c r="L517" s="531"/>
      <c r="M517" s="531"/>
      <c r="N517" s="531"/>
      <c r="O517" s="531"/>
      <c r="P517" s="531"/>
      <c r="Q517" s="531"/>
      <c r="R517" s="531"/>
      <c r="S517" s="531"/>
      <c r="T517" s="531"/>
      <c r="U517" s="531"/>
      <c r="V517" s="531"/>
      <c r="W517" s="531"/>
      <c r="X517" s="531"/>
      <c r="Y517" s="531"/>
      <c r="Z517" s="531"/>
      <c r="AA517" s="531"/>
    </row>
    <row r="518" spans="1:27" ht="15">
      <c r="A518" s="527"/>
      <c r="B518" s="527"/>
      <c r="C518" s="527"/>
      <c r="D518" s="527"/>
      <c r="E518" s="527"/>
      <c r="F518" s="527"/>
      <c r="G518" s="527"/>
      <c r="H518" s="527"/>
      <c r="I518" s="528"/>
      <c r="K518" s="531"/>
      <c r="L518" s="531"/>
      <c r="M518" s="531"/>
      <c r="N518" s="531"/>
      <c r="O518" s="531"/>
      <c r="P518" s="531"/>
      <c r="Q518" s="531"/>
      <c r="R518" s="531"/>
      <c r="S518" s="531"/>
      <c r="T518" s="531"/>
      <c r="U518" s="531"/>
      <c r="V518" s="531"/>
      <c r="W518" s="531"/>
      <c r="X518" s="531"/>
      <c r="Y518" s="531"/>
      <c r="Z518" s="531"/>
      <c r="AA518" s="531"/>
    </row>
    <row r="519" spans="1:27" ht="15">
      <c r="A519" s="527"/>
      <c r="B519" s="527"/>
      <c r="C519" s="527"/>
      <c r="D519" s="527"/>
      <c r="E519" s="527"/>
      <c r="F519" s="527"/>
      <c r="G519" s="527"/>
      <c r="H519" s="527"/>
      <c r="I519" s="528"/>
      <c r="K519" s="531"/>
      <c r="L519" s="531"/>
      <c r="M519" s="531"/>
      <c r="N519" s="531"/>
      <c r="O519" s="531"/>
      <c r="P519" s="531"/>
      <c r="Q519" s="531"/>
      <c r="R519" s="531"/>
      <c r="S519" s="531"/>
      <c r="T519" s="531"/>
      <c r="U519" s="531"/>
      <c r="V519" s="531"/>
      <c r="W519" s="531"/>
      <c r="X519" s="531"/>
      <c r="Y519" s="531"/>
      <c r="Z519" s="531"/>
      <c r="AA519" s="531"/>
    </row>
    <row r="520" spans="1:27" ht="15">
      <c r="A520" s="527"/>
      <c r="B520" s="527"/>
      <c r="C520" s="527"/>
      <c r="D520" s="527"/>
      <c r="E520" s="527"/>
      <c r="F520" s="527"/>
      <c r="G520" s="527"/>
      <c r="H520" s="527"/>
      <c r="I520" s="528"/>
      <c r="K520" s="531"/>
      <c r="L520" s="531"/>
      <c r="M520" s="531"/>
      <c r="N520" s="531"/>
      <c r="O520" s="531"/>
      <c r="P520" s="531"/>
      <c r="Q520" s="531"/>
      <c r="R520" s="531"/>
      <c r="S520" s="531"/>
      <c r="T520" s="531"/>
      <c r="U520" s="531"/>
      <c r="V520" s="531"/>
      <c r="W520" s="531"/>
      <c r="X520" s="531"/>
      <c r="Y520" s="531"/>
      <c r="Z520" s="531"/>
      <c r="AA520" s="531"/>
    </row>
    <row r="521" spans="1:27" ht="15">
      <c r="A521" s="527"/>
      <c r="B521" s="527"/>
      <c r="C521" s="527"/>
      <c r="D521" s="527"/>
      <c r="E521" s="527"/>
      <c r="F521" s="527"/>
      <c r="G521" s="527"/>
      <c r="H521" s="527"/>
      <c r="I521" s="528"/>
      <c r="K521" s="531"/>
      <c r="L521" s="531"/>
      <c r="M521" s="531"/>
      <c r="N521" s="531"/>
      <c r="O521" s="531"/>
      <c r="P521" s="531"/>
      <c r="Q521" s="531"/>
      <c r="R521" s="531"/>
      <c r="S521" s="531"/>
      <c r="T521" s="531"/>
      <c r="U521" s="531"/>
      <c r="V521" s="531"/>
      <c r="W521" s="531"/>
      <c r="X521" s="531"/>
      <c r="Y521" s="531"/>
      <c r="Z521" s="531"/>
      <c r="AA521" s="531"/>
    </row>
    <row r="522" spans="1:27" ht="15">
      <c r="A522" s="527"/>
      <c r="B522" s="527"/>
      <c r="C522" s="527"/>
      <c r="D522" s="527"/>
      <c r="E522" s="527"/>
      <c r="F522" s="527"/>
      <c r="G522" s="527"/>
      <c r="H522" s="527"/>
      <c r="I522" s="528"/>
      <c r="K522" s="531"/>
      <c r="L522" s="531"/>
      <c r="M522" s="531"/>
      <c r="N522" s="531"/>
      <c r="O522" s="531"/>
      <c r="P522" s="531"/>
      <c r="Q522" s="531"/>
      <c r="R522" s="531"/>
      <c r="S522" s="531"/>
      <c r="T522" s="531"/>
      <c r="U522" s="531"/>
      <c r="V522" s="531"/>
      <c r="W522" s="531"/>
      <c r="X522" s="531"/>
      <c r="Y522" s="531"/>
      <c r="Z522" s="531"/>
      <c r="AA522" s="531"/>
    </row>
    <row r="523" spans="1:27" ht="15">
      <c r="A523" s="527"/>
      <c r="B523" s="527"/>
      <c r="C523" s="527"/>
      <c r="D523" s="527"/>
      <c r="E523" s="527"/>
      <c r="F523" s="527"/>
      <c r="G523" s="527"/>
      <c r="H523" s="527"/>
      <c r="I523" s="528"/>
      <c r="K523" s="531"/>
      <c r="L523" s="531"/>
      <c r="M523" s="531"/>
      <c r="N523" s="531"/>
      <c r="O523" s="531"/>
      <c r="P523" s="531"/>
      <c r="Q523" s="531"/>
      <c r="R523" s="531"/>
      <c r="S523" s="531"/>
      <c r="T523" s="531"/>
      <c r="U523" s="531"/>
      <c r="V523" s="531"/>
      <c r="W523" s="531"/>
      <c r="X523" s="531"/>
      <c r="Y523" s="531"/>
      <c r="Z523" s="531"/>
      <c r="AA523" s="531"/>
    </row>
    <row r="524" spans="1:27" ht="15">
      <c r="A524" s="527"/>
      <c r="B524" s="527"/>
      <c r="C524" s="527"/>
      <c r="D524" s="527"/>
      <c r="E524" s="527"/>
      <c r="F524" s="527"/>
      <c r="G524" s="527"/>
      <c r="H524" s="527"/>
      <c r="I524" s="528"/>
      <c r="K524" s="531"/>
      <c r="L524" s="531"/>
      <c r="M524" s="531"/>
      <c r="N524" s="531"/>
      <c r="O524" s="531"/>
      <c r="P524" s="531"/>
      <c r="Q524" s="531"/>
      <c r="R524" s="531"/>
      <c r="S524" s="531"/>
      <c r="T524" s="531"/>
      <c r="U524" s="531"/>
      <c r="V524" s="531"/>
      <c r="W524" s="531"/>
      <c r="X524" s="531"/>
      <c r="Y524" s="531"/>
      <c r="Z524" s="531"/>
      <c r="AA524" s="531"/>
    </row>
    <row r="525" spans="1:27" ht="15">
      <c r="A525" s="527"/>
      <c r="B525" s="527"/>
      <c r="C525" s="527"/>
      <c r="D525" s="527"/>
      <c r="E525" s="527"/>
      <c r="F525" s="527"/>
      <c r="G525" s="527"/>
      <c r="H525" s="527"/>
      <c r="I525" s="528"/>
      <c r="K525" s="531"/>
      <c r="L525" s="531"/>
      <c r="M525" s="531"/>
      <c r="N525" s="531"/>
      <c r="O525" s="531"/>
      <c r="P525" s="531"/>
      <c r="Q525" s="531"/>
      <c r="R525" s="531"/>
      <c r="S525" s="531"/>
      <c r="T525" s="531"/>
      <c r="U525" s="531"/>
      <c r="V525" s="531"/>
      <c r="W525" s="531"/>
      <c r="X525" s="531"/>
      <c r="Y525" s="531"/>
      <c r="Z525" s="531"/>
      <c r="AA525" s="531"/>
    </row>
    <row r="526" spans="1:27" ht="15">
      <c r="A526" s="527"/>
      <c r="B526" s="527"/>
      <c r="C526" s="527"/>
      <c r="D526" s="527"/>
      <c r="E526" s="527"/>
      <c r="F526" s="527"/>
      <c r="G526" s="527"/>
      <c r="H526" s="527"/>
      <c r="I526" s="528"/>
      <c r="K526" s="531"/>
      <c r="L526" s="531"/>
      <c r="M526" s="531"/>
      <c r="N526" s="531"/>
      <c r="O526" s="531"/>
      <c r="P526" s="531"/>
      <c r="Q526" s="531"/>
      <c r="R526" s="531"/>
      <c r="S526" s="531"/>
      <c r="T526" s="531"/>
      <c r="U526" s="531"/>
      <c r="V526" s="531"/>
      <c r="W526" s="531"/>
      <c r="X526" s="531"/>
      <c r="Y526" s="531"/>
      <c r="Z526" s="531"/>
      <c r="AA526" s="531"/>
    </row>
    <row r="527" spans="1:27" ht="15">
      <c r="A527" s="527"/>
      <c r="B527" s="527"/>
      <c r="C527" s="527"/>
      <c r="D527" s="527"/>
      <c r="E527" s="527"/>
      <c r="F527" s="527"/>
      <c r="G527" s="527"/>
      <c r="H527" s="527"/>
      <c r="I527" s="528"/>
      <c r="K527" s="531"/>
      <c r="L527" s="531"/>
      <c r="M527" s="531"/>
      <c r="N527" s="531"/>
      <c r="O527" s="531"/>
      <c r="P527" s="531"/>
      <c r="Q527" s="531"/>
      <c r="R527" s="531"/>
      <c r="S527" s="531"/>
      <c r="T527" s="531"/>
      <c r="U527" s="531"/>
      <c r="V527" s="531"/>
      <c r="W527" s="531"/>
      <c r="X527" s="531"/>
      <c r="Y527" s="531"/>
      <c r="Z527" s="531"/>
      <c r="AA527" s="531"/>
    </row>
    <row r="528" spans="1:27" ht="15">
      <c r="A528" s="527"/>
      <c r="B528" s="527"/>
      <c r="C528" s="527"/>
      <c r="D528" s="527"/>
      <c r="E528" s="527"/>
      <c r="F528" s="527"/>
      <c r="G528" s="527"/>
      <c r="H528" s="527"/>
      <c r="I528" s="528"/>
      <c r="K528" s="531"/>
      <c r="L528" s="531"/>
      <c r="M528" s="531"/>
      <c r="N528" s="531"/>
      <c r="O528" s="531"/>
      <c r="P528" s="531"/>
      <c r="Q528" s="531"/>
      <c r="R528" s="531"/>
      <c r="S528" s="531"/>
      <c r="T528" s="531"/>
      <c r="U528" s="531"/>
      <c r="V528" s="531"/>
      <c r="W528" s="531"/>
      <c r="X528" s="531"/>
      <c r="Y528" s="531"/>
      <c r="Z528" s="531"/>
      <c r="AA528" s="531"/>
    </row>
    <row r="529" spans="1:27" ht="15">
      <c r="A529" s="527"/>
      <c r="B529" s="527"/>
      <c r="C529" s="527"/>
      <c r="D529" s="527"/>
      <c r="E529" s="527"/>
      <c r="F529" s="527"/>
      <c r="G529" s="527"/>
      <c r="H529" s="527"/>
      <c r="I529" s="528"/>
      <c r="K529" s="531"/>
      <c r="L529" s="531"/>
      <c r="M529" s="531"/>
      <c r="N529" s="531"/>
      <c r="O529" s="531"/>
      <c r="P529" s="531"/>
      <c r="Q529" s="531"/>
      <c r="R529" s="531"/>
      <c r="S529" s="531"/>
      <c r="T529" s="531"/>
      <c r="U529" s="531"/>
      <c r="V529" s="531"/>
      <c r="W529" s="531"/>
      <c r="X529" s="531"/>
      <c r="Y529" s="531"/>
      <c r="Z529" s="531"/>
      <c r="AA529" s="531"/>
    </row>
    <row r="530" spans="1:27" ht="15">
      <c r="A530" s="527"/>
      <c r="B530" s="527"/>
      <c r="C530" s="527"/>
      <c r="D530" s="527"/>
      <c r="E530" s="527"/>
      <c r="F530" s="527"/>
      <c r="G530" s="527"/>
      <c r="H530" s="527"/>
      <c r="I530" s="528"/>
      <c r="K530" s="531"/>
      <c r="L530" s="531"/>
      <c r="M530" s="531"/>
      <c r="N530" s="531"/>
      <c r="O530" s="531"/>
      <c r="P530" s="531"/>
      <c r="Q530" s="531"/>
      <c r="R530" s="531"/>
      <c r="S530" s="531"/>
      <c r="T530" s="531"/>
      <c r="U530" s="531"/>
      <c r="V530" s="531"/>
      <c r="W530" s="531"/>
      <c r="X530" s="531"/>
      <c r="Y530" s="531"/>
      <c r="Z530" s="531"/>
      <c r="AA530" s="531"/>
    </row>
    <row r="531" spans="1:27" ht="15">
      <c r="A531" s="527"/>
      <c r="B531" s="527"/>
      <c r="C531" s="527"/>
      <c r="D531" s="527"/>
      <c r="E531" s="527"/>
      <c r="F531" s="527"/>
      <c r="G531" s="527"/>
      <c r="H531" s="527"/>
      <c r="I531" s="528"/>
      <c r="K531" s="531"/>
      <c r="L531" s="531"/>
      <c r="M531" s="531"/>
      <c r="N531" s="531"/>
      <c r="O531" s="531"/>
      <c r="P531" s="531"/>
      <c r="Q531" s="531"/>
      <c r="R531" s="531"/>
      <c r="S531" s="531"/>
      <c r="T531" s="531"/>
      <c r="U531" s="531"/>
      <c r="V531" s="531"/>
      <c r="W531" s="531"/>
      <c r="X531" s="531"/>
      <c r="Y531" s="531"/>
      <c r="Z531" s="531"/>
      <c r="AA531" s="531"/>
    </row>
    <row r="532" spans="1:27" ht="15">
      <c r="A532" s="527"/>
      <c r="B532" s="527"/>
      <c r="C532" s="527"/>
      <c r="D532" s="527"/>
      <c r="E532" s="527"/>
      <c r="F532" s="527"/>
      <c r="G532" s="527"/>
      <c r="H532" s="527"/>
      <c r="I532" s="528"/>
      <c r="K532" s="531"/>
      <c r="L532" s="531"/>
      <c r="M532" s="531"/>
      <c r="N532" s="531"/>
      <c r="O532" s="531"/>
      <c r="P532" s="531"/>
      <c r="Q532" s="531"/>
      <c r="R532" s="531"/>
      <c r="S532" s="531"/>
      <c r="T532" s="531"/>
      <c r="U532" s="531"/>
      <c r="V532" s="531"/>
      <c r="W532" s="531"/>
      <c r="X532" s="531"/>
      <c r="Y532" s="531"/>
      <c r="Z532" s="531"/>
      <c r="AA532" s="531"/>
    </row>
    <row r="533" spans="1:27" ht="15">
      <c r="A533" s="527"/>
      <c r="B533" s="527"/>
      <c r="C533" s="527"/>
      <c r="D533" s="527"/>
      <c r="E533" s="527"/>
      <c r="F533" s="527"/>
      <c r="G533" s="527"/>
      <c r="H533" s="527"/>
      <c r="I533" s="528"/>
      <c r="K533" s="531"/>
      <c r="L533" s="531"/>
      <c r="M533" s="531"/>
      <c r="N533" s="531"/>
      <c r="O533" s="531"/>
      <c r="P533" s="531"/>
      <c r="Q533" s="531"/>
      <c r="R533" s="531"/>
      <c r="S533" s="531"/>
      <c r="T533" s="531"/>
      <c r="U533" s="531"/>
      <c r="V533" s="531"/>
      <c r="W533" s="531"/>
      <c r="X533" s="531"/>
      <c r="Y533" s="531"/>
      <c r="Z533" s="531"/>
      <c r="AA533" s="531"/>
    </row>
    <row r="534" spans="1:27" ht="15">
      <c r="A534" s="527"/>
      <c r="B534" s="527"/>
      <c r="C534" s="527"/>
      <c r="D534" s="527"/>
      <c r="E534" s="527"/>
      <c r="F534" s="527"/>
      <c r="G534" s="527"/>
      <c r="H534" s="527"/>
      <c r="I534" s="528"/>
      <c r="K534" s="531"/>
      <c r="L534" s="531"/>
      <c r="M534" s="531"/>
      <c r="N534" s="531"/>
      <c r="O534" s="531"/>
      <c r="P534" s="531"/>
      <c r="Q534" s="531"/>
      <c r="R534" s="531"/>
      <c r="S534" s="531"/>
      <c r="T534" s="531"/>
      <c r="U534" s="531"/>
      <c r="V534" s="531"/>
      <c r="W534" s="531"/>
      <c r="X534" s="531"/>
      <c r="Y534" s="531"/>
      <c r="Z534" s="531"/>
      <c r="AA534" s="531"/>
    </row>
    <row r="535" spans="1:27" ht="15">
      <c r="A535" s="527"/>
      <c r="B535" s="527"/>
      <c r="C535" s="527"/>
      <c r="D535" s="527"/>
      <c r="E535" s="527"/>
      <c r="F535" s="527"/>
      <c r="G535" s="527"/>
      <c r="H535" s="527"/>
      <c r="I535" s="528"/>
      <c r="K535" s="531"/>
      <c r="L535" s="531"/>
      <c r="M535" s="531"/>
      <c r="N535" s="531"/>
      <c r="O535" s="531"/>
      <c r="P535" s="531"/>
      <c r="Q535" s="531"/>
      <c r="R535" s="531"/>
      <c r="S535" s="531"/>
      <c r="T535" s="531"/>
      <c r="U535" s="531"/>
      <c r="V535" s="531"/>
      <c r="W535" s="531"/>
      <c r="X535" s="531"/>
      <c r="Y535" s="531"/>
      <c r="Z535" s="531"/>
      <c r="AA535" s="531"/>
    </row>
    <row r="536" spans="1:27" ht="15">
      <c r="A536" s="527"/>
      <c r="B536" s="527"/>
      <c r="C536" s="527"/>
      <c r="D536" s="527"/>
      <c r="E536" s="527"/>
      <c r="F536" s="527"/>
      <c r="G536" s="527"/>
      <c r="H536" s="527"/>
      <c r="I536" s="528"/>
      <c r="K536" s="531"/>
      <c r="L536" s="531"/>
      <c r="M536" s="531"/>
      <c r="N536" s="531"/>
      <c r="O536" s="531"/>
      <c r="P536" s="531"/>
      <c r="Q536" s="531"/>
      <c r="R536" s="531"/>
      <c r="S536" s="531"/>
      <c r="T536" s="531"/>
      <c r="U536" s="531"/>
      <c r="V536" s="531"/>
      <c r="W536" s="531"/>
      <c r="X536" s="531"/>
      <c r="Y536" s="531"/>
      <c r="Z536" s="531"/>
      <c r="AA536" s="531"/>
    </row>
    <row r="537" spans="1:27" ht="15">
      <c r="A537" s="527"/>
      <c r="B537" s="527"/>
      <c r="C537" s="527"/>
      <c r="D537" s="527"/>
      <c r="E537" s="527"/>
      <c r="F537" s="527"/>
      <c r="G537" s="527"/>
      <c r="H537" s="527"/>
      <c r="I537" s="528"/>
      <c r="K537" s="531"/>
      <c r="L537" s="531"/>
      <c r="M537" s="531"/>
      <c r="N537" s="531"/>
      <c r="O537" s="531"/>
      <c r="P537" s="531"/>
      <c r="Q537" s="531"/>
      <c r="R537" s="531"/>
      <c r="S537" s="531"/>
      <c r="T537" s="531"/>
      <c r="U537" s="531"/>
      <c r="V537" s="531"/>
      <c r="W537" s="531"/>
      <c r="X537" s="531"/>
      <c r="Y537" s="531"/>
      <c r="Z537" s="531"/>
      <c r="AA537" s="531"/>
    </row>
    <row r="538" spans="1:27" ht="15">
      <c r="A538" s="527"/>
      <c r="B538" s="527"/>
      <c r="C538" s="527"/>
      <c r="D538" s="527"/>
      <c r="E538" s="527"/>
      <c r="F538" s="527"/>
      <c r="G538" s="527"/>
      <c r="H538" s="527"/>
      <c r="I538" s="528"/>
      <c r="K538" s="531"/>
      <c r="L538" s="531"/>
      <c r="M538" s="531"/>
      <c r="N538" s="531"/>
      <c r="O538" s="531"/>
      <c r="P538" s="531"/>
      <c r="Q538" s="531"/>
      <c r="R538" s="531"/>
      <c r="S538" s="531"/>
      <c r="T538" s="531"/>
      <c r="U538" s="531"/>
      <c r="V538" s="531"/>
      <c r="W538" s="531"/>
      <c r="X538" s="531"/>
      <c r="Y538" s="531"/>
      <c r="Z538" s="531"/>
      <c r="AA538" s="531"/>
    </row>
    <row r="539" spans="1:27" ht="15">
      <c r="A539" s="527"/>
      <c r="B539" s="527"/>
      <c r="C539" s="527"/>
      <c r="D539" s="527"/>
      <c r="E539" s="527"/>
      <c r="F539" s="527"/>
      <c r="G539" s="527"/>
      <c r="H539" s="527"/>
      <c r="I539" s="528"/>
      <c r="K539" s="531"/>
      <c r="L539" s="531"/>
      <c r="M539" s="531"/>
      <c r="N539" s="531"/>
      <c r="O539" s="531"/>
      <c r="P539" s="531"/>
      <c r="Q539" s="531"/>
      <c r="R539" s="531"/>
      <c r="S539" s="531"/>
      <c r="T539" s="531"/>
      <c r="U539" s="531"/>
      <c r="V539" s="531"/>
      <c r="W539" s="531"/>
      <c r="X539" s="531"/>
      <c r="Y539" s="531"/>
      <c r="Z539" s="531"/>
      <c r="AA539" s="531"/>
    </row>
    <row r="540" spans="1:27" ht="15">
      <c r="A540" s="527"/>
      <c r="B540" s="527"/>
      <c r="C540" s="527"/>
      <c r="D540" s="527"/>
      <c r="E540" s="527"/>
      <c r="F540" s="527"/>
      <c r="G540" s="527"/>
      <c r="H540" s="527"/>
      <c r="I540" s="528"/>
      <c r="K540" s="531"/>
      <c r="L540" s="531"/>
      <c r="M540" s="531"/>
      <c r="N540" s="531"/>
      <c r="O540" s="531"/>
      <c r="P540" s="531"/>
      <c r="Q540" s="531"/>
      <c r="R540" s="531"/>
      <c r="S540" s="531"/>
      <c r="T540" s="531"/>
      <c r="U540" s="531"/>
      <c r="V540" s="531"/>
      <c r="W540" s="531"/>
      <c r="X540" s="531"/>
      <c r="Y540" s="531"/>
      <c r="Z540" s="531"/>
      <c r="AA540" s="531"/>
    </row>
    <row r="541" spans="1:27" ht="15">
      <c r="A541" s="527"/>
      <c r="B541" s="527"/>
      <c r="C541" s="527"/>
      <c r="D541" s="527"/>
      <c r="E541" s="527"/>
      <c r="F541" s="527"/>
      <c r="G541" s="527"/>
      <c r="H541" s="527"/>
      <c r="I541" s="528"/>
      <c r="K541" s="531"/>
      <c r="L541" s="531"/>
      <c r="M541" s="531"/>
      <c r="N541" s="531"/>
      <c r="O541" s="531"/>
      <c r="P541" s="531"/>
      <c r="Q541" s="531"/>
      <c r="R541" s="531"/>
      <c r="S541" s="531"/>
      <c r="T541" s="531"/>
      <c r="U541" s="531"/>
      <c r="V541" s="531"/>
      <c r="W541" s="531"/>
      <c r="X541" s="531"/>
      <c r="Y541" s="531"/>
      <c r="Z541" s="531"/>
      <c r="AA541" s="531"/>
    </row>
    <row r="542" spans="1:27" ht="15">
      <c r="A542" s="527"/>
      <c r="B542" s="527"/>
      <c r="C542" s="527"/>
      <c r="D542" s="527"/>
      <c r="E542" s="527"/>
      <c r="F542" s="527"/>
      <c r="G542" s="527"/>
      <c r="H542" s="527"/>
      <c r="I542" s="528"/>
      <c r="K542" s="531"/>
      <c r="L542" s="531"/>
      <c r="M542" s="531"/>
      <c r="N542" s="531"/>
      <c r="O542" s="531"/>
      <c r="P542" s="531"/>
      <c r="Q542" s="531"/>
      <c r="R542" s="531"/>
      <c r="S542" s="531"/>
      <c r="T542" s="531"/>
      <c r="U542" s="531"/>
      <c r="V542" s="531"/>
      <c r="W542" s="531"/>
      <c r="X542" s="531"/>
      <c r="Y542" s="531"/>
      <c r="Z542" s="531"/>
      <c r="AA542" s="531"/>
    </row>
    <row r="543" spans="1:27" ht="15">
      <c r="A543" s="527"/>
      <c r="B543" s="527"/>
      <c r="C543" s="527"/>
      <c r="D543" s="527"/>
      <c r="E543" s="527"/>
      <c r="F543" s="527"/>
      <c r="G543" s="527"/>
      <c r="H543" s="527"/>
      <c r="I543" s="528"/>
      <c r="K543" s="531"/>
      <c r="L543" s="531"/>
      <c r="M543" s="531"/>
      <c r="N543" s="531"/>
      <c r="O543" s="531"/>
      <c r="P543" s="531"/>
      <c r="Q543" s="531"/>
      <c r="R543" s="531"/>
      <c r="S543" s="531"/>
      <c r="T543" s="531"/>
      <c r="U543" s="531"/>
      <c r="V543" s="531"/>
      <c r="W543" s="531"/>
      <c r="X543" s="531"/>
      <c r="Y543" s="531"/>
      <c r="Z543" s="531"/>
      <c r="AA543" s="531"/>
    </row>
    <row r="544" spans="1:27" ht="15">
      <c r="A544" s="527"/>
      <c r="B544" s="527"/>
      <c r="C544" s="527"/>
      <c r="D544" s="527"/>
      <c r="E544" s="527"/>
      <c r="F544" s="527"/>
      <c r="G544" s="527"/>
      <c r="H544" s="527"/>
      <c r="I544" s="528"/>
      <c r="K544" s="531"/>
      <c r="L544" s="531"/>
      <c r="M544" s="531"/>
      <c r="N544" s="531"/>
      <c r="O544" s="531"/>
      <c r="P544" s="531"/>
      <c r="Q544" s="531"/>
      <c r="R544" s="531"/>
      <c r="S544" s="531"/>
      <c r="T544" s="531"/>
      <c r="U544" s="531"/>
      <c r="V544" s="531"/>
      <c r="W544" s="531"/>
      <c r="X544" s="531"/>
      <c r="Y544" s="531"/>
      <c r="Z544" s="531"/>
      <c r="AA544" s="531"/>
    </row>
    <row r="545" spans="1:27" ht="15">
      <c r="A545" s="527"/>
      <c r="B545" s="527"/>
      <c r="C545" s="527"/>
      <c r="D545" s="527"/>
      <c r="E545" s="527"/>
      <c r="F545" s="527"/>
      <c r="G545" s="527"/>
      <c r="H545" s="527"/>
      <c r="I545" s="528"/>
      <c r="K545" s="531"/>
      <c r="L545" s="531"/>
      <c r="M545" s="531"/>
      <c r="N545" s="531"/>
      <c r="O545" s="531"/>
      <c r="P545" s="531"/>
      <c r="Q545" s="531"/>
      <c r="R545" s="531"/>
      <c r="S545" s="531"/>
      <c r="T545" s="531"/>
      <c r="U545" s="531"/>
      <c r="V545" s="531"/>
      <c r="W545" s="531"/>
      <c r="X545" s="531"/>
      <c r="Y545" s="531"/>
      <c r="Z545" s="531"/>
      <c r="AA545" s="531"/>
    </row>
    <row r="546" spans="1:27" ht="15">
      <c r="A546" s="527"/>
      <c r="B546" s="527"/>
      <c r="C546" s="527"/>
      <c r="D546" s="527"/>
      <c r="E546" s="527"/>
      <c r="F546" s="527"/>
      <c r="G546" s="527"/>
      <c r="H546" s="527"/>
      <c r="I546" s="528"/>
      <c r="K546" s="531"/>
      <c r="L546" s="531"/>
      <c r="M546" s="531"/>
      <c r="N546" s="531"/>
      <c r="O546" s="531"/>
      <c r="P546" s="531"/>
      <c r="Q546" s="531"/>
      <c r="R546" s="531"/>
      <c r="S546" s="531"/>
      <c r="T546" s="531"/>
      <c r="U546" s="531"/>
      <c r="V546" s="531"/>
      <c r="W546" s="531"/>
      <c r="X546" s="531"/>
      <c r="Y546" s="531"/>
      <c r="Z546" s="531"/>
      <c r="AA546" s="531"/>
    </row>
    <row r="547" spans="1:27" ht="15">
      <c r="A547" s="527"/>
      <c r="B547" s="527"/>
      <c r="C547" s="527"/>
      <c r="D547" s="527"/>
      <c r="E547" s="527"/>
      <c r="F547" s="527"/>
      <c r="G547" s="527"/>
      <c r="H547" s="527"/>
      <c r="I547" s="528"/>
      <c r="K547" s="531"/>
      <c r="L547" s="531"/>
      <c r="M547" s="531"/>
      <c r="N547" s="531"/>
      <c r="O547" s="531"/>
      <c r="P547" s="531"/>
      <c r="Q547" s="531"/>
      <c r="R547" s="531"/>
      <c r="S547" s="531"/>
      <c r="T547" s="531"/>
      <c r="U547" s="531"/>
      <c r="V547" s="531"/>
      <c r="W547" s="531"/>
      <c r="X547" s="531"/>
      <c r="Y547" s="531"/>
      <c r="Z547" s="531"/>
      <c r="AA547" s="531"/>
    </row>
    <row r="548" spans="1:27" ht="15">
      <c r="A548" s="527"/>
      <c r="B548" s="527"/>
      <c r="C548" s="527"/>
      <c r="D548" s="527"/>
      <c r="E548" s="527"/>
      <c r="F548" s="527"/>
      <c r="G548" s="527"/>
      <c r="H548" s="527"/>
      <c r="I548" s="528"/>
      <c r="K548" s="531"/>
      <c r="L548" s="531"/>
      <c r="M548" s="531"/>
      <c r="N548" s="531"/>
      <c r="O548" s="531"/>
      <c r="P548" s="531"/>
      <c r="Q548" s="531"/>
      <c r="R548" s="531"/>
      <c r="S548" s="531"/>
      <c r="T548" s="531"/>
      <c r="U548" s="531"/>
      <c r="V548" s="531"/>
      <c r="W548" s="531"/>
      <c r="X548" s="531"/>
      <c r="Y548" s="531"/>
      <c r="Z548" s="531"/>
      <c r="AA548" s="531"/>
    </row>
    <row r="549" spans="1:27" ht="15">
      <c r="A549" s="527"/>
      <c r="B549" s="527"/>
      <c r="C549" s="527"/>
      <c r="D549" s="527"/>
      <c r="E549" s="527"/>
      <c r="F549" s="527"/>
      <c r="G549" s="527"/>
      <c r="H549" s="527"/>
      <c r="I549" s="528"/>
      <c r="K549" s="531"/>
      <c r="L549" s="531"/>
      <c r="M549" s="531"/>
      <c r="N549" s="531"/>
      <c r="O549" s="531"/>
      <c r="P549" s="531"/>
      <c r="Q549" s="531"/>
      <c r="R549" s="531"/>
      <c r="S549" s="531"/>
      <c r="T549" s="531"/>
      <c r="U549" s="531"/>
      <c r="V549" s="531"/>
      <c r="W549" s="531"/>
      <c r="X549" s="531"/>
      <c r="Y549" s="531"/>
      <c r="Z549" s="531"/>
      <c r="AA549" s="531"/>
    </row>
    <row r="550" spans="1:27" ht="15">
      <c r="A550" s="527"/>
      <c r="B550" s="527"/>
      <c r="C550" s="527"/>
      <c r="D550" s="527"/>
      <c r="E550" s="527"/>
      <c r="F550" s="527"/>
      <c r="G550" s="527"/>
      <c r="H550" s="527"/>
      <c r="I550" s="528"/>
      <c r="K550" s="531"/>
      <c r="L550" s="531"/>
      <c r="M550" s="531"/>
      <c r="N550" s="531"/>
      <c r="O550" s="531"/>
      <c r="P550" s="531"/>
      <c r="Q550" s="531"/>
      <c r="R550" s="531"/>
      <c r="S550" s="531"/>
      <c r="T550" s="531"/>
      <c r="U550" s="531"/>
      <c r="V550" s="531"/>
      <c r="W550" s="531"/>
      <c r="X550" s="531"/>
      <c r="Y550" s="531"/>
      <c r="Z550" s="531"/>
      <c r="AA550" s="531"/>
    </row>
    <row r="551" spans="1:27" ht="15">
      <c r="A551" s="527"/>
      <c r="B551" s="527"/>
      <c r="C551" s="527"/>
      <c r="D551" s="527"/>
      <c r="E551" s="527"/>
      <c r="F551" s="527"/>
      <c r="G551" s="527"/>
      <c r="H551" s="527"/>
      <c r="I551" s="528"/>
      <c r="K551" s="531"/>
      <c r="L551" s="531"/>
      <c r="M551" s="531"/>
      <c r="N551" s="531"/>
      <c r="O551" s="531"/>
      <c r="P551" s="531"/>
      <c r="Q551" s="531"/>
      <c r="R551" s="531"/>
      <c r="S551" s="531"/>
      <c r="T551" s="531"/>
      <c r="U551" s="531"/>
      <c r="V551" s="531"/>
      <c r="W551" s="531"/>
      <c r="X551" s="531"/>
      <c r="Y551" s="531"/>
      <c r="Z551" s="531"/>
      <c r="AA551" s="531"/>
    </row>
    <row r="552" spans="1:27" ht="15">
      <c r="A552" s="527"/>
      <c r="B552" s="527"/>
      <c r="C552" s="527"/>
      <c r="D552" s="527"/>
      <c r="E552" s="527"/>
      <c r="F552" s="527"/>
      <c r="G552" s="527"/>
      <c r="H552" s="527"/>
      <c r="I552" s="528"/>
      <c r="K552" s="531"/>
      <c r="L552" s="531"/>
      <c r="M552" s="531"/>
      <c r="N552" s="531"/>
      <c r="O552" s="531"/>
      <c r="P552" s="531"/>
      <c r="Q552" s="531"/>
      <c r="R552" s="531"/>
      <c r="S552" s="531"/>
      <c r="T552" s="531"/>
      <c r="U552" s="531"/>
      <c r="V552" s="531"/>
      <c r="W552" s="531"/>
      <c r="X552" s="531"/>
      <c r="Y552" s="531"/>
      <c r="Z552" s="531"/>
      <c r="AA552" s="531"/>
    </row>
    <row r="553" spans="1:27" ht="15">
      <c r="A553" s="527"/>
      <c r="B553" s="527"/>
      <c r="C553" s="527"/>
      <c r="D553" s="527"/>
      <c r="E553" s="527"/>
      <c r="F553" s="527"/>
      <c r="G553" s="527"/>
      <c r="H553" s="527"/>
      <c r="I553" s="528"/>
      <c r="K553" s="531"/>
      <c r="L553" s="531"/>
      <c r="M553" s="531"/>
      <c r="N553" s="531"/>
      <c r="O553" s="531"/>
      <c r="P553" s="531"/>
      <c r="Q553" s="531"/>
      <c r="R553" s="531"/>
      <c r="S553" s="531"/>
      <c r="T553" s="531"/>
      <c r="U553" s="531"/>
      <c r="V553" s="531"/>
      <c r="W553" s="531"/>
      <c r="X553" s="531"/>
      <c r="Y553" s="531"/>
      <c r="Z553" s="531"/>
      <c r="AA553" s="531"/>
    </row>
    <row r="554" spans="1:27" ht="15">
      <c r="A554" s="527"/>
      <c r="B554" s="527"/>
      <c r="C554" s="527"/>
      <c r="D554" s="527"/>
      <c r="E554" s="527"/>
      <c r="F554" s="527"/>
      <c r="G554" s="527"/>
      <c r="H554" s="527"/>
      <c r="I554" s="528"/>
      <c r="K554" s="531"/>
      <c r="L554" s="531"/>
      <c r="M554" s="531"/>
      <c r="N554" s="531"/>
      <c r="O554" s="531"/>
      <c r="P554" s="531"/>
      <c r="Q554" s="531"/>
      <c r="R554" s="531"/>
      <c r="S554" s="531"/>
      <c r="T554" s="531"/>
      <c r="U554" s="531"/>
      <c r="V554" s="531"/>
      <c r="W554" s="531"/>
      <c r="X554" s="531"/>
      <c r="Y554" s="531"/>
      <c r="Z554" s="531"/>
      <c r="AA554" s="531"/>
    </row>
    <row r="555" spans="1:27" ht="15">
      <c r="A555" s="527"/>
      <c r="B555" s="527"/>
      <c r="C555" s="527"/>
      <c r="D555" s="527"/>
      <c r="E555" s="527"/>
      <c r="F555" s="527"/>
      <c r="G555" s="527"/>
      <c r="H555" s="527"/>
      <c r="I555" s="528"/>
      <c r="K555" s="531"/>
      <c r="L555" s="531"/>
      <c r="M555" s="531"/>
      <c r="N555" s="531"/>
      <c r="O555" s="531"/>
      <c r="P555" s="531"/>
      <c r="Q555" s="531"/>
      <c r="R555" s="531"/>
      <c r="S555" s="531"/>
      <c r="T555" s="531"/>
      <c r="U555" s="531"/>
      <c r="V555" s="531"/>
      <c r="W555" s="531"/>
      <c r="X555" s="531"/>
      <c r="Y555" s="531"/>
      <c r="Z555" s="531"/>
      <c r="AA555" s="531"/>
    </row>
    <row r="556" spans="1:27" ht="15">
      <c r="A556" s="527"/>
      <c r="B556" s="527"/>
      <c r="C556" s="527"/>
      <c r="D556" s="527"/>
      <c r="E556" s="527"/>
      <c r="F556" s="527"/>
      <c r="G556" s="527"/>
      <c r="H556" s="527"/>
      <c r="I556" s="528"/>
      <c r="K556" s="531"/>
      <c r="L556" s="531"/>
      <c r="M556" s="531"/>
      <c r="N556" s="531"/>
      <c r="O556" s="531"/>
      <c r="P556" s="531"/>
      <c r="Q556" s="531"/>
      <c r="R556" s="531"/>
      <c r="S556" s="531"/>
      <c r="T556" s="531"/>
      <c r="U556" s="531"/>
      <c r="V556" s="531"/>
      <c r="W556" s="531"/>
      <c r="X556" s="531"/>
      <c r="Y556" s="531"/>
      <c r="Z556" s="531"/>
      <c r="AA556" s="531"/>
    </row>
    <row r="557" spans="1:27" ht="15">
      <c r="A557" s="527"/>
      <c r="B557" s="527"/>
      <c r="C557" s="527"/>
      <c r="D557" s="527"/>
      <c r="E557" s="527"/>
      <c r="F557" s="527"/>
      <c r="G557" s="527"/>
      <c r="H557" s="527"/>
      <c r="I557" s="528"/>
      <c r="K557" s="531"/>
      <c r="L557" s="531"/>
      <c r="M557" s="531"/>
      <c r="N557" s="531"/>
      <c r="O557" s="531"/>
      <c r="P557" s="531"/>
      <c r="Q557" s="531"/>
      <c r="R557" s="531"/>
      <c r="S557" s="531"/>
      <c r="T557" s="531"/>
      <c r="U557" s="531"/>
      <c r="V557" s="531"/>
      <c r="W557" s="531"/>
      <c r="X557" s="531"/>
      <c r="Y557" s="531"/>
      <c r="Z557" s="531"/>
      <c r="AA557" s="531"/>
    </row>
    <row r="558" spans="1:27" ht="15">
      <c r="A558" s="527"/>
      <c r="B558" s="527"/>
      <c r="C558" s="527"/>
      <c r="D558" s="527"/>
      <c r="E558" s="527"/>
      <c r="F558" s="527"/>
      <c r="G558" s="527"/>
      <c r="H558" s="527"/>
      <c r="I558" s="528"/>
      <c r="K558" s="531"/>
      <c r="L558" s="531"/>
      <c r="M558" s="531"/>
      <c r="N558" s="531"/>
      <c r="O558" s="531"/>
      <c r="P558" s="531"/>
      <c r="Q558" s="531"/>
      <c r="R558" s="531"/>
      <c r="S558" s="531"/>
      <c r="T558" s="531"/>
      <c r="U558" s="531"/>
      <c r="V558" s="531"/>
      <c r="W558" s="531"/>
      <c r="X558" s="531"/>
      <c r="Y558" s="531"/>
      <c r="Z558" s="531"/>
      <c r="AA558" s="531"/>
    </row>
    <row r="559" spans="1:27" ht="15">
      <c r="A559" s="527"/>
      <c r="B559" s="527"/>
      <c r="C559" s="527"/>
      <c r="D559" s="527"/>
      <c r="E559" s="527"/>
      <c r="F559" s="527"/>
      <c r="G559" s="527"/>
      <c r="H559" s="527"/>
      <c r="I559" s="528"/>
      <c r="K559" s="531"/>
      <c r="L559" s="531"/>
      <c r="M559" s="531"/>
      <c r="N559" s="531"/>
      <c r="O559" s="531"/>
      <c r="P559" s="531"/>
      <c r="Q559" s="531"/>
      <c r="R559" s="531"/>
      <c r="S559" s="531"/>
      <c r="T559" s="531"/>
      <c r="U559" s="531"/>
      <c r="V559" s="531"/>
      <c r="W559" s="531"/>
      <c r="X559" s="531"/>
      <c r="Y559" s="531"/>
      <c r="Z559" s="531"/>
      <c r="AA559" s="531"/>
    </row>
    <row r="560" spans="1:27" ht="15">
      <c r="A560" s="527"/>
      <c r="B560" s="527"/>
      <c r="C560" s="527"/>
      <c r="D560" s="527"/>
      <c r="E560" s="527"/>
      <c r="F560" s="527"/>
      <c r="G560" s="527"/>
      <c r="H560" s="527"/>
      <c r="I560" s="528"/>
      <c r="K560" s="531"/>
      <c r="L560" s="531"/>
      <c r="M560" s="531"/>
      <c r="N560" s="531"/>
      <c r="O560" s="531"/>
      <c r="P560" s="531"/>
      <c r="Q560" s="531"/>
      <c r="R560" s="531"/>
      <c r="S560" s="531"/>
      <c r="T560" s="531"/>
      <c r="U560" s="531"/>
      <c r="V560" s="531"/>
      <c r="W560" s="531"/>
      <c r="X560" s="531"/>
      <c r="Y560" s="531"/>
      <c r="Z560" s="531"/>
      <c r="AA560" s="531"/>
    </row>
    <row r="561" spans="1:27" ht="15">
      <c r="A561" s="527"/>
      <c r="B561" s="527"/>
      <c r="C561" s="527"/>
      <c r="D561" s="527"/>
      <c r="E561" s="527"/>
      <c r="F561" s="527"/>
      <c r="G561" s="527"/>
      <c r="H561" s="527"/>
      <c r="I561" s="528"/>
      <c r="K561" s="533"/>
      <c r="L561" s="531"/>
      <c r="M561" s="531"/>
      <c r="N561" s="531"/>
      <c r="O561" s="531"/>
      <c r="P561" s="531"/>
      <c r="Q561" s="531"/>
      <c r="R561" s="531"/>
      <c r="S561" s="531"/>
      <c r="T561" s="531"/>
      <c r="U561" s="531"/>
      <c r="V561" s="531"/>
      <c r="W561" s="531"/>
      <c r="X561" s="531"/>
      <c r="Y561" s="531"/>
      <c r="Z561" s="531"/>
      <c r="AA561" s="531"/>
    </row>
    <row r="562" spans="1:27" ht="15">
      <c r="A562" s="527"/>
      <c r="B562" s="527"/>
      <c r="C562" s="527"/>
      <c r="D562" s="527"/>
      <c r="E562" s="527"/>
      <c r="F562" s="527"/>
      <c r="G562" s="527"/>
      <c r="H562" s="527"/>
      <c r="I562" s="528"/>
      <c r="K562" s="531"/>
      <c r="L562" s="531"/>
      <c r="M562" s="531"/>
      <c r="N562" s="531"/>
      <c r="O562" s="531"/>
      <c r="P562" s="531"/>
      <c r="Q562" s="531"/>
      <c r="R562" s="531"/>
      <c r="S562" s="531"/>
      <c r="T562" s="531"/>
      <c r="U562" s="531"/>
      <c r="V562" s="531"/>
      <c r="W562" s="531"/>
      <c r="X562" s="531"/>
      <c r="Y562" s="531"/>
      <c r="Z562" s="531"/>
      <c r="AA562" s="531"/>
    </row>
    <row r="563" spans="1:27" ht="15">
      <c r="A563" s="527"/>
      <c r="B563" s="527"/>
      <c r="C563" s="527"/>
      <c r="D563" s="527"/>
      <c r="E563" s="527"/>
      <c r="F563" s="527"/>
      <c r="G563" s="527"/>
      <c r="H563" s="527"/>
      <c r="I563" s="528"/>
      <c r="K563" s="531"/>
      <c r="L563" s="531"/>
      <c r="M563" s="531"/>
      <c r="N563" s="531"/>
      <c r="O563" s="531"/>
      <c r="P563" s="531"/>
      <c r="Q563" s="531"/>
      <c r="R563" s="531"/>
      <c r="S563" s="531"/>
      <c r="T563" s="531"/>
      <c r="U563" s="531"/>
      <c r="V563" s="531"/>
      <c r="W563" s="531"/>
      <c r="X563" s="531"/>
      <c r="Y563" s="531"/>
      <c r="Z563" s="531"/>
      <c r="AA563" s="531"/>
    </row>
    <row r="564" spans="1:27" ht="15">
      <c r="A564" s="527"/>
      <c r="B564" s="527"/>
      <c r="C564" s="527"/>
      <c r="D564" s="527"/>
      <c r="E564" s="527"/>
      <c r="F564" s="527"/>
      <c r="G564" s="527"/>
      <c r="H564" s="527"/>
      <c r="I564" s="528"/>
      <c r="K564" s="531"/>
      <c r="L564" s="531"/>
      <c r="M564" s="531"/>
      <c r="N564" s="531"/>
      <c r="O564" s="531"/>
      <c r="P564" s="531"/>
      <c r="Q564" s="531"/>
      <c r="R564" s="531"/>
      <c r="S564" s="531"/>
      <c r="T564" s="531"/>
      <c r="U564" s="531"/>
      <c r="V564" s="531"/>
      <c r="W564" s="531"/>
      <c r="X564" s="531"/>
      <c r="Y564" s="531"/>
      <c r="Z564" s="531"/>
      <c r="AA564" s="531"/>
    </row>
    <row r="565" spans="1:27" ht="15">
      <c r="A565" s="527"/>
      <c r="B565" s="527"/>
      <c r="C565" s="527"/>
      <c r="D565" s="527"/>
      <c r="E565" s="527"/>
      <c r="F565" s="527"/>
      <c r="G565" s="527"/>
      <c r="H565" s="527"/>
      <c r="I565" s="528"/>
      <c r="K565" s="531"/>
      <c r="L565" s="531"/>
      <c r="M565" s="531"/>
      <c r="N565" s="531"/>
      <c r="O565" s="531"/>
      <c r="P565" s="531"/>
      <c r="Q565" s="531"/>
      <c r="R565" s="531"/>
      <c r="S565" s="531"/>
      <c r="T565" s="531"/>
      <c r="U565" s="531"/>
      <c r="V565" s="531"/>
      <c r="W565" s="531"/>
      <c r="X565" s="531"/>
      <c r="Y565" s="531"/>
      <c r="Z565" s="531"/>
      <c r="AA565" s="531"/>
    </row>
    <row r="566" spans="1:27" ht="15">
      <c r="A566" s="527"/>
      <c r="B566" s="527"/>
      <c r="C566" s="527"/>
      <c r="D566" s="527"/>
      <c r="E566" s="527"/>
      <c r="F566" s="527"/>
      <c r="G566" s="527"/>
      <c r="H566" s="527"/>
      <c r="I566" s="528"/>
      <c r="K566" s="531"/>
      <c r="L566" s="531"/>
      <c r="M566" s="531"/>
      <c r="N566" s="531"/>
      <c r="O566" s="531"/>
      <c r="P566" s="531"/>
      <c r="Q566" s="531"/>
      <c r="R566" s="531"/>
      <c r="S566" s="531"/>
      <c r="T566" s="531"/>
      <c r="U566" s="531"/>
      <c r="V566" s="531"/>
      <c r="W566" s="531"/>
      <c r="X566" s="531"/>
      <c r="Y566" s="531"/>
      <c r="Z566" s="531"/>
      <c r="AA566" s="531"/>
    </row>
    <row r="567" spans="1:27" ht="15">
      <c r="A567" s="527"/>
      <c r="B567" s="527"/>
      <c r="C567" s="527"/>
      <c r="D567" s="527"/>
      <c r="E567" s="527"/>
      <c r="F567" s="527"/>
      <c r="G567" s="527"/>
      <c r="H567" s="527"/>
      <c r="I567" s="528"/>
      <c r="K567" s="531"/>
      <c r="L567" s="531"/>
      <c r="M567" s="531"/>
      <c r="N567" s="531"/>
      <c r="O567" s="531"/>
      <c r="P567" s="531"/>
      <c r="Q567" s="531"/>
      <c r="R567" s="531"/>
      <c r="S567" s="531"/>
      <c r="T567" s="531"/>
      <c r="U567" s="531"/>
      <c r="V567" s="531"/>
      <c r="W567" s="531"/>
      <c r="X567" s="531"/>
      <c r="Y567" s="531"/>
      <c r="Z567" s="531"/>
      <c r="AA567" s="531"/>
    </row>
    <row r="568" spans="1:27" ht="15">
      <c r="A568" s="527"/>
      <c r="B568" s="527"/>
      <c r="C568" s="527"/>
      <c r="D568" s="527"/>
      <c r="E568" s="527"/>
      <c r="F568" s="527"/>
      <c r="G568" s="527"/>
      <c r="H568" s="527"/>
      <c r="I568" s="528"/>
      <c r="K568" s="531"/>
      <c r="L568" s="531"/>
      <c r="M568" s="531"/>
      <c r="N568" s="531"/>
      <c r="O568" s="531"/>
      <c r="P568" s="531"/>
      <c r="Q568" s="531"/>
      <c r="R568" s="531"/>
      <c r="S568" s="531"/>
      <c r="T568" s="531"/>
      <c r="U568" s="531"/>
      <c r="V568" s="531"/>
      <c r="W568" s="531"/>
      <c r="X568" s="531"/>
      <c r="Y568" s="531"/>
      <c r="Z568" s="531"/>
      <c r="AA568" s="531"/>
    </row>
    <row r="569" spans="1:27" ht="15">
      <c r="A569" s="527"/>
      <c r="B569" s="527"/>
      <c r="C569" s="527"/>
      <c r="D569" s="527"/>
      <c r="E569" s="527"/>
      <c r="F569" s="527"/>
      <c r="G569" s="527"/>
      <c r="H569" s="527"/>
      <c r="I569" s="528"/>
      <c r="K569" s="531"/>
      <c r="L569" s="531"/>
      <c r="M569" s="531"/>
      <c r="N569" s="531"/>
      <c r="O569" s="531"/>
      <c r="P569" s="531"/>
      <c r="Q569" s="531"/>
      <c r="R569" s="531"/>
      <c r="S569" s="531"/>
      <c r="T569" s="531"/>
      <c r="U569" s="531"/>
      <c r="V569" s="531"/>
      <c r="W569" s="531"/>
      <c r="X569" s="531"/>
      <c r="Y569" s="531"/>
      <c r="Z569" s="531"/>
      <c r="AA569" s="531"/>
    </row>
    <row r="570" spans="1:27" ht="15">
      <c r="A570" s="527"/>
      <c r="B570" s="527"/>
      <c r="C570" s="527"/>
      <c r="D570" s="527"/>
      <c r="E570" s="527"/>
      <c r="F570" s="527"/>
      <c r="G570" s="527"/>
      <c r="H570" s="527"/>
      <c r="I570" s="528"/>
      <c r="K570" s="531"/>
      <c r="L570" s="531"/>
      <c r="M570" s="531"/>
      <c r="N570" s="531"/>
      <c r="O570" s="531"/>
      <c r="P570" s="531"/>
      <c r="Q570" s="531"/>
      <c r="R570" s="531"/>
      <c r="S570" s="531"/>
      <c r="T570" s="531"/>
      <c r="U570" s="531"/>
      <c r="V570" s="531"/>
      <c r="W570" s="531"/>
      <c r="X570" s="531"/>
      <c r="Y570" s="531"/>
      <c r="Z570" s="531"/>
      <c r="AA570" s="531"/>
    </row>
    <row r="571" spans="1:27" ht="15">
      <c r="A571" s="527"/>
      <c r="B571" s="527"/>
      <c r="C571" s="527"/>
      <c r="D571" s="527"/>
      <c r="E571" s="527"/>
      <c r="F571" s="527"/>
      <c r="G571" s="527"/>
      <c r="H571" s="527"/>
      <c r="I571" s="528"/>
      <c r="K571" s="531"/>
      <c r="L571" s="531"/>
      <c r="M571" s="531"/>
      <c r="N571" s="531"/>
      <c r="O571" s="531"/>
      <c r="P571" s="531"/>
      <c r="Q571" s="531"/>
      <c r="R571" s="531"/>
      <c r="S571" s="531"/>
      <c r="T571" s="531"/>
      <c r="U571" s="531"/>
      <c r="V571" s="531"/>
      <c r="W571" s="531"/>
      <c r="X571" s="531"/>
      <c r="Y571" s="531"/>
      <c r="Z571" s="531"/>
      <c r="AA571" s="531"/>
    </row>
    <row r="572" spans="1:27" ht="15">
      <c r="A572" s="527"/>
      <c r="B572" s="527"/>
      <c r="C572" s="527"/>
      <c r="D572" s="527"/>
      <c r="E572" s="527"/>
      <c r="F572" s="527"/>
      <c r="G572" s="527"/>
      <c r="H572" s="527"/>
      <c r="I572" s="528"/>
      <c r="K572" s="531"/>
      <c r="L572" s="531"/>
      <c r="M572" s="531"/>
      <c r="N572" s="531"/>
      <c r="O572" s="531"/>
      <c r="P572" s="531"/>
      <c r="Q572" s="531"/>
      <c r="R572" s="531"/>
      <c r="S572" s="531"/>
      <c r="T572" s="531"/>
      <c r="U572" s="531"/>
      <c r="V572" s="531"/>
      <c r="W572" s="531"/>
      <c r="X572" s="531"/>
      <c r="Y572" s="531"/>
      <c r="Z572" s="531"/>
      <c r="AA572" s="531"/>
    </row>
    <row r="573" spans="1:27" ht="15">
      <c r="A573" s="527"/>
      <c r="B573" s="527"/>
      <c r="C573" s="527"/>
      <c r="D573" s="527"/>
      <c r="E573" s="527"/>
      <c r="F573" s="527"/>
      <c r="G573" s="527"/>
      <c r="H573" s="527"/>
      <c r="I573" s="528"/>
      <c r="K573" s="531"/>
      <c r="L573" s="531"/>
      <c r="M573" s="531"/>
      <c r="N573" s="531"/>
      <c r="O573" s="531"/>
      <c r="P573" s="531"/>
      <c r="Q573" s="531"/>
      <c r="R573" s="531"/>
      <c r="S573" s="531"/>
      <c r="T573" s="531"/>
      <c r="U573" s="531"/>
      <c r="V573" s="531"/>
      <c r="W573" s="531"/>
      <c r="X573" s="531"/>
      <c r="Y573" s="531"/>
      <c r="Z573" s="531"/>
      <c r="AA573" s="531"/>
    </row>
    <row r="574" spans="1:27" ht="15">
      <c r="A574" s="527"/>
      <c r="B574" s="527"/>
      <c r="C574" s="527"/>
      <c r="D574" s="527"/>
      <c r="E574" s="527"/>
      <c r="F574" s="527"/>
      <c r="G574" s="527"/>
      <c r="H574" s="527"/>
      <c r="I574" s="528"/>
      <c r="K574" s="531"/>
      <c r="L574" s="531"/>
      <c r="M574" s="531"/>
      <c r="N574" s="531"/>
      <c r="O574" s="531"/>
      <c r="P574" s="531"/>
      <c r="Q574" s="531"/>
      <c r="R574" s="531"/>
      <c r="S574" s="531"/>
      <c r="T574" s="531"/>
      <c r="U574" s="531"/>
      <c r="V574" s="531"/>
      <c r="W574" s="531"/>
      <c r="X574" s="531"/>
      <c r="Y574" s="531"/>
      <c r="Z574" s="531"/>
      <c r="AA574" s="531"/>
    </row>
    <row r="575" spans="1:27" ht="15">
      <c r="A575" s="527"/>
      <c r="B575" s="527"/>
      <c r="C575" s="527"/>
      <c r="D575" s="527"/>
      <c r="E575" s="527"/>
      <c r="F575" s="527"/>
      <c r="G575" s="527"/>
      <c r="H575" s="527"/>
      <c r="I575" s="528"/>
      <c r="K575" s="531"/>
      <c r="L575" s="531"/>
      <c r="M575" s="531"/>
      <c r="N575" s="531"/>
      <c r="O575" s="531"/>
      <c r="P575" s="531"/>
      <c r="Q575" s="531"/>
      <c r="R575" s="531"/>
      <c r="S575" s="531"/>
      <c r="T575" s="531"/>
      <c r="U575" s="531"/>
      <c r="V575" s="531"/>
      <c r="W575" s="531"/>
      <c r="X575" s="531"/>
      <c r="Y575" s="531"/>
      <c r="Z575" s="531"/>
      <c r="AA575" s="531"/>
    </row>
    <row r="576" spans="1:27" ht="15">
      <c r="A576" s="527"/>
      <c r="B576" s="527"/>
      <c r="C576" s="527"/>
      <c r="D576" s="527"/>
      <c r="E576" s="527"/>
      <c r="F576" s="527"/>
      <c r="G576" s="527"/>
      <c r="H576" s="527"/>
      <c r="I576" s="528"/>
      <c r="K576" s="531"/>
      <c r="L576" s="531"/>
      <c r="M576" s="531"/>
      <c r="N576" s="531"/>
      <c r="O576" s="531"/>
      <c r="P576" s="531"/>
      <c r="Q576" s="531"/>
      <c r="R576" s="531"/>
      <c r="S576" s="531"/>
      <c r="T576" s="531"/>
      <c r="U576" s="531"/>
      <c r="V576" s="531"/>
      <c r="W576" s="531"/>
      <c r="X576" s="531"/>
      <c r="Y576" s="531"/>
      <c r="Z576" s="531"/>
      <c r="AA576" s="531"/>
    </row>
    <row r="577" spans="1:27" ht="15">
      <c r="A577" s="527"/>
      <c r="B577" s="527"/>
      <c r="C577" s="527"/>
      <c r="D577" s="527"/>
      <c r="E577" s="527"/>
      <c r="F577" s="527"/>
      <c r="G577" s="527"/>
      <c r="H577" s="527"/>
      <c r="I577" s="528"/>
      <c r="K577" s="531"/>
      <c r="L577" s="531"/>
      <c r="M577" s="531"/>
      <c r="N577" s="531"/>
      <c r="O577" s="531"/>
      <c r="P577" s="531"/>
      <c r="Q577" s="531"/>
      <c r="R577" s="531"/>
      <c r="S577" s="531"/>
      <c r="T577" s="531"/>
      <c r="U577" s="531"/>
      <c r="V577" s="531"/>
      <c r="W577" s="531"/>
      <c r="X577" s="531"/>
      <c r="Y577" s="531"/>
      <c r="Z577" s="531"/>
      <c r="AA577" s="531"/>
    </row>
    <row r="578" spans="1:27" ht="15">
      <c r="A578" s="527"/>
      <c r="B578" s="527"/>
      <c r="C578" s="527"/>
      <c r="D578" s="527"/>
      <c r="E578" s="527"/>
      <c r="F578" s="527"/>
      <c r="G578" s="527"/>
      <c r="H578" s="527"/>
      <c r="I578" s="528"/>
      <c r="K578" s="531"/>
      <c r="L578" s="531"/>
      <c r="M578" s="531"/>
      <c r="N578" s="531"/>
      <c r="O578" s="531"/>
      <c r="P578" s="531"/>
      <c r="Q578" s="531"/>
      <c r="R578" s="531"/>
      <c r="S578" s="531"/>
      <c r="T578" s="531"/>
      <c r="U578" s="531"/>
      <c r="V578" s="531"/>
      <c r="W578" s="531"/>
      <c r="X578" s="531"/>
      <c r="Y578" s="531"/>
      <c r="Z578" s="531"/>
      <c r="AA578" s="531"/>
    </row>
    <row r="579" spans="1:27" ht="15">
      <c r="A579" s="527"/>
      <c r="B579" s="527"/>
      <c r="C579" s="527"/>
      <c r="D579" s="527"/>
      <c r="E579" s="527"/>
      <c r="F579" s="527"/>
      <c r="G579" s="527"/>
      <c r="H579" s="527"/>
      <c r="I579" s="528"/>
      <c r="K579" s="531"/>
      <c r="L579" s="531"/>
      <c r="M579" s="531"/>
      <c r="N579" s="531"/>
      <c r="O579" s="531"/>
      <c r="P579" s="531"/>
      <c r="Q579" s="531"/>
      <c r="R579" s="531"/>
      <c r="S579" s="531"/>
      <c r="T579" s="531"/>
      <c r="U579" s="531"/>
      <c r="V579" s="531"/>
      <c r="W579" s="531"/>
      <c r="X579" s="531"/>
      <c r="Y579" s="531"/>
      <c r="Z579" s="531"/>
      <c r="AA579" s="531"/>
    </row>
    <row r="580" spans="1:27" ht="15">
      <c r="A580" s="527"/>
      <c r="B580" s="527"/>
      <c r="C580" s="527"/>
      <c r="D580" s="527"/>
      <c r="E580" s="527"/>
      <c r="F580" s="527"/>
      <c r="G580" s="527"/>
      <c r="H580" s="527"/>
      <c r="I580" s="528"/>
      <c r="K580" s="531"/>
      <c r="L580" s="531"/>
      <c r="M580" s="531"/>
      <c r="N580" s="531"/>
      <c r="O580" s="531"/>
      <c r="P580" s="531"/>
      <c r="Q580" s="531"/>
      <c r="R580" s="531"/>
      <c r="S580" s="531"/>
      <c r="T580" s="531"/>
      <c r="U580" s="531"/>
      <c r="V580" s="531"/>
      <c r="W580" s="531"/>
      <c r="X580" s="531"/>
      <c r="Y580" s="531"/>
      <c r="Z580" s="531"/>
      <c r="AA580" s="531"/>
    </row>
    <row r="581" spans="1:27" ht="15">
      <c r="A581" s="527"/>
      <c r="B581" s="527"/>
      <c r="C581" s="527"/>
      <c r="D581" s="527"/>
      <c r="E581" s="527"/>
      <c r="F581" s="527"/>
      <c r="G581" s="527"/>
      <c r="H581" s="527"/>
      <c r="I581" s="528"/>
      <c r="K581" s="531"/>
      <c r="L581" s="531"/>
      <c r="M581" s="531"/>
      <c r="N581" s="531"/>
      <c r="O581" s="531"/>
      <c r="P581" s="531"/>
      <c r="Q581" s="531"/>
      <c r="R581" s="531"/>
      <c r="S581" s="531"/>
      <c r="T581" s="531"/>
      <c r="U581" s="531"/>
      <c r="V581" s="531"/>
      <c r="W581" s="531"/>
      <c r="X581" s="531"/>
      <c r="Y581" s="531"/>
      <c r="Z581" s="531"/>
      <c r="AA581" s="531"/>
    </row>
    <row r="582" spans="1:27" ht="15">
      <c r="A582" s="527"/>
      <c r="B582" s="527"/>
      <c r="C582" s="527"/>
      <c r="D582" s="527"/>
      <c r="E582" s="527"/>
      <c r="F582" s="527"/>
      <c r="G582" s="527"/>
      <c r="H582" s="527"/>
      <c r="I582" s="528"/>
      <c r="K582" s="531"/>
      <c r="L582" s="531"/>
      <c r="M582" s="531"/>
      <c r="N582" s="531"/>
      <c r="O582" s="531"/>
      <c r="P582" s="531"/>
      <c r="Q582" s="531"/>
      <c r="R582" s="531"/>
      <c r="S582" s="531"/>
      <c r="T582" s="531"/>
      <c r="U582" s="531"/>
      <c r="V582" s="531"/>
      <c r="W582" s="531"/>
      <c r="X582" s="531"/>
      <c r="Y582" s="531"/>
      <c r="Z582" s="531"/>
      <c r="AA582" s="531"/>
    </row>
    <row r="583" spans="1:27" ht="15">
      <c r="A583" s="527"/>
      <c r="B583" s="527"/>
      <c r="C583" s="527"/>
      <c r="D583" s="527"/>
      <c r="E583" s="527"/>
      <c r="F583" s="527"/>
      <c r="G583" s="527"/>
      <c r="H583" s="527"/>
      <c r="I583" s="528"/>
      <c r="K583" s="531"/>
      <c r="L583" s="531"/>
      <c r="M583" s="531"/>
      <c r="N583" s="531"/>
      <c r="O583" s="531"/>
      <c r="P583" s="531"/>
      <c r="Q583" s="531"/>
      <c r="R583" s="531"/>
      <c r="S583" s="531"/>
      <c r="T583" s="531"/>
      <c r="U583" s="531"/>
      <c r="V583" s="531"/>
      <c r="W583" s="531"/>
      <c r="X583" s="531"/>
      <c r="Y583" s="531"/>
      <c r="Z583" s="531"/>
      <c r="AA583" s="531"/>
    </row>
    <row r="584" spans="1:27" ht="15">
      <c r="A584" s="527"/>
      <c r="B584" s="527"/>
      <c r="C584" s="527"/>
      <c r="D584" s="527"/>
      <c r="E584" s="527"/>
      <c r="F584" s="527"/>
      <c r="G584" s="527"/>
      <c r="H584" s="527"/>
      <c r="I584" s="528"/>
      <c r="K584" s="531"/>
      <c r="L584" s="531"/>
      <c r="M584" s="531"/>
      <c r="N584" s="531"/>
      <c r="O584" s="531"/>
      <c r="P584" s="531"/>
      <c r="Q584" s="531"/>
      <c r="R584" s="531"/>
      <c r="S584" s="531"/>
      <c r="T584" s="531"/>
      <c r="U584" s="531"/>
      <c r="V584" s="531"/>
      <c r="W584" s="531"/>
      <c r="X584" s="531"/>
      <c r="Y584" s="531"/>
      <c r="Z584" s="531"/>
      <c r="AA584" s="531"/>
    </row>
    <row r="585" spans="1:27" ht="15">
      <c r="A585" s="527"/>
      <c r="B585" s="527"/>
      <c r="C585" s="527"/>
      <c r="D585" s="527"/>
      <c r="E585" s="527"/>
      <c r="F585" s="527"/>
      <c r="G585" s="527"/>
      <c r="H585" s="527"/>
      <c r="I585" s="528"/>
      <c r="K585" s="531"/>
      <c r="L585" s="531"/>
      <c r="M585" s="531"/>
      <c r="N585" s="531"/>
      <c r="O585" s="531"/>
      <c r="P585" s="531"/>
      <c r="Q585" s="531"/>
      <c r="R585" s="531"/>
      <c r="S585" s="531"/>
      <c r="T585" s="531"/>
      <c r="U585" s="531"/>
      <c r="V585" s="531"/>
      <c r="W585" s="531"/>
      <c r="X585" s="531"/>
      <c r="Y585" s="531"/>
      <c r="Z585" s="531"/>
      <c r="AA585" s="531"/>
    </row>
    <row r="586" spans="1:27" ht="15">
      <c r="A586" s="527"/>
      <c r="B586" s="527"/>
      <c r="C586" s="527"/>
      <c r="D586" s="527"/>
      <c r="E586" s="527"/>
      <c r="F586" s="527"/>
      <c r="G586" s="527"/>
      <c r="H586" s="527"/>
      <c r="I586" s="528"/>
      <c r="K586" s="531"/>
      <c r="L586" s="531"/>
      <c r="M586" s="531"/>
      <c r="N586" s="531"/>
      <c r="O586" s="531"/>
      <c r="P586" s="531"/>
      <c r="Q586" s="531"/>
      <c r="R586" s="531"/>
      <c r="S586" s="531"/>
      <c r="T586" s="531"/>
      <c r="U586" s="531"/>
      <c r="V586" s="531"/>
      <c r="W586" s="531"/>
      <c r="X586" s="531"/>
      <c r="Y586" s="531"/>
      <c r="Z586" s="531"/>
      <c r="AA586" s="531"/>
    </row>
    <row r="587" spans="1:27" ht="15">
      <c r="A587" s="527"/>
      <c r="B587" s="527"/>
      <c r="C587" s="527"/>
      <c r="D587" s="527"/>
      <c r="E587" s="527"/>
      <c r="F587" s="527"/>
      <c r="G587" s="527"/>
      <c r="H587" s="527"/>
      <c r="I587" s="528"/>
      <c r="K587" s="531"/>
      <c r="L587" s="531"/>
      <c r="M587" s="531"/>
      <c r="N587" s="531"/>
      <c r="O587" s="531"/>
      <c r="P587" s="531"/>
      <c r="Q587" s="531"/>
      <c r="R587" s="531"/>
      <c r="S587" s="531"/>
      <c r="T587" s="531"/>
      <c r="U587" s="531"/>
      <c r="V587" s="531"/>
      <c r="W587" s="531"/>
      <c r="X587" s="531"/>
      <c r="Y587" s="531"/>
      <c r="Z587" s="531"/>
      <c r="AA587" s="531"/>
    </row>
    <row r="588" spans="1:27" ht="15">
      <c r="A588" s="527"/>
      <c r="B588" s="527"/>
      <c r="C588" s="527"/>
      <c r="D588" s="527"/>
      <c r="E588" s="527"/>
      <c r="F588" s="527"/>
      <c r="G588" s="527"/>
      <c r="H588" s="527"/>
      <c r="I588" s="528"/>
      <c r="K588" s="531"/>
      <c r="L588" s="531"/>
      <c r="M588" s="531"/>
      <c r="N588" s="531"/>
      <c r="O588" s="531"/>
      <c r="P588" s="531"/>
      <c r="Q588" s="531"/>
      <c r="R588" s="531"/>
      <c r="S588" s="531"/>
      <c r="T588" s="531"/>
      <c r="U588" s="531"/>
      <c r="V588" s="531"/>
      <c r="W588" s="531"/>
      <c r="X588" s="531"/>
      <c r="Y588" s="531"/>
      <c r="Z588" s="531"/>
      <c r="AA588" s="531"/>
    </row>
    <row r="589" spans="1:27" ht="15">
      <c r="A589" s="527"/>
      <c r="B589" s="527"/>
      <c r="C589" s="527"/>
      <c r="D589" s="527"/>
      <c r="E589" s="527"/>
      <c r="F589" s="527"/>
      <c r="G589" s="527"/>
      <c r="H589" s="527"/>
      <c r="I589" s="528"/>
      <c r="K589" s="531"/>
      <c r="L589" s="531"/>
      <c r="M589" s="531"/>
      <c r="N589" s="531"/>
      <c r="O589" s="531"/>
      <c r="P589" s="531"/>
      <c r="Q589" s="531"/>
      <c r="R589" s="531"/>
      <c r="S589" s="531"/>
      <c r="T589" s="531"/>
      <c r="U589" s="531"/>
      <c r="V589" s="531"/>
      <c r="W589" s="531"/>
      <c r="X589" s="531"/>
      <c r="Y589" s="531"/>
      <c r="Z589" s="531"/>
      <c r="AA589" s="531"/>
    </row>
    <row r="590" spans="1:27" ht="15">
      <c r="A590" s="527"/>
      <c r="B590" s="527"/>
      <c r="C590" s="527"/>
      <c r="D590" s="527"/>
      <c r="E590" s="527"/>
      <c r="F590" s="527"/>
      <c r="G590" s="527"/>
      <c r="H590" s="527"/>
      <c r="I590" s="528"/>
      <c r="K590" s="531"/>
      <c r="L590" s="531"/>
      <c r="M590" s="531"/>
      <c r="N590" s="531"/>
      <c r="O590" s="531"/>
      <c r="P590" s="531"/>
      <c r="Q590" s="531"/>
      <c r="R590" s="531"/>
      <c r="S590" s="531"/>
      <c r="T590" s="531"/>
      <c r="U590" s="531"/>
      <c r="V590" s="531"/>
      <c r="W590" s="531"/>
      <c r="X590" s="531"/>
      <c r="Y590" s="531"/>
      <c r="Z590" s="531"/>
      <c r="AA590" s="531"/>
    </row>
    <row r="591" spans="1:27" ht="15">
      <c r="A591" s="527"/>
      <c r="B591" s="527"/>
      <c r="C591" s="527"/>
      <c r="D591" s="527"/>
      <c r="E591" s="527"/>
      <c r="F591" s="527"/>
      <c r="G591" s="527"/>
      <c r="H591" s="527"/>
      <c r="I591" s="528"/>
      <c r="K591" s="531"/>
      <c r="L591" s="531"/>
      <c r="M591" s="531"/>
      <c r="N591" s="531"/>
      <c r="O591" s="531"/>
      <c r="P591" s="531"/>
      <c r="Q591" s="531"/>
      <c r="R591" s="531"/>
      <c r="S591" s="531"/>
      <c r="T591" s="531"/>
      <c r="U591" s="531"/>
      <c r="V591" s="531"/>
      <c r="W591" s="531"/>
      <c r="X591" s="531"/>
      <c r="Y591" s="531"/>
      <c r="Z591" s="531"/>
      <c r="AA591" s="531"/>
    </row>
    <row r="592" spans="1:27" ht="15">
      <c r="A592" s="527"/>
      <c r="B592" s="527"/>
      <c r="C592" s="527"/>
      <c r="D592" s="527"/>
      <c r="E592" s="527"/>
      <c r="F592" s="527"/>
      <c r="G592" s="527"/>
      <c r="H592" s="527"/>
      <c r="I592" s="528"/>
      <c r="K592" s="531"/>
      <c r="L592" s="531"/>
      <c r="M592" s="531"/>
      <c r="N592" s="531"/>
      <c r="O592" s="531"/>
      <c r="P592" s="531"/>
      <c r="Q592" s="531"/>
      <c r="R592" s="531"/>
      <c r="S592" s="531"/>
      <c r="T592" s="531"/>
      <c r="U592" s="531"/>
      <c r="V592" s="531"/>
      <c r="W592" s="531"/>
      <c r="X592" s="531"/>
      <c r="Y592" s="531"/>
      <c r="Z592" s="531"/>
      <c r="AA592" s="531"/>
    </row>
    <row r="593" spans="1:27" ht="15">
      <c r="A593" s="527"/>
      <c r="B593" s="527"/>
      <c r="C593" s="527"/>
      <c r="D593" s="527"/>
      <c r="E593" s="527"/>
      <c r="F593" s="527"/>
      <c r="G593" s="527"/>
      <c r="H593" s="527"/>
      <c r="I593" s="528"/>
      <c r="K593" s="531"/>
      <c r="L593" s="531"/>
      <c r="M593" s="531"/>
      <c r="N593" s="531"/>
      <c r="O593" s="531"/>
      <c r="P593" s="531"/>
      <c r="Q593" s="531"/>
      <c r="R593" s="531"/>
      <c r="S593" s="531"/>
      <c r="T593" s="531"/>
      <c r="U593" s="531"/>
      <c r="V593" s="531"/>
      <c r="W593" s="531"/>
      <c r="X593" s="531"/>
      <c r="Y593" s="531"/>
      <c r="Z593" s="531"/>
      <c r="AA593" s="531"/>
    </row>
    <row r="594" spans="1:27" ht="15">
      <c r="A594" s="527"/>
      <c r="B594" s="527"/>
      <c r="C594" s="527"/>
      <c r="D594" s="527"/>
      <c r="E594" s="527"/>
      <c r="F594" s="527"/>
      <c r="G594" s="527"/>
      <c r="H594" s="527"/>
      <c r="I594" s="528"/>
      <c r="K594" s="531"/>
      <c r="L594" s="531"/>
      <c r="M594" s="531"/>
      <c r="N594" s="531"/>
      <c r="O594" s="531"/>
      <c r="P594" s="531"/>
      <c r="Q594" s="531"/>
      <c r="R594" s="531"/>
      <c r="S594" s="531"/>
      <c r="T594" s="531"/>
      <c r="U594" s="531"/>
      <c r="V594" s="531"/>
      <c r="W594" s="531"/>
      <c r="X594" s="531"/>
      <c r="Y594" s="531"/>
      <c r="Z594" s="531"/>
      <c r="AA594" s="531"/>
    </row>
    <row r="595" spans="1:27" ht="15">
      <c r="A595" s="527"/>
      <c r="B595" s="527"/>
      <c r="C595" s="527"/>
      <c r="D595" s="527"/>
      <c r="E595" s="527"/>
      <c r="F595" s="527"/>
      <c r="G595" s="527"/>
      <c r="H595" s="527"/>
      <c r="I595" s="528"/>
      <c r="K595" s="531"/>
      <c r="L595" s="531"/>
      <c r="M595" s="531"/>
      <c r="N595" s="531"/>
      <c r="O595" s="531"/>
      <c r="P595" s="531"/>
      <c r="Q595" s="531"/>
      <c r="R595" s="531"/>
      <c r="S595" s="531"/>
      <c r="T595" s="531"/>
      <c r="U595" s="531"/>
      <c r="V595" s="531"/>
      <c r="W595" s="531"/>
      <c r="X595" s="531"/>
      <c r="Y595" s="531"/>
      <c r="Z595" s="531"/>
      <c r="AA595" s="531"/>
    </row>
    <row r="596" spans="1:27" ht="12.75">
      <c r="A596" s="530"/>
      <c r="K596" s="531"/>
      <c r="L596" s="531"/>
      <c r="M596" s="531"/>
      <c r="N596" s="531"/>
      <c r="O596" s="531"/>
      <c r="P596" s="531"/>
      <c r="Q596" s="531"/>
      <c r="R596" s="531"/>
      <c r="S596" s="531"/>
      <c r="T596" s="531"/>
      <c r="U596" s="531"/>
      <c r="V596" s="531"/>
      <c r="W596" s="531"/>
      <c r="X596" s="531"/>
      <c r="Y596" s="531"/>
      <c r="Z596" s="531"/>
      <c r="AA596" s="531"/>
    </row>
    <row r="597" spans="1:27" ht="12.75">
      <c r="A597" s="530"/>
      <c r="K597" s="531"/>
      <c r="L597" s="531"/>
      <c r="M597" s="531"/>
      <c r="N597" s="531"/>
      <c r="O597" s="531"/>
      <c r="P597" s="531"/>
      <c r="Q597" s="531"/>
      <c r="R597" s="531"/>
      <c r="S597" s="531"/>
      <c r="T597" s="531"/>
      <c r="U597" s="531"/>
      <c r="V597" s="531"/>
      <c r="W597" s="531"/>
      <c r="X597" s="531"/>
      <c r="Y597" s="531"/>
      <c r="Z597" s="531"/>
      <c r="AA597" s="531"/>
    </row>
    <row r="598" spans="1:27" ht="15">
      <c r="A598" s="530"/>
      <c r="B598" s="527"/>
      <c r="C598" s="527"/>
      <c r="D598" s="527"/>
      <c r="E598" s="527"/>
      <c r="F598" s="527"/>
      <c r="G598" s="527"/>
      <c r="H598" s="527"/>
      <c r="I598" s="527"/>
      <c r="J598" s="528"/>
      <c r="K598" s="531"/>
      <c r="L598" s="531"/>
      <c r="M598" s="531"/>
      <c r="N598" s="531"/>
      <c r="O598" s="531"/>
      <c r="P598" s="531"/>
      <c r="Q598" s="531"/>
      <c r="R598" s="531"/>
      <c r="S598" s="531"/>
      <c r="T598" s="531"/>
      <c r="U598" s="531"/>
      <c r="V598" s="531"/>
      <c r="W598" s="531"/>
      <c r="X598" s="531"/>
      <c r="Y598" s="531"/>
      <c r="Z598" s="531"/>
      <c r="AA598" s="531"/>
    </row>
    <row r="599" spans="1:27" ht="15">
      <c r="A599" s="530"/>
      <c r="B599" s="527"/>
      <c r="C599" s="527"/>
      <c r="D599" s="527"/>
      <c r="E599" s="527"/>
      <c r="F599" s="527"/>
      <c r="G599" s="527"/>
      <c r="H599" s="527"/>
      <c r="I599" s="527"/>
      <c r="J599" s="528"/>
      <c r="K599" s="531"/>
      <c r="L599" s="531"/>
      <c r="M599" s="531"/>
      <c r="N599" s="531"/>
      <c r="O599" s="531"/>
      <c r="P599" s="531"/>
      <c r="Q599" s="531"/>
      <c r="R599" s="531"/>
      <c r="S599" s="531"/>
      <c r="T599" s="531"/>
      <c r="U599" s="531"/>
      <c r="V599" s="531"/>
      <c r="W599" s="531"/>
      <c r="X599" s="531"/>
      <c r="Y599" s="531"/>
      <c r="Z599" s="531"/>
      <c r="AA599" s="531"/>
    </row>
    <row r="600" spans="1:27" ht="15">
      <c r="A600" s="530"/>
      <c r="B600" s="527"/>
      <c r="C600" s="527"/>
      <c r="D600" s="527"/>
      <c r="E600" s="527"/>
      <c r="F600" s="527"/>
      <c r="G600" s="527"/>
      <c r="H600" s="527"/>
      <c r="I600" s="527"/>
      <c r="J600" s="528"/>
      <c r="K600" s="531"/>
      <c r="L600" s="531"/>
      <c r="M600" s="531"/>
      <c r="N600" s="531"/>
      <c r="O600" s="531"/>
      <c r="P600" s="531"/>
      <c r="Q600" s="531"/>
      <c r="R600" s="531"/>
      <c r="S600" s="531"/>
      <c r="T600" s="531"/>
      <c r="U600" s="531"/>
      <c r="V600" s="531"/>
      <c r="W600" s="531"/>
      <c r="X600" s="531"/>
      <c r="Y600" s="531"/>
      <c r="Z600" s="531"/>
      <c r="AA600" s="531"/>
    </row>
    <row r="601" spans="1:27" ht="15">
      <c r="A601" s="530"/>
      <c r="B601" s="527"/>
      <c r="C601" s="527"/>
      <c r="D601" s="527"/>
      <c r="E601" s="527"/>
      <c r="F601" s="527"/>
      <c r="G601" s="527"/>
      <c r="H601" s="527"/>
      <c r="I601" s="527"/>
      <c r="J601" s="528"/>
      <c r="K601" s="531"/>
      <c r="L601" s="531"/>
      <c r="M601" s="531"/>
      <c r="N601" s="531"/>
      <c r="O601" s="531"/>
      <c r="P601" s="531"/>
      <c r="Q601" s="531"/>
      <c r="R601" s="531"/>
      <c r="S601" s="531"/>
      <c r="T601" s="531"/>
      <c r="U601" s="531"/>
      <c r="V601" s="531"/>
      <c r="W601" s="531"/>
      <c r="X601" s="531"/>
      <c r="Y601" s="531"/>
      <c r="Z601" s="531"/>
      <c r="AA601" s="531"/>
    </row>
    <row r="602" spans="1:27" ht="15">
      <c r="A602" s="530"/>
      <c r="B602" s="527"/>
      <c r="C602" s="527"/>
      <c r="D602" s="527"/>
      <c r="E602" s="527"/>
      <c r="F602" s="527"/>
      <c r="G602" s="527"/>
      <c r="H602" s="527"/>
      <c r="I602" s="527"/>
      <c r="J602" s="528"/>
      <c r="K602" s="531"/>
      <c r="L602" s="531"/>
      <c r="M602" s="531"/>
      <c r="N602" s="531"/>
      <c r="O602" s="531"/>
      <c r="P602" s="531"/>
      <c r="Q602" s="531"/>
      <c r="R602" s="531"/>
      <c r="S602" s="531"/>
      <c r="T602" s="531"/>
      <c r="U602" s="531"/>
      <c r="V602" s="531"/>
      <c r="W602" s="531"/>
      <c r="X602" s="531"/>
      <c r="Y602" s="531"/>
      <c r="Z602" s="531"/>
      <c r="AA602" s="531"/>
    </row>
    <row r="603" spans="1:27" ht="15">
      <c r="A603" s="530"/>
      <c r="B603" s="527"/>
      <c r="C603" s="527"/>
      <c r="D603" s="527"/>
      <c r="E603" s="527"/>
      <c r="F603" s="527"/>
      <c r="G603" s="527"/>
      <c r="H603" s="527"/>
      <c r="I603" s="527"/>
      <c r="J603" s="528"/>
      <c r="K603" s="531"/>
      <c r="L603" s="531"/>
      <c r="M603" s="531"/>
      <c r="N603" s="531"/>
      <c r="O603" s="531"/>
      <c r="P603" s="531"/>
      <c r="Q603" s="531"/>
      <c r="R603" s="531"/>
      <c r="S603" s="531"/>
      <c r="T603" s="531"/>
      <c r="U603" s="531"/>
      <c r="V603" s="531"/>
      <c r="W603" s="531"/>
      <c r="X603" s="531"/>
      <c r="Y603" s="531"/>
      <c r="Z603" s="531"/>
      <c r="AA603" s="531"/>
    </row>
    <row r="604" spans="1:27" ht="15">
      <c r="A604" s="530"/>
      <c r="B604" s="527"/>
      <c r="C604" s="527"/>
      <c r="D604" s="527"/>
      <c r="E604" s="527"/>
      <c r="F604" s="527"/>
      <c r="G604" s="527"/>
      <c r="H604" s="527"/>
      <c r="I604" s="527"/>
      <c r="J604" s="528"/>
      <c r="K604" s="531"/>
      <c r="L604" s="531"/>
      <c r="M604" s="531"/>
      <c r="N604" s="531"/>
      <c r="O604" s="531"/>
      <c r="P604" s="531"/>
      <c r="Q604" s="531"/>
      <c r="R604" s="531"/>
      <c r="S604" s="531"/>
      <c r="T604" s="531"/>
      <c r="U604" s="531"/>
      <c r="V604" s="531"/>
      <c r="W604" s="531"/>
      <c r="X604" s="531"/>
      <c r="Y604" s="531"/>
      <c r="Z604" s="531"/>
      <c r="AA604" s="531"/>
    </row>
    <row r="605" spans="1:27" ht="15">
      <c r="A605" s="530"/>
      <c r="B605" s="527"/>
      <c r="C605" s="527"/>
      <c r="D605" s="527"/>
      <c r="E605" s="527"/>
      <c r="F605" s="527"/>
      <c r="G605" s="527"/>
      <c r="H605" s="527"/>
      <c r="I605" s="527"/>
      <c r="J605" s="528"/>
      <c r="K605" s="531"/>
      <c r="L605" s="531"/>
      <c r="M605" s="531"/>
      <c r="N605" s="531"/>
      <c r="O605" s="531"/>
      <c r="P605" s="531"/>
      <c r="Q605" s="531"/>
      <c r="R605" s="531"/>
      <c r="S605" s="531"/>
      <c r="T605" s="531"/>
      <c r="U605" s="531"/>
      <c r="V605" s="531"/>
      <c r="W605" s="531"/>
      <c r="X605" s="531"/>
      <c r="Y605" s="531"/>
      <c r="Z605" s="531"/>
      <c r="AA605" s="531"/>
    </row>
    <row r="606" spans="1:27" ht="15">
      <c r="A606" s="530"/>
      <c r="B606" s="527"/>
      <c r="C606" s="527"/>
      <c r="D606" s="527"/>
      <c r="E606" s="527"/>
      <c r="F606" s="527"/>
      <c r="G606" s="527"/>
      <c r="H606" s="527"/>
      <c r="I606" s="527"/>
      <c r="J606" s="528"/>
      <c r="K606" s="531"/>
      <c r="L606" s="531"/>
      <c r="M606" s="531"/>
      <c r="N606" s="531"/>
      <c r="O606" s="531"/>
      <c r="P606" s="531"/>
      <c r="Q606" s="531"/>
      <c r="R606" s="531"/>
      <c r="S606" s="531"/>
      <c r="T606" s="531"/>
      <c r="U606" s="531"/>
      <c r="V606" s="531"/>
      <c r="W606" s="531"/>
      <c r="X606" s="531"/>
      <c r="Y606" s="531"/>
      <c r="Z606" s="531"/>
      <c r="AA606" s="531"/>
    </row>
    <row r="607" spans="1:27" ht="15">
      <c r="A607" s="530"/>
      <c r="B607" s="527"/>
      <c r="C607" s="527"/>
      <c r="D607" s="527"/>
      <c r="E607" s="527"/>
      <c r="F607" s="527"/>
      <c r="G607" s="527"/>
      <c r="H607" s="527"/>
      <c r="I607" s="527"/>
      <c r="J607" s="528"/>
      <c r="K607" s="531"/>
      <c r="L607" s="531"/>
      <c r="M607" s="531"/>
      <c r="N607" s="531"/>
      <c r="O607" s="531"/>
      <c r="P607" s="531"/>
      <c r="Q607" s="531"/>
      <c r="R607" s="531"/>
      <c r="S607" s="531"/>
      <c r="T607" s="531"/>
      <c r="U607" s="531"/>
      <c r="V607" s="531"/>
      <c r="W607" s="531"/>
      <c r="X607" s="531"/>
      <c r="Y607" s="531"/>
      <c r="Z607" s="531"/>
      <c r="AA607" s="531"/>
    </row>
    <row r="608" spans="1:27" ht="15">
      <c r="A608" s="530"/>
      <c r="B608" s="527"/>
      <c r="C608" s="527"/>
      <c r="D608" s="527"/>
      <c r="E608" s="527"/>
      <c r="F608" s="527"/>
      <c r="G608" s="527"/>
      <c r="H608" s="527"/>
      <c r="I608" s="527"/>
      <c r="J608" s="528"/>
      <c r="K608" s="531"/>
      <c r="L608" s="531"/>
      <c r="M608" s="531"/>
      <c r="N608" s="531"/>
      <c r="O608" s="531"/>
      <c r="P608" s="531"/>
      <c r="Q608" s="531"/>
      <c r="R608" s="531"/>
      <c r="S608" s="531"/>
      <c r="T608" s="531"/>
      <c r="U608" s="531"/>
      <c r="V608" s="531"/>
      <c r="W608" s="531"/>
      <c r="X608" s="531"/>
      <c r="Y608" s="531"/>
      <c r="Z608" s="531"/>
      <c r="AA608" s="531"/>
    </row>
    <row r="609" spans="1:27" ht="15">
      <c r="A609" s="530"/>
      <c r="B609" s="527"/>
      <c r="C609" s="527"/>
      <c r="D609" s="527"/>
      <c r="E609" s="527"/>
      <c r="F609" s="527"/>
      <c r="G609" s="527"/>
      <c r="H609" s="527"/>
      <c r="I609" s="527"/>
      <c r="J609" s="528"/>
      <c r="K609" s="531"/>
      <c r="L609" s="531"/>
      <c r="M609" s="531"/>
      <c r="N609" s="531"/>
      <c r="O609" s="531"/>
      <c r="P609" s="531"/>
      <c r="Q609" s="531"/>
      <c r="R609" s="531"/>
      <c r="S609" s="531"/>
      <c r="T609" s="531"/>
      <c r="U609" s="531"/>
      <c r="V609" s="531"/>
      <c r="W609" s="531"/>
      <c r="X609" s="531"/>
      <c r="Y609" s="531"/>
      <c r="Z609" s="531"/>
      <c r="AA609" s="531"/>
    </row>
    <row r="610" spans="1:27" ht="15">
      <c r="A610" s="530"/>
      <c r="B610" s="527"/>
      <c r="C610" s="527"/>
      <c r="D610" s="527"/>
      <c r="E610" s="527"/>
      <c r="F610" s="527"/>
      <c r="G610" s="527"/>
      <c r="H610" s="527"/>
      <c r="I610" s="527"/>
      <c r="J610" s="528"/>
      <c r="K610" s="531"/>
      <c r="L610" s="531"/>
      <c r="M610" s="531"/>
      <c r="N610" s="531"/>
      <c r="O610" s="531"/>
      <c r="P610" s="531"/>
      <c r="Q610" s="531"/>
      <c r="R610" s="531"/>
      <c r="S610" s="531"/>
      <c r="T610" s="531"/>
      <c r="U610" s="531"/>
      <c r="V610" s="531"/>
      <c r="W610" s="531"/>
      <c r="X610" s="531"/>
      <c r="Y610" s="531"/>
      <c r="Z610" s="531"/>
      <c r="AA610" s="531"/>
    </row>
    <row r="611" spans="1:27" ht="15">
      <c r="A611" s="530"/>
      <c r="B611" s="527"/>
      <c r="C611" s="527"/>
      <c r="D611" s="527"/>
      <c r="E611" s="527"/>
      <c r="F611" s="527"/>
      <c r="G611" s="527"/>
      <c r="H611" s="527"/>
      <c r="I611" s="527"/>
      <c r="J611" s="528"/>
      <c r="K611" s="531"/>
      <c r="L611" s="531"/>
      <c r="M611" s="531"/>
      <c r="N611" s="531"/>
      <c r="O611" s="531"/>
      <c r="P611" s="531"/>
      <c r="Q611" s="531"/>
      <c r="R611" s="531"/>
      <c r="S611" s="531"/>
      <c r="T611" s="531"/>
      <c r="U611" s="531"/>
      <c r="V611" s="531"/>
      <c r="W611" s="531"/>
      <c r="X611" s="531"/>
      <c r="Y611" s="531"/>
      <c r="Z611" s="531"/>
      <c r="AA611" s="531"/>
    </row>
    <row r="612" spans="1:27" ht="15">
      <c r="A612" s="530"/>
      <c r="B612" s="527"/>
      <c r="C612" s="527"/>
      <c r="D612" s="527"/>
      <c r="E612" s="527"/>
      <c r="F612" s="527"/>
      <c r="G612" s="527"/>
      <c r="H612" s="527"/>
      <c r="I612" s="527"/>
      <c r="J612" s="528"/>
      <c r="K612" s="531"/>
      <c r="L612" s="531"/>
      <c r="M612" s="531"/>
      <c r="N612" s="531"/>
      <c r="O612" s="531"/>
      <c r="P612" s="531"/>
      <c r="Q612" s="531"/>
      <c r="R612" s="531"/>
      <c r="S612" s="531"/>
      <c r="T612" s="531"/>
      <c r="U612" s="531"/>
      <c r="V612" s="531"/>
      <c r="W612" s="531"/>
      <c r="X612" s="531"/>
      <c r="Y612" s="531"/>
      <c r="Z612" s="531"/>
      <c r="AA612" s="531"/>
    </row>
    <row r="613" spans="1:27" ht="15">
      <c r="A613" s="530"/>
      <c r="B613" s="527"/>
      <c r="C613" s="527"/>
      <c r="D613" s="527"/>
      <c r="E613" s="527"/>
      <c r="F613" s="527"/>
      <c r="G613" s="527"/>
      <c r="H613" s="527"/>
      <c r="I613" s="527"/>
      <c r="J613" s="528"/>
      <c r="K613" s="531"/>
      <c r="L613" s="531"/>
      <c r="M613" s="531"/>
      <c r="N613" s="531"/>
      <c r="O613" s="531"/>
      <c r="P613" s="531"/>
      <c r="Q613" s="531"/>
      <c r="R613" s="531"/>
      <c r="S613" s="531"/>
      <c r="T613" s="531"/>
      <c r="U613" s="531"/>
      <c r="V613" s="531"/>
      <c r="W613" s="531"/>
      <c r="X613" s="531"/>
      <c r="Y613" s="531"/>
      <c r="Z613" s="531"/>
      <c r="AA613" s="531"/>
    </row>
    <row r="614" spans="1:27" ht="15">
      <c r="A614" s="530"/>
      <c r="B614" s="527"/>
      <c r="C614" s="527"/>
      <c r="D614" s="527"/>
      <c r="E614" s="527"/>
      <c r="F614" s="527"/>
      <c r="G614" s="527"/>
      <c r="H614" s="527"/>
      <c r="I614" s="527"/>
      <c r="J614" s="528"/>
      <c r="K614" s="531"/>
      <c r="L614" s="531"/>
      <c r="M614" s="531"/>
      <c r="N614" s="531"/>
      <c r="O614" s="531"/>
      <c r="P614" s="531"/>
      <c r="Q614" s="531"/>
      <c r="R614" s="531"/>
      <c r="S614" s="531"/>
      <c r="T614" s="531"/>
      <c r="U614" s="531"/>
      <c r="V614" s="531"/>
      <c r="W614" s="531"/>
      <c r="X614" s="531"/>
      <c r="Y614" s="531"/>
      <c r="Z614" s="531"/>
      <c r="AA614" s="531"/>
    </row>
    <row r="615" spans="1:27" ht="15">
      <c r="A615" s="530"/>
      <c r="B615" s="527"/>
      <c r="C615" s="527"/>
      <c r="D615" s="527"/>
      <c r="E615" s="527"/>
      <c r="F615" s="527"/>
      <c r="G615" s="527"/>
      <c r="H615" s="527"/>
      <c r="I615" s="527"/>
      <c r="J615" s="528"/>
      <c r="K615" s="531"/>
      <c r="L615" s="531"/>
      <c r="M615" s="531"/>
      <c r="N615" s="531"/>
      <c r="O615" s="531"/>
      <c r="P615" s="531"/>
      <c r="Q615" s="531"/>
      <c r="R615" s="531"/>
      <c r="S615" s="531"/>
      <c r="T615" s="531"/>
      <c r="U615" s="531"/>
      <c r="V615" s="531"/>
      <c r="W615" s="531"/>
      <c r="X615" s="531"/>
      <c r="Y615" s="531"/>
      <c r="Z615" s="531"/>
      <c r="AA615" s="531"/>
    </row>
    <row r="616" spans="1:27" ht="15">
      <c r="A616" s="530"/>
      <c r="B616" s="527"/>
      <c r="C616" s="527"/>
      <c r="D616" s="527"/>
      <c r="E616" s="527"/>
      <c r="F616" s="527"/>
      <c r="G616" s="527"/>
      <c r="H616" s="527"/>
      <c r="I616" s="527"/>
      <c r="J616" s="528"/>
      <c r="K616" s="531"/>
      <c r="L616" s="531"/>
      <c r="M616" s="531"/>
      <c r="N616" s="531"/>
      <c r="O616" s="531"/>
      <c r="P616" s="531"/>
      <c r="Q616" s="531"/>
      <c r="R616" s="531"/>
      <c r="S616" s="531"/>
      <c r="T616" s="531"/>
      <c r="U616" s="531"/>
      <c r="V616" s="531"/>
      <c r="W616" s="531"/>
      <c r="X616" s="531"/>
      <c r="Y616" s="531"/>
      <c r="Z616" s="531"/>
      <c r="AA616" s="531"/>
    </row>
    <row r="617" spans="1:27" ht="15">
      <c r="A617" s="530"/>
      <c r="B617" s="527"/>
      <c r="C617" s="527"/>
      <c r="D617" s="527"/>
      <c r="E617" s="527"/>
      <c r="F617" s="527"/>
      <c r="G617" s="527"/>
      <c r="H617" s="527"/>
      <c r="I617" s="527"/>
      <c r="J617" s="528"/>
      <c r="K617" s="531"/>
      <c r="L617" s="531"/>
      <c r="M617" s="531"/>
      <c r="N617" s="531"/>
      <c r="O617" s="531"/>
      <c r="P617" s="531"/>
      <c r="Q617" s="531"/>
      <c r="R617" s="531"/>
      <c r="S617" s="531"/>
      <c r="T617" s="531"/>
      <c r="U617" s="531"/>
      <c r="V617" s="531"/>
      <c r="W617" s="531"/>
      <c r="X617" s="531"/>
      <c r="Y617" s="531"/>
      <c r="Z617" s="531"/>
      <c r="AA617" s="531"/>
    </row>
    <row r="618" spans="1:27" ht="15">
      <c r="A618" s="530"/>
      <c r="B618" s="527"/>
      <c r="C618" s="527"/>
      <c r="D618" s="527"/>
      <c r="E618" s="527"/>
      <c r="F618" s="527"/>
      <c r="G618" s="527"/>
      <c r="H618" s="527"/>
      <c r="I618" s="527"/>
      <c r="J618" s="528"/>
      <c r="K618" s="531"/>
      <c r="L618" s="531"/>
      <c r="M618" s="531"/>
      <c r="N618" s="531"/>
      <c r="O618" s="531"/>
      <c r="P618" s="531"/>
      <c r="Q618" s="531"/>
      <c r="R618" s="531"/>
      <c r="S618" s="531"/>
      <c r="T618" s="531"/>
      <c r="U618" s="531"/>
      <c r="V618" s="531"/>
      <c r="W618" s="531"/>
      <c r="X618" s="531"/>
      <c r="Y618" s="531"/>
      <c r="Z618" s="531"/>
      <c r="AA618" s="531"/>
    </row>
    <row r="619" spans="1:27" ht="15">
      <c r="A619" s="530"/>
      <c r="B619" s="527"/>
      <c r="C619" s="527"/>
      <c r="D619" s="527"/>
      <c r="E619" s="527"/>
      <c r="F619" s="527"/>
      <c r="G619" s="527"/>
      <c r="H619" s="527"/>
      <c r="I619" s="527"/>
      <c r="J619" s="528"/>
      <c r="K619" s="531"/>
      <c r="L619" s="531"/>
      <c r="M619" s="531"/>
      <c r="N619" s="531"/>
      <c r="O619" s="531"/>
      <c r="P619" s="531"/>
      <c r="Q619" s="531"/>
      <c r="R619" s="531"/>
      <c r="S619" s="531"/>
      <c r="T619" s="531"/>
      <c r="U619" s="531"/>
      <c r="V619" s="531"/>
      <c r="W619" s="531"/>
      <c r="X619" s="531"/>
      <c r="Y619" s="531"/>
      <c r="Z619" s="531"/>
      <c r="AA619" s="531"/>
    </row>
    <row r="620" spans="1:27" ht="15">
      <c r="A620" s="530"/>
      <c r="B620" s="527"/>
      <c r="C620" s="527"/>
      <c r="D620" s="527"/>
      <c r="E620" s="527"/>
      <c r="F620" s="527"/>
      <c r="G620" s="527"/>
      <c r="H620" s="527"/>
      <c r="I620" s="527"/>
      <c r="J620" s="528"/>
      <c r="K620" s="531"/>
      <c r="L620" s="531"/>
      <c r="M620" s="531"/>
      <c r="N620" s="531"/>
      <c r="O620" s="531"/>
      <c r="P620" s="531"/>
      <c r="Q620" s="531"/>
      <c r="R620" s="531"/>
      <c r="S620" s="531"/>
      <c r="T620" s="531"/>
      <c r="U620" s="531"/>
      <c r="V620" s="531"/>
      <c r="W620" s="531"/>
      <c r="X620" s="531"/>
      <c r="Y620" s="531"/>
      <c r="Z620" s="531"/>
      <c r="AA620" s="531"/>
    </row>
    <row r="621" spans="1:27" ht="15">
      <c r="A621" s="530"/>
      <c r="B621" s="527"/>
      <c r="C621" s="527"/>
      <c r="D621" s="527"/>
      <c r="E621" s="527"/>
      <c r="F621" s="527"/>
      <c r="G621" s="527"/>
      <c r="H621" s="527"/>
      <c r="I621" s="527"/>
      <c r="J621" s="528"/>
      <c r="K621" s="531"/>
      <c r="L621" s="531"/>
      <c r="M621" s="531"/>
      <c r="N621" s="531"/>
      <c r="O621" s="531"/>
      <c r="P621" s="531"/>
      <c r="Q621" s="531"/>
      <c r="R621" s="531"/>
      <c r="S621" s="531"/>
      <c r="T621" s="531"/>
      <c r="U621" s="531"/>
      <c r="V621" s="531"/>
      <c r="W621" s="531"/>
      <c r="X621" s="531"/>
      <c r="Y621" s="531"/>
      <c r="Z621" s="531"/>
      <c r="AA621" s="531"/>
    </row>
    <row r="622" spans="1:27" ht="15">
      <c r="A622" s="530"/>
      <c r="B622" s="527"/>
      <c r="C622" s="527"/>
      <c r="D622" s="527"/>
      <c r="E622" s="527"/>
      <c r="F622" s="527"/>
      <c r="G622" s="527"/>
      <c r="H622" s="527"/>
      <c r="I622" s="527"/>
      <c r="J622" s="528"/>
      <c r="K622" s="531"/>
      <c r="L622" s="531"/>
      <c r="M622" s="531"/>
      <c r="N622" s="531"/>
      <c r="O622" s="531"/>
      <c r="P622" s="531"/>
      <c r="Q622" s="531"/>
      <c r="R622" s="531"/>
      <c r="S622" s="531"/>
      <c r="T622" s="531"/>
      <c r="U622" s="531"/>
      <c r="V622" s="531"/>
      <c r="W622" s="531"/>
      <c r="X622" s="531"/>
      <c r="Y622" s="531"/>
      <c r="Z622" s="531"/>
      <c r="AA622" s="531"/>
    </row>
    <row r="623" spans="1:27" ht="15">
      <c r="A623" s="530"/>
      <c r="B623" s="527"/>
      <c r="C623" s="527"/>
      <c r="D623" s="527"/>
      <c r="E623" s="527"/>
      <c r="F623" s="527"/>
      <c r="G623" s="527"/>
      <c r="H623" s="527"/>
      <c r="I623" s="527"/>
      <c r="J623" s="528"/>
      <c r="K623" s="531"/>
      <c r="L623" s="531"/>
      <c r="M623" s="531"/>
      <c r="N623" s="531"/>
      <c r="O623" s="531"/>
      <c r="P623" s="531"/>
      <c r="Q623" s="531"/>
      <c r="R623" s="531"/>
      <c r="S623" s="531"/>
      <c r="T623" s="531"/>
      <c r="U623" s="531"/>
      <c r="V623" s="531"/>
      <c r="W623" s="531"/>
      <c r="X623" s="531"/>
      <c r="Y623" s="531"/>
      <c r="Z623" s="531"/>
      <c r="AA623" s="531"/>
    </row>
    <row r="624" spans="1:27" ht="15">
      <c r="A624" s="530"/>
      <c r="B624" s="527"/>
      <c r="C624" s="527"/>
      <c r="D624" s="527"/>
      <c r="E624" s="527"/>
      <c r="F624" s="527"/>
      <c r="G624" s="527"/>
      <c r="H624" s="527"/>
      <c r="I624" s="527"/>
      <c r="J624" s="528"/>
      <c r="K624" s="531"/>
      <c r="L624" s="531"/>
      <c r="M624" s="531"/>
      <c r="N624" s="531"/>
      <c r="O624" s="531"/>
      <c r="P624" s="531"/>
      <c r="Q624" s="531"/>
      <c r="R624" s="531"/>
      <c r="S624" s="531"/>
      <c r="T624" s="531"/>
      <c r="U624" s="531"/>
      <c r="V624" s="531"/>
      <c r="W624" s="531"/>
      <c r="X624" s="531"/>
      <c r="Y624" s="531"/>
      <c r="Z624" s="531"/>
      <c r="AA624" s="531"/>
    </row>
    <row r="625" spans="1:27" ht="15">
      <c r="A625" s="530"/>
      <c r="B625" s="527"/>
      <c r="C625" s="527"/>
      <c r="D625" s="527"/>
      <c r="E625" s="527"/>
      <c r="F625" s="527"/>
      <c r="G625" s="527"/>
      <c r="H625" s="527"/>
      <c r="I625" s="527"/>
      <c r="J625" s="528"/>
      <c r="K625" s="531"/>
      <c r="L625" s="531"/>
      <c r="M625" s="531"/>
      <c r="N625" s="531"/>
      <c r="O625" s="531"/>
      <c r="P625" s="531"/>
      <c r="Q625" s="531"/>
      <c r="R625" s="531"/>
      <c r="S625" s="531"/>
      <c r="T625" s="531"/>
      <c r="U625" s="531"/>
      <c r="V625" s="531"/>
      <c r="W625" s="531"/>
      <c r="X625" s="531"/>
      <c r="Y625" s="531"/>
      <c r="Z625" s="531"/>
      <c r="AA625" s="531"/>
    </row>
    <row r="626" spans="1:27" ht="15">
      <c r="A626" s="530"/>
      <c r="B626" s="527"/>
      <c r="C626" s="527"/>
      <c r="D626" s="527"/>
      <c r="E626" s="527"/>
      <c r="F626" s="527"/>
      <c r="G626" s="527"/>
      <c r="H626" s="527"/>
      <c r="I626" s="527"/>
      <c r="J626" s="528"/>
      <c r="K626" s="531"/>
      <c r="L626" s="531"/>
      <c r="M626" s="531"/>
      <c r="N626" s="531"/>
      <c r="O626" s="531"/>
      <c r="P626" s="531"/>
      <c r="Q626" s="531"/>
      <c r="R626" s="531"/>
      <c r="S626" s="531"/>
      <c r="T626" s="531"/>
      <c r="U626" s="531"/>
      <c r="V626" s="531"/>
      <c r="W626" s="531"/>
      <c r="X626" s="531"/>
      <c r="Y626" s="531"/>
      <c r="Z626" s="531"/>
      <c r="AA626" s="531"/>
    </row>
    <row r="627" spans="1:27" ht="15">
      <c r="A627" s="530"/>
      <c r="B627" s="527"/>
      <c r="C627" s="527"/>
      <c r="D627" s="527"/>
      <c r="E627" s="527"/>
      <c r="F627" s="527"/>
      <c r="G627" s="527"/>
      <c r="H627" s="527"/>
      <c r="I627" s="527"/>
      <c r="J627" s="528"/>
      <c r="K627" s="531"/>
      <c r="L627" s="531"/>
      <c r="M627" s="531"/>
      <c r="N627" s="531"/>
      <c r="O627" s="531"/>
      <c r="P627" s="531"/>
      <c r="Q627" s="531"/>
      <c r="R627" s="531"/>
      <c r="S627" s="531"/>
      <c r="T627" s="531"/>
      <c r="U627" s="531"/>
      <c r="V627" s="531"/>
      <c r="W627" s="531"/>
      <c r="X627" s="531"/>
      <c r="Y627" s="531"/>
      <c r="Z627" s="531"/>
      <c r="AA627" s="531"/>
    </row>
    <row r="628" spans="1:27" ht="15">
      <c r="A628" s="530"/>
      <c r="B628" s="527"/>
      <c r="C628" s="527"/>
      <c r="D628" s="527"/>
      <c r="E628" s="527"/>
      <c r="F628" s="527"/>
      <c r="G628" s="527"/>
      <c r="H628" s="527"/>
      <c r="I628" s="527"/>
      <c r="J628" s="528"/>
      <c r="K628" s="531"/>
      <c r="L628" s="531"/>
      <c r="M628" s="531"/>
      <c r="N628" s="531"/>
      <c r="O628" s="531"/>
      <c r="P628" s="531"/>
      <c r="Q628" s="531"/>
      <c r="R628" s="531"/>
      <c r="S628" s="531"/>
      <c r="T628" s="531"/>
      <c r="U628" s="531"/>
      <c r="V628" s="531"/>
      <c r="W628" s="531"/>
      <c r="X628" s="531"/>
      <c r="Y628" s="531"/>
      <c r="Z628" s="531"/>
      <c r="AA628" s="531"/>
    </row>
    <row r="629" spans="1:27" ht="15">
      <c r="A629" s="530"/>
      <c r="B629" s="527"/>
      <c r="C629" s="527"/>
      <c r="D629" s="527"/>
      <c r="E629" s="527"/>
      <c r="F629" s="527"/>
      <c r="G629" s="527"/>
      <c r="H629" s="527"/>
      <c r="I629" s="527"/>
      <c r="J629" s="528"/>
      <c r="K629" s="531"/>
      <c r="L629" s="531"/>
      <c r="M629" s="531"/>
      <c r="N629" s="531"/>
      <c r="O629" s="531"/>
      <c r="P629" s="531"/>
      <c r="Q629" s="531"/>
      <c r="R629" s="531"/>
      <c r="S629" s="531"/>
      <c r="T629" s="531"/>
      <c r="U629" s="531"/>
      <c r="V629" s="531"/>
      <c r="W629" s="531"/>
      <c r="X629" s="531"/>
      <c r="Y629" s="531"/>
      <c r="Z629" s="531"/>
      <c r="AA629" s="531"/>
    </row>
    <row r="630" spans="1:27" ht="15">
      <c r="A630" s="530"/>
      <c r="B630" s="527"/>
      <c r="C630" s="527"/>
      <c r="D630" s="527"/>
      <c r="E630" s="527"/>
      <c r="F630" s="527"/>
      <c r="G630" s="527"/>
      <c r="H630" s="527"/>
      <c r="I630" s="527"/>
      <c r="J630" s="528"/>
      <c r="K630" s="531"/>
      <c r="L630" s="531"/>
      <c r="M630" s="531"/>
      <c r="N630" s="531"/>
      <c r="O630" s="531"/>
      <c r="P630" s="531"/>
      <c r="Q630" s="531"/>
      <c r="R630" s="531"/>
      <c r="S630" s="531"/>
      <c r="T630" s="531"/>
      <c r="U630" s="531"/>
      <c r="V630" s="531"/>
      <c r="W630" s="531"/>
      <c r="X630" s="531"/>
      <c r="Y630" s="531"/>
      <c r="Z630" s="531"/>
      <c r="AA630" s="531"/>
    </row>
    <row r="631" spans="1:27" ht="15">
      <c r="A631" s="530"/>
      <c r="B631" s="527"/>
      <c r="C631" s="527"/>
      <c r="D631" s="527"/>
      <c r="E631" s="527"/>
      <c r="F631" s="527"/>
      <c r="G631" s="527"/>
      <c r="H631" s="527"/>
      <c r="I631" s="527"/>
      <c r="J631" s="528"/>
      <c r="K631" s="531"/>
      <c r="L631" s="531"/>
      <c r="M631" s="531"/>
      <c r="N631" s="531"/>
      <c r="O631" s="531"/>
      <c r="P631" s="531"/>
      <c r="Q631" s="531"/>
      <c r="R631" s="531"/>
      <c r="S631" s="531"/>
      <c r="T631" s="531"/>
      <c r="U631" s="531"/>
      <c r="V631" s="531"/>
      <c r="W631" s="531"/>
      <c r="X631" s="531"/>
      <c r="Y631" s="531"/>
      <c r="Z631" s="531"/>
      <c r="AA631" s="531"/>
    </row>
    <row r="632" spans="1:27" ht="15">
      <c r="A632" s="530"/>
      <c r="B632" s="527"/>
      <c r="C632" s="527"/>
      <c r="D632" s="527"/>
      <c r="E632" s="527"/>
      <c r="F632" s="527"/>
      <c r="G632" s="527"/>
      <c r="H632" s="527"/>
      <c r="I632" s="527"/>
      <c r="J632" s="528"/>
      <c r="K632" s="531"/>
      <c r="L632" s="531"/>
      <c r="M632" s="531"/>
      <c r="N632" s="531"/>
      <c r="O632" s="531"/>
      <c r="P632" s="531"/>
      <c r="Q632" s="531"/>
      <c r="R632" s="531"/>
      <c r="S632" s="531"/>
      <c r="T632" s="531"/>
      <c r="U632" s="531"/>
      <c r="V632" s="531"/>
      <c r="W632" s="531"/>
      <c r="X632" s="531"/>
      <c r="Y632" s="531"/>
      <c r="Z632" s="531"/>
      <c r="AA632" s="531"/>
    </row>
    <row r="633" spans="1:27" ht="15">
      <c r="A633" s="530"/>
      <c r="B633" s="527"/>
      <c r="C633" s="527"/>
      <c r="D633" s="527"/>
      <c r="E633" s="527"/>
      <c r="F633" s="527"/>
      <c r="G633" s="527"/>
      <c r="H633" s="527"/>
      <c r="I633" s="527"/>
      <c r="J633" s="528"/>
      <c r="K633" s="531"/>
      <c r="L633" s="531"/>
      <c r="M633" s="531"/>
      <c r="N633" s="531"/>
      <c r="O633" s="531"/>
      <c r="P633" s="531"/>
      <c r="Q633" s="531"/>
      <c r="R633" s="531"/>
      <c r="S633" s="531"/>
      <c r="T633" s="531"/>
      <c r="U633" s="531"/>
      <c r="V633" s="531"/>
      <c r="W633" s="531"/>
      <c r="X633" s="531"/>
      <c r="Y633" s="531"/>
      <c r="Z633" s="531"/>
      <c r="AA633" s="531"/>
    </row>
    <row r="634" spans="1:27" ht="15">
      <c r="A634" s="530"/>
      <c r="B634" s="527"/>
      <c r="C634" s="527"/>
      <c r="D634" s="527"/>
      <c r="E634" s="527"/>
      <c r="F634" s="527"/>
      <c r="G634" s="527"/>
      <c r="H634" s="527"/>
      <c r="I634" s="527"/>
      <c r="J634" s="528"/>
      <c r="K634" s="531"/>
      <c r="L634" s="531"/>
      <c r="M634" s="531"/>
      <c r="N634" s="531"/>
      <c r="O634" s="531"/>
      <c r="P634" s="531"/>
      <c r="Q634" s="531"/>
      <c r="R634" s="531"/>
      <c r="S634" s="531"/>
      <c r="T634" s="531"/>
      <c r="U634" s="531"/>
      <c r="V634" s="531"/>
      <c r="W634" s="531"/>
      <c r="X634" s="531"/>
      <c r="Y634" s="531"/>
      <c r="Z634" s="531"/>
      <c r="AA634" s="531"/>
    </row>
    <row r="635" spans="1:27" ht="15">
      <c r="A635" s="530"/>
      <c r="B635" s="527"/>
      <c r="C635" s="527"/>
      <c r="D635" s="527"/>
      <c r="E635" s="527"/>
      <c r="F635" s="527"/>
      <c r="G635" s="527"/>
      <c r="H635" s="527"/>
      <c r="I635" s="527"/>
      <c r="J635" s="528"/>
      <c r="K635" s="531"/>
      <c r="L635" s="531"/>
      <c r="M635" s="531"/>
      <c r="N635" s="531"/>
      <c r="O635" s="531"/>
      <c r="P635" s="531"/>
      <c r="Q635" s="531"/>
      <c r="R635" s="531"/>
      <c r="S635" s="531"/>
      <c r="T635" s="531"/>
      <c r="U635" s="531"/>
      <c r="V635" s="531"/>
      <c r="W635" s="531"/>
      <c r="X635" s="531"/>
      <c r="Y635" s="531"/>
      <c r="Z635" s="531"/>
      <c r="AA635" s="531"/>
    </row>
    <row r="636" spans="1:27" ht="15">
      <c r="A636" s="530"/>
      <c r="B636" s="527"/>
      <c r="C636" s="527"/>
      <c r="D636" s="527"/>
      <c r="E636" s="527"/>
      <c r="F636" s="527"/>
      <c r="G636" s="527"/>
      <c r="H636" s="527"/>
      <c r="I636" s="527"/>
      <c r="J636" s="528"/>
      <c r="K636" s="531"/>
      <c r="L636" s="531"/>
      <c r="M636" s="531"/>
      <c r="N636" s="531"/>
      <c r="O636" s="531"/>
      <c r="P636" s="531"/>
      <c r="Q636" s="531"/>
      <c r="R636" s="531"/>
      <c r="S636" s="531"/>
      <c r="T636" s="531"/>
      <c r="U636" s="531"/>
      <c r="V636" s="531"/>
      <c r="W636" s="531"/>
      <c r="X636" s="531"/>
      <c r="Y636" s="531"/>
      <c r="Z636" s="531"/>
      <c r="AA636" s="531"/>
    </row>
    <row r="637" spans="1:27" ht="15">
      <c r="A637" s="530"/>
      <c r="B637" s="527"/>
      <c r="C637" s="527"/>
      <c r="D637" s="527"/>
      <c r="E637" s="527"/>
      <c r="F637" s="527"/>
      <c r="G637" s="527"/>
      <c r="H637" s="527"/>
      <c r="I637" s="527"/>
      <c r="J637" s="528"/>
      <c r="K637" s="531"/>
      <c r="L637" s="531"/>
      <c r="M637" s="531"/>
      <c r="N637" s="531"/>
      <c r="O637" s="531"/>
      <c r="P637" s="531"/>
      <c r="Q637" s="531"/>
      <c r="R637" s="531"/>
      <c r="S637" s="531"/>
      <c r="T637" s="531"/>
      <c r="U637" s="531"/>
      <c r="V637" s="531"/>
      <c r="W637" s="531"/>
      <c r="X637" s="531"/>
      <c r="Y637" s="531"/>
      <c r="Z637" s="531"/>
      <c r="AA637" s="531"/>
    </row>
    <row r="638" spans="1:27" ht="15">
      <c r="A638" s="530"/>
      <c r="B638" s="527"/>
      <c r="C638" s="527"/>
      <c r="D638" s="527"/>
      <c r="E638" s="527"/>
      <c r="F638" s="527"/>
      <c r="G638" s="527"/>
      <c r="H638" s="527"/>
      <c r="I638" s="527"/>
      <c r="J638" s="528"/>
      <c r="K638" s="531"/>
      <c r="L638" s="531"/>
      <c r="M638" s="531"/>
      <c r="N638" s="531"/>
      <c r="O638" s="531"/>
      <c r="P638" s="531"/>
      <c r="Q638" s="531"/>
      <c r="R638" s="531"/>
      <c r="S638" s="531"/>
      <c r="T638" s="531"/>
      <c r="U638" s="531"/>
      <c r="V638" s="531"/>
      <c r="W638" s="531"/>
      <c r="X638" s="531"/>
      <c r="Y638" s="531"/>
      <c r="Z638" s="531"/>
      <c r="AA638" s="531"/>
    </row>
    <row r="639" spans="1:27" ht="15">
      <c r="A639" s="530"/>
      <c r="B639" s="527"/>
      <c r="C639" s="527"/>
      <c r="D639" s="527"/>
      <c r="E639" s="527"/>
      <c r="F639" s="527"/>
      <c r="G639" s="527"/>
      <c r="H639" s="527"/>
      <c r="I639" s="527"/>
      <c r="J639" s="528"/>
      <c r="K639" s="531"/>
      <c r="L639" s="531"/>
      <c r="M639" s="531"/>
      <c r="N639" s="531"/>
      <c r="O639" s="531"/>
      <c r="P639" s="531"/>
      <c r="Q639" s="531"/>
      <c r="R639" s="531"/>
      <c r="S639" s="531"/>
      <c r="T639" s="531"/>
      <c r="U639" s="531"/>
      <c r="V639" s="531"/>
      <c r="W639" s="531"/>
      <c r="X639" s="531"/>
      <c r="Y639" s="531"/>
      <c r="Z639" s="531"/>
      <c r="AA639" s="531"/>
    </row>
    <row r="640" spans="1:27" ht="15">
      <c r="A640" s="530"/>
      <c r="B640" s="527"/>
      <c r="C640" s="527"/>
      <c r="D640" s="527"/>
      <c r="E640" s="527"/>
      <c r="F640" s="527"/>
      <c r="G640" s="527"/>
      <c r="H640" s="527"/>
      <c r="I640" s="527"/>
      <c r="J640" s="528"/>
      <c r="K640" s="531"/>
      <c r="L640" s="531"/>
      <c r="M640" s="531"/>
      <c r="N640" s="531"/>
      <c r="O640" s="531"/>
      <c r="P640" s="531"/>
      <c r="Q640" s="531"/>
      <c r="R640" s="531"/>
      <c r="S640" s="531"/>
      <c r="T640" s="531"/>
      <c r="U640" s="531"/>
      <c r="V640" s="531"/>
      <c r="W640" s="531"/>
      <c r="X640" s="531"/>
      <c r="Y640" s="531"/>
      <c r="Z640" s="531"/>
      <c r="AA640" s="531"/>
    </row>
    <row r="641" spans="1:27" ht="15">
      <c r="A641" s="530"/>
      <c r="B641" s="527"/>
      <c r="C641" s="527"/>
      <c r="D641" s="527"/>
      <c r="E641" s="527"/>
      <c r="F641" s="527"/>
      <c r="G641" s="527"/>
      <c r="H641" s="527"/>
      <c r="I641" s="527"/>
      <c r="J641" s="528"/>
      <c r="K641" s="531"/>
      <c r="L641" s="531"/>
      <c r="M641" s="531"/>
      <c r="N641" s="531"/>
      <c r="O641" s="531"/>
      <c r="P641" s="531"/>
      <c r="Q641" s="531"/>
      <c r="R641" s="531"/>
      <c r="S641" s="531"/>
      <c r="T641" s="531"/>
      <c r="U641" s="531"/>
      <c r="V641" s="531"/>
      <c r="W641" s="531"/>
      <c r="X641" s="531"/>
      <c r="Y641" s="531"/>
      <c r="Z641" s="531"/>
      <c r="AA641" s="531"/>
    </row>
    <row r="642" spans="1:27" ht="15">
      <c r="A642" s="530"/>
      <c r="B642" s="527"/>
      <c r="C642" s="527"/>
      <c r="D642" s="527"/>
      <c r="E642" s="527"/>
      <c r="F642" s="527"/>
      <c r="G642" s="527"/>
      <c r="H642" s="527"/>
      <c r="I642" s="527"/>
      <c r="J642" s="528"/>
      <c r="K642" s="531"/>
      <c r="L642" s="531"/>
      <c r="M642" s="531"/>
      <c r="N642" s="531"/>
      <c r="O642" s="531"/>
      <c r="P642" s="531"/>
      <c r="Q642" s="531"/>
      <c r="R642" s="531"/>
      <c r="S642" s="531"/>
      <c r="T642" s="531"/>
      <c r="U642" s="531"/>
      <c r="V642" s="531"/>
      <c r="W642" s="531"/>
      <c r="X642" s="531"/>
      <c r="Y642" s="531"/>
      <c r="Z642" s="531"/>
      <c r="AA642" s="531"/>
    </row>
    <row r="643" spans="1:27" ht="15">
      <c r="A643" s="530"/>
      <c r="B643" s="527"/>
      <c r="C643" s="527"/>
      <c r="D643" s="527"/>
      <c r="E643" s="527"/>
      <c r="F643" s="527"/>
      <c r="G643" s="527"/>
      <c r="H643" s="527"/>
      <c r="I643" s="527"/>
      <c r="J643" s="528"/>
      <c r="K643" s="531"/>
      <c r="L643" s="531"/>
      <c r="M643" s="531"/>
      <c r="N643" s="531"/>
      <c r="O643" s="531"/>
      <c r="P643" s="531"/>
      <c r="Q643" s="531"/>
      <c r="R643" s="531"/>
      <c r="S643" s="531"/>
      <c r="T643" s="531"/>
      <c r="U643" s="531"/>
      <c r="V643" s="531"/>
      <c r="W643" s="531"/>
      <c r="X643" s="531"/>
      <c r="Y643" s="531"/>
      <c r="Z643" s="531"/>
      <c r="AA643" s="531"/>
    </row>
    <row r="644" spans="1:27" ht="15">
      <c r="A644" s="530"/>
      <c r="B644" s="527"/>
      <c r="C644" s="527"/>
      <c r="D644" s="527"/>
      <c r="E644" s="527"/>
      <c r="F644" s="527"/>
      <c r="G644" s="527"/>
      <c r="H644" s="527"/>
      <c r="I644" s="527"/>
      <c r="J644" s="528"/>
      <c r="K644" s="531"/>
      <c r="L644" s="531"/>
      <c r="M644" s="531"/>
      <c r="N644" s="531"/>
      <c r="O644" s="531"/>
      <c r="P644" s="531"/>
      <c r="Q644" s="531"/>
      <c r="R644" s="531"/>
      <c r="S644" s="531"/>
      <c r="T644" s="531"/>
      <c r="U644" s="531"/>
      <c r="V644" s="531"/>
      <c r="W644" s="531"/>
      <c r="X644" s="531"/>
      <c r="Y644" s="531"/>
      <c r="Z644" s="531"/>
      <c r="AA644" s="531"/>
    </row>
    <row r="645" spans="1:27" ht="15">
      <c r="A645" s="530"/>
      <c r="B645" s="527"/>
      <c r="C645" s="527"/>
      <c r="D645" s="527"/>
      <c r="E645" s="527"/>
      <c r="F645" s="527"/>
      <c r="G645" s="527"/>
      <c r="H645" s="527"/>
      <c r="I645" s="527"/>
      <c r="J645" s="528"/>
      <c r="K645" s="531"/>
      <c r="L645" s="531"/>
      <c r="M645" s="531"/>
      <c r="N645" s="531"/>
      <c r="O645" s="531"/>
      <c r="P645" s="531"/>
      <c r="Q645" s="531"/>
      <c r="R645" s="531"/>
      <c r="S645" s="531"/>
      <c r="T645" s="531"/>
      <c r="U645" s="531"/>
      <c r="V645" s="531"/>
      <c r="W645" s="531"/>
      <c r="X645" s="531"/>
      <c r="Y645" s="531"/>
      <c r="Z645" s="531"/>
      <c r="AA645" s="531"/>
    </row>
    <row r="646" spans="1:27" ht="15">
      <c r="A646" s="530"/>
      <c r="B646" s="527"/>
      <c r="C646" s="527"/>
      <c r="D646" s="527"/>
      <c r="E646" s="527"/>
      <c r="F646" s="527"/>
      <c r="G646" s="527"/>
      <c r="H646" s="527"/>
      <c r="I646" s="527"/>
      <c r="J646" s="528"/>
      <c r="K646" s="531"/>
      <c r="L646" s="531"/>
      <c r="M646" s="531"/>
      <c r="N646" s="531"/>
      <c r="O646" s="531"/>
      <c r="P646" s="531"/>
      <c r="Q646" s="531"/>
      <c r="R646" s="531"/>
      <c r="S646" s="531"/>
      <c r="T646" s="531"/>
      <c r="U646" s="531"/>
      <c r="V646" s="531"/>
      <c r="W646" s="531"/>
      <c r="X646" s="531"/>
      <c r="Y646" s="531"/>
      <c r="Z646" s="531"/>
      <c r="AA646" s="531"/>
    </row>
    <row r="647" spans="1:27" ht="15">
      <c r="A647" s="530"/>
      <c r="B647" s="527"/>
      <c r="C647" s="527"/>
      <c r="D647" s="527"/>
      <c r="E647" s="527"/>
      <c r="F647" s="527"/>
      <c r="G647" s="527"/>
      <c r="H647" s="527"/>
      <c r="I647" s="527"/>
      <c r="J647" s="528"/>
      <c r="K647" s="531"/>
      <c r="L647" s="531"/>
      <c r="M647" s="531"/>
      <c r="N647" s="531"/>
      <c r="O647" s="531"/>
      <c r="P647" s="531"/>
      <c r="Q647" s="531"/>
      <c r="R647" s="531"/>
      <c r="S647" s="531"/>
      <c r="T647" s="531"/>
      <c r="U647" s="531"/>
      <c r="V647" s="531"/>
      <c r="W647" s="531"/>
      <c r="X647" s="531"/>
      <c r="Y647" s="531"/>
      <c r="Z647" s="531"/>
      <c r="AA647" s="531"/>
    </row>
    <row r="648" spans="1:27" ht="15">
      <c r="A648" s="530"/>
      <c r="B648" s="527"/>
      <c r="C648" s="527"/>
      <c r="D648" s="527"/>
      <c r="E648" s="527"/>
      <c r="F648" s="527"/>
      <c r="G648" s="527"/>
      <c r="H648" s="527"/>
      <c r="I648" s="527"/>
      <c r="J648" s="528"/>
      <c r="K648" s="531"/>
      <c r="L648" s="531"/>
      <c r="M648" s="531"/>
      <c r="N648" s="531"/>
      <c r="O648" s="531"/>
      <c r="P648" s="531"/>
      <c r="Q648" s="531"/>
      <c r="R648" s="531"/>
      <c r="S648" s="531"/>
      <c r="T648" s="531"/>
      <c r="U648" s="531"/>
      <c r="V648" s="531"/>
      <c r="W648" s="531"/>
      <c r="X648" s="531"/>
      <c r="Y648" s="531"/>
      <c r="Z648" s="531"/>
      <c r="AA648" s="531"/>
    </row>
    <row r="649" spans="1:27" ht="15">
      <c r="A649" s="530"/>
      <c r="B649" s="527"/>
      <c r="C649" s="527"/>
      <c r="D649" s="527"/>
      <c r="E649" s="527"/>
      <c r="F649" s="527"/>
      <c r="G649" s="527"/>
      <c r="H649" s="527"/>
      <c r="I649" s="527"/>
      <c r="J649" s="528"/>
      <c r="K649" s="531"/>
      <c r="L649" s="531"/>
      <c r="M649" s="531"/>
      <c r="N649" s="531"/>
      <c r="O649" s="531"/>
      <c r="P649" s="531"/>
      <c r="Q649" s="531"/>
      <c r="R649" s="531"/>
      <c r="S649" s="531"/>
      <c r="T649" s="531"/>
      <c r="U649" s="531"/>
      <c r="V649" s="531"/>
      <c r="W649" s="531"/>
      <c r="X649" s="531"/>
      <c r="Y649" s="531"/>
      <c r="Z649" s="531"/>
      <c r="AA649" s="531"/>
    </row>
    <row r="650" spans="1:27" ht="15">
      <c r="A650" s="530"/>
      <c r="B650" s="527"/>
      <c r="C650" s="527"/>
      <c r="D650" s="527"/>
      <c r="E650" s="527"/>
      <c r="F650" s="527"/>
      <c r="G650" s="527"/>
      <c r="H650" s="527"/>
      <c r="I650" s="527"/>
      <c r="J650" s="528"/>
      <c r="K650" s="531"/>
      <c r="L650" s="531"/>
      <c r="M650" s="531"/>
      <c r="N650" s="531"/>
      <c r="O650" s="531"/>
      <c r="P650" s="531"/>
      <c r="Q650" s="531"/>
      <c r="R650" s="531"/>
      <c r="S650" s="531"/>
      <c r="T650" s="531"/>
      <c r="U650" s="531"/>
      <c r="V650" s="531"/>
      <c r="W650" s="531"/>
      <c r="X650" s="531"/>
      <c r="Y650" s="531"/>
      <c r="Z650" s="531"/>
      <c r="AA650" s="531"/>
    </row>
    <row r="651" spans="1:27" ht="15">
      <c r="A651" s="530"/>
      <c r="B651" s="527"/>
      <c r="C651" s="527"/>
      <c r="D651" s="527"/>
      <c r="E651" s="527"/>
      <c r="F651" s="527"/>
      <c r="G651" s="527"/>
      <c r="H651" s="527"/>
      <c r="I651" s="527"/>
      <c r="J651" s="528"/>
      <c r="K651" s="531"/>
      <c r="L651" s="531"/>
      <c r="M651" s="531"/>
      <c r="N651" s="531"/>
      <c r="O651" s="531"/>
      <c r="P651" s="531"/>
      <c r="Q651" s="531"/>
      <c r="R651" s="531"/>
      <c r="S651" s="531"/>
      <c r="T651" s="531"/>
      <c r="U651" s="531"/>
      <c r="V651" s="531"/>
      <c r="W651" s="531"/>
      <c r="X651" s="531"/>
      <c r="Y651" s="531"/>
      <c r="Z651" s="531"/>
      <c r="AA651" s="531"/>
    </row>
    <row r="652" spans="1:27" ht="15">
      <c r="A652" s="530"/>
      <c r="B652" s="527"/>
      <c r="C652" s="527"/>
      <c r="D652" s="527"/>
      <c r="E652" s="527"/>
      <c r="F652" s="527"/>
      <c r="G652" s="527"/>
      <c r="H652" s="527"/>
      <c r="I652" s="527"/>
      <c r="J652" s="528"/>
      <c r="K652" s="531"/>
      <c r="L652" s="531"/>
      <c r="M652" s="531"/>
      <c r="N652" s="531"/>
      <c r="O652" s="531"/>
      <c r="P652" s="531"/>
      <c r="Q652" s="531"/>
      <c r="R652" s="531"/>
      <c r="S652" s="531"/>
      <c r="T652" s="531"/>
      <c r="U652" s="531"/>
      <c r="V652" s="531"/>
      <c r="W652" s="531"/>
      <c r="X652" s="531"/>
      <c r="Y652" s="531"/>
      <c r="Z652" s="531"/>
      <c r="AA652" s="531"/>
    </row>
    <row r="653" spans="1:27" ht="15">
      <c r="A653" s="530"/>
      <c r="B653" s="527"/>
      <c r="C653" s="527"/>
      <c r="D653" s="527"/>
      <c r="E653" s="527"/>
      <c r="F653" s="527"/>
      <c r="G653" s="527"/>
      <c r="H653" s="527"/>
      <c r="I653" s="527"/>
      <c r="J653" s="528"/>
      <c r="K653" s="531"/>
      <c r="L653" s="531"/>
      <c r="M653" s="531"/>
      <c r="N653" s="531"/>
      <c r="O653" s="531"/>
      <c r="P653" s="531"/>
      <c r="Q653" s="531"/>
      <c r="R653" s="531"/>
      <c r="S653" s="531"/>
      <c r="T653" s="531"/>
      <c r="U653" s="531"/>
      <c r="V653" s="531"/>
      <c r="W653" s="531"/>
      <c r="X653" s="531"/>
      <c r="Y653" s="531"/>
      <c r="Z653" s="531"/>
      <c r="AA653" s="531"/>
    </row>
    <row r="654" spans="1:27" ht="15">
      <c r="A654" s="530"/>
      <c r="B654" s="527"/>
      <c r="C654" s="527"/>
      <c r="D654" s="527"/>
      <c r="E654" s="527"/>
      <c r="F654" s="527"/>
      <c r="G654" s="527"/>
      <c r="H654" s="527"/>
      <c r="I654" s="527"/>
      <c r="J654" s="528"/>
      <c r="K654" s="531"/>
      <c r="L654" s="531"/>
      <c r="M654" s="531"/>
      <c r="N654" s="531"/>
      <c r="O654" s="531"/>
      <c r="P654" s="531"/>
      <c r="Q654" s="531"/>
      <c r="R654" s="531"/>
      <c r="S654" s="531"/>
      <c r="T654" s="531"/>
      <c r="U654" s="531"/>
      <c r="V654" s="531"/>
      <c r="W654" s="531"/>
      <c r="X654" s="531"/>
      <c r="Y654" s="531"/>
      <c r="Z654" s="531"/>
      <c r="AA654" s="531"/>
    </row>
    <row r="655" spans="1:27" ht="15">
      <c r="A655" s="530"/>
      <c r="B655" s="527"/>
      <c r="C655" s="527"/>
      <c r="D655" s="527"/>
      <c r="E655" s="527"/>
      <c r="F655" s="527"/>
      <c r="G655" s="527"/>
      <c r="H655" s="527"/>
      <c r="I655" s="527"/>
      <c r="J655" s="528"/>
      <c r="K655" s="531"/>
      <c r="L655" s="531"/>
      <c r="M655" s="531"/>
      <c r="N655" s="531"/>
      <c r="O655" s="531"/>
      <c r="P655" s="531"/>
      <c r="Q655" s="531"/>
      <c r="R655" s="531"/>
      <c r="S655" s="531"/>
      <c r="T655" s="531"/>
      <c r="U655" s="531"/>
      <c r="V655" s="531"/>
      <c r="W655" s="531"/>
      <c r="X655" s="531"/>
      <c r="Y655" s="531"/>
      <c r="Z655" s="531"/>
      <c r="AA655" s="531"/>
    </row>
    <row r="656" spans="1:27" ht="15">
      <c r="A656" s="530"/>
      <c r="B656" s="527"/>
      <c r="C656" s="527"/>
      <c r="D656" s="527"/>
      <c r="E656" s="527"/>
      <c r="F656" s="527"/>
      <c r="G656" s="527"/>
      <c r="H656" s="527"/>
      <c r="I656" s="527"/>
      <c r="J656" s="528"/>
      <c r="K656" s="531"/>
      <c r="L656" s="531"/>
      <c r="M656" s="531"/>
      <c r="N656" s="531"/>
      <c r="O656" s="531"/>
      <c r="P656" s="531"/>
      <c r="Q656" s="531"/>
      <c r="R656" s="531"/>
      <c r="S656" s="531"/>
      <c r="T656" s="531"/>
      <c r="U656" s="531"/>
      <c r="V656" s="531"/>
      <c r="W656" s="531"/>
      <c r="X656" s="531"/>
      <c r="Y656" s="531"/>
      <c r="Z656" s="531"/>
      <c r="AA656" s="531"/>
    </row>
    <row r="657" spans="1:27" ht="15">
      <c r="A657" s="530"/>
      <c r="B657" s="527"/>
      <c r="C657" s="527"/>
      <c r="D657" s="527"/>
      <c r="E657" s="527"/>
      <c r="F657" s="527"/>
      <c r="G657" s="527"/>
      <c r="H657" s="527"/>
      <c r="I657" s="527"/>
      <c r="J657" s="528"/>
      <c r="K657" s="531"/>
      <c r="L657" s="531"/>
      <c r="M657" s="531"/>
      <c r="N657" s="531"/>
      <c r="O657" s="531"/>
      <c r="P657" s="531"/>
      <c r="Q657" s="531"/>
      <c r="R657" s="531"/>
      <c r="S657" s="531"/>
      <c r="T657" s="531"/>
      <c r="U657" s="531"/>
      <c r="V657" s="531"/>
      <c r="W657" s="531"/>
      <c r="X657" s="531"/>
      <c r="Y657" s="531"/>
      <c r="Z657" s="531"/>
      <c r="AA657" s="531"/>
    </row>
    <row r="658" spans="1:27" ht="15">
      <c r="A658" s="530"/>
      <c r="B658" s="527"/>
      <c r="C658" s="527"/>
      <c r="D658" s="527"/>
      <c r="E658" s="527"/>
      <c r="F658" s="527"/>
      <c r="G658" s="527"/>
      <c r="H658" s="527"/>
      <c r="I658" s="527"/>
      <c r="J658" s="528"/>
      <c r="K658" s="531"/>
      <c r="L658" s="531"/>
      <c r="M658" s="531"/>
      <c r="N658" s="531"/>
      <c r="O658" s="531"/>
      <c r="P658" s="531"/>
      <c r="Q658" s="531"/>
      <c r="R658" s="531"/>
      <c r="S658" s="531"/>
      <c r="T658" s="531"/>
      <c r="U658" s="531"/>
      <c r="V658" s="531"/>
      <c r="W658" s="531"/>
      <c r="X658" s="531"/>
      <c r="Y658" s="531"/>
      <c r="Z658" s="531"/>
      <c r="AA658" s="531"/>
    </row>
    <row r="659" spans="1:27" ht="15">
      <c r="A659" s="530"/>
      <c r="B659" s="527"/>
      <c r="C659" s="527"/>
      <c r="D659" s="527"/>
      <c r="E659" s="527"/>
      <c r="F659" s="527"/>
      <c r="G659" s="527"/>
      <c r="H659" s="527"/>
      <c r="I659" s="527"/>
      <c r="J659" s="528"/>
      <c r="K659" s="531"/>
      <c r="L659" s="531"/>
      <c r="M659" s="531"/>
      <c r="N659" s="531"/>
      <c r="O659" s="531"/>
      <c r="P659" s="531"/>
      <c r="Q659" s="531"/>
      <c r="R659" s="531"/>
      <c r="S659" s="531"/>
      <c r="T659" s="531"/>
      <c r="U659" s="531"/>
      <c r="V659" s="531"/>
      <c r="W659" s="531"/>
      <c r="X659" s="531"/>
      <c r="Y659" s="531"/>
      <c r="Z659" s="531"/>
      <c r="AA659" s="531"/>
    </row>
    <row r="660" spans="1:27" ht="15">
      <c r="A660" s="530"/>
      <c r="B660" s="527"/>
      <c r="C660" s="527"/>
      <c r="D660" s="527"/>
      <c r="E660" s="527"/>
      <c r="F660" s="527"/>
      <c r="G660" s="527"/>
      <c r="H660" s="527"/>
      <c r="I660" s="527"/>
      <c r="J660" s="528"/>
      <c r="K660" s="531"/>
      <c r="L660" s="531"/>
      <c r="M660" s="531"/>
      <c r="N660" s="531"/>
      <c r="O660" s="531"/>
      <c r="P660" s="531"/>
      <c r="Q660" s="531"/>
      <c r="R660" s="531"/>
      <c r="S660" s="531"/>
      <c r="T660" s="531"/>
      <c r="U660" s="531"/>
      <c r="V660" s="531"/>
      <c r="W660" s="531"/>
      <c r="X660" s="531"/>
      <c r="Y660" s="531"/>
      <c r="Z660" s="531"/>
      <c r="AA660" s="531"/>
    </row>
    <row r="661" spans="1:27" ht="15">
      <c r="A661" s="530"/>
      <c r="B661" s="527"/>
      <c r="C661" s="527"/>
      <c r="D661" s="527"/>
      <c r="E661" s="527"/>
      <c r="F661" s="527"/>
      <c r="G661" s="527"/>
      <c r="H661" s="527"/>
      <c r="I661" s="527"/>
      <c r="J661" s="528"/>
      <c r="K661" s="531"/>
      <c r="L661" s="531"/>
      <c r="M661" s="531"/>
      <c r="N661" s="531"/>
      <c r="O661" s="531"/>
      <c r="P661" s="531"/>
      <c r="Q661" s="531"/>
      <c r="R661" s="531"/>
      <c r="S661" s="531"/>
      <c r="T661" s="531"/>
      <c r="U661" s="531"/>
      <c r="V661" s="531"/>
      <c r="W661" s="531"/>
      <c r="X661" s="531"/>
      <c r="Y661" s="531"/>
      <c r="Z661" s="531"/>
      <c r="AA661" s="531"/>
    </row>
    <row r="662" spans="1:27" ht="15">
      <c r="A662" s="530"/>
      <c r="B662" s="527"/>
      <c r="C662" s="527"/>
      <c r="D662" s="527"/>
      <c r="E662" s="527"/>
      <c r="F662" s="527"/>
      <c r="G662" s="527"/>
      <c r="H662" s="527"/>
      <c r="I662" s="527"/>
      <c r="J662" s="528"/>
      <c r="K662" s="531"/>
      <c r="L662" s="531"/>
      <c r="M662" s="531"/>
      <c r="N662" s="531"/>
      <c r="O662" s="531"/>
      <c r="P662" s="531"/>
      <c r="Q662" s="531"/>
      <c r="R662" s="531"/>
      <c r="S662" s="531"/>
      <c r="T662" s="531"/>
      <c r="U662" s="531"/>
      <c r="V662" s="531"/>
      <c r="W662" s="531"/>
      <c r="X662" s="531"/>
      <c r="Y662" s="531"/>
      <c r="Z662" s="531"/>
      <c r="AA662" s="531"/>
    </row>
    <row r="663" spans="1:27" ht="15">
      <c r="A663" s="530"/>
      <c r="B663" s="527"/>
      <c r="C663" s="527"/>
      <c r="D663" s="527"/>
      <c r="E663" s="527"/>
      <c r="F663" s="527"/>
      <c r="G663" s="527"/>
      <c r="H663" s="527"/>
      <c r="I663" s="527"/>
      <c r="J663" s="528"/>
      <c r="K663" s="531"/>
      <c r="L663" s="531"/>
      <c r="M663" s="531"/>
      <c r="N663" s="531"/>
      <c r="O663" s="531"/>
      <c r="P663" s="531"/>
      <c r="Q663" s="531"/>
      <c r="R663" s="531"/>
      <c r="S663" s="531"/>
      <c r="T663" s="531"/>
      <c r="U663" s="531"/>
      <c r="V663" s="531"/>
      <c r="W663" s="531"/>
      <c r="X663" s="531"/>
      <c r="Y663" s="531"/>
      <c r="Z663" s="531"/>
      <c r="AA663" s="531"/>
    </row>
    <row r="664" spans="1:27" ht="15">
      <c r="A664" s="530"/>
      <c r="B664" s="527"/>
      <c r="C664" s="527"/>
      <c r="D664" s="527"/>
      <c r="E664" s="527"/>
      <c r="F664" s="527"/>
      <c r="G664" s="527"/>
      <c r="H664" s="527"/>
      <c r="I664" s="527"/>
      <c r="J664" s="528"/>
      <c r="K664" s="531"/>
      <c r="L664" s="531"/>
      <c r="M664" s="531"/>
      <c r="N664" s="531"/>
      <c r="O664" s="531"/>
      <c r="P664" s="531"/>
      <c r="Q664" s="531"/>
      <c r="R664" s="531"/>
      <c r="S664" s="531"/>
      <c r="T664" s="531"/>
      <c r="U664" s="531"/>
      <c r="V664" s="531"/>
      <c r="W664" s="531"/>
      <c r="X664" s="531"/>
      <c r="Y664" s="531"/>
      <c r="Z664" s="531"/>
      <c r="AA664" s="531"/>
    </row>
    <row r="665" spans="1:27" ht="15">
      <c r="A665" s="530"/>
      <c r="B665" s="527"/>
      <c r="C665" s="527"/>
      <c r="D665" s="527"/>
      <c r="E665" s="527"/>
      <c r="F665" s="527"/>
      <c r="G665" s="527"/>
      <c r="H665" s="527"/>
      <c r="I665" s="527"/>
      <c r="J665" s="528"/>
      <c r="K665" s="531"/>
      <c r="L665" s="531"/>
      <c r="M665" s="531"/>
      <c r="N665" s="531"/>
      <c r="O665" s="531"/>
      <c r="P665" s="531"/>
      <c r="Q665" s="531"/>
      <c r="R665" s="531"/>
      <c r="S665" s="531"/>
      <c r="T665" s="531"/>
      <c r="U665" s="531"/>
      <c r="V665" s="531"/>
      <c r="W665" s="531"/>
      <c r="X665" s="531"/>
      <c r="Y665" s="531"/>
      <c r="Z665" s="531"/>
      <c r="AA665" s="531"/>
    </row>
    <row r="666" spans="1:27" ht="15">
      <c r="A666" s="530"/>
      <c r="B666" s="527"/>
      <c r="C666" s="527"/>
      <c r="D666" s="527"/>
      <c r="E666" s="527"/>
      <c r="F666" s="527"/>
      <c r="G666" s="527"/>
      <c r="H666" s="527"/>
      <c r="I666" s="527"/>
      <c r="J666" s="528"/>
      <c r="K666" s="531"/>
      <c r="L666" s="531"/>
      <c r="M666" s="531"/>
      <c r="N666" s="531"/>
      <c r="O666" s="531"/>
      <c r="P666" s="531"/>
      <c r="Q666" s="531"/>
      <c r="R666" s="531"/>
      <c r="S666" s="531"/>
      <c r="T666" s="531"/>
      <c r="U666" s="531"/>
      <c r="V666" s="531"/>
      <c r="W666" s="531"/>
      <c r="X666" s="531"/>
      <c r="Y666" s="531"/>
      <c r="Z666" s="531"/>
      <c r="AA666" s="531"/>
    </row>
    <row r="667" spans="1:27" ht="15">
      <c r="A667" s="530"/>
      <c r="B667" s="527"/>
      <c r="C667" s="527"/>
      <c r="D667" s="527"/>
      <c r="E667" s="527"/>
      <c r="F667" s="527"/>
      <c r="G667" s="527"/>
      <c r="H667" s="527"/>
      <c r="I667" s="527"/>
      <c r="J667" s="528"/>
      <c r="K667" s="531"/>
      <c r="L667" s="531"/>
      <c r="M667" s="531"/>
      <c r="N667" s="531"/>
      <c r="O667" s="531"/>
      <c r="P667" s="531"/>
      <c r="Q667" s="531"/>
      <c r="R667" s="531"/>
      <c r="S667" s="531"/>
      <c r="T667" s="531"/>
      <c r="U667" s="531"/>
      <c r="V667" s="531"/>
      <c r="W667" s="531"/>
      <c r="X667" s="531"/>
      <c r="Y667" s="531"/>
      <c r="Z667" s="531"/>
      <c r="AA667" s="531"/>
    </row>
    <row r="668" spans="1:27" ht="15">
      <c r="A668" s="530"/>
      <c r="B668" s="527"/>
      <c r="C668" s="527"/>
      <c r="D668" s="527"/>
      <c r="E668" s="527"/>
      <c r="F668" s="527"/>
      <c r="G668" s="527"/>
      <c r="H668" s="527"/>
      <c r="I668" s="527"/>
      <c r="J668" s="528"/>
      <c r="K668" s="531"/>
      <c r="L668" s="531"/>
      <c r="M668" s="531"/>
      <c r="N668" s="531"/>
      <c r="O668" s="531"/>
      <c r="P668" s="531"/>
      <c r="Q668" s="531"/>
      <c r="R668" s="531"/>
      <c r="S668" s="531"/>
      <c r="T668" s="531"/>
      <c r="U668" s="531"/>
      <c r="V668" s="531"/>
      <c r="W668" s="531"/>
      <c r="X668" s="531"/>
      <c r="Y668" s="531"/>
      <c r="Z668" s="531"/>
      <c r="AA668" s="531"/>
    </row>
    <row r="669" spans="1:27" ht="15">
      <c r="A669" s="530"/>
      <c r="B669" s="527"/>
      <c r="C669" s="527"/>
      <c r="D669" s="527"/>
      <c r="E669" s="527"/>
      <c r="F669" s="527"/>
      <c r="G669" s="527"/>
      <c r="H669" s="527"/>
      <c r="I669" s="527"/>
      <c r="J669" s="528"/>
      <c r="K669" s="531"/>
      <c r="L669" s="531"/>
      <c r="M669" s="531"/>
      <c r="N669" s="531"/>
      <c r="O669" s="531"/>
      <c r="P669" s="531"/>
      <c r="Q669" s="531"/>
      <c r="R669" s="531"/>
      <c r="S669" s="531"/>
      <c r="T669" s="531"/>
      <c r="U669" s="531"/>
      <c r="V669" s="531"/>
      <c r="W669" s="531"/>
      <c r="X669" s="531"/>
      <c r="Y669" s="531"/>
      <c r="Z669" s="531"/>
      <c r="AA669" s="531"/>
    </row>
    <row r="670" spans="1:27" ht="15">
      <c r="A670" s="530"/>
      <c r="B670" s="527"/>
      <c r="C670" s="527"/>
      <c r="D670" s="527"/>
      <c r="E670" s="527"/>
      <c r="F670" s="527"/>
      <c r="G670" s="527"/>
      <c r="H670" s="527"/>
      <c r="I670" s="527"/>
      <c r="J670" s="528"/>
      <c r="K670" s="531"/>
      <c r="L670" s="531"/>
      <c r="M670" s="531"/>
      <c r="N670" s="531"/>
      <c r="O670" s="531"/>
      <c r="P670" s="531"/>
      <c r="Q670" s="531"/>
      <c r="R670" s="531"/>
      <c r="S670" s="531"/>
      <c r="T670" s="531"/>
      <c r="U670" s="531"/>
      <c r="V670" s="531"/>
      <c r="W670" s="531"/>
      <c r="X670" s="531"/>
      <c r="Y670" s="531"/>
      <c r="Z670" s="531"/>
      <c r="AA670" s="531"/>
    </row>
    <row r="671" spans="1:27" ht="15">
      <c r="A671" s="530"/>
      <c r="B671" s="527"/>
      <c r="C671" s="527"/>
      <c r="D671" s="527"/>
      <c r="E671" s="527"/>
      <c r="F671" s="527"/>
      <c r="G671" s="527"/>
      <c r="H671" s="527"/>
      <c r="I671" s="527"/>
      <c r="J671" s="528"/>
      <c r="K671" s="531"/>
      <c r="L671" s="531"/>
      <c r="M671" s="531"/>
      <c r="N671" s="531"/>
      <c r="O671" s="531"/>
      <c r="P671" s="531"/>
      <c r="Q671" s="531"/>
      <c r="R671" s="531"/>
      <c r="S671" s="531"/>
      <c r="T671" s="531"/>
      <c r="U671" s="531"/>
      <c r="V671" s="531"/>
      <c r="W671" s="531"/>
      <c r="X671" s="531"/>
      <c r="Y671" s="531"/>
      <c r="Z671" s="531"/>
      <c r="AA671" s="531"/>
    </row>
    <row r="672" spans="1:27" ht="15">
      <c r="A672" s="530"/>
      <c r="B672" s="527"/>
      <c r="C672" s="527"/>
      <c r="D672" s="527"/>
      <c r="E672" s="527"/>
      <c r="F672" s="527"/>
      <c r="G672" s="527"/>
      <c r="H672" s="527"/>
      <c r="I672" s="527"/>
      <c r="J672" s="528"/>
      <c r="K672" s="531"/>
      <c r="L672" s="531"/>
      <c r="M672" s="531"/>
      <c r="N672" s="531"/>
      <c r="O672" s="531"/>
      <c r="P672" s="531"/>
      <c r="Q672" s="531"/>
      <c r="R672" s="531"/>
      <c r="S672" s="531"/>
      <c r="T672" s="531"/>
      <c r="U672" s="531"/>
      <c r="V672" s="531"/>
      <c r="W672" s="531"/>
      <c r="X672" s="531"/>
      <c r="Y672" s="531"/>
      <c r="Z672" s="531"/>
      <c r="AA672" s="531"/>
    </row>
    <row r="673" spans="1:27" ht="15">
      <c r="A673" s="530"/>
      <c r="B673" s="527"/>
      <c r="C673" s="527"/>
      <c r="D673" s="527"/>
      <c r="E673" s="527"/>
      <c r="F673" s="527"/>
      <c r="G673" s="527"/>
      <c r="H673" s="527"/>
      <c r="I673" s="527"/>
      <c r="J673" s="528"/>
      <c r="K673" s="531"/>
      <c r="L673" s="531"/>
      <c r="M673" s="531"/>
      <c r="N673" s="531"/>
      <c r="O673" s="531"/>
      <c r="P673" s="531"/>
      <c r="Q673" s="531"/>
      <c r="R673" s="531"/>
      <c r="S673" s="531"/>
      <c r="T673" s="531"/>
      <c r="U673" s="531"/>
      <c r="V673" s="531"/>
      <c r="W673" s="531"/>
      <c r="X673" s="531"/>
      <c r="Y673" s="531"/>
      <c r="Z673" s="531"/>
      <c r="AA673" s="531"/>
    </row>
    <row r="674" spans="1:27" ht="15">
      <c r="A674" s="530"/>
      <c r="B674" s="527"/>
      <c r="C674" s="527"/>
      <c r="D674" s="527"/>
      <c r="E674" s="527"/>
      <c r="F674" s="527"/>
      <c r="G674" s="527"/>
      <c r="H674" s="527"/>
      <c r="I674" s="527"/>
      <c r="J674" s="528"/>
      <c r="K674" s="531"/>
      <c r="L674" s="531"/>
      <c r="M674" s="531"/>
      <c r="N674" s="531"/>
      <c r="O674" s="531"/>
      <c r="P674" s="531"/>
      <c r="Q674" s="531"/>
      <c r="R674" s="531"/>
      <c r="S674" s="531"/>
      <c r="T674" s="531"/>
      <c r="U674" s="531"/>
      <c r="V674" s="531"/>
      <c r="W674" s="531"/>
      <c r="X674" s="531"/>
      <c r="Y674" s="531"/>
      <c r="Z674" s="531"/>
      <c r="AA674" s="531"/>
    </row>
    <row r="675" spans="1:27" ht="15">
      <c r="A675" s="530"/>
      <c r="B675" s="527"/>
      <c r="C675" s="527"/>
      <c r="D675" s="527"/>
      <c r="E675" s="527"/>
      <c r="F675" s="527"/>
      <c r="G675" s="527"/>
      <c r="H675" s="527"/>
      <c r="I675" s="527"/>
      <c r="J675" s="528"/>
      <c r="K675" s="531"/>
      <c r="L675" s="531"/>
      <c r="M675" s="531"/>
      <c r="N675" s="531"/>
      <c r="O675" s="531"/>
      <c r="P675" s="531"/>
      <c r="Q675" s="531"/>
      <c r="R675" s="531"/>
      <c r="S675" s="531"/>
      <c r="T675" s="531"/>
      <c r="U675" s="531"/>
      <c r="V675" s="531"/>
      <c r="W675" s="531"/>
      <c r="X675" s="531"/>
      <c r="Y675" s="531"/>
      <c r="Z675" s="531"/>
      <c r="AA675" s="531"/>
    </row>
    <row r="676" spans="1:27" ht="15">
      <c r="A676" s="530"/>
      <c r="B676" s="527"/>
      <c r="C676" s="527"/>
      <c r="D676" s="527"/>
      <c r="E676" s="527"/>
      <c r="F676" s="527"/>
      <c r="G676" s="527"/>
      <c r="H676" s="527"/>
      <c r="I676" s="527"/>
      <c r="J676" s="528"/>
      <c r="K676" s="531"/>
      <c r="L676" s="531"/>
      <c r="M676" s="531"/>
      <c r="N676" s="531"/>
      <c r="O676" s="531"/>
      <c r="P676" s="531"/>
      <c r="Q676" s="531"/>
      <c r="R676" s="531"/>
      <c r="S676" s="531"/>
      <c r="T676" s="531"/>
      <c r="U676" s="531"/>
      <c r="V676" s="531"/>
      <c r="W676" s="531"/>
      <c r="X676" s="531"/>
      <c r="Y676" s="531"/>
      <c r="Z676" s="531"/>
      <c r="AA676" s="531"/>
    </row>
    <row r="677" spans="1:27" ht="15">
      <c r="A677" s="530"/>
      <c r="B677" s="527"/>
      <c r="C677" s="527"/>
      <c r="D677" s="527"/>
      <c r="E677" s="527"/>
      <c r="F677" s="527"/>
      <c r="G677" s="527"/>
      <c r="H677" s="527"/>
      <c r="I677" s="527"/>
      <c r="J677" s="528"/>
      <c r="K677" s="531"/>
      <c r="L677" s="531"/>
      <c r="M677" s="531"/>
      <c r="N677" s="531"/>
      <c r="O677" s="531"/>
      <c r="P677" s="531"/>
      <c r="Q677" s="531"/>
      <c r="R677" s="531"/>
      <c r="S677" s="531"/>
      <c r="T677" s="531"/>
      <c r="U677" s="531"/>
      <c r="V677" s="531"/>
      <c r="W677" s="531"/>
      <c r="X677" s="531"/>
      <c r="Y677" s="531"/>
      <c r="Z677" s="531"/>
      <c r="AA677" s="531"/>
    </row>
    <row r="678" spans="1:27" ht="15">
      <c r="A678" s="530"/>
      <c r="B678" s="527"/>
      <c r="C678" s="527"/>
      <c r="D678" s="527"/>
      <c r="E678" s="527"/>
      <c r="F678" s="527"/>
      <c r="G678" s="527"/>
      <c r="H678" s="527"/>
      <c r="I678" s="527"/>
      <c r="J678" s="528"/>
      <c r="K678" s="531"/>
      <c r="L678" s="531"/>
      <c r="M678" s="531"/>
      <c r="N678" s="531"/>
      <c r="O678" s="531"/>
      <c r="P678" s="531"/>
      <c r="Q678" s="531"/>
      <c r="R678" s="531"/>
      <c r="S678" s="531"/>
      <c r="T678" s="531"/>
      <c r="U678" s="531"/>
      <c r="V678" s="531"/>
      <c r="W678" s="531"/>
      <c r="X678" s="531"/>
      <c r="Y678" s="531"/>
      <c r="Z678" s="531"/>
      <c r="AA678" s="531"/>
    </row>
    <row r="679" spans="1:27" ht="15">
      <c r="A679" s="530"/>
      <c r="B679" s="527"/>
      <c r="C679" s="527"/>
      <c r="D679" s="527"/>
      <c r="E679" s="527"/>
      <c r="F679" s="527"/>
      <c r="G679" s="527"/>
      <c r="H679" s="527"/>
      <c r="I679" s="527"/>
      <c r="J679" s="528"/>
      <c r="K679" s="531"/>
      <c r="L679" s="531"/>
      <c r="M679" s="531"/>
      <c r="N679" s="531"/>
      <c r="O679" s="531"/>
      <c r="P679" s="531"/>
      <c r="Q679" s="531"/>
      <c r="R679" s="531"/>
      <c r="S679" s="531"/>
      <c r="T679" s="531"/>
      <c r="U679" s="531"/>
      <c r="V679" s="531"/>
      <c r="W679" s="531"/>
      <c r="X679" s="531"/>
      <c r="Y679" s="531"/>
      <c r="Z679" s="531"/>
      <c r="AA679" s="531"/>
    </row>
    <row r="680" spans="1:27" ht="15">
      <c r="A680" s="530"/>
      <c r="B680" s="527"/>
      <c r="C680" s="527"/>
      <c r="D680" s="527"/>
      <c r="E680" s="527"/>
      <c r="F680" s="527"/>
      <c r="G680" s="527"/>
      <c r="H680" s="527"/>
      <c r="I680" s="527"/>
      <c r="J680" s="528"/>
      <c r="K680" s="531"/>
      <c r="L680" s="531"/>
      <c r="M680" s="531"/>
      <c r="N680" s="531"/>
      <c r="O680" s="531"/>
      <c r="P680" s="531"/>
      <c r="Q680" s="531"/>
      <c r="R680" s="531"/>
      <c r="S680" s="531"/>
      <c r="T680" s="531"/>
      <c r="U680" s="531"/>
      <c r="V680" s="531"/>
      <c r="W680" s="531"/>
      <c r="X680" s="531"/>
      <c r="Y680" s="531"/>
      <c r="Z680" s="531"/>
      <c r="AA680" s="531"/>
    </row>
    <row r="681" spans="1:27" ht="15">
      <c r="A681" s="530"/>
      <c r="B681" s="527"/>
      <c r="C681" s="527"/>
      <c r="D681" s="527"/>
      <c r="E681" s="527"/>
      <c r="F681" s="527"/>
      <c r="G681" s="527"/>
      <c r="H681" s="527"/>
      <c r="I681" s="527"/>
      <c r="J681" s="528"/>
      <c r="K681" s="531"/>
      <c r="L681" s="531"/>
      <c r="M681" s="531"/>
      <c r="N681" s="531"/>
      <c r="O681" s="531"/>
      <c r="P681" s="531"/>
      <c r="Q681" s="531"/>
      <c r="R681" s="531"/>
      <c r="S681" s="531"/>
      <c r="T681" s="531"/>
      <c r="U681" s="531"/>
      <c r="V681" s="531"/>
      <c r="W681" s="531"/>
      <c r="X681" s="531"/>
      <c r="Y681" s="531"/>
      <c r="Z681" s="531"/>
      <c r="AA681" s="531"/>
    </row>
    <row r="682" spans="1:27" ht="15">
      <c r="A682" s="530"/>
      <c r="B682" s="527"/>
      <c r="C682" s="527"/>
      <c r="D682" s="527"/>
      <c r="E682" s="527"/>
      <c r="F682" s="527"/>
      <c r="G682" s="527"/>
      <c r="H682" s="527"/>
      <c r="I682" s="527"/>
      <c r="J682" s="528"/>
      <c r="K682" s="531"/>
      <c r="L682" s="531"/>
      <c r="M682" s="531"/>
      <c r="N682" s="531"/>
      <c r="O682" s="531"/>
      <c r="P682" s="531"/>
      <c r="Q682" s="531"/>
      <c r="R682" s="531"/>
      <c r="S682" s="531"/>
      <c r="T682" s="531"/>
      <c r="U682" s="531"/>
      <c r="V682" s="531"/>
      <c r="W682" s="531"/>
      <c r="X682" s="531"/>
      <c r="Y682" s="531"/>
      <c r="Z682" s="531"/>
      <c r="AA682" s="531"/>
    </row>
    <row r="683" spans="1:27" ht="15">
      <c r="A683" s="530"/>
      <c r="B683" s="527"/>
      <c r="C683" s="527"/>
      <c r="D683" s="527"/>
      <c r="E683" s="527"/>
      <c r="F683" s="527"/>
      <c r="G683" s="527"/>
      <c r="H683" s="527"/>
      <c r="I683" s="527"/>
      <c r="J683" s="528"/>
      <c r="K683" s="531"/>
      <c r="L683" s="531"/>
      <c r="M683" s="531"/>
      <c r="N683" s="531"/>
      <c r="O683" s="531"/>
      <c r="P683" s="531"/>
      <c r="Q683" s="531"/>
      <c r="R683" s="531"/>
      <c r="S683" s="531"/>
      <c r="T683" s="531"/>
      <c r="U683" s="531"/>
      <c r="V683" s="531"/>
      <c r="W683" s="531"/>
      <c r="X683" s="531"/>
      <c r="Y683" s="531"/>
      <c r="Z683" s="531"/>
      <c r="AA683" s="531"/>
    </row>
    <row r="684" spans="1:27" ht="15">
      <c r="A684" s="530"/>
      <c r="B684" s="527"/>
      <c r="C684" s="527"/>
      <c r="D684" s="527"/>
      <c r="E684" s="527"/>
      <c r="F684" s="527"/>
      <c r="G684" s="527"/>
      <c r="H684" s="527"/>
      <c r="I684" s="527"/>
      <c r="J684" s="528"/>
      <c r="K684" s="531"/>
      <c r="L684" s="531"/>
      <c r="M684" s="531"/>
      <c r="N684" s="531"/>
      <c r="O684" s="531"/>
      <c r="P684" s="531"/>
      <c r="Q684" s="531"/>
      <c r="R684" s="531"/>
      <c r="S684" s="531"/>
      <c r="T684" s="531"/>
      <c r="U684" s="531"/>
      <c r="V684" s="531"/>
      <c r="W684" s="531"/>
      <c r="X684" s="531"/>
      <c r="Y684" s="531"/>
      <c r="Z684" s="531"/>
      <c r="AA684" s="531"/>
    </row>
    <row r="685" spans="1:27" ht="15">
      <c r="A685" s="530"/>
      <c r="B685" s="527"/>
      <c r="C685" s="527"/>
      <c r="D685" s="527"/>
      <c r="E685" s="527"/>
      <c r="F685" s="527"/>
      <c r="G685" s="527"/>
      <c r="H685" s="527"/>
      <c r="I685" s="527"/>
      <c r="J685" s="528"/>
      <c r="K685" s="531"/>
      <c r="L685" s="531"/>
      <c r="M685" s="531"/>
      <c r="N685" s="531"/>
      <c r="O685" s="531"/>
      <c r="P685" s="531"/>
      <c r="Q685" s="531"/>
      <c r="R685" s="531"/>
      <c r="S685" s="531"/>
      <c r="T685" s="531"/>
      <c r="U685" s="531"/>
      <c r="V685" s="531"/>
      <c r="W685" s="531"/>
      <c r="X685" s="531"/>
      <c r="Y685" s="531"/>
      <c r="Z685" s="531"/>
      <c r="AA685" s="531"/>
    </row>
    <row r="686" spans="1:27" ht="15">
      <c r="A686" s="530"/>
      <c r="B686" s="527"/>
      <c r="C686" s="527"/>
      <c r="D686" s="527"/>
      <c r="E686" s="527"/>
      <c r="F686" s="527"/>
      <c r="G686" s="527"/>
      <c r="H686" s="527"/>
      <c r="I686" s="527"/>
      <c r="J686" s="528"/>
      <c r="K686" s="531"/>
      <c r="L686" s="531"/>
      <c r="M686" s="531"/>
      <c r="N686" s="531"/>
      <c r="O686" s="531"/>
      <c r="P686" s="531"/>
      <c r="Q686" s="531"/>
      <c r="R686" s="531"/>
      <c r="S686" s="531"/>
      <c r="T686" s="531"/>
      <c r="U686" s="531"/>
      <c r="V686" s="531"/>
      <c r="W686" s="531"/>
      <c r="X686" s="531"/>
      <c r="Y686" s="531"/>
      <c r="Z686" s="531"/>
      <c r="AA686" s="531"/>
    </row>
    <row r="687" spans="1:27" ht="15">
      <c r="A687" s="530"/>
      <c r="B687" s="527"/>
      <c r="C687" s="527"/>
      <c r="D687" s="527"/>
      <c r="E687" s="527"/>
      <c r="F687" s="527"/>
      <c r="G687" s="527"/>
      <c r="H687" s="527"/>
      <c r="I687" s="527"/>
      <c r="J687" s="528"/>
      <c r="K687" s="531"/>
      <c r="L687" s="531"/>
      <c r="M687" s="531"/>
      <c r="N687" s="531"/>
      <c r="O687" s="531"/>
      <c r="P687" s="531"/>
      <c r="Q687" s="531"/>
      <c r="R687" s="531"/>
      <c r="S687" s="531"/>
      <c r="T687" s="531"/>
      <c r="U687" s="531"/>
      <c r="V687" s="531"/>
      <c r="W687" s="531"/>
      <c r="X687" s="531"/>
      <c r="Y687" s="531"/>
      <c r="Z687" s="531"/>
      <c r="AA687" s="531"/>
    </row>
    <row r="688" spans="1:27" ht="15">
      <c r="A688" s="530"/>
      <c r="B688" s="527"/>
      <c r="C688" s="527"/>
      <c r="D688" s="527"/>
      <c r="E688" s="527"/>
      <c r="F688" s="527"/>
      <c r="G688" s="527"/>
      <c r="H688" s="527"/>
      <c r="I688" s="527"/>
      <c r="J688" s="528"/>
      <c r="K688" s="531"/>
      <c r="L688" s="531"/>
      <c r="M688" s="531"/>
      <c r="N688" s="531"/>
      <c r="O688" s="531"/>
      <c r="P688" s="531"/>
      <c r="Q688" s="531"/>
      <c r="R688" s="531"/>
      <c r="S688" s="531"/>
      <c r="T688" s="531"/>
      <c r="U688" s="531"/>
      <c r="V688" s="531"/>
      <c r="W688" s="531"/>
      <c r="X688" s="531"/>
      <c r="Y688" s="531"/>
      <c r="Z688" s="531"/>
      <c r="AA688" s="531"/>
    </row>
    <row r="689" spans="1:27" ht="15">
      <c r="A689" s="530"/>
      <c r="B689" s="527"/>
      <c r="C689" s="527"/>
      <c r="D689" s="527"/>
      <c r="E689" s="527"/>
      <c r="F689" s="527"/>
      <c r="G689" s="527"/>
      <c r="H689" s="527"/>
      <c r="I689" s="527"/>
      <c r="J689" s="528"/>
      <c r="K689" s="531"/>
      <c r="L689" s="531"/>
      <c r="M689" s="531"/>
      <c r="N689" s="531"/>
      <c r="O689" s="531"/>
      <c r="P689" s="531"/>
      <c r="Q689" s="531"/>
      <c r="R689" s="531"/>
      <c r="S689" s="531"/>
      <c r="T689" s="531"/>
      <c r="U689" s="531"/>
      <c r="V689" s="531"/>
      <c r="W689" s="531"/>
      <c r="X689" s="531"/>
      <c r="Y689" s="531"/>
      <c r="Z689" s="531"/>
      <c r="AA689" s="531"/>
    </row>
    <row r="690" spans="1:27" ht="15">
      <c r="A690" s="530"/>
      <c r="B690" s="527"/>
      <c r="C690" s="527"/>
      <c r="D690" s="527"/>
      <c r="E690" s="527"/>
      <c r="F690" s="527"/>
      <c r="G690" s="527"/>
      <c r="H690" s="527"/>
      <c r="I690" s="527"/>
      <c r="J690" s="528"/>
      <c r="K690" s="531"/>
      <c r="L690" s="531"/>
      <c r="M690" s="531"/>
      <c r="N690" s="531"/>
      <c r="O690" s="531"/>
      <c r="P690" s="531"/>
      <c r="Q690" s="531"/>
      <c r="R690" s="531"/>
      <c r="S690" s="531"/>
      <c r="T690" s="531"/>
      <c r="U690" s="531"/>
      <c r="V690" s="531"/>
      <c r="W690" s="531"/>
      <c r="X690" s="531"/>
      <c r="Y690" s="531"/>
      <c r="Z690" s="531"/>
      <c r="AA690" s="531"/>
    </row>
    <row r="691" spans="1:27" ht="15">
      <c r="A691" s="530"/>
      <c r="B691" s="527"/>
      <c r="C691" s="527"/>
      <c r="D691" s="527"/>
      <c r="E691" s="527"/>
      <c r="F691" s="527"/>
      <c r="G691" s="527"/>
      <c r="H691" s="527"/>
      <c r="I691" s="527"/>
      <c r="J691" s="528"/>
      <c r="K691" s="531"/>
      <c r="L691" s="531"/>
      <c r="M691" s="531"/>
      <c r="N691" s="531"/>
      <c r="O691" s="531"/>
      <c r="P691" s="531"/>
      <c r="Q691" s="531"/>
      <c r="R691" s="531"/>
      <c r="S691" s="531"/>
      <c r="T691" s="531"/>
      <c r="U691" s="531"/>
      <c r="V691" s="531"/>
      <c r="W691" s="531"/>
      <c r="X691" s="531"/>
      <c r="Y691" s="531"/>
      <c r="Z691" s="531"/>
      <c r="AA691" s="531"/>
    </row>
    <row r="692" spans="1:27" ht="15">
      <c r="A692" s="530"/>
      <c r="B692" s="527"/>
      <c r="C692" s="527"/>
      <c r="D692" s="527"/>
      <c r="E692" s="527"/>
      <c r="F692" s="527"/>
      <c r="G692" s="527"/>
      <c r="H692" s="527"/>
      <c r="I692" s="527"/>
      <c r="J692" s="528"/>
      <c r="K692" s="531"/>
      <c r="L692" s="531"/>
      <c r="M692" s="531"/>
      <c r="N692" s="531"/>
      <c r="O692" s="531"/>
      <c r="P692" s="531"/>
      <c r="Q692" s="531"/>
      <c r="R692" s="531"/>
      <c r="S692" s="531"/>
      <c r="T692" s="531"/>
      <c r="U692" s="531"/>
      <c r="V692" s="531"/>
      <c r="W692" s="531"/>
      <c r="X692" s="531"/>
      <c r="Y692" s="531"/>
      <c r="Z692" s="531"/>
      <c r="AA692" s="531"/>
    </row>
    <row r="693" spans="1:27" ht="15">
      <c r="A693" s="530"/>
      <c r="B693" s="527"/>
      <c r="C693" s="527"/>
      <c r="D693" s="527"/>
      <c r="E693" s="527"/>
      <c r="F693" s="527"/>
      <c r="G693" s="527"/>
      <c r="H693" s="527"/>
      <c r="I693" s="527"/>
      <c r="J693" s="528"/>
      <c r="K693" s="531"/>
      <c r="L693" s="531"/>
      <c r="M693" s="531"/>
      <c r="N693" s="531"/>
      <c r="O693" s="531"/>
      <c r="P693" s="531"/>
      <c r="Q693" s="531"/>
      <c r="R693" s="531"/>
      <c r="S693" s="531"/>
      <c r="T693" s="531"/>
      <c r="U693" s="531"/>
      <c r="V693" s="531"/>
      <c r="W693" s="531"/>
      <c r="X693" s="531"/>
      <c r="Y693" s="531"/>
      <c r="Z693" s="531"/>
      <c r="AA693" s="531"/>
    </row>
    <row r="694" spans="1:27" ht="15">
      <c r="A694" s="530"/>
      <c r="B694" s="527"/>
      <c r="C694" s="527"/>
      <c r="D694" s="527"/>
      <c r="E694" s="527"/>
      <c r="F694" s="527"/>
      <c r="G694" s="527"/>
      <c r="H694" s="527"/>
      <c r="I694" s="527"/>
      <c r="J694" s="528"/>
      <c r="K694" s="531"/>
      <c r="L694" s="531"/>
      <c r="M694" s="531"/>
      <c r="N694" s="531"/>
      <c r="O694" s="531"/>
      <c r="P694" s="531"/>
      <c r="Q694" s="531"/>
      <c r="R694" s="531"/>
      <c r="S694" s="531"/>
      <c r="T694" s="531"/>
      <c r="U694" s="531"/>
      <c r="V694" s="531"/>
      <c r="W694" s="531"/>
      <c r="X694" s="531"/>
      <c r="Y694" s="531"/>
      <c r="Z694" s="531"/>
      <c r="AA694" s="531"/>
    </row>
    <row r="695" spans="1:27" ht="15">
      <c r="A695" s="530"/>
      <c r="B695" s="527"/>
      <c r="C695" s="527"/>
      <c r="D695" s="527"/>
      <c r="E695" s="527"/>
      <c r="F695" s="527"/>
      <c r="G695" s="527"/>
      <c r="H695" s="527"/>
      <c r="I695" s="527"/>
      <c r="J695" s="528"/>
      <c r="K695" s="531"/>
      <c r="L695" s="531"/>
      <c r="M695" s="531"/>
      <c r="N695" s="531"/>
      <c r="O695" s="531"/>
      <c r="P695" s="531"/>
      <c r="Q695" s="531"/>
      <c r="R695" s="531"/>
      <c r="S695" s="531"/>
      <c r="T695" s="531"/>
      <c r="U695" s="531"/>
      <c r="V695" s="531"/>
      <c r="W695" s="531"/>
      <c r="X695" s="531"/>
      <c r="Y695" s="531"/>
      <c r="Z695" s="531"/>
      <c r="AA695" s="531"/>
    </row>
    <row r="696" spans="1:27" ht="15">
      <c r="A696" s="530"/>
      <c r="B696" s="527"/>
      <c r="C696" s="527"/>
      <c r="D696" s="527"/>
      <c r="E696" s="527"/>
      <c r="F696" s="527"/>
      <c r="G696" s="527"/>
      <c r="H696" s="527"/>
      <c r="I696" s="527"/>
      <c r="J696" s="528"/>
      <c r="K696" s="531"/>
      <c r="L696" s="531"/>
      <c r="M696" s="531"/>
      <c r="N696" s="531"/>
      <c r="O696" s="531"/>
      <c r="P696" s="531"/>
      <c r="Q696" s="531"/>
      <c r="R696" s="531"/>
      <c r="S696" s="531"/>
      <c r="T696" s="531"/>
      <c r="U696" s="531"/>
      <c r="V696" s="531"/>
      <c r="W696" s="531"/>
      <c r="X696" s="531"/>
      <c r="Y696" s="531"/>
      <c r="Z696" s="531"/>
      <c r="AA696" s="531"/>
    </row>
    <row r="697" spans="1:27" ht="15">
      <c r="A697" s="530"/>
      <c r="B697" s="527"/>
      <c r="C697" s="527"/>
      <c r="D697" s="527"/>
      <c r="E697" s="527"/>
      <c r="F697" s="527"/>
      <c r="G697" s="527"/>
      <c r="H697" s="527"/>
      <c r="I697" s="527"/>
      <c r="J697" s="528"/>
      <c r="K697" s="531"/>
      <c r="L697" s="531"/>
      <c r="M697" s="531"/>
      <c r="N697" s="531"/>
      <c r="O697" s="531"/>
      <c r="P697" s="531"/>
      <c r="Q697" s="531"/>
      <c r="R697" s="531"/>
      <c r="S697" s="531"/>
      <c r="T697" s="531"/>
      <c r="U697" s="531"/>
      <c r="V697" s="531"/>
      <c r="W697" s="531"/>
      <c r="X697" s="531"/>
      <c r="Y697" s="531"/>
      <c r="Z697" s="531"/>
      <c r="AA697" s="531"/>
    </row>
    <row r="698" spans="1:27" ht="15">
      <c r="A698" s="530"/>
      <c r="B698" s="527"/>
      <c r="C698" s="527"/>
      <c r="D698" s="527"/>
      <c r="E698" s="527"/>
      <c r="F698" s="527"/>
      <c r="G698" s="527"/>
      <c r="H698" s="527"/>
      <c r="I698" s="527"/>
      <c r="J698" s="528"/>
      <c r="K698" s="531"/>
      <c r="L698" s="531"/>
      <c r="M698" s="531"/>
      <c r="N698" s="531"/>
      <c r="O698" s="531"/>
      <c r="P698" s="531"/>
      <c r="Q698" s="531"/>
      <c r="R698" s="531"/>
      <c r="S698" s="531"/>
      <c r="T698" s="531"/>
      <c r="U698" s="531"/>
      <c r="V698" s="531"/>
      <c r="W698" s="531"/>
      <c r="X698" s="531"/>
      <c r="Y698" s="531"/>
      <c r="Z698" s="531"/>
      <c r="AA698" s="531"/>
    </row>
    <row r="699" spans="1:27" ht="15">
      <c r="A699" s="530"/>
      <c r="B699" s="527"/>
      <c r="C699" s="527"/>
      <c r="D699" s="527"/>
      <c r="E699" s="527"/>
      <c r="F699" s="527"/>
      <c r="G699" s="527"/>
      <c r="H699" s="527"/>
      <c r="I699" s="527"/>
      <c r="J699" s="528"/>
      <c r="K699" s="531"/>
      <c r="L699" s="531"/>
      <c r="M699" s="531"/>
      <c r="N699" s="531"/>
      <c r="O699" s="531"/>
      <c r="P699" s="531"/>
      <c r="Q699" s="531"/>
      <c r="R699" s="531"/>
      <c r="S699" s="531"/>
      <c r="T699" s="531"/>
      <c r="U699" s="531"/>
      <c r="V699" s="531"/>
      <c r="W699" s="531"/>
      <c r="X699" s="531"/>
      <c r="Y699" s="531"/>
      <c r="Z699" s="531"/>
      <c r="AA699" s="531"/>
    </row>
    <row r="700" spans="1:27" ht="15">
      <c r="A700" s="530"/>
      <c r="B700" s="527"/>
      <c r="C700" s="527"/>
      <c r="D700" s="527"/>
      <c r="E700" s="527"/>
      <c r="F700" s="527"/>
      <c r="G700" s="527"/>
      <c r="H700" s="527"/>
      <c r="I700" s="527"/>
      <c r="J700" s="528"/>
      <c r="K700" s="531"/>
      <c r="L700" s="531"/>
      <c r="M700" s="531"/>
      <c r="N700" s="531"/>
      <c r="O700" s="531"/>
      <c r="P700" s="531"/>
      <c r="Q700" s="531"/>
      <c r="R700" s="531"/>
      <c r="S700" s="531"/>
      <c r="T700" s="531"/>
      <c r="U700" s="531"/>
      <c r="V700" s="531"/>
      <c r="W700" s="531"/>
      <c r="X700" s="531"/>
      <c r="Y700" s="531"/>
      <c r="Z700" s="531"/>
      <c r="AA700" s="531"/>
    </row>
    <row r="701" spans="1:27" ht="15">
      <c r="A701" s="530"/>
      <c r="B701" s="527"/>
      <c r="C701" s="527"/>
      <c r="D701" s="527"/>
      <c r="E701" s="527"/>
      <c r="F701" s="527"/>
      <c r="G701" s="527"/>
      <c r="H701" s="527"/>
      <c r="I701" s="527"/>
      <c r="J701" s="528"/>
      <c r="K701" s="531"/>
      <c r="L701" s="531"/>
      <c r="M701" s="531"/>
      <c r="N701" s="531"/>
      <c r="O701" s="531"/>
      <c r="P701" s="531"/>
      <c r="Q701" s="531"/>
      <c r="R701" s="531"/>
      <c r="S701" s="531"/>
      <c r="T701" s="531"/>
      <c r="U701" s="531"/>
      <c r="V701" s="531"/>
      <c r="W701" s="531"/>
      <c r="X701" s="531"/>
      <c r="Y701" s="531"/>
      <c r="Z701" s="531"/>
      <c r="AA701" s="531"/>
    </row>
    <row r="702" spans="1:27" ht="15">
      <c r="A702" s="530"/>
      <c r="B702" s="527"/>
      <c r="C702" s="527"/>
      <c r="D702" s="527"/>
      <c r="E702" s="527"/>
      <c r="F702" s="527"/>
      <c r="G702" s="527"/>
      <c r="H702" s="527"/>
      <c r="I702" s="527"/>
      <c r="J702" s="528"/>
      <c r="K702" s="531"/>
      <c r="L702" s="531"/>
      <c r="M702" s="531"/>
      <c r="N702" s="531"/>
      <c r="O702" s="531"/>
      <c r="P702" s="531"/>
      <c r="Q702" s="531"/>
      <c r="R702" s="531"/>
      <c r="S702" s="531"/>
      <c r="T702" s="531"/>
      <c r="U702" s="531"/>
      <c r="V702" s="531"/>
      <c r="W702" s="531"/>
      <c r="X702" s="531"/>
      <c r="Y702" s="531"/>
      <c r="Z702" s="531"/>
      <c r="AA702" s="531"/>
    </row>
    <row r="703" spans="1:27" ht="15">
      <c r="A703" s="530"/>
      <c r="B703" s="527"/>
      <c r="C703" s="527"/>
      <c r="D703" s="527"/>
      <c r="E703" s="527"/>
      <c r="F703" s="527"/>
      <c r="G703" s="527"/>
      <c r="H703" s="527"/>
      <c r="I703" s="527"/>
      <c r="J703" s="528"/>
      <c r="K703" s="531"/>
      <c r="L703" s="531"/>
      <c r="M703" s="531"/>
      <c r="N703" s="531"/>
      <c r="O703" s="531"/>
      <c r="P703" s="531"/>
      <c r="Q703" s="531"/>
      <c r="R703" s="531"/>
      <c r="S703" s="531"/>
      <c r="T703" s="531"/>
      <c r="U703" s="531"/>
      <c r="V703" s="531"/>
      <c r="W703" s="531"/>
      <c r="X703" s="531"/>
      <c r="Y703" s="531"/>
      <c r="Z703" s="531"/>
      <c r="AA703" s="531"/>
    </row>
    <row r="704" spans="1:27" ht="15">
      <c r="A704" s="530"/>
      <c r="B704" s="527"/>
      <c r="C704" s="527"/>
      <c r="D704" s="527"/>
      <c r="E704" s="527"/>
      <c r="F704" s="527"/>
      <c r="G704" s="527"/>
      <c r="H704" s="527"/>
      <c r="I704" s="527"/>
      <c r="J704" s="528"/>
      <c r="K704" s="531"/>
      <c r="L704" s="531"/>
      <c r="M704" s="531"/>
      <c r="N704" s="531"/>
      <c r="O704" s="531"/>
      <c r="P704" s="531"/>
      <c r="Q704" s="531"/>
      <c r="R704" s="531"/>
      <c r="S704" s="531"/>
      <c r="T704" s="531"/>
      <c r="U704" s="531"/>
      <c r="V704" s="531"/>
      <c r="W704" s="531"/>
      <c r="X704" s="531"/>
      <c r="Y704" s="531"/>
      <c r="Z704" s="531"/>
      <c r="AA704" s="531"/>
    </row>
    <row r="705" spans="1:27" ht="15">
      <c r="A705" s="530"/>
      <c r="B705" s="527"/>
      <c r="C705" s="527"/>
      <c r="D705" s="527"/>
      <c r="E705" s="527"/>
      <c r="F705" s="527"/>
      <c r="G705" s="527"/>
      <c r="H705" s="527"/>
      <c r="I705" s="527"/>
      <c r="J705" s="528"/>
      <c r="K705" s="531"/>
      <c r="L705" s="531"/>
      <c r="M705" s="531"/>
      <c r="N705" s="531"/>
      <c r="O705" s="531"/>
      <c r="P705" s="531"/>
      <c r="Q705" s="531"/>
      <c r="R705" s="531"/>
      <c r="S705" s="531"/>
      <c r="T705" s="531"/>
      <c r="U705" s="531"/>
      <c r="V705" s="531"/>
      <c r="W705" s="531"/>
      <c r="X705" s="531"/>
      <c r="Y705" s="531"/>
      <c r="Z705" s="531"/>
      <c r="AA705" s="531"/>
    </row>
    <row r="706" spans="1:27" ht="15">
      <c r="A706" s="530"/>
      <c r="B706" s="527"/>
      <c r="C706" s="527"/>
      <c r="D706" s="527"/>
      <c r="E706" s="527"/>
      <c r="F706" s="527"/>
      <c r="G706" s="527"/>
      <c r="H706" s="527"/>
      <c r="I706" s="527"/>
      <c r="J706" s="528"/>
      <c r="K706" s="531"/>
      <c r="L706" s="531"/>
      <c r="M706" s="531"/>
      <c r="N706" s="531"/>
      <c r="O706" s="531"/>
      <c r="P706" s="531"/>
      <c r="Q706" s="531"/>
      <c r="R706" s="531"/>
      <c r="S706" s="531"/>
      <c r="T706" s="531"/>
      <c r="U706" s="531"/>
      <c r="V706" s="531"/>
      <c r="W706" s="531"/>
      <c r="X706" s="531"/>
      <c r="Y706" s="531"/>
      <c r="Z706" s="531"/>
      <c r="AA706" s="531"/>
    </row>
    <row r="707" spans="1:27" ht="15">
      <c r="A707" s="530"/>
      <c r="B707" s="527"/>
      <c r="C707" s="527"/>
      <c r="D707" s="527"/>
      <c r="E707" s="527"/>
      <c r="F707" s="527"/>
      <c r="G707" s="527"/>
      <c r="H707" s="527"/>
      <c r="I707" s="527"/>
      <c r="J707" s="528"/>
      <c r="K707" s="531"/>
      <c r="L707" s="531"/>
      <c r="M707" s="531"/>
      <c r="N707" s="531"/>
      <c r="O707" s="531"/>
      <c r="P707" s="531"/>
      <c r="Q707" s="531"/>
      <c r="R707" s="531"/>
      <c r="S707" s="531"/>
      <c r="T707" s="531"/>
      <c r="U707" s="531"/>
      <c r="V707" s="531"/>
      <c r="W707" s="531"/>
      <c r="X707" s="531"/>
      <c r="Y707" s="531"/>
      <c r="Z707" s="531"/>
      <c r="AA707" s="531"/>
    </row>
    <row r="708" spans="1:27" ht="15">
      <c r="A708" s="530"/>
      <c r="B708" s="527"/>
      <c r="C708" s="527"/>
      <c r="D708" s="527"/>
      <c r="E708" s="527"/>
      <c r="F708" s="527"/>
      <c r="G708" s="527"/>
      <c r="H708" s="527"/>
      <c r="I708" s="527"/>
      <c r="J708" s="528"/>
      <c r="K708" s="531"/>
      <c r="L708" s="531"/>
      <c r="M708" s="531"/>
      <c r="N708" s="531"/>
      <c r="O708" s="531"/>
      <c r="P708" s="531"/>
      <c r="Q708" s="531"/>
      <c r="R708" s="531"/>
      <c r="S708" s="531"/>
      <c r="T708" s="531"/>
      <c r="U708" s="531"/>
      <c r="V708" s="531"/>
      <c r="W708" s="531"/>
      <c r="X708" s="531"/>
      <c r="Y708" s="531"/>
      <c r="Z708" s="531"/>
      <c r="AA708" s="531"/>
    </row>
    <row r="709" spans="1:27" ht="15">
      <c r="A709" s="530"/>
      <c r="B709" s="527"/>
      <c r="C709" s="527"/>
      <c r="D709" s="527"/>
      <c r="E709" s="527"/>
      <c r="F709" s="527"/>
      <c r="G709" s="527"/>
      <c r="H709" s="527"/>
      <c r="I709" s="527"/>
      <c r="J709" s="528"/>
      <c r="K709" s="531"/>
      <c r="L709" s="531"/>
      <c r="M709" s="531"/>
      <c r="N709" s="531"/>
      <c r="O709" s="531"/>
      <c r="P709" s="531"/>
      <c r="Q709" s="531"/>
      <c r="R709" s="531"/>
      <c r="S709" s="531"/>
      <c r="T709" s="531"/>
      <c r="U709" s="531"/>
      <c r="V709" s="531"/>
      <c r="W709" s="531"/>
      <c r="X709" s="531"/>
      <c r="Y709" s="531"/>
      <c r="Z709" s="531"/>
      <c r="AA709" s="531"/>
    </row>
    <row r="710" spans="1:27" ht="15">
      <c r="A710" s="530"/>
      <c r="B710" s="527"/>
      <c r="C710" s="527"/>
      <c r="D710" s="527"/>
      <c r="E710" s="527"/>
      <c r="F710" s="527"/>
      <c r="G710" s="527"/>
      <c r="H710" s="527"/>
      <c r="I710" s="527"/>
      <c r="J710" s="528"/>
      <c r="K710" s="531"/>
      <c r="L710" s="531"/>
      <c r="M710" s="531"/>
      <c r="N710" s="531"/>
      <c r="O710" s="531"/>
      <c r="P710" s="531"/>
      <c r="Q710" s="531"/>
      <c r="R710" s="531"/>
      <c r="S710" s="531"/>
      <c r="T710" s="531"/>
      <c r="U710" s="531"/>
      <c r="V710" s="531"/>
      <c r="W710" s="531"/>
      <c r="X710" s="531"/>
      <c r="Y710" s="531"/>
      <c r="Z710" s="531"/>
      <c r="AA710" s="531"/>
    </row>
    <row r="711" spans="1:27" ht="15">
      <c r="A711" s="530"/>
      <c r="B711" s="527"/>
      <c r="C711" s="527"/>
      <c r="D711" s="527"/>
      <c r="E711" s="527"/>
      <c r="F711" s="527"/>
      <c r="G711" s="527"/>
      <c r="H711" s="527"/>
      <c r="I711" s="527"/>
      <c r="J711" s="528"/>
      <c r="K711" s="531"/>
      <c r="L711" s="531"/>
      <c r="M711" s="531"/>
      <c r="N711" s="531"/>
      <c r="O711" s="531"/>
      <c r="P711" s="531"/>
      <c r="Q711" s="531"/>
      <c r="R711" s="531"/>
      <c r="S711" s="531"/>
      <c r="T711" s="531"/>
      <c r="U711" s="531"/>
      <c r="V711" s="531"/>
      <c r="W711" s="531"/>
      <c r="X711" s="531"/>
      <c r="Y711" s="531"/>
      <c r="Z711" s="531"/>
      <c r="AA711" s="531"/>
    </row>
    <row r="712" spans="1:27" ht="15">
      <c r="A712" s="530"/>
      <c r="B712" s="527"/>
      <c r="C712" s="527"/>
      <c r="D712" s="527"/>
      <c r="E712" s="527"/>
      <c r="F712" s="527"/>
      <c r="G712" s="527"/>
      <c r="H712" s="527"/>
      <c r="I712" s="527"/>
      <c r="J712" s="528"/>
      <c r="K712" s="531"/>
      <c r="L712" s="531"/>
      <c r="M712" s="531"/>
      <c r="N712" s="531"/>
      <c r="O712" s="531"/>
      <c r="P712" s="531"/>
      <c r="Q712" s="531"/>
      <c r="R712" s="531"/>
      <c r="S712" s="531"/>
      <c r="T712" s="531"/>
      <c r="U712" s="531"/>
      <c r="V712" s="531"/>
      <c r="W712" s="531"/>
      <c r="X712" s="531"/>
      <c r="Y712" s="531"/>
      <c r="Z712" s="531"/>
      <c r="AA712" s="531"/>
    </row>
    <row r="713" spans="1:27" ht="15">
      <c r="A713" s="530"/>
      <c r="B713" s="527"/>
      <c r="C713" s="527"/>
      <c r="D713" s="527"/>
      <c r="E713" s="527"/>
      <c r="F713" s="527"/>
      <c r="G713" s="527"/>
      <c r="H713" s="527"/>
      <c r="I713" s="527"/>
      <c r="J713" s="528"/>
      <c r="K713" s="531"/>
      <c r="L713" s="531"/>
      <c r="M713" s="531"/>
      <c r="N713" s="531"/>
      <c r="O713" s="531"/>
      <c r="P713" s="531"/>
      <c r="Q713" s="531"/>
      <c r="R713" s="531"/>
      <c r="S713" s="531"/>
      <c r="T713" s="531"/>
      <c r="U713" s="531"/>
      <c r="V713" s="531"/>
      <c r="W713" s="531"/>
      <c r="X713" s="531"/>
      <c r="Y713" s="531"/>
      <c r="Z713" s="531"/>
      <c r="AA713" s="531"/>
    </row>
    <row r="714" spans="1:27" ht="15">
      <c r="A714" s="530"/>
      <c r="B714" s="527"/>
      <c r="C714" s="527"/>
      <c r="D714" s="527"/>
      <c r="E714" s="527"/>
      <c r="F714" s="527"/>
      <c r="G714" s="527"/>
      <c r="H714" s="527"/>
      <c r="I714" s="527"/>
      <c r="J714" s="528"/>
      <c r="K714" s="531"/>
      <c r="L714" s="531"/>
      <c r="M714" s="531"/>
      <c r="N714" s="531"/>
      <c r="O714" s="531"/>
      <c r="P714" s="531"/>
      <c r="Q714" s="531"/>
      <c r="R714" s="531"/>
      <c r="S714" s="531"/>
      <c r="T714" s="531"/>
      <c r="U714" s="531"/>
      <c r="V714" s="531"/>
      <c r="W714" s="531"/>
      <c r="X714" s="531"/>
      <c r="Y714" s="531"/>
      <c r="Z714" s="531"/>
      <c r="AA714" s="531"/>
    </row>
    <row r="715" spans="1:27" ht="15">
      <c r="A715" s="530"/>
      <c r="B715" s="527"/>
      <c r="C715" s="527"/>
      <c r="D715" s="527"/>
      <c r="E715" s="527"/>
      <c r="F715" s="527"/>
      <c r="G715" s="527"/>
      <c r="H715" s="527"/>
      <c r="I715" s="527"/>
      <c r="J715" s="528"/>
      <c r="K715" s="531"/>
      <c r="L715" s="531"/>
      <c r="M715" s="531"/>
      <c r="N715" s="531"/>
      <c r="O715" s="531"/>
      <c r="P715" s="531"/>
      <c r="Q715" s="531"/>
      <c r="R715" s="531"/>
      <c r="S715" s="531"/>
      <c r="T715" s="531"/>
      <c r="U715" s="531"/>
      <c r="V715" s="531"/>
      <c r="W715" s="531"/>
      <c r="X715" s="531"/>
      <c r="Y715" s="531"/>
      <c r="Z715" s="531"/>
      <c r="AA715" s="531"/>
    </row>
    <row r="716" spans="1:27" ht="15">
      <c r="A716" s="530"/>
      <c r="B716" s="527"/>
      <c r="C716" s="527"/>
      <c r="D716" s="527"/>
      <c r="E716" s="527"/>
      <c r="F716" s="527"/>
      <c r="G716" s="527"/>
      <c r="H716" s="527"/>
      <c r="I716" s="527"/>
      <c r="J716" s="528"/>
      <c r="K716" s="531"/>
      <c r="L716" s="531"/>
      <c r="M716" s="531"/>
      <c r="N716" s="531"/>
      <c r="O716" s="531"/>
      <c r="P716" s="531"/>
      <c r="Q716" s="531"/>
      <c r="R716" s="531"/>
      <c r="S716" s="531"/>
      <c r="T716" s="531"/>
      <c r="U716" s="531"/>
      <c r="V716" s="531"/>
      <c r="W716" s="531"/>
      <c r="X716" s="531"/>
      <c r="Y716" s="531"/>
      <c r="Z716" s="531"/>
      <c r="AA716" s="531"/>
    </row>
    <row r="717" spans="1:27" ht="15">
      <c r="A717" s="530"/>
      <c r="B717" s="527"/>
      <c r="C717" s="527"/>
      <c r="D717" s="527"/>
      <c r="E717" s="527"/>
      <c r="F717" s="527"/>
      <c r="G717" s="527"/>
      <c r="H717" s="527"/>
      <c r="I717" s="527"/>
      <c r="J717" s="528"/>
      <c r="K717" s="531"/>
      <c r="L717" s="531"/>
      <c r="M717" s="531"/>
      <c r="N717" s="531"/>
      <c r="O717" s="531"/>
      <c r="P717" s="531"/>
      <c r="Q717" s="531"/>
      <c r="R717" s="531"/>
      <c r="S717" s="531"/>
      <c r="T717" s="531"/>
      <c r="U717" s="531"/>
      <c r="V717" s="531"/>
      <c r="W717" s="531"/>
      <c r="X717" s="531"/>
      <c r="Y717" s="531"/>
      <c r="Z717" s="531"/>
      <c r="AA717" s="531"/>
    </row>
    <row r="718" spans="1:27" ht="15">
      <c r="A718" s="530"/>
      <c r="B718" s="527"/>
      <c r="C718" s="527"/>
      <c r="D718" s="527"/>
      <c r="E718" s="527"/>
      <c r="F718" s="527"/>
      <c r="G718" s="527"/>
      <c r="H718" s="527"/>
      <c r="I718" s="527"/>
      <c r="J718" s="528"/>
      <c r="K718" s="531"/>
      <c r="L718" s="531"/>
      <c r="M718" s="531"/>
      <c r="N718" s="531"/>
      <c r="O718" s="531"/>
      <c r="P718" s="531"/>
      <c r="Q718" s="531"/>
      <c r="R718" s="531"/>
      <c r="S718" s="531"/>
      <c r="T718" s="531"/>
      <c r="U718" s="531"/>
      <c r="V718" s="531"/>
      <c r="W718" s="531"/>
      <c r="X718" s="531"/>
      <c r="Y718" s="531"/>
      <c r="Z718" s="531"/>
      <c r="AA718" s="531"/>
    </row>
    <row r="719" spans="1:27" ht="15">
      <c r="A719" s="530"/>
      <c r="B719" s="527"/>
      <c r="C719" s="527"/>
      <c r="D719" s="527"/>
      <c r="E719" s="527"/>
      <c r="F719" s="527"/>
      <c r="G719" s="527"/>
      <c r="H719" s="527"/>
      <c r="I719" s="527"/>
      <c r="J719" s="528"/>
      <c r="K719" s="531"/>
      <c r="L719" s="531"/>
      <c r="M719" s="531"/>
      <c r="N719" s="531"/>
      <c r="O719" s="531"/>
      <c r="P719" s="531"/>
      <c r="Q719" s="531"/>
      <c r="R719" s="531"/>
      <c r="S719" s="531"/>
      <c r="T719" s="531"/>
      <c r="U719" s="531"/>
      <c r="V719" s="531"/>
      <c r="W719" s="531"/>
      <c r="X719" s="531"/>
      <c r="Y719" s="531"/>
      <c r="Z719" s="531"/>
      <c r="AA719" s="531"/>
    </row>
    <row r="720" spans="1:27" ht="15">
      <c r="A720" s="530"/>
      <c r="B720" s="527"/>
      <c r="C720" s="527"/>
      <c r="D720" s="527"/>
      <c r="E720" s="527"/>
      <c r="F720" s="527"/>
      <c r="G720" s="527"/>
      <c r="H720" s="527"/>
      <c r="I720" s="527"/>
      <c r="J720" s="528"/>
      <c r="K720" s="531"/>
      <c r="L720" s="531"/>
      <c r="M720" s="531"/>
      <c r="N720" s="531"/>
      <c r="O720" s="531"/>
      <c r="P720" s="531"/>
      <c r="Q720" s="531"/>
      <c r="R720" s="531"/>
      <c r="S720" s="531"/>
      <c r="T720" s="531"/>
      <c r="U720" s="531"/>
      <c r="V720" s="531"/>
      <c r="W720" s="531"/>
      <c r="X720" s="531"/>
      <c r="Y720" s="531"/>
      <c r="Z720" s="531"/>
      <c r="AA720" s="531"/>
    </row>
    <row r="721" spans="1:27" ht="15">
      <c r="A721" s="530"/>
      <c r="B721" s="527"/>
      <c r="C721" s="527"/>
      <c r="D721" s="527"/>
      <c r="E721" s="527"/>
      <c r="F721" s="527"/>
      <c r="G721" s="527"/>
      <c r="H721" s="527"/>
      <c r="I721" s="527"/>
      <c r="J721" s="528"/>
      <c r="K721" s="531"/>
      <c r="L721" s="531"/>
      <c r="M721" s="531"/>
      <c r="N721" s="531"/>
      <c r="O721" s="531"/>
      <c r="P721" s="531"/>
      <c r="Q721" s="531"/>
      <c r="R721" s="531"/>
      <c r="S721" s="531"/>
      <c r="T721" s="531"/>
      <c r="U721" s="531"/>
      <c r="V721" s="531"/>
      <c r="W721" s="531"/>
      <c r="X721" s="531"/>
      <c r="Y721" s="531"/>
      <c r="Z721" s="531"/>
      <c r="AA721" s="531"/>
    </row>
    <row r="722" spans="1:27" ht="15">
      <c r="A722" s="530"/>
      <c r="B722" s="527"/>
      <c r="C722" s="527"/>
      <c r="D722" s="527"/>
      <c r="E722" s="527"/>
      <c r="F722" s="527"/>
      <c r="G722" s="527"/>
      <c r="H722" s="527"/>
      <c r="I722" s="527"/>
      <c r="J722" s="528"/>
      <c r="K722" s="531"/>
      <c r="L722" s="531"/>
      <c r="M722" s="531"/>
      <c r="N722" s="531"/>
      <c r="O722" s="531"/>
      <c r="P722" s="531"/>
      <c r="Q722" s="531"/>
      <c r="R722" s="531"/>
      <c r="S722" s="531"/>
      <c r="T722" s="531"/>
      <c r="U722" s="531"/>
      <c r="V722" s="531"/>
      <c r="W722" s="531"/>
      <c r="X722" s="531"/>
      <c r="Y722" s="531"/>
      <c r="Z722" s="531"/>
      <c r="AA722" s="531"/>
    </row>
    <row r="723" spans="1:27" ht="15">
      <c r="A723" s="530"/>
      <c r="B723" s="527"/>
      <c r="C723" s="527"/>
      <c r="D723" s="527"/>
      <c r="E723" s="527"/>
      <c r="F723" s="527"/>
      <c r="G723" s="527"/>
      <c r="H723" s="527"/>
      <c r="I723" s="527"/>
      <c r="J723" s="528"/>
      <c r="K723" s="531"/>
      <c r="L723" s="531"/>
      <c r="M723" s="531"/>
      <c r="N723" s="531"/>
      <c r="O723" s="531"/>
      <c r="P723" s="531"/>
      <c r="Q723" s="531"/>
      <c r="R723" s="531"/>
      <c r="S723" s="531"/>
      <c r="T723" s="531"/>
      <c r="U723" s="531"/>
      <c r="V723" s="531"/>
      <c r="W723" s="531"/>
      <c r="X723" s="531"/>
      <c r="Y723" s="531"/>
      <c r="Z723" s="531"/>
      <c r="AA723" s="531"/>
    </row>
    <row r="724" spans="1:27" ht="15">
      <c r="A724" s="530"/>
      <c r="B724" s="527"/>
      <c r="C724" s="527"/>
      <c r="D724" s="527"/>
      <c r="E724" s="527"/>
      <c r="F724" s="527"/>
      <c r="G724" s="527"/>
      <c r="H724" s="527"/>
      <c r="I724" s="527"/>
      <c r="J724" s="528"/>
      <c r="K724" s="531"/>
      <c r="L724" s="531"/>
      <c r="M724" s="531"/>
      <c r="N724" s="531"/>
      <c r="O724" s="531"/>
      <c r="P724" s="531"/>
      <c r="Q724" s="531"/>
      <c r="R724" s="531"/>
      <c r="S724" s="531"/>
      <c r="T724" s="531"/>
      <c r="U724" s="531"/>
      <c r="V724" s="531"/>
      <c r="W724" s="531"/>
      <c r="X724" s="531"/>
      <c r="Y724" s="531"/>
      <c r="Z724" s="531"/>
      <c r="AA724" s="531"/>
    </row>
    <row r="725" spans="1:27" ht="15">
      <c r="A725" s="530"/>
      <c r="B725" s="527"/>
      <c r="C725" s="527"/>
      <c r="D725" s="527"/>
      <c r="E725" s="527"/>
      <c r="F725" s="527"/>
      <c r="G725" s="527"/>
      <c r="H725" s="527"/>
      <c r="I725" s="527"/>
      <c r="J725" s="528"/>
      <c r="K725" s="531"/>
      <c r="L725" s="531"/>
      <c r="M725" s="531"/>
      <c r="N725" s="531"/>
      <c r="O725" s="531"/>
      <c r="P725" s="531"/>
      <c r="Q725" s="531"/>
      <c r="R725" s="531"/>
      <c r="S725" s="531"/>
      <c r="T725" s="531"/>
      <c r="U725" s="531"/>
      <c r="V725" s="531"/>
      <c r="W725" s="531"/>
      <c r="X725" s="531"/>
      <c r="Y725" s="531"/>
      <c r="Z725" s="531"/>
      <c r="AA725" s="531"/>
    </row>
    <row r="726" spans="1:27" ht="15">
      <c r="A726" s="530"/>
      <c r="B726" s="527"/>
      <c r="C726" s="527"/>
      <c r="D726" s="527"/>
      <c r="E726" s="527"/>
      <c r="F726" s="527"/>
      <c r="G726" s="527"/>
      <c r="H726" s="527"/>
      <c r="I726" s="527"/>
      <c r="J726" s="528"/>
      <c r="K726" s="531"/>
      <c r="L726" s="531"/>
      <c r="M726" s="531"/>
      <c r="N726" s="531"/>
      <c r="O726" s="531"/>
      <c r="P726" s="531"/>
      <c r="Q726" s="531"/>
      <c r="R726" s="531"/>
      <c r="S726" s="531"/>
      <c r="T726" s="531"/>
      <c r="U726" s="531"/>
      <c r="V726" s="531"/>
      <c r="W726" s="531"/>
      <c r="X726" s="531"/>
      <c r="Y726" s="531"/>
      <c r="Z726" s="531"/>
      <c r="AA726" s="531"/>
    </row>
    <row r="727" spans="1:27" ht="15">
      <c r="A727" s="530"/>
      <c r="B727" s="527"/>
      <c r="C727" s="527"/>
      <c r="D727" s="527"/>
      <c r="E727" s="527"/>
      <c r="F727" s="527"/>
      <c r="G727" s="527"/>
      <c r="H727" s="527"/>
      <c r="I727" s="527"/>
      <c r="J727" s="528"/>
      <c r="K727" s="531"/>
      <c r="L727" s="531"/>
      <c r="M727" s="531"/>
      <c r="N727" s="531"/>
      <c r="O727" s="531"/>
      <c r="P727" s="531"/>
      <c r="Q727" s="531"/>
      <c r="R727" s="531"/>
      <c r="S727" s="531"/>
      <c r="T727" s="531"/>
      <c r="U727" s="531"/>
      <c r="V727" s="531"/>
      <c r="W727" s="531"/>
      <c r="X727" s="531"/>
      <c r="Y727" s="531"/>
      <c r="Z727" s="531"/>
      <c r="AA727" s="531"/>
    </row>
    <row r="728" spans="1:27" ht="15">
      <c r="A728" s="530"/>
      <c r="B728" s="527"/>
      <c r="C728" s="527"/>
      <c r="D728" s="527"/>
      <c r="E728" s="527"/>
      <c r="F728" s="527"/>
      <c r="G728" s="527"/>
      <c r="H728" s="527"/>
      <c r="I728" s="527"/>
      <c r="J728" s="528"/>
      <c r="K728" s="531"/>
      <c r="L728" s="531"/>
      <c r="M728" s="531"/>
      <c r="N728" s="531"/>
      <c r="O728" s="531"/>
      <c r="P728" s="531"/>
      <c r="Q728" s="531"/>
      <c r="R728" s="531"/>
      <c r="S728" s="531"/>
      <c r="T728" s="531"/>
      <c r="U728" s="531"/>
      <c r="V728" s="531"/>
      <c r="W728" s="531"/>
      <c r="X728" s="531"/>
      <c r="Y728" s="531"/>
      <c r="Z728" s="531"/>
      <c r="AA728" s="531"/>
    </row>
    <row r="729" spans="1:27" ht="15">
      <c r="A729" s="530"/>
      <c r="B729" s="527"/>
      <c r="C729" s="527"/>
      <c r="D729" s="527"/>
      <c r="E729" s="527"/>
      <c r="F729" s="527"/>
      <c r="G729" s="527"/>
      <c r="H729" s="527"/>
      <c r="I729" s="527"/>
      <c r="J729" s="528"/>
      <c r="K729" s="531"/>
      <c r="L729" s="531"/>
      <c r="M729" s="531"/>
      <c r="N729" s="531"/>
      <c r="O729" s="531"/>
      <c r="P729" s="531"/>
      <c r="Q729" s="531"/>
      <c r="R729" s="531"/>
      <c r="S729" s="531"/>
      <c r="T729" s="531"/>
      <c r="U729" s="531"/>
      <c r="V729" s="531"/>
      <c r="W729" s="531"/>
      <c r="X729" s="531"/>
      <c r="Y729" s="531"/>
      <c r="Z729" s="531"/>
      <c r="AA729" s="531"/>
    </row>
    <row r="730" spans="1:27" ht="15">
      <c r="A730" s="530"/>
      <c r="B730" s="527"/>
      <c r="C730" s="527"/>
      <c r="D730" s="527"/>
      <c r="E730" s="527"/>
      <c r="F730" s="527"/>
      <c r="G730" s="527"/>
      <c r="H730" s="527"/>
      <c r="I730" s="527"/>
      <c r="J730" s="528"/>
      <c r="K730" s="531"/>
      <c r="L730" s="531"/>
      <c r="M730" s="531"/>
      <c r="N730" s="531"/>
      <c r="O730" s="531"/>
      <c r="P730" s="531"/>
      <c r="Q730" s="531"/>
      <c r="R730" s="531"/>
      <c r="S730" s="531"/>
      <c r="T730" s="531"/>
      <c r="U730" s="531"/>
      <c r="V730" s="531"/>
      <c r="W730" s="531"/>
      <c r="X730" s="531"/>
      <c r="Y730" s="531"/>
      <c r="Z730" s="531"/>
      <c r="AA730" s="531"/>
    </row>
    <row r="731" spans="1:27" ht="15">
      <c r="A731" s="530"/>
      <c r="B731" s="527"/>
      <c r="C731" s="527"/>
      <c r="D731" s="527"/>
      <c r="E731" s="527"/>
      <c r="F731" s="527"/>
      <c r="G731" s="527"/>
      <c r="H731" s="527"/>
      <c r="I731" s="527"/>
      <c r="J731" s="528"/>
      <c r="K731" s="531"/>
      <c r="L731" s="531"/>
      <c r="M731" s="531"/>
      <c r="N731" s="531"/>
      <c r="O731" s="531"/>
      <c r="P731" s="531"/>
      <c r="Q731" s="531"/>
      <c r="R731" s="531"/>
      <c r="S731" s="531"/>
      <c r="T731" s="531"/>
      <c r="U731" s="531"/>
      <c r="V731" s="531"/>
      <c r="W731" s="531"/>
      <c r="X731" s="531"/>
      <c r="Y731" s="531"/>
      <c r="Z731" s="531"/>
      <c r="AA731" s="531"/>
    </row>
    <row r="732" spans="1:27" ht="15">
      <c r="A732" s="530"/>
      <c r="B732" s="527"/>
      <c r="C732" s="527"/>
      <c r="D732" s="527"/>
      <c r="E732" s="527"/>
      <c r="F732" s="527"/>
      <c r="G732" s="527"/>
      <c r="H732" s="527"/>
      <c r="I732" s="527"/>
      <c r="J732" s="528"/>
      <c r="K732" s="531"/>
      <c r="L732" s="531"/>
      <c r="M732" s="531"/>
      <c r="N732" s="531"/>
      <c r="O732" s="531"/>
      <c r="P732" s="531"/>
      <c r="Q732" s="531"/>
      <c r="R732" s="531"/>
      <c r="S732" s="531"/>
      <c r="T732" s="531"/>
      <c r="U732" s="531"/>
      <c r="V732" s="531"/>
      <c r="W732" s="531"/>
      <c r="X732" s="531"/>
      <c r="Y732" s="531"/>
      <c r="Z732" s="531"/>
      <c r="AA732" s="531"/>
    </row>
    <row r="733" spans="1:27" ht="15">
      <c r="A733" s="530"/>
      <c r="B733" s="527"/>
      <c r="C733" s="527"/>
      <c r="D733" s="527"/>
      <c r="E733" s="527"/>
      <c r="F733" s="527"/>
      <c r="G733" s="527"/>
      <c r="H733" s="527"/>
      <c r="I733" s="527"/>
      <c r="J733" s="528"/>
      <c r="K733" s="531"/>
      <c r="L733" s="531"/>
      <c r="M733" s="531"/>
      <c r="N733" s="531"/>
      <c r="O733" s="531"/>
      <c r="P733" s="531"/>
      <c r="Q733" s="531"/>
      <c r="R733" s="531"/>
      <c r="S733" s="531"/>
      <c r="T733" s="531"/>
      <c r="U733" s="531"/>
      <c r="V733" s="531"/>
      <c r="W733" s="531"/>
      <c r="X733" s="531"/>
      <c r="Y733" s="531"/>
      <c r="Z733" s="531"/>
      <c r="AA733" s="531"/>
    </row>
    <row r="734" spans="1:27" ht="15">
      <c r="A734" s="530"/>
      <c r="B734" s="527"/>
      <c r="C734" s="527"/>
      <c r="D734" s="527"/>
      <c r="E734" s="527"/>
      <c r="F734" s="527"/>
      <c r="G734" s="527"/>
      <c r="H734" s="527"/>
      <c r="I734" s="527"/>
      <c r="J734" s="528"/>
      <c r="K734" s="531"/>
      <c r="L734" s="531"/>
      <c r="M734" s="531"/>
      <c r="N734" s="531"/>
      <c r="O734" s="531"/>
      <c r="P734" s="531"/>
      <c r="Q734" s="531"/>
      <c r="R734" s="531"/>
      <c r="S734" s="531"/>
      <c r="T734" s="531"/>
      <c r="U734" s="531"/>
      <c r="V734" s="531"/>
      <c r="W734" s="531"/>
      <c r="X734" s="531"/>
      <c r="Y734" s="531"/>
      <c r="Z734" s="531"/>
      <c r="AA734" s="531"/>
    </row>
    <row r="735" spans="1:27" ht="15">
      <c r="A735" s="530"/>
      <c r="B735" s="527"/>
      <c r="C735" s="527"/>
      <c r="D735" s="527"/>
      <c r="E735" s="527"/>
      <c r="F735" s="527"/>
      <c r="G735" s="527"/>
      <c r="H735" s="527"/>
      <c r="I735" s="527"/>
      <c r="J735" s="528"/>
      <c r="K735" s="531"/>
      <c r="L735" s="531"/>
      <c r="M735" s="531"/>
      <c r="N735" s="531"/>
      <c r="O735" s="531"/>
      <c r="P735" s="531"/>
      <c r="Q735" s="531"/>
      <c r="R735" s="531"/>
      <c r="S735" s="531"/>
      <c r="T735" s="531"/>
      <c r="U735" s="531"/>
      <c r="V735" s="531"/>
      <c r="W735" s="531"/>
      <c r="X735" s="531"/>
      <c r="Y735" s="531"/>
      <c r="Z735" s="531"/>
      <c r="AA735" s="531"/>
    </row>
    <row r="736" spans="1:27" ht="15">
      <c r="A736" s="530"/>
      <c r="B736" s="527"/>
      <c r="C736" s="527"/>
      <c r="D736" s="527"/>
      <c r="E736" s="527"/>
      <c r="F736" s="527"/>
      <c r="G736" s="527"/>
      <c r="H736" s="527"/>
      <c r="I736" s="527"/>
      <c r="J736" s="528"/>
      <c r="K736" s="531"/>
      <c r="L736" s="531"/>
      <c r="M736" s="531"/>
      <c r="N736" s="531"/>
      <c r="O736" s="531"/>
      <c r="P736" s="531"/>
      <c r="Q736" s="531"/>
      <c r="R736" s="531"/>
      <c r="S736" s="531"/>
      <c r="T736" s="531"/>
      <c r="U736" s="531"/>
      <c r="V736" s="531"/>
      <c r="W736" s="531"/>
      <c r="X736" s="531"/>
      <c r="Y736" s="531"/>
      <c r="Z736" s="531"/>
      <c r="AA736" s="531"/>
    </row>
    <row r="737" spans="1:27" ht="15">
      <c r="A737" s="530"/>
      <c r="B737" s="527"/>
      <c r="C737" s="527"/>
      <c r="D737" s="527"/>
      <c r="E737" s="527"/>
      <c r="F737" s="527"/>
      <c r="G737" s="527"/>
      <c r="H737" s="527"/>
      <c r="I737" s="527"/>
      <c r="J737" s="528"/>
      <c r="K737" s="531"/>
      <c r="L737" s="531"/>
      <c r="M737" s="531"/>
      <c r="N737" s="531"/>
      <c r="O737" s="531"/>
      <c r="P737" s="531"/>
      <c r="Q737" s="531"/>
      <c r="R737" s="531"/>
      <c r="S737" s="531"/>
      <c r="T737" s="531"/>
      <c r="U737" s="531"/>
      <c r="V737" s="531"/>
      <c r="W737" s="531"/>
      <c r="X737" s="531"/>
      <c r="Y737" s="531"/>
      <c r="Z737" s="531"/>
      <c r="AA737" s="531"/>
    </row>
    <row r="738" spans="1:27" ht="15">
      <c r="A738" s="530"/>
      <c r="B738" s="527"/>
      <c r="C738" s="527"/>
      <c r="D738" s="527"/>
      <c r="E738" s="527"/>
      <c r="F738" s="527"/>
      <c r="G738" s="527"/>
      <c r="H738" s="527"/>
      <c r="I738" s="527"/>
      <c r="J738" s="528"/>
      <c r="K738" s="531"/>
      <c r="L738" s="531"/>
      <c r="M738" s="531"/>
      <c r="N738" s="531"/>
      <c r="O738" s="531"/>
      <c r="P738" s="531"/>
      <c r="Q738" s="531"/>
      <c r="R738" s="531"/>
      <c r="S738" s="531"/>
      <c r="T738" s="531"/>
      <c r="U738" s="531"/>
      <c r="V738" s="531"/>
      <c r="W738" s="531"/>
      <c r="X738" s="531"/>
      <c r="Y738" s="531"/>
      <c r="Z738" s="531"/>
      <c r="AA738" s="531"/>
    </row>
    <row r="739" spans="1:27" ht="15">
      <c r="A739" s="530"/>
      <c r="B739" s="527"/>
      <c r="C739" s="527"/>
      <c r="D739" s="527"/>
      <c r="E739" s="527"/>
      <c r="F739" s="527"/>
      <c r="G739" s="527"/>
      <c r="H739" s="527"/>
      <c r="I739" s="527"/>
      <c r="J739" s="528"/>
      <c r="K739" s="531"/>
      <c r="L739" s="531"/>
      <c r="M739" s="531"/>
      <c r="N739" s="531"/>
      <c r="O739" s="531"/>
      <c r="P739" s="531"/>
      <c r="Q739" s="531"/>
      <c r="R739" s="531"/>
      <c r="S739" s="531"/>
      <c r="T739" s="531"/>
      <c r="U739" s="531"/>
      <c r="V739" s="531"/>
      <c r="W739" s="531"/>
      <c r="X739" s="531"/>
      <c r="Y739" s="531"/>
      <c r="Z739" s="531"/>
      <c r="AA739" s="531"/>
    </row>
    <row r="740" spans="1:27" ht="15">
      <c r="A740" s="530"/>
      <c r="B740" s="527"/>
      <c r="C740" s="527"/>
      <c r="D740" s="527"/>
      <c r="E740" s="527"/>
      <c r="F740" s="527"/>
      <c r="G740" s="527"/>
      <c r="H740" s="527"/>
      <c r="I740" s="527"/>
      <c r="J740" s="528"/>
      <c r="K740" s="531"/>
      <c r="L740" s="531"/>
      <c r="M740" s="531"/>
      <c r="N740" s="531"/>
      <c r="O740" s="531"/>
      <c r="P740" s="531"/>
      <c r="Q740" s="531"/>
      <c r="R740" s="531"/>
      <c r="S740" s="531"/>
      <c r="T740" s="531"/>
      <c r="U740" s="531"/>
      <c r="V740" s="531"/>
      <c r="W740" s="531"/>
      <c r="X740" s="531"/>
      <c r="Y740" s="531"/>
      <c r="Z740" s="531"/>
      <c r="AA740" s="531"/>
    </row>
    <row r="741" spans="1:27" ht="15">
      <c r="A741" s="530"/>
      <c r="B741" s="527"/>
      <c r="C741" s="527"/>
      <c r="D741" s="527"/>
      <c r="E741" s="527"/>
      <c r="F741" s="527"/>
      <c r="G741" s="527"/>
      <c r="H741" s="527"/>
      <c r="I741" s="527"/>
      <c r="J741" s="528"/>
      <c r="K741" s="531"/>
      <c r="L741" s="531"/>
      <c r="M741" s="531"/>
      <c r="N741" s="531"/>
      <c r="O741" s="531"/>
      <c r="P741" s="531"/>
      <c r="Q741" s="531"/>
      <c r="R741" s="531"/>
      <c r="S741" s="531"/>
      <c r="T741" s="531"/>
      <c r="U741" s="531"/>
      <c r="V741" s="531"/>
      <c r="W741" s="531"/>
      <c r="X741" s="531"/>
      <c r="Y741" s="531"/>
      <c r="Z741" s="531"/>
      <c r="AA741" s="531"/>
    </row>
    <row r="742" spans="1:27" ht="15">
      <c r="A742" s="530"/>
      <c r="B742" s="527"/>
      <c r="C742" s="527"/>
      <c r="D742" s="527"/>
      <c r="E742" s="527"/>
      <c r="F742" s="527"/>
      <c r="G742" s="527"/>
      <c r="H742" s="527"/>
      <c r="I742" s="527"/>
      <c r="J742" s="528"/>
      <c r="K742" s="531"/>
      <c r="L742" s="531"/>
      <c r="M742" s="531"/>
      <c r="N742" s="531"/>
      <c r="O742" s="531"/>
      <c r="P742" s="531"/>
      <c r="Q742" s="531"/>
      <c r="R742" s="531"/>
      <c r="S742" s="531"/>
      <c r="T742" s="531"/>
      <c r="U742" s="531"/>
      <c r="V742" s="531"/>
      <c r="W742" s="531"/>
      <c r="X742" s="531"/>
      <c r="Y742" s="531"/>
      <c r="Z742" s="531"/>
      <c r="AA742" s="531"/>
    </row>
    <row r="743" spans="1:27" ht="15">
      <c r="A743" s="530"/>
      <c r="B743" s="527"/>
      <c r="C743" s="527"/>
      <c r="D743" s="527"/>
      <c r="E743" s="527"/>
      <c r="F743" s="527"/>
      <c r="G743" s="527"/>
      <c r="H743" s="527"/>
      <c r="I743" s="527"/>
      <c r="J743" s="528"/>
      <c r="K743" s="531"/>
      <c r="L743" s="531"/>
      <c r="M743" s="531"/>
      <c r="N743" s="531"/>
      <c r="O743" s="531"/>
      <c r="P743" s="531"/>
      <c r="Q743" s="531"/>
      <c r="R743" s="531"/>
      <c r="S743" s="531"/>
      <c r="T743" s="531"/>
      <c r="U743" s="531"/>
      <c r="V743" s="531"/>
      <c r="W743" s="531"/>
      <c r="X743" s="531"/>
      <c r="Y743" s="531"/>
      <c r="Z743" s="531"/>
      <c r="AA743" s="531"/>
    </row>
    <row r="744" spans="1:27" ht="15">
      <c r="A744" s="530"/>
      <c r="B744" s="527"/>
      <c r="C744" s="527"/>
      <c r="D744" s="527"/>
      <c r="E744" s="527"/>
      <c r="F744" s="527"/>
      <c r="G744" s="527"/>
      <c r="H744" s="527"/>
      <c r="I744" s="527"/>
      <c r="J744" s="528"/>
      <c r="K744" s="531"/>
      <c r="L744" s="531"/>
      <c r="M744" s="531"/>
      <c r="N744" s="531"/>
      <c r="O744" s="531"/>
      <c r="P744" s="531"/>
      <c r="Q744" s="531"/>
      <c r="R744" s="531"/>
      <c r="S744" s="531"/>
      <c r="T744" s="531"/>
      <c r="U744" s="531"/>
      <c r="V744" s="531"/>
      <c r="W744" s="531"/>
      <c r="X744" s="531"/>
      <c r="Y744" s="531"/>
      <c r="Z744" s="531"/>
      <c r="AA744" s="531"/>
    </row>
    <row r="745" spans="1:27" ht="15">
      <c r="A745" s="530"/>
      <c r="B745" s="527"/>
      <c r="C745" s="527"/>
      <c r="D745" s="527"/>
      <c r="E745" s="527"/>
      <c r="F745" s="527"/>
      <c r="G745" s="527"/>
      <c r="H745" s="527"/>
      <c r="I745" s="527"/>
      <c r="J745" s="528"/>
      <c r="K745" s="531"/>
      <c r="L745" s="531"/>
      <c r="M745" s="531"/>
      <c r="N745" s="531"/>
      <c r="O745" s="531"/>
      <c r="P745" s="531"/>
      <c r="Q745" s="531"/>
      <c r="R745" s="531"/>
      <c r="S745" s="531"/>
      <c r="T745" s="531"/>
      <c r="U745" s="531"/>
      <c r="V745" s="531"/>
      <c r="W745" s="531"/>
      <c r="X745" s="531"/>
      <c r="Y745" s="531"/>
      <c r="Z745" s="531"/>
      <c r="AA745" s="531"/>
    </row>
    <row r="746" spans="1:27" ht="15">
      <c r="A746" s="530"/>
      <c r="B746" s="527"/>
      <c r="C746" s="527"/>
      <c r="D746" s="527"/>
      <c r="E746" s="527"/>
      <c r="F746" s="527"/>
      <c r="G746" s="527"/>
      <c r="H746" s="527"/>
      <c r="I746" s="527"/>
      <c r="J746" s="528"/>
      <c r="K746" s="531"/>
      <c r="L746" s="531"/>
      <c r="M746" s="531"/>
      <c r="N746" s="531"/>
      <c r="O746" s="531"/>
      <c r="P746" s="531"/>
      <c r="Q746" s="531"/>
      <c r="R746" s="531"/>
      <c r="S746" s="531"/>
      <c r="T746" s="531"/>
      <c r="U746" s="531"/>
      <c r="V746" s="531"/>
      <c r="W746" s="531"/>
      <c r="X746" s="531"/>
      <c r="Y746" s="531"/>
      <c r="Z746" s="531"/>
      <c r="AA746" s="531"/>
    </row>
    <row r="747" spans="1:27" ht="15">
      <c r="A747" s="530"/>
      <c r="B747" s="527"/>
      <c r="C747" s="527"/>
      <c r="D747" s="527"/>
      <c r="E747" s="527"/>
      <c r="F747" s="527"/>
      <c r="G747" s="527"/>
      <c r="H747" s="527"/>
      <c r="I747" s="527"/>
      <c r="J747" s="528"/>
      <c r="K747" s="531"/>
      <c r="L747" s="531"/>
      <c r="M747" s="531"/>
      <c r="N747" s="531"/>
      <c r="O747" s="531"/>
      <c r="P747" s="531"/>
      <c r="Q747" s="531"/>
      <c r="R747" s="531"/>
      <c r="S747" s="531"/>
      <c r="T747" s="531"/>
      <c r="U747" s="531"/>
      <c r="V747" s="531"/>
      <c r="W747" s="531"/>
      <c r="X747" s="531"/>
      <c r="Y747" s="531"/>
      <c r="Z747" s="531"/>
      <c r="AA747" s="531"/>
    </row>
    <row r="748" spans="1:27" ht="15">
      <c r="A748" s="530"/>
      <c r="B748" s="527"/>
      <c r="C748" s="527"/>
      <c r="D748" s="527"/>
      <c r="E748" s="527"/>
      <c r="F748" s="527"/>
      <c r="G748" s="527"/>
      <c r="H748" s="527"/>
      <c r="I748" s="527"/>
      <c r="J748" s="528"/>
      <c r="K748" s="531"/>
      <c r="L748" s="531"/>
      <c r="M748" s="531"/>
      <c r="N748" s="531"/>
      <c r="O748" s="531"/>
      <c r="P748" s="531"/>
      <c r="Q748" s="531"/>
      <c r="R748" s="531"/>
      <c r="S748" s="531"/>
      <c r="T748" s="531"/>
      <c r="U748" s="531"/>
      <c r="V748" s="531"/>
      <c r="W748" s="531"/>
      <c r="X748" s="531"/>
      <c r="Y748" s="531"/>
      <c r="Z748" s="531"/>
      <c r="AA748" s="531"/>
    </row>
    <row r="749" spans="1:27" ht="15">
      <c r="A749" s="530"/>
      <c r="B749" s="527"/>
      <c r="C749" s="527"/>
      <c r="D749" s="527"/>
      <c r="E749" s="527"/>
      <c r="F749" s="527"/>
      <c r="G749" s="527"/>
      <c r="H749" s="527"/>
      <c r="I749" s="527"/>
      <c r="J749" s="528"/>
      <c r="K749" s="531"/>
      <c r="L749" s="531"/>
      <c r="M749" s="531"/>
      <c r="N749" s="531"/>
      <c r="O749" s="531"/>
      <c r="P749" s="531"/>
      <c r="Q749" s="531"/>
      <c r="R749" s="531"/>
      <c r="S749" s="531"/>
      <c r="T749" s="531"/>
      <c r="U749" s="531"/>
      <c r="V749" s="531"/>
      <c r="W749" s="531"/>
      <c r="X749" s="531"/>
      <c r="Y749" s="531"/>
      <c r="Z749" s="531"/>
      <c r="AA749" s="531"/>
    </row>
    <row r="750" spans="1:27" ht="15">
      <c r="A750" s="530"/>
      <c r="B750" s="527"/>
      <c r="C750" s="527"/>
      <c r="D750" s="527"/>
      <c r="E750" s="527"/>
      <c r="F750" s="527"/>
      <c r="G750" s="527"/>
      <c r="H750" s="527"/>
      <c r="I750" s="527"/>
      <c r="J750" s="528"/>
      <c r="K750" s="531"/>
      <c r="L750" s="531"/>
      <c r="M750" s="531"/>
      <c r="N750" s="531"/>
      <c r="O750" s="531"/>
      <c r="P750" s="531"/>
      <c r="Q750" s="531"/>
      <c r="R750" s="531"/>
      <c r="S750" s="531"/>
      <c r="T750" s="531"/>
      <c r="U750" s="531"/>
      <c r="V750" s="531"/>
      <c r="W750" s="531"/>
      <c r="X750" s="531"/>
      <c r="Y750" s="531"/>
      <c r="Z750" s="531"/>
      <c r="AA750" s="531"/>
    </row>
    <row r="751" spans="1:27" ht="15">
      <c r="A751" s="530"/>
      <c r="B751" s="527"/>
      <c r="C751" s="527"/>
      <c r="D751" s="527"/>
      <c r="E751" s="527"/>
      <c r="F751" s="527"/>
      <c r="G751" s="527"/>
      <c r="H751" s="527"/>
      <c r="I751" s="527"/>
      <c r="J751" s="528"/>
      <c r="K751" s="531"/>
      <c r="L751" s="531"/>
      <c r="M751" s="531"/>
      <c r="N751" s="531"/>
      <c r="O751" s="531"/>
      <c r="P751" s="531"/>
      <c r="Q751" s="531"/>
      <c r="R751" s="531"/>
      <c r="S751" s="531"/>
      <c r="T751" s="531"/>
      <c r="U751" s="531"/>
      <c r="V751" s="531"/>
      <c r="W751" s="531"/>
      <c r="X751" s="531"/>
      <c r="Y751" s="531"/>
      <c r="Z751" s="531"/>
      <c r="AA751" s="531"/>
    </row>
    <row r="752" spans="1:27" ht="15">
      <c r="A752" s="530"/>
      <c r="B752" s="527"/>
      <c r="C752" s="527"/>
      <c r="D752" s="527"/>
      <c r="E752" s="527"/>
      <c r="F752" s="527"/>
      <c r="G752" s="527"/>
      <c r="H752" s="527"/>
      <c r="I752" s="527"/>
      <c r="J752" s="528"/>
      <c r="K752" s="531"/>
      <c r="L752" s="531"/>
      <c r="M752" s="531"/>
      <c r="N752" s="531"/>
      <c r="O752" s="531"/>
      <c r="P752" s="531"/>
      <c r="Q752" s="531"/>
      <c r="R752" s="531"/>
      <c r="S752" s="531"/>
      <c r="T752" s="531"/>
      <c r="U752" s="531"/>
      <c r="V752" s="531"/>
      <c r="W752" s="531"/>
      <c r="X752" s="531"/>
      <c r="Y752" s="531"/>
      <c r="Z752" s="531"/>
      <c r="AA752" s="531"/>
    </row>
    <row r="753" spans="1:27" ht="15">
      <c r="A753" s="530"/>
      <c r="B753" s="527"/>
      <c r="C753" s="527"/>
      <c r="D753" s="527"/>
      <c r="E753" s="527"/>
      <c r="F753" s="527"/>
      <c r="G753" s="527"/>
      <c r="H753" s="527"/>
      <c r="I753" s="527"/>
      <c r="J753" s="528"/>
      <c r="K753" s="531"/>
      <c r="L753" s="531"/>
      <c r="M753" s="531"/>
      <c r="N753" s="531"/>
      <c r="O753" s="531"/>
      <c r="P753" s="531"/>
      <c r="Q753" s="531"/>
      <c r="R753" s="531"/>
      <c r="S753" s="531"/>
      <c r="T753" s="531"/>
      <c r="U753" s="531"/>
      <c r="V753" s="531"/>
      <c r="W753" s="531"/>
      <c r="X753" s="531"/>
      <c r="Y753" s="531"/>
      <c r="Z753" s="531"/>
      <c r="AA753" s="531"/>
    </row>
    <row r="754" spans="1:27" ht="15">
      <c r="A754" s="530"/>
      <c r="B754" s="527"/>
      <c r="C754" s="527"/>
      <c r="D754" s="527"/>
      <c r="E754" s="527"/>
      <c r="F754" s="527"/>
      <c r="G754" s="527"/>
      <c r="H754" s="527"/>
      <c r="I754" s="527"/>
      <c r="J754" s="528"/>
      <c r="K754" s="531"/>
      <c r="L754" s="531"/>
      <c r="M754" s="531"/>
      <c r="N754" s="531"/>
      <c r="O754" s="531"/>
      <c r="P754" s="531"/>
      <c r="Q754" s="531"/>
      <c r="R754" s="531"/>
      <c r="S754" s="531"/>
      <c r="T754" s="531"/>
      <c r="U754" s="531"/>
      <c r="V754" s="531"/>
      <c r="W754" s="531"/>
      <c r="X754" s="531"/>
      <c r="Y754" s="531"/>
      <c r="Z754" s="531"/>
      <c r="AA754" s="531"/>
    </row>
    <row r="755" spans="1:27" ht="15">
      <c r="A755" s="530"/>
      <c r="B755" s="527"/>
      <c r="C755" s="527"/>
      <c r="D755" s="527"/>
      <c r="E755" s="527"/>
      <c r="F755" s="527"/>
      <c r="G755" s="527"/>
      <c r="H755" s="527"/>
      <c r="I755" s="527"/>
      <c r="J755" s="528"/>
      <c r="K755" s="531"/>
      <c r="L755" s="531"/>
      <c r="M755" s="531"/>
      <c r="N755" s="531"/>
      <c r="O755" s="531"/>
      <c r="P755" s="531"/>
      <c r="Q755" s="531"/>
      <c r="R755" s="531"/>
      <c r="S755" s="531"/>
      <c r="T755" s="531"/>
      <c r="U755" s="531"/>
      <c r="V755" s="531"/>
      <c r="W755" s="531"/>
      <c r="X755" s="531"/>
      <c r="Y755" s="531"/>
      <c r="Z755" s="531"/>
      <c r="AA755" s="531"/>
    </row>
    <row r="756" spans="1:27" ht="15">
      <c r="A756" s="530"/>
      <c r="B756" s="527"/>
      <c r="C756" s="527"/>
      <c r="D756" s="527"/>
      <c r="E756" s="527"/>
      <c r="F756" s="527"/>
      <c r="G756" s="527"/>
      <c r="H756" s="527"/>
      <c r="I756" s="527"/>
      <c r="J756" s="528"/>
      <c r="K756" s="531"/>
      <c r="L756" s="531"/>
      <c r="M756" s="531"/>
      <c r="N756" s="531"/>
      <c r="O756" s="531"/>
      <c r="P756" s="531"/>
      <c r="Q756" s="531"/>
      <c r="R756" s="531"/>
      <c r="S756" s="531"/>
      <c r="T756" s="531"/>
      <c r="U756" s="531"/>
      <c r="V756" s="531"/>
      <c r="W756" s="531"/>
      <c r="X756" s="531"/>
      <c r="Y756" s="531"/>
      <c r="Z756" s="531"/>
      <c r="AA756" s="531"/>
    </row>
    <row r="757" spans="1:27" ht="15">
      <c r="A757" s="530"/>
      <c r="B757" s="527"/>
      <c r="C757" s="527"/>
      <c r="D757" s="527"/>
      <c r="E757" s="527"/>
      <c r="F757" s="527"/>
      <c r="G757" s="527"/>
      <c r="H757" s="527"/>
      <c r="I757" s="527"/>
      <c r="J757" s="528"/>
      <c r="K757" s="531"/>
      <c r="L757" s="531"/>
      <c r="M757" s="531"/>
      <c r="N757" s="531"/>
      <c r="O757" s="531"/>
      <c r="P757" s="531"/>
      <c r="Q757" s="531"/>
      <c r="R757" s="531"/>
      <c r="S757" s="531"/>
      <c r="T757" s="531"/>
      <c r="U757" s="531"/>
      <c r="V757" s="531"/>
      <c r="W757" s="531"/>
      <c r="X757" s="531"/>
      <c r="Y757" s="531"/>
      <c r="Z757" s="531"/>
      <c r="AA757" s="531"/>
    </row>
    <row r="758" spans="1:27" ht="15">
      <c r="A758" s="530"/>
      <c r="B758" s="527"/>
      <c r="C758" s="527"/>
      <c r="D758" s="527"/>
      <c r="E758" s="527"/>
      <c r="F758" s="527"/>
      <c r="G758" s="527"/>
      <c r="H758" s="527"/>
      <c r="I758" s="527"/>
      <c r="J758" s="528"/>
      <c r="K758" s="531"/>
      <c r="L758" s="531"/>
      <c r="M758" s="531"/>
      <c r="N758" s="531"/>
      <c r="O758" s="531"/>
      <c r="P758" s="531"/>
      <c r="Q758" s="531"/>
      <c r="R758" s="531"/>
      <c r="S758" s="531"/>
      <c r="T758" s="531"/>
      <c r="U758" s="531"/>
      <c r="V758" s="531"/>
      <c r="W758" s="531"/>
      <c r="X758" s="531"/>
      <c r="Y758" s="531"/>
      <c r="Z758" s="531"/>
      <c r="AA758" s="531"/>
    </row>
    <row r="759" spans="1:27" ht="15">
      <c r="A759" s="530"/>
      <c r="B759" s="527"/>
      <c r="C759" s="527"/>
      <c r="D759" s="527"/>
      <c r="E759" s="527"/>
      <c r="F759" s="527"/>
      <c r="G759" s="527"/>
      <c r="H759" s="527"/>
      <c r="I759" s="527"/>
      <c r="J759" s="528"/>
      <c r="K759" s="531"/>
      <c r="L759" s="531"/>
      <c r="M759" s="531"/>
      <c r="N759" s="531"/>
      <c r="O759" s="531"/>
      <c r="P759" s="531"/>
      <c r="Q759" s="531"/>
      <c r="R759" s="531"/>
      <c r="S759" s="531"/>
      <c r="T759" s="531"/>
      <c r="U759" s="531"/>
      <c r="V759" s="531"/>
      <c r="W759" s="531"/>
      <c r="X759" s="531"/>
      <c r="Y759" s="531"/>
      <c r="Z759" s="531"/>
      <c r="AA759" s="531"/>
    </row>
    <row r="760" spans="1:27" ht="15">
      <c r="A760" s="530"/>
      <c r="B760" s="527"/>
      <c r="C760" s="527"/>
      <c r="D760" s="527"/>
      <c r="E760" s="527"/>
      <c r="F760" s="527"/>
      <c r="G760" s="527"/>
      <c r="H760" s="527"/>
      <c r="I760" s="527"/>
      <c r="J760" s="528"/>
      <c r="K760" s="531"/>
      <c r="L760" s="531"/>
      <c r="M760" s="531"/>
      <c r="N760" s="531"/>
      <c r="O760" s="531"/>
      <c r="P760" s="531"/>
      <c r="Q760" s="531"/>
      <c r="R760" s="531"/>
      <c r="S760" s="531"/>
      <c r="T760" s="531"/>
      <c r="U760" s="531"/>
      <c r="V760" s="531"/>
      <c r="W760" s="531"/>
      <c r="X760" s="531"/>
      <c r="Y760" s="531"/>
      <c r="Z760" s="531"/>
      <c r="AA760" s="531"/>
    </row>
    <row r="761" spans="1:27" ht="15">
      <c r="A761" s="530"/>
      <c r="B761" s="527"/>
      <c r="C761" s="527"/>
      <c r="D761" s="527"/>
      <c r="E761" s="527"/>
      <c r="F761" s="527"/>
      <c r="G761" s="527"/>
      <c r="H761" s="527"/>
      <c r="I761" s="527"/>
      <c r="J761" s="528"/>
      <c r="K761" s="531"/>
      <c r="L761" s="531"/>
      <c r="M761" s="531"/>
      <c r="N761" s="531"/>
      <c r="O761" s="531"/>
      <c r="P761" s="531"/>
      <c r="Q761" s="531"/>
      <c r="R761" s="531"/>
      <c r="S761" s="531"/>
      <c r="T761" s="531"/>
      <c r="U761" s="531"/>
      <c r="V761" s="531"/>
      <c r="W761" s="531"/>
      <c r="X761" s="531"/>
      <c r="Y761" s="531"/>
      <c r="Z761" s="531"/>
      <c r="AA761" s="531"/>
    </row>
    <row r="762" spans="1:27" ht="15">
      <c r="A762" s="530"/>
      <c r="B762" s="527"/>
      <c r="C762" s="527"/>
      <c r="D762" s="527"/>
      <c r="E762" s="527"/>
      <c r="F762" s="527"/>
      <c r="G762" s="527"/>
      <c r="H762" s="527"/>
      <c r="I762" s="527"/>
      <c r="J762" s="528"/>
      <c r="K762" s="531"/>
      <c r="L762" s="531"/>
      <c r="M762" s="531"/>
      <c r="N762" s="531"/>
      <c r="O762" s="531"/>
      <c r="P762" s="531"/>
      <c r="Q762" s="531"/>
      <c r="R762" s="531"/>
      <c r="S762" s="531"/>
      <c r="T762" s="531"/>
      <c r="U762" s="531"/>
      <c r="V762" s="531"/>
      <c r="W762" s="531"/>
      <c r="X762" s="531"/>
      <c r="Y762" s="531"/>
      <c r="Z762" s="531"/>
      <c r="AA762" s="531"/>
    </row>
    <row r="763" spans="1:27" ht="15">
      <c r="A763" s="530"/>
      <c r="B763" s="527"/>
      <c r="C763" s="527"/>
      <c r="D763" s="527"/>
      <c r="E763" s="527"/>
      <c r="F763" s="527"/>
      <c r="G763" s="527"/>
      <c r="H763" s="527"/>
      <c r="I763" s="527"/>
      <c r="J763" s="528"/>
      <c r="K763" s="531"/>
      <c r="L763" s="531"/>
      <c r="M763" s="531"/>
      <c r="N763" s="531"/>
      <c r="O763" s="531"/>
      <c r="P763" s="531"/>
      <c r="Q763" s="531"/>
      <c r="R763" s="531"/>
      <c r="S763" s="531"/>
      <c r="T763" s="531"/>
      <c r="U763" s="531"/>
      <c r="V763" s="531"/>
      <c r="W763" s="531"/>
      <c r="X763" s="531"/>
      <c r="Y763" s="531"/>
      <c r="Z763" s="531"/>
      <c r="AA763" s="531"/>
    </row>
    <row r="764" spans="1:27" ht="15">
      <c r="A764" s="530"/>
      <c r="B764" s="527"/>
      <c r="C764" s="527"/>
      <c r="D764" s="527"/>
      <c r="E764" s="527"/>
      <c r="F764" s="527"/>
      <c r="G764" s="527"/>
      <c r="H764" s="527"/>
      <c r="I764" s="527"/>
      <c r="J764" s="528"/>
      <c r="K764" s="531"/>
      <c r="L764" s="531"/>
      <c r="M764" s="531"/>
      <c r="N764" s="531"/>
      <c r="O764" s="531"/>
      <c r="P764" s="531"/>
      <c r="Q764" s="531"/>
      <c r="R764" s="531"/>
      <c r="S764" s="531"/>
      <c r="T764" s="531"/>
      <c r="U764" s="531"/>
      <c r="V764" s="531"/>
      <c r="W764" s="531"/>
      <c r="X764" s="531"/>
      <c r="Y764" s="531"/>
      <c r="Z764" s="531"/>
      <c r="AA764" s="531"/>
    </row>
    <row r="765" spans="1:27" ht="15">
      <c r="A765" s="530"/>
      <c r="B765" s="527"/>
      <c r="C765" s="527"/>
      <c r="D765" s="527"/>
      <c r="E765" s="527"/>
      <c r="F765" s="527"/>
      <c r="G765" s="527"/>
      <c r="H765" s="527"/>
      <c r="I765" s="527"/>
      <c r="J765" s="528"/>
      <c r="K765" s="531"/>
      <c r="L765" s="531"/>
      <c r="M765" s="531"/>
      <c r="N765" s="531"/>
      <c r="O765" s="531"/>
      <c r="P765" s="531"/>
      <c r="Q765" s="531"/>
      <c r="R765" s="531"/>
      <c r="S765" s="531"/>
      <c r="T765" s="531"/>
      <c r="U765" s="531"/>
      <c r="V765" s="531"/>
      <c r="W765" s="531"/>
      <c r="X765" s="531"/>
      <c r="Y765" s="531"/>
      <c r="Z765" s="531"/>
      <c r="AA765" s="531"/>
    </row>
    <row r="766" spans="1:27" ht="15">
      <c r="A766" s="530"/>
      <c r="B766" s="527"/>
      <c r="C766" s="527"/>
      <c r="D766" s="527"/>
      <c r="E766" s="527"/>
      <c r="F766" s="527"/>
      <c r="G766" s="527"/>
      <c r="H766" s="527"/>
      <c r="I766" s="527"/>
      <c r="J766" s="528"/>
      <c r="K766" s="531"/>
      <c r="L766" s="531"/>
      <c r="M766" s="531"/>
      <c r="N766" s="531"/>
      <c r="O766" s="531"/>
      <c r="P766" s="531"/>
      <c r="Q766" s="531"/>
      <c r="R766" s="531"/>
      <c r="S766" s="531"/>
      <c r="T766" s="531"/>
      <c r="U766" s="531"/>
      <c r="V766" s="531"/>
      <c r="W766" s="531"/>
      <c r="X766" s="531"/>
      <c r="Y766" s="531"/>
      <c r="Z766" s="531"/>
      <c r="AA766" s="531"/>
    </row>
    <row r="767" spans="1:27" ht="15">
      <c r="A767" s="530"/>
      <c r="B767" s="527"/>
      <c r="C767" s="527"/>
      <c r="D767" s="527"/>
      <c r="E767" s="527"/>
      <c r="F767" s="527"/>
      <c r="G767" s="527"/>
      <c r="H767" s="527"/>
      <c r="I767" s="527"/>
      <c r="J767" s="528"/>
      <c r="K767" s="531"/>
      <c r="L767" s="531"/>
      <c r="M767" s="531"/>
      <c r="N767" s="531"/>
      <c r="O767" s="531"/>
      <c r="P767" s="531"/>
      <c r="Q767" s="531"/>
      <c r="R767" s="531"/>
      <c r="S767" s="531"/>
      <c r="T767" s="531"/>
      <c r="U767" s="531"/>
      <c r="V767" s="531"/>
      <c r="W767" s="531"/>
      <c r="X767" s="531"/>
      <c r="Y767" s="531"/>
      <c r="Z767" s="531"/>
      <c r="AA767" s="531"/>
    </row>
    <row r="768" spans="1:27" ht="15">
      <c r="A768" s="530"/>
      <c r="B768" s="527"/>
      <c r="C768" s="527"/>
      <c r="D768" s="527"/>
      <c r="E768" s="527"/>
      <c r="F768" s="527"/>
      <c r="G768" s="527"/>
      <c r="H768" s="527"/>
      <c r="I768" s="527"/>
      <c r="J768" s="528"/>
      <c r="K768" s="531"/>
      <c r="L768" s="531"/>
      <c r="M768" s="531"/>
      <c r="N768" s="531"/>
      <c r="O768" s="531"/>
      <c r="P768" s="531"/>
      <c r="Q768" s="531"/>
      <c r="R768" s="531"/>
      <c r="S768" s="531"/>
      <c r="T768" s="531"/>
      <c r="U768" s="531"/>
      <c r="V768" s="531"/>
      <c r="W768" s="531"/>
      <c r="X768" s="531"/>
      <c r="Y768" s="531"/>
      <c r="Z768" s="531"/>
      <c r="AA768" s="531"/>
    </row>
    <row r="769" spans="1:27" ht="15">
      <c r="A769" s="530"/>
      <c r="B769" s="527"/>
      <c r="C769" s="527"/>
      <c r="D769" s="527"/>
      <c r="E769" s="527"/>
      <c r="F769" s="527"/>
      <c r="G769" s="527"/>
      <c r="H769" s="527"/>
      <c r="I769" s="527"/>
      <c r="J769" s="528"/>
      <c r="K769" s="531"/>
      <c r="L769" s="531"/>
      <c r="M769" s="531"/>
      <c r="N769" s="531"/>
      <c r="O769" s="531"/>
      <c r="P769" s="531"/>
      <c r="Q769" s="531"/>
      <c r="R769" s="531"/>
      <c r="S769" s="531"/>
      <c r="T769" s="531"/>
      <c r="U769" s="531"/>
      <c r="V769" s="531"/>
      <c r="W769" s="531"/>
      <c r="X769" s="531"/>
      <c r="Y769" s="531"/>
      <c r="Z769" s="531"/>
      <c r="AA769" s="531"/>
    </row>
    <row r="770" spans="1:27" ht="15">
      <c r="A770" s="530"/>
      <c r="B770" s="527"/>
      <c r="C770" s="527"/>
      <c r="D770" s="527"/>
      <c r="E770" s="527"/>
      <c r="F770" s="527"/>
      <c r="G770" s="527"/>
      <c r="H770" s="527"/>
      <c r="I770" s="527"/>
      <c r="J770" s="528"/>
      <c r="K770" s="531"/>
      <c r="L770" s="531"/>
      <c r="M770" s="531"/>
      <c r="N770" s="531"/>
      <c r="O770" s="531"/>
      <c r="P770" s="531"/>
      <c r="Q770" s="531"/>
      <c r="R770" s="531"/>
      <c r="S770" s="531"/>
      <c r="T770" s="531"/>
      <c r="U770" s="531"/>
      <c r="V770" s="531"/>
      <c r="W770" s="531"/>
      <c r="X770" s="531"/>
      <c r="Y770" s="531"/>
      <c r="Z770" s="531"/>
      <c r="AA770" s="531"/>
    </row>
    <row r="771" spans="1:27" ht="15">
      <c r="A771" s="530"/>
      <c r="B771" s="527"/>
      <c r="C771" s="527"/>
      <c r="D771" s="527"/>
      <c r="E771" s="527"/>
      <c r="F771" s="527"/>
      <c r="G771" s="527"/>
      <c r="H771" s="527"/>
      <c r="I771" s="527"/>
      <c r="J771" s="528"/>
      <c r="K771" s="531"/>
      <c r="L771" s="531"/>
      <c r="M771" s="531"/>
      <c r="N771" s="531"/>
      <c r="O771" s="531"/>
      <c r="P771" s="531"/>
      <c r="Q771" s="531"/>
      <c r="R771" s="531"/>
      <c r="S771" s="531"/>
      <c r="T771" s="531"/>
      <c r="U771" s="531"/>
      <c r="V771" s="531"/>
      <c r="W771" s="531"/>
      <c r="X771" s="531"/>
      <c r="Y771" s="531"/>
      <c r="Z771" s="531"/>
      <c r="AA771" s="531"/>
    </row>
    <row r="772" spans="1:27" ht="15">
      <c r="A772" s="530"/>
      <c r="B772" s="527"/>
      <c r="C772" s="527"/>
      <c r="D772" s="527"/>
      <c r="E772" s="527"/>
      <c r="F772" s="527"/>
      <c r="G772" s="527"/>
      <c r="H772" s="527"/>
      <c r="I772" s="527"/>
      <c r="J772" s="528"/>
      <c r="K772" s="531"/>
      <c r="L772" s="531"/>
      <c r="M772" s="531"/>
      <c r="N772" s="531"/>
      <c r="O772" s="531"/>
      <c r="P772" s="531"/>
      <c r="Q772" s="531"/>
      <c r="R772" s="531"/>
      <c r="S772" s="531"/>
      <c r="T772" s="531"/>
      <c r="U772" s="531"/>
      <c r="V772" s="531"/>
      <c r="W772" s="531"/>
      <c r="X772" s="531"/>
      <c r="Y772" s="531"/>
      <c r="Z772" s="531"/>
      <c r="AA772" s="531"/>
    </row>
    <row r="773" spans="1:27" ht="15">
      <c r="A773" s="530"/>
      <c r="B773" s="527"/>
      <c r="C773" s="527"/>
      <c r="D773" s="527"/>
      <c r="E773" s="527"/>
      <c r="F773" s="527"/>
      <c r="G773" s="527"/>
      <c r="H773" s="527"/>
      <c r="I773" s="527"/>
      <c r="J773" s="528"/>
      <c r="K773" s="531"/>
      <c r="L773" s="531"/>
      <c r="M773" s="531"/>
      <c r="N773" s="531"/>
      <c r="O773" s="531"/>
      <c r="P773" s="531"/>
      <c r="Q773" s="531"/>
      <c r="R773" s="531"/>
      <c r="S773" s="531"/>
      <c r="T773" s="531"/>
      <c r="U773" s="531"/>
      <c r="V773" s="531"/>
      <c r="W773" s="531"/>
      <c r="X773" s="531"/>
      <c r="Y773" s="531"/>
      <c r="Z773" s="531"/>
      <c r="AA773" s="531"/>
    </row>
    <row r="774" spans="1:27" ht="15">
      <c r="A774" s="530"/>
      <c r="B774" s="527"/>
      <c r="C774" s="527"/>
      <c r="D774" s="527"/>
      <c r="E774" s="527"/>
      <c r="F774" s="527"/>
      <c r="G774" s="527"/>
      <c r="H774" s="527"/>
      <c r="I774" s="527"/>
      <c r="J774" s="528"/>
      <c r="K774" s="531"/>
      <c r="L774" s="531"/>
      <c r="M774" s="531"/>
      <c r="N774" s="531"/>
      <c r="O774" s="531"/>
      <c r="P774" s="531"/>
      <c r="Q774" s="531"/>
      <c r="R774" s="531"/>
      <c r="S774" s="531"/>
      <c r="T774" s="531"/>
      <c r="U774" s="531"/>
      <c r="V774" s="531"/>
      <c r="W774" s="531"/>
      <c r="X774" s="531"/>
      <c r="Y774" s="531"/>
      <c r="Z774" s="531"/>
      <c r="AA774" s="531"/>
    </row>
    <row r="775" spans="1:27" ht="15">
      <c r="A775" s="530"/>
      <c r="B775" s="527"/>
      <c r="C775" s="527"/>
      <c r="D775" s="527"/>
      <c r="E775" s="527"/>
      <c r="F775" s="527"/>
      <c r="G775" s="527"/>
      <c r="H775" s="527"/>
      <c r="I775" s="527"/>
      <c r="J775" s="528"/>
      <c r="K775" s="531"/>
      <c r="L775" s="531"/>
      <c r="M775" s="531"/>
      <c r="N775" s="531"/>
      <c r="O775" s="531"/>
      <c r="P775" s="531"/>
      <c r="Q775" s="531"/>
      <c r="R775" s="531"/>
      <c r="S775" s="531"/>
      <c r="T775" s="531"/>
      <c r="U775" s="531"/>
      <c r="V775" s="531"/>
      <c r="W775" s="531"/>
      <c r="X775" s="531"/>
      <c r="Y775" s="531"/>
      <c r="Z775" s="531"/>
      <c r="AA775" s="531"/>
    </row>
    <row r="776" spans="1:27" ht="15">
      <c r="A776" s="530"/>
      <c r="B776" s="527"/>
      <c r="C776" s="527"/>
      <c r="D776" s="527"/>
      <c r="E776" s="527"/>
      <c r="F776" s="527"/>
      <c r="G776" s="527"/>
      <c r="H776" s="527"/>
      <c r="I776" s="527"/>
      <c r="J776" s="528"/>
      <c r="K776" s="531"/>
      <c r="L776" s="531"/>
      <c r="M776" s="531"/>
      <c r="N776" s="531"/>
      <c r="O776" s="531"/>
      <c r="P776" s="531"/>
      <c r="Q776" s="531"/>
      <c r="R776" s="531"/>
      <c r="S776" s="531"/>
      <c r="T776" s="531"/>
      <c r="U776" s="531"/>
      <c r="V776" s="531"/>
      <c r="W776" s="531"/>
      <c r="X776" s="531"/>
      <c r="Y776" s="531"/>
      <c r="Z776" s="531"/>
      <c r="AA776" s="531"/>
    </row>
    <row r="777" spans="1:27" ht="15">
      <c r="A777" s="530"/>
      <c r="B777" s="527"/>
      <c r="C777" s="527"/>
      <c r="D777" s="527"/>
      <c r="E777" s="527"/>
      <c r="F777" s="527"/>
      <c r="G777" s="527"/>
      <c r="H777" s="527"/>
      <c r="I777" s="527"/>
      <c r="J777" s="528"/>
      <c r="K777" s="531"/>
      <c r="L777" s="531"/>
      <c r="M777" s="531"/>
      <c r="N777" s="531"/>
      <c r="O777" s="531"/>
      <c r="P777" s="531"/>
      <c r="Q777" s="531"/>
      <c r="R777" s="531"/>
      <c r="S777" s="531"/>
      <c r="T777" s="531"/>
      <c r="U777" s="531"/>
      <c r="V777" s="531"/>
      <c r="W777" s="531"/>
      <c r="X777" s="531"/>
      <c r="Y777" s="531"/>
      <c r="Z777" s="531"/>
      <c r="AA777" s="531"/>
    </row>
    <row r="778" spans="1:27" ht="15">
      <c r="A778" s="530"/>
      <c r="B778" s="527"/>
      <c r="C778" s="527"/>
      <c r="D778" s="527"/>
      <c r="E778" s="527"/>
      <c r="F778" s="527"/>
      <c r="G778" s="527"/>
      <c r="H778" s="527"/>
      <c r="I778" s="527"/>
      <c r="J778" s="528"/>
      <c r="K778" s="531"/>
      <c r="L778" s="531"/>
      <c r="M778" s="531"/>
      <c r="N778" s="531"/>
      <c r="O778" s="531"/>
      <c r="P778" s="531"/>
      <c r="Q778" s="531"/>
      <c r="R778" s="531"/>
      <c r="S778" s="531"/>
      <c r="T778" s="531"/>
      <c r="U778" s="531"/>
      <c r="V778" s="531"/>
      <c r="W778" s="531"/>
      <c r="X778" s="531"/>
      <c r="Y778" s="531"/>
      <c r="Z778" s="531"/>
      <c r="AA778" s="531"/>
    </row>
    <row r="779" spans="1:27" ht="15">
      <c r="A779" s="530"/>
      <c r="B779" s="527"/>
      <c r="C779" s="527"/>
      <c r="D779" s="527"/>
      <c r="E779" s="527"/>
      <c r="F779" s="527"/>
      <c r="G779" s="527"/>
      <c r="H779" s="527"/>
      <c r="I779" s="527"/>
      <c r="J779" s="528"/>
      <c r="K779" s="531"/>
      <c r="L779" s="531"/>
      <c r="M779" s="531"/>
      <c r="N779" s="531"/>
      <c r="O779" s="531"/>
      <c r="P779" s="531"/>
      <c r="Q779" s="531"/>
      <c r="R779" s="531"/>
      <c r="S779" s="531"/>
      <c r="T779" s="531"/>
      <c r="U779" s="531"/>
      <c r="V779" s="531"/>
      <c r="W779" s="531"/>
      <c r="X779" s="531"/>
      <c r="Y779" s="531"/>
      <c r="Z779" s="531"/>
      <c r="AA779" s="531"/>
    </row>
    <row r="780" spans="1:27" ht="15">
      <c r="A780" s="530"/>
      <c r="B780" s="527"/>
      <c r="C780" s="527"/>
      <c r="D780" s="527"/>
      <c r="E780" s="527"/>
      <c r="F780" s="527"/>
      <c r="G780" s="527"/>
      <c r="H780" s="527"/>
      <c r="I780" s="527"/>
      <c r="J780" s="528"/>
      <c r="K780" s="531"/>
      <c r="L780" s="531"/>
      <c r="M780" s="531"/>
      <c r="N780" s="531"/>
      <c r="O780" s="531"/>
      <c r="P780" s="531"/>
      <c r="Q780" s="531"/>
      <c r="R780" s="531"/>
      <c r="S780" s="531"/>
      <c r="T780" s="531"/>
      <c r="U780" s="531"/>
      <c r="V780" s="531"/>
      <c r="W780" s="531"/>
      <c r="X780" s="531"/>
      <c r="Y780" s="531"/>
      <c r="Z780" s="531"/>
      <c r="AA780" s="531"/>
    </row>
    <row r="781" spans="1:27" ht="15">
      <c r="A781" s="530"/>
      <c r="B781" s="527"/>
      <c r="C781" s="527"/>
      <c r="D781" s="527"/>
      <c r="E781" s="527"/>
      <c r="F781" s="527"/>
      <c r="G781" s="527"/>
      <c r="H781" s="527"/>
      <c r="I781" s="527"/>
      <c r="J781" s="528"/>
      <c r="K781" s="531"/>
      <c r="L781" s="531"/>
      <c r="M781" s="531"/>
      <c r="N781" s="531"/>
      <c r="O781" s="531"/>
      <c r="P781" s="531"/>
      <c r="Q781" s="531"/>
      <c r="R781" s="531"/>
      <c r="S781" s="531"/>
      <c r="T781" s="531"/>
      <c r="U781" s="531"/>
      <c r="V781" s="531"/>
      <c r="W781" s="531"/>
      <c r="X781" s="531"/>
      <c r="Y781" s="531"/>
      <c r="Z781" s="531"/>
      <c r="AA781" s="531"/>
    </row>
    <row r="782" spans="1:27" ht="15">
      <c r="A782" s="530"/>
      <c r="B782" s="527"/>
      <c r="C782" s="527"/>
      <c r="D782" s="527"/>
      <c r="E782" s="527"/>
      <c r="F782" s="527"/>
      <c r="G782" s="527"/>
      <c r="H782" s="527"/>
      <c r="I782" s="527"/>
      <c r="J782" s="528"/>
      <c r="K782" s="531"/>
      <c r="L782" s="531"/>
      <c r="M782" s="531"/>
      <c r="N782" s="531"/>
      <c r="O782" s="531"/>
      <c r="P782" s="531"/>
      <c r="Q782" s="531"/>
      <c r="R782" s="531"/>
      <c r="S782" s="531"/>
      <c r="T782" s="531"/>
      <c r="U782" s="531"/>
      <c r="V782" s="531"/>
      <c r="W782" s="531"/>
      <c r="X782" s="531"/>
      <c r="Y782" s="531"/>
      <c r="Z782" s="531"/>
      <c r="AA782" s="531"/>
    </row>
    <row r="783" spans="1:27" ht="15">
      <c r="A783" s="530"/>
      <c r="B783" s="527"/>
      <c r="C783" s="527"/>
      <c r="D783" s="527"/>
      <c r="E783" s="527"/>
      <c r="F783" s="527"/>
      <c r="G783" s="527"/>
      <c r="H783" s="527"/>
      <c r="I783" s="527"/>
      <c r="J783" s="528"/>
      <c r="K783" s="531"/>
      <c r="L783" s="531"/>
      <c r="M783" s="531"/>
      <c r="N783" s="531"/>
      <c r="O783" s="531"/>
      <c r="P783" s="531"/>
      <c r="Q783" s="531"/>
      <c r="R783" s="531"/>
      <c r="S783" s="531"/>
      <c r="T783" s="531"/>
      <c r="U783" s="531"/>
      <c r="V783" s="531"/>
      <c r="W783" s="531"/>
      <c r="X783" s="531"/>
      <c r="Y783" s="531"/>
      <c r="Z783" s="531"/>
      <c r="AA783" s="531"/>
    </row>
    <row r="784" spans="1:27" ht="15">
      <c r="A784" s="530"/>
      <c r="B784" s="527"/>
      <c r="C784" s="527"/>
      <c r="D784" s="527"/>
      <c r="E784" s="527"/>
      <c r="F784" s="527"/>
      <c r="G784" s="527"/>
      <c r="H784" s="527"/>
      <c r="I784" s="527"/>
      <c r="J784" s="528"/>
      <c r="K784" s="531"/>
      <c r="L784" s="531"/>
      <c r="M784" s="531"/>
      <c r="N784" s="531"/>
      <c r="O784" s="531"/>
      <c r="P784" s="531"/>
      <c r="Q784" s="531"/>
      <c r="R784" s="531"/>
      <c r="S784" s="531"/>
      <c r="T784" s="531"/>
      <c r="U784" s="531"/>
      <c r="V784" s="531"/>
      <c r="W784" s="531"/>
      <c r="X784" s="531"/>
      <c r="Y784" s="531"/>
      <c r="Z784" s="531"/>
      <c r="AA784" s="531"/>
    </row>
    <row r="785" spans="1:27" ht="15">
      <c r="A785" s="530"/>
      <c r="B785" s="527"/>
      <c r="C785" s="527"/>
      <c r="D785" s="527"/>
      <c r="E785" s="527"/>
      <c r="F785" s="527"/>
      <c r="G785" s="527"/>
      <c r="H785" s="527"/>
      <c r="I785" s="527"/>
      <c r="J785" s="528"/>
      <c r="K785" s="531"/>
      <c r="L785" s="531"/>
      <c r="M785" s="531"/>
      <c r="N785" s="531"/>
      <c r="O785" s="531"/>
      <c r="P785" s="531"/>
      <c r="Q785" s="531"/>
      <c r="R785" s="531"/>
      <c r="S785" s="531"/>
      <c r="T785" s="531"/>
      <c r="U785" s="531"/>
      <c r="V785" s="531"/>
      <c r="W785" s="531"/>
      <c r="X785" s="531"/>
      <c r="Y785" s="531"/>
      <c r="Z785" s="531"/>
      <c r="AA785" s="531"/>
    </row>
    <row r="786" spans="1:27" ht="15">
      <c r="A786" s="530"/>
      <c r="B786" s="527"/>
      <c r="C786" s="527"/>
      <c r="D786" s="527"/>
      <c r="E786" s="527"/>
      <c r="F786" s="527"/>
      <c r="G786" s="527"/>
      <c r="H786" s="527"/>
      <c r="I786" s="527"/>
      <c r="J786" s="528"/>
      <c r="K786" s="531"/>
      <c r="L786" s="531"/>
      <c r="M786" s="531"/>
      <c r="N786" s="531"/>
      <c r="O786" s="531"/>
      <c r="P786" s="531"/>
      <c r="Q786" s="531"/>
      <c r="R786" s="531"/>
      <c r="S786" s="531"/>
      <c r="T786" s="531"/>
      <c r="U786" s="531"/>
      <c r="V786" s="531"/>
      <c r="W786" s="531"/>
      <c r="X786" s="531"/>
      <c r="Y786" s="531"/>
      <c r="Z786" s="531"/>
      <c r="AA786" s="531"/>
    </row>
    <row r="787" spans="1:27" ht="15">
      <c r="A787" s="530"/>
      <c r="B787" s="527"/>
      <c r="C787" s="527"/>
      <c r="D787" s="527"/>
      <c r="E787" s="527"/>
      <c r="F787" s="527"/>
      <c r="G787" s="527"/>
      <c r="H787" s="527"/>
      <c r="I787" s="527"/>
      <c r="J787" s="528"/>
      <c r="K787" s="531"/>
      <c r="L787" s="531"/>
      <c r="M787" s="531"/>
      <c r="N787" s="531"/>
      <c r="O787" s="531"/>
      <c r="P787" s="531"/>
      <c r="Q787" s="531"/>
      <c r="R787" s="531"/>
      <c r="S787" s="531"/>
      <c r="T787" s="531"/>
      <c r="U787" s="531"/>
      <c r="V787" s="531"/>
      <c r="W787" s="531"/>
      <c r="X787" s="531"/>
      <c r="Y787" s="531"/>
      <c r="Z787" s="531"/>
      <c r="AA787" s="531"/>
    </row>
    <row r="788" spans="1:27" ht="15">
      <c r="A788" s="530"/>
      <c r="B788" s="527"/>
      <c r="C788" s="527"/>
      <c r="D788" s="527"/>
      <c r="E788" s="527"/>
      <c r="F788" s="527"/>
      <c r="G788" s="527"/>
      <c r="H788" s="527"/>
      <c r="I788" s="527"/>
      <c r="J788" s="528"/>
      <c r="K788" s="531"/>
      <c r="L788" s="531"/>
      <c r="M788" s="531"/>
      <c r="N788" s="531"/>
      <c r="O788" s="531"/>
      <c r="P788" s="531"/>
      <c r="Q788" s="531"/>
      <c r="R788" s="531"/>
      <c r="S788" s="531"/>
      <c r="T788" s="531"/>
      <c r="U788" s="531"/>
      <c r="V788" s="531"/>
      <c r="W788" s="531"/>
      <c r="X788" s="531"/>
      <c r="Y788" s="531"/>
      <c r="Z788" s="531"/>
      <c r="AA788" s="531"/>
    </row>
    <row r="789" spans="1:27" ht="15">
      <c r="A789" s="530"/>
      <c r="B789" s="527"/>
      <c r="C789" s="527"/>
      <c r="D789" s="527"/>
      <c r="E789" s="527"/>
      <c r="F789" s="527"/>
      <c r="G789" s="527"/>
      <c r="H789" s="527"/>
      <c r="I789" s="527"/>
      <c r="J789" s="528"/>
      <c r="K789" s="531"/>
      <c r="L789" s="531"/>
      <c r="M789" s="531"/>
      <c r="N789" s="531"/>
      <c r="O789" s="531"/>
      <c r="P789" s="531"/>
      <c r="Q789" s="531"/>
      <c r="R789" s="531"/>
      <c r="S789" s="531"/>
      <c r="T789" s="531"/>
      <c r="U789" s="531"/>
      <c r="V789" s="531"/>
      <c r="W789" s="531"/>
      <c r="X789" s="531"/>
      <c r="Y789" s="531"/>
      <c r="Z789" s="531"/>
      <c r="AA789" s="531"/>
    </row>
    <row r="790" spans="1:27" ht="15">
      <c r="A790" s="530"/>
      <c r="B790" s="527"/>
      <c r="C790" s="527"/>
      <c r="D790" s="527"/>
      <c r="E790" s="527"/>
      <c r="F790" s="527"/>
      <c r="G790" s="527"/>
      <c r="H790" s="527"/>
      <c r="I790" s="527"/>
      <c r="J790" s="528"/>
      <c r="K790" s="531"/>
      <c r="L790" s="531"/>
      <c r="M790" s="531"/>
      <c r="N790" s="531"/>
      <c r="O790" s="531"/>
      <c r="P790" s="531"/>
      <c r="Q790" s="531"/>
      <c r="R790" s="531"/>
      <c r="S790" s="531"/>
      <c r="T790" s="531"/>
      <c r="U790" s="531"/>
      <c r="V790" s="531"/>
      <c r="W790" s="531"/>
      <c r="X790" s="531"/>
      <c r="Y790" s="531"/>
      <c r="Z790" s="531"/>
      <c r="AA790" s="531"/>
    </row>
    <row r="791" spans="1:27" ht="15">
      <c r="A791" s="530"/>
      <c r="B791" s="527"/>
      <c r="C791" s="527"/>
      <c r="D791" s="527"/>
      <c r="E791" s="527"/>
      <c r="F791" s="527"/>
      <c r="G791" s="527"/>
      <c r="H791" s="527"/>
      <c r="I791" s="527"/>
      <c r="J791" s="528"/>
      <c r="K791" s="531"/>
      <c r="L791" s="531"/>
      <c r="M791" s="531"/>
      <c r="N791" s="531"/>
      <c r="O791" s="531"/>
      <c r="P791" s="531"/>
      <c r="Q791" s="531"/>
      <c r="R791" s="531"/>
      <c r="S791" s="531"/>
      <c r="T791" s="531"/>
      <c r="U791" s="531"/>
      <c r="V791" s="531"/>
      <c r="W791" s="531"/>
      <c r="X791" s="531"/>
      <c r="Y791" s="531"/>
      <c r="Z791" s="531"/>
      <c r="AA791" s="531"/>
    </row>
    <row r="792" spans="1:27" ht="15">
      <c r="A792" s="530"/>
      <c r="B792" s="527"/>
      <c r="C792" s="527"/>
      <c r="D792" s="527"/>
      <c r="E792" s="527"/>
      <c r="F792" s="527"/>
      <c r="G792" s="527"/>
      <c r="H792" s="527"/>
      <c r="I792" s="527"/>
      <c r="J792" s="528"/>
      <c r="K792" s="531"/>
      <c r="L792" s="531"/>
      <c r="M792" s="531"/>
      <c r="N792" s="531"/>
      <c r="O792" s="531"/>
      <c r="P792" s="531"/>
      <c r="Q792" s="531"/>
      <c r="R792" s="531"/>
      <c r="S792" s="531"/>
      <c r="T792" s="531"/>
      <c r="U792" s="531"/>
      <c r="V792" s="531"/>
      <c r="W792" s="531"/>
      <c r="X792" s="531"/>
      <c r="Y792" s="531"/>
      <c r="Z792" s="531"/>
      <c r="AA792" s="531"/>
    </row>
    <row r="793" spans="1:27" ht="15">
      <c r="A793" s="530"/>
      <c r="B793" s="527"/>
      <c r="C793" s="527"/>
      <c r="D793" s="527"/>
      <c r="E793" s="527"/>
      <c r="F793" s="527"/>
      <c r="G793" s="527"/>
      <c r="H793" s="527"/>
      <c r="I793" s="527"/>
      <c r="J793" s="528"/>
      <c r="K793" s="531"/>
      <c r="L793" s="531"/>
      <c r="M793" s="531"/>
      <c r="N793" s="531"/>
      <c r="O793" s="531"/>
      <c r="P793" s="531"/>
      <c r="Q793" s="531"/>
      <c r="R793" s="531"/>
      <c r="S793" s="531"/>
      <c r="T793" s="531"/>
      <c r="U793" s="531"/>
      <c r="V793" s="531"/>
      <c r="W793" s="531"/>
      <c r="X793" s="531"/>
      <c r="Y793" s="531"/>
      <c r="Z793" s="531"/>
      <c r="AA793" s="531"/>
    </row>
    <row r="794" spans="1:27" ht="15">
      <c r="A794" s="530"/>
      <c r="B794" s="527"/>
      <c r="C794" s="527"/>
      <c r="D794" s="527"/>
      <c r="E794" s="527"/>
      <c r="F794" s="527"/>
      <c r="G794" s="527"/>
      <c r="H794" s="527"/>
      <c r="I794" s="527"/>
      <c r="J794" s="528"/>
      <c r="K794" s="531"/>
      <c r="L794" s="531"/>
      <c r="M794" s="531"/>
      <c r="N794" s="531"/>
      <c r="O794" s="531"/>
      <c r="P794" s="531"/>
      <c r="Q794" s="531"/>
      <c r="R794" s="531"/>
      <c r="S794" s="531"/>
      <c r="T794" s="531"/>
      <c r="U794" s="531"/>
      <c r="V794" s="531"/>
      <c r="W794" s="531"/>
      <c r="X794" s="531"/>
      <c r="Y794" s="531"/>
      <c r="Z794" s="531"/>
      <c r="AA794" s="531"/>
    </row>
    <row r="795" spans="1:27" ht="15">
      <c r="A795" s="530"/>
      <c r="B795" s="527"/>
      <c r="C795" s="527"/>
      <c r="D795" s="527"/>
      <c r="E795" s="527"/>
      <c r="F795" s="527"/>
      <c r="G795" s="527"/>
      <c r="H795" s="527"/>
      <c r="I795" s="527"/>
      <c r="J795" s="528"/>
      <c r="K795" s="531"/>
      <c r="L795" s="531"/>
      <c r="M795" s="531"/>
      <c r="N795" s="531"/>
      <c r="O795" s="531"/>
      <c r="P795" s="531"/>
      <c r="Q795" s="531"/>
      <c r="R795" s="531"/>
      <c r="S795" s="531"/>
      <c r="T795" s="531"/>
      <c r="U795" s="531"/>
      <c r="V795" s="531"/>
      <c r="W795" s="531"/>
      <c r="X795" s="531"/>
      <c r="Y795" s="531"/>
      <c r="Z795" s="531"/>
      <c r="AA795" s="531"/>
    </row>
    <row r="796" spans="1:27" ht="15">
      <c r="A796" s="530"/>
      <c r="B796" s="527"/>
      <c r="C796" s="527"/>
      <c r="D796" s="527"/>
      <c r="E796" s="527"/>
      <c r="F796" s="527"/>
      <c r="G796" s="527"/>
      <c r="H796" s="527"/>
      <c r="I796" s="527"/>
      <c r="J796" s="528"/>
      <c r="K796" s="531"/>
      <c r="L796" s="531"/>
      <c r="M796" s="531"/>
      <c r="N796" s="531"/>
      <c r="O796" s="531"/>
      <c r="P796" s="531"/>
      <c r="Q796" s="531"/>
      <c r="R796" s="531"/>
      <c r="S796" s="531"/>
      <c r="T796" s="531"/>
      <c r="U796" s="531"/>
      <c r="V796" s="531"/>
      <c r="W796" s="531"/>
      <c r="X796" s="531"/>
      <c r="Y796" s="531"/>
      <c r="Z796" s="531"/>
      <c r="AA796" s="531"/>
    </row>
    <row r="797" spans="1:27" ht="15">
      <c r="A797" s="530"/>
      <c r="B797" s="527"/>
      <c r="C797" s="527"/>
      <c r="D797" s="527"/>
      <c r="E797" s="527"/>
      <c r="F797" s="527"/>
      <c r="G797" s="527"/>
      <c r="H797" s="527"/>
      <c r="I797" s="527"/>
      <c r="J797" s="528"/>
      <c r="K797" s="531"/>
      <c r="L797" s="531"/>
      <c r="M797" s="531"/>
      <c r="N797" s="531"/>
      <c r="O797" s="531"/>
      <c r="P797" s="531"/>
      <c r="Q797" s="531"/>
      <c r="R797" s="531"/>
      <c r="S797" s="531"/>
      <c r="T797" s="531"/>
      <c r="U797" s="531"/>
      <c r="V797" s="531"/>
      <c r="W797" s="531"/>
      <c r="X797" s="531"/>
      <c r="Y797" s="531"/>
      <c r="Z797" s="531"/>
      <c r="AA797" s="531"/>
    </row>
    <row r="798" spans="1:27" ht="15">
      <c r="A798" s="530"/>
      <c r="B798" s="527"/>
      <c r="C798" s="527"/>
      <c r="D798" s="527"/>
      <c r="E798" s="527"/>
      <c r="F798" s="527"/>
      <c r="G798" s="527"/>
      <c r="H798" s="527"/>
      <c r="I798" s="527"/>
      <c r="J798" s="528"/>
      <c r="K798" s="531"/>
      <c r="L798" s="531"/>
      <c r="M798" s="531"/>
      <c r="N798" s="531"/>
      <c r="O798" s="531"/>
      <c r="P798" s="531"/>
      <c r="Q798" s="531"/>
      <c r="R798" s="531"/>
      <c r="S798" s="531"/>
      <c r="T798" s="531"/>
      <c r="U798" s="531"/>
      <c r="V798" s="531"/>
      <c r="W798" s="531"/>
      <c r="X798" s="531"/>
      <c r="Y798" s="531"/>
      <c r="Z798" s="531"/>
      <c r="AA798" s="531"/>
    </row>
    <row r="799" spans="1:27" ht="15">
      <c r="A799" s="530"/>
      <c r="B799" s="527"/>
      <c r="C799" s="527"/>
      <c r="D799" s="527"/>
      <c r="E799" s="527"/>
      <c r="F799" s="527"/>
      <c r="G799" s="527"/>
      <c r="H799" s="527"/>
      <c r="I799" s="527"/>
      <c r="J799" s="528"/>
      <c r="K799" s="531"/>
      <c r="L799" s="531"/>
      <c r="M799" s="531"/>
      <c r="N799" s="531"/>
      <c r="O799" s="531"/>
      <c r="P799" s="531"/>
      <c r="Q799" s="531"/>
      <c r="R799" s="531"/>
      <c r="S799" s="531"/>
      <c r="T799" s="531"/>
      <c r="U799" s="531"/>
      <c r="V799" s="531"/>
      <c r="W799" s="531"/>
      <c r="X799" s="531"/>
      <c r="Y799" s="531"/>
      <c r="Z799" s="531"/>
      <c r="AA799" s="531"/>
    </row>
    <row r="800" spans="1:27" ht="15">
      <c r="A800" s="530"/>
      <c r="B800" s="527"/>
      <c r="C800" s="527"/>
      <c r="D800" s="527"/>
      <c r="E800" s="527"/>
      <c r="F800" s="527"/>
      <c r="G800" s="527"/>
      <c r="H800" s="527"/>
      <c r="I800" s="527"/>
      <c r="J800" s="528"/>
      <c r="K800" s="531"/>
      <c r="L800" s="531"/>
      <c r="M800" s="531"/>
      <c r="N800" s="531"/>
      <c r="O800" s="531"/>
      <c r="P800" s="531"/>
      <c r="Q800" s="531"/>
      <c r="R800" s="531"/>
      <c r="S800" s="531"/>
      <c r="T800" s="531"/>
      <c r="U800" s="531"/>
      <c r="V800" s="531"/>
      <c r="W800" s="531"/>
      <c r="X800" s="531"/>
      <c r="Y800" s="531"/>
      <c r="Z800" s="531"/>
      <c r="AA800" s="531"/>
    </row>
    <row r="801" spans="1:27" ht="15">
      <c r="A801" s="530"/>
      <c r="B801" s="527"/>
      <c r="C801" s="527"/>
      <c r="D801" s="527"/>
      <c r="E801" s="527"/>
      <c r="F801" s="527"/>
      <c r="G801" s="527"/>
      <c r="H801" s="527"/>
      <c r="I801" s="527"/>
      <c r="J801" s="528"/>
      <c r="K801" s="531"/>
      <c r="L801" s="531"/>
      <c r="M801" s="531"/>
      <c r="N801" s="531"/>
      <c r="O801" s="531"/>
      <c r="P801" s="531"/>
      <c r="Q801" s="531"/>
      <c r="R801" s="531"/>
      <c r="S801" s="531"/>
      <c r="T801" s="531"/>
      <c r="U801" s="531"/>
      <c r="V801" s="531"/>
      <c r="W801" s="531"/>
      <c r="X801" s="531"/>
      <c r="Y801" s="531"/>
      <c r="Z801" s="531"/>
      <c r="AA801" s="531"/>
    </row>
    <row r="802" spans="1:27" ht="15">
      <c r="A802" s="530"/>
      <c r="B802" s="527"/>
      <c r="C802" s="527"/>
      <c r="D802" s="527"/>
      <c r="E802" s="527"/>
      <c r="F802" s="527"/>
      <c r="G802" s="527"/>
      <c r="H802" s="527"/>
      <c r="I802" s="527"/>
      <c r="J802" s="528"/>
      <c r="K802" s="531"/>
      <c r="L802" s="531"/>
      <c r="M802" s="531"/>
      <c r="N802" s="531"/>
      <c r="O802" s="531"/>
      <c r="P802" s="531"/>
      <c r="Q802" s="531"/>
      <c r="R802" s="531"/>
      <c r="S802" s="531"/>
      <c r="T802" s="531"/>
      <c r="U802" s="531"/>
      <c r="V802" s="531"/>
      <c r="W802" s="531"/>
      <c r="X802" s="531"/>
      <c r="Y802" s="531"/>
      <c r="Z802" s="531"/>
      <c r="AA802" s="531"/>
    </row>
    <row r="803" spans="1:27" ht="15">
      <c r="A803" s="530"/>
      <c r="B803" s="527"/>
      <c r="C803" s="527"/>
      <c r="D803" s="527"/>
      <c r="E803" s="527"/>
      <c r="F803" s="527"/>
      <c r="G803" s="527"/>
      <c r="H803" s="527"/>
      <c r="I803" s="527"/>
      <c r="J803" s="528"/>
      <c r="K803" s="531"/>
      <c r="L803" s="531"/>
      <c r="M803" s="531"/>
      <c r="N803" s="531"/>
      <c r="O803" s="531"/>
      <c r="P803" s="531"/>
      <c r="Q803" s="531"/>
      <c r="R803" s="531"/>
      <c r="S803" s="531"/>
      <c r="T803" s="531"/>
      <c r="U803" s="531"/>
      <c r="V803" s="531"/>
      <c r="W803" s="531"/>
      <c r="X803" s="531"/>
      <c r="Y803" s="531"/>
      <c r="Z803" s="531"/>
      <c r="AA803" s="531"/>
    </row>
    <row r="804" spans="1:27" ht="15">
      <c r="A804" s="530"/>
      <c r="B804" s="527"/>
      <c r="C804" s="527"/>
      <c r="D804" s="527"/>
      <c r="E804" s="527"/>
      <c r="F804" s="527"/>
      <c r="G804" s="527"/>
      <c r="H804" s="527"/>
      <c r="I804" s="527"/>
      <c r="J804" s="528"/>
      <c r="K804" s="531"/>
      <c r="L804" s="531"/>
      <c r="M804" s="531"/>
      <c r="N804" s="531"/>
      <c r="O804" s="531"/>
      <c r="P804" s="531"/>
      <c r="Q804" s="531"/>
      <c r="R804" s="531"/>
      <c r="S804" s="531"/>
      <c r="T804" s="531"/>
      <c r="U804" s="531"/>
      <c r="V804" s="531"/>
      <c r="W804" s="531"/>
      <c r="X804" s="531"/>
      <c r="Y804" s="531"/>
      <c r="Z804" s="531"/>
      <c r="AA804" s="531"/>
    </row>
    <row r="805" spans="1:27" ht="15">
      <c r="A805" s="530"/>
      <c r="B805" s="527"/>
      <c r="C805" s="527"/>
      <c r="D805" s="527"/>
      <c r="E805" s="527"/>
      <c r="F805" s="527"/>
      <c r="G805" s="527"/>
      <c r="H805" s="527"/>
      <c r="I805" s="527"/>
      <c r="J805" s="528"/>
      <c r="K805" s="531"/>
      <c r="L805" s="531"/>
      <c r="M805" s="531"/>
      <c r="N805" s="531"/>
      <c r="O805" s="531"/>
      <c r="P805" s="531"/>
      <c r="Q805" s="531"/>
      <c r="R805" s="531"/>
      <c r="S805" s="531"/>
      <c r="T805" s="531"/>
      <c r="U805" s="531"/>
      <c r="V805" s="531"/>
      <c r="W805" s="531"/>
      <c r="X805" s="531"/>
      <c r="Y805" s="531"/>
      <c r="Z805" s="531"/>
      <c r="AA805" s="531"/>
    </row>
    <row r="806" spans="1:27" ht="15">
      <c r="A806" s="530"/>
      <c r="B806" s="527"/>
      <c r="C806" s="527"/>
      <c r="D806" s="527"/>
      <c r="E806" s="527"/>
      <c r="F806" s="527"/>
      <c r="G806" s="527"/>
      <c r="H806" s="527"/>
      <c r="I806" s="527"/>
      <c r="J806" s="528"/>
      <c r="K806" s="531"/>
      <c r="L806" s="531"/>
      <c r="M806" s="531"/>
      <c r="N806" s="531"/>
      <c r="O806" s="531"/>
      <c r="P806" s="531"/>
      <c r="Q806" s="531"/>
      <c r="R806" s="531"/>
      <c r="S806" s="531"/>
      <c r="T806" s="531"/>
      <c r="U806" s="531"/>
      <c r="V806" s="531"/>
      <c r="W806" s="531"/>
      <c r="X806" s="531"/>
      <c r="Y806" s="531"/>
      <c r="Z806" s="531"/>
      <c r="AA806" s="531"/>
    </row>
    <row r="807" spans="1:27" ht="15">
      <c r="A807" s="530"/>
      <c r="B807" s="527"/>
      <c r="C807" s="527"/>
      <c r="D807" s="527"/>
      <c r="E807" s="527"/>
      <c r="F807" s="527"/>
      <c r="G807" s="527"/>
      <c r="H807" s="527"/>
      <c r="I807" s="527"/>
      <c r="J807" s="528"/>
      <c r="K807" s="531"/>
      <c r="L807" s="531"/>
      <c r="M807" s="531"/>
      <c r="N807" s="531"/>
      <c r="O807" s="531"/>
      <c r="P807" s="531"/>
      <c r="Q807" s="531"/>
      <c r="R807" s="531"/>
      <c r="S807" s="531"/>
      <c r="T807" s="531"/>
      <c r="U807" s="531"/>
      <c r="V807" s="531"/>
      <c r="W807" s="531"/>
      <c r="X807" s="531"/>
      <c r="Y807" s="531"/>
      <c r="Z807" s="531"/>
      <c r="AA807" s="531"/>
    </row>
    <row r="808" spans="1:27" ht="15">
      <c r="A808" s="530"/>
      <c r="B808" s="527"/>
      <c r="C808" s="527"/>
      <c r="D808" s="527"/>
      <c r="E808" s="527"/>
      <c r="F808" s="527"/>
      <c r="G808" s="527"/>
      <c r="H808" s="527"/>
      <c r="I808" s="527"/>
      <c r="J808" s="528"/>
      <c r="K808" s="531"/>
      <c r="L808" s="531"/>
      <c r="M808" s="531"/>
      <c r="N808" s="531"/>
      <c r="O808" s="531"/>
      <c r="P808" s="531"/>
      <c r="Q808" s="531"/>
      <c r="R808" s="531"/>
      <c r="S808" s="531"/>
      <c r="T808" s="531"/>
      <c r="U808" s="531"/>
      <c r="V808" s="531"/>
      <c r="W808" s="531"/>
      <c r="X808" s="531"/>
      <c r="Y808" s="531"/>
      <c r="Z808" s="531"/>
      <c r="AA808" s="531"/>
    </row>
    <row r="809" spans="1:27" ht="15">
      <c r="A809" s="530"/>
      <c r="B809" s="527"/>
      <c r="C809" s="527"/>
      <c r="D809" s="527"/>
      <c r="E809" s="527"/>
      <c r="F809" s="527"/>
      <c r="G809" s="527"/>
      <c r="H809" s="527"/>
      <c r="I809" s="527"/>
      <c r="J809" s="528"/>
      <c r="K809" s="531"/>
      <c r="L809" s="531"/>
      <c r="M809" s="531"/>
      <c r="N809" s="531"/>
      <c r="O809" s="531"/>
      <c r="P809" s="531"/>
      <c r="Q809" s="531"/>
      <c r="R809" s="531"/>
      <c r="S809" s="531"/>
      <c r="T809" s="531"/>
      <c r="U809" s="531"/>
      <c r="V809" s="531"/>
      <c r="W809" s="531"/>
      <c r="X809" s="531"/>
      <c r="Y809" s="531"/>
      <c r="Z809" s="531"/>
      <c r="AA809" s="531"/>
    </row>
    <row r="810" spans="1:27" ht="15">
      <c r="A810" s="530"/>
      <c r="B810" s="527"/>
      <c r="C810" s="527"/>
      <c r="D810" s="527"/>
      <c r="E810" s="527"/>
      <c r="F810" s="527"/>
      <c r="G810" s="527"/>
      <c r="H810" s="527"/>
      <c r="I810" s="527"/>
      <c r="J810" s="528"/>
      <c r="K810" s="531"/>
      <c r="L810" s="531"/>
      <c r="M810" s="531"/>
      <c r="N810" s="531"/>
      <c r="O810" s="531"/>
      <c r="P810" s="531"/>
      <c r="Q810" s="531"/>
      <c r="R810" s="531"/>
      <c r="S810" s="531"/>
      <c r="T810" s="531"/>
      <c r="U810" s="531"/>
      <c r="V810" s="531"/>
      <c r="W810" s="531"/>
      <c r="X810" s="531"/>
      <c r="Y810" s="531"/>
      <c r="Z810" s="531"/>
      <c r="AA810" s="531"/>
    </row>
    <row r="811" spans="1:27" ht="15">
      <c r="A811" s="530"/>
      <c r="B811" s="527"/>
      <c r="C811" s="527"/>
      <c r="D811" s="527"/>
      <c r="E811" s="527"/>
      <c r="F811" s="527"/>
      <c r="G811" s="527"/>
      <c r="H811" s="527"/>
      <c r="I811" s="527"/>
      <c r="J811" s="528"/>
      <c r="K811" s="531"/>
      <c r="L811" s="531"/>
      <c r="M811" s="531"/>
      <c r="N811" s="531"/>
      <c r="O811" s="531"/>
      <c r="P811" s="531"/>
      <c r="Q811" s="531"/>
      <c r="R811" s="531"/>
      <c r="S811" s="531"/>
      <c r="T811" s="531"/>
      <c r="U811" s="531"/>
      <c r="V811" s="531"/>
      <c r="W811" s="531"/>
      <c r="X811" s="531"/>
      <c r="Y811" s="531"/>
      <c r="Z811" s="531"/>
      <c r="AA811" s="531"/>
    </row>
    <row r="812" spans="1:27" ht="15">
      <c r="A812" s="530"/>
      <c r="B812" s="527"/>
      <c r="C812" s="527"/>
      <c r="D812" s="527"/>
      <c r="E812" s="527"/>
      <c r="F812" s="527"/>
      <c r="G812" s="527"/>
      <c r="H812" s="527"/>
      <c r="I812" s="527"/>
      <c r="J812" s="528"/>
      <c r="K812" s="531"/>
      <c r="L812" s="531"/>
      <c r="M812" s="531"/>
      <c r="N812" s="531"/>
      <c r="O812" s="531"/>
      <c r="P812" s="531"/>
      <c r="Q812" s="531"/>
      <c r="R812" s="531"/>
      <c r="S812" s="531"/>
      <c r="T812" s="531"/>
      <c r="U812" s="531"/>
      <c r="V812" s="531"/>
      <c r="W812" s="531"/>
      <c r="X812" s="531"/>
      <c r="Y812" s="531"/>
      <c r="Z812" s="531"/>
      <c r="AA812" s="531"/>
    </row>
    <row r="813" spans="1:27" ht="15">
      <c r="A813" s="530"/>
      <c r="B813" s="527"/>
      <c r="C813" s="527"/>
      <c r="D813" s="527"/>
      <c r="E813" s="527"/>
      <c r="F813" s="527"/>
      <c r="G813" s="527"/>
      <c r="H813" s="527"/>
      <c r="I813" s="527"/>
      <c r="J813" s="528"/>
      <c r="K813" s="531"/>
      <c r="L813" s="531"/>
      <c r="M813" s="531"/>
      <c r="N813" s="531"/>
      <c r="O813" s="531"/>
      <c r="P813" s="531"/>
      <c r="Q813" s="531"/>
      <c r="R813" s="531"/>
      <c r="S813" s="531"/>
      <c r="T813" s="531"/>
      <c r="U813" s="531"/>
      <c r="V813" s="531"/>
      <c r="W813" s="531"/>
      <c r="X813" s="531"/>
      <c r="Y813" s="531"/>
      <c r="Z813" s="531"/>
      <c r="AA813" s="531"/>
    </row>
    <row r="814" spans="1:27" ht="15">
      <c r="A814" s="530"/>
      <c r="B814" s="527"/>
      <c r="C814" s="527"/>
      <c r="D814" s="527"/>
      <c r="E814" s="527"/>
      <c r="F814" s="527"/>
      <c r="G814" s="527"/>
      <c r="H814" s="527"/>
      <c r="I814" s="527"/>
      <c r="J814" s="528"/>
      <c r="K814" s="531"/>
      <c r="L814" s="531"/>
      <c r="M814" s="531"/>
      <c r="N814" s="531"/>
      <c r="O814" s="531"/>
      <c r="P814" s="531"/>
      <c r="Q814" s="531"/>
      <c r="R814" s="531"/>
      <c r="S814" s="531"/>
      <c r="T814" s="531"/>
      <c r="U814" s="531"/>
      <c r="V814" s="531"/>
      <c r="W814" s="531"/>
      <c r="X814" s="531"/>
      <c r="Y814" s="531"/>
      <c r="Z814" s="531"/>
      <c r="AA814" s="531"/>
    </row>
    <row r="815" spans="1:27" ht="15">
      <c r="A815" s="530"/>
      <c r="B815" s="527"/>
      <c r="C815" s="527"/>
      <c r="D815" s="527"/>
      <c r="E815" s="527"/>
      <c r="F815" s="527"/>
      <c r="G815" s="527"/>
      <c r="H815" s="527"/>
      <c r="I815" s="527"/>
      <c r="J815" s="528"/>
      <c r="K815" s="531"/>
      <c r="L815" s="531"/>
      <c r="M815" s="531"/>
      <c r="N815" s="531"/>
      <c r="O815" s="531"/>
      <c r="P815" s="531"/>
      <c r="Q815" s="531"/>
      <c r="R815" s="531"/>
      <c r="S815" s="531"/>
      <c r="T815" s="531"/>
      <c r="U815" s="531"/>
      <c r="V815" s="531"/>
      <c r="W815" s="531"/>
      <c r="X815" s="531"/>
      <c r="Y815" s="531"/>
      <c r="Z815" s="531"/>
      <c r="AA815" s="531"/>
    </row>
    <row r="816" spans="1:27" ht="15">
      <c r="A816" s="530"/>
      <c r="B816" s="527"/>
      <c r="C816" s="527"/>
      <c r="D816" s="527"/>
      <c r="E816" s="527"/>
      <c r="F816" s="527"/>
      <c r="G816" s="527"/>
      <c r="H816" s="527"/>
      <c r="I816" s="527"/>
      <c r="J816" s="528"/>
      <c r="K816" s="531"/>
      <c r="L816" s="531"/>
      <c r="M816" s="531"/>
      <c r="N816" s="531"/>
      <c r="O816" s="531"/>
      <c r="P816" s="531"/>
      <c r="Q816" s="531"/>
      <c r="R816" s="531"/>
      <c r="S816" s="531"/>
      <c r="T816" s="531"/>
      <c r="U816" s="531"/>
      <c r="V816" s="531"/>
      <c r="W816" s="531"/>
      <c r="X816" s="531"/>
      <c r="Y816" s="531"/>
      <c r="Z816" s="531"/>
      <c r="AA816" s="531"/>
    </row>
    <row r="817" spans="1:27" ht="15">
      <c r="A817" s="530"/>
      <c r="B817" s="527"/>
      <c r="C817" s="527"/>
      <c r="D817" s="527"/>
      <c r="E817" s="527"/>
      <c r="F817" s="527"/>
      <c r="G817" s="527"/>
      <c r="H817" s="527"/>
      <c r="I817" s="527"/>
      <c r="J817" s="528"/>
      <c r="K817" s="531"/>
      <c r="L817" s="531"/>
      <c r="M817" s="531"/>
      <c r="N817" s="531"/>
      <c r="O817" s="531"/>
      <c r="P817" s="531"/>
      <c r="Q817" s="531"/>
      <c r="R817" s="531"/>
      <c r="S817" s="531"/>
      <c r="T817" s="531"/>
      <c r="U817" s="531"/>
      <c r="V817" s="531"/>
      <c r="W817" s="531"/>
      <c r="X817" s="531"/>
      <c r="Y817" s="531"/>
      <c r="Z817" s="531"/>
      <c r="AA817" s="531"/>
    </row>
    <row r="818" spans="1:27" ht="15">
      <c r="A818" s="530"/>
      <c r="B818" s="527"/>
      <c r="C818" s="527"/>
      <c r="D818" s="527"/>
      <c r="E818" s="527"/>
      <c r="F818" s="527"/>
      <c r="G818" s="527"/>
      <c r="H818" s="527"/>
      <c r="I818" s="527"/>
      <c r="J818" s="528"/>
      <c r="K818" s="531"/>
      <c r="L818" s="531"/>
      <c r="M818" s="531"/>
      <c r="N818" s="531"/>
      <c r="O818" s="531"/>
      <c r="P818" s="531"/>
      <c r="Q818" s="531"/>
      <c r="R818" s="531"/>
      <c r="S818" s="531"/>
      <c r="T818" s="531"/>
      <c r="U818" s="531"/>
      <c r="V818" s="531"/>
      <c r="W818" s="531"/>
      <c r="X818" s="531"/>
      <c r="Y818" s="531"/>
      <c r="Z818" s="531"/>
      <c r="AA818" s="531"/>
    </row>
    <row r="819" spans="1:27" ht="15">
      <c r="A819" s="530"/>
      <c r="B819" s="527"/>
      <c r="C819" s="527"/>
      <c r="D819" s="527"/>
      <c r="E819" s="527"/>
      <c r="F819" s="527"/>
      <c r="G819" s="527"/>
      <c r="H819" s="527"/>
      <c r="I819" s="527"/>
      <c r="J819" s="528"/>
      <c r="K819" s="531"/>
      <c r="L819" s="531"/>
      <c r="M819" s="531"/>
      <c r="N819" s="531"/>
      <c r="O819" s="531"/>
      <c r="P819" s="531"/>
      <c r="Q819" s="531"/>
      <c r="R819" s="531"/>
      <c r="S819" s="531"/>
      <c r="T819" s="531"/>
      <c r="U819" s="531"/>
      <c r="V819" s="531"/>
      <c r="W819" s="531"/>
      <c r="X819" s="531"/>
      <c r="Y819" s="531"/>
      <c r="Z819" s="531"/>
      <c r="AA819" s="531"/>
    </row>
    <row r="820" spans="1:27" ht="15">
      <c r="A820" s="530"/>
      <c r="B820" s="527"/>
      <c r="C820" s="527"/>
      <c r="D820" s="527"/>
      <c r="E820" s="527"/>
      <c r="F820" s="527"/>
      <c r="G820" s="527"/>
      <c r="H820" s="527"/>
      <c r="I820" s="527"/>
      <c r="J820" s="528"/>
      <c r="K820" s="531"/>
      <c r="L820" s="531"/>
      <c r="M820" s="531"/>
      <c r="N820" s="531"/>
      <c r="O820" s="531"/>
      <c r="P820" s="531"/>
      <c r="Q820" s="531"/>
      <c r="R820" s="531"/>
      <c r="S820" s="531"/>
      <c r="T820" s="531"/>
      <c r="U820" s="531"/>
      <c r="V820" s="531"/>
      <c r="W820" s="531"/>
      <c r="X820" s="531"/>
      <c r="Y820" s="531"/>
      <c r="Z820" s="531"/>
      <c r="AA820" s="531"/>
    </row>
    <row r="821" spans="1:27" ht="15">
      <c r="A821" s="530"/>
      <c r="B821" s="527"/>
      <c r="C821" s="527"/>
      <c r="D821" s="527"/>
      <c r="E821" s="527"/>
      <c r="F821" s="527"/>
      <c r="G821" s="527"/>
      <c r="H821" s="527"/>
      <c r="I821" s="527"/>
      <c r="J821" s="528"/>
      <c r="K821" s="531"/>
      <c r="L821" s="531"/>
      <c r="M821" s="531"/>
      <c r="N821" s="531"/>
      <c r="O821" s="531"/>
      <c r="P821" s="531"/>
      <c r="Q821" s="531"/>
      <c r="R821" s="531"/>
      <c r="S821" s="531"/>
      <c r="T821" s="531"/>
      <c r="U821" s="531"/>
      <c r="V821" s="531"/>
      <c r="W821" s="531"/>
      <c r="X821" s="531"/>
      <c r="Y821" s="531"/>
      <c r="Z821" s="531"/>
      <c r="AA821" s="531"/>
    </row>
    <row r="822" spans="1:27" ht="15">
      <c r="A822" s="530"/>
      <c r="B822" s="527"/>
      <c r="C822" s="527"/>
      <c r="D822" s="527"/>
      <c r="E822" s="527"/>
      <c r="F822" s="527"/>
      <c r="G822" s="527"/>
      <c r="H822" s="527"/>
      <c r="I822" s="527"/>
      <c r="J822" s="528"/>
      <c r="K822" s="531"/>
      <c r="L822" s="531"/>
      <c r="M822" s="531"/>
      <c r="N822" s="531"/>
      <c r="O822" s="531"/>
      <c r="P822" s="531"/>
      <c r="Q822" s="531"/>
      <c r="R822" s="531"/>
      <c r="S822" s="531"/>
      <c r="T822" s="531"/>
      <c r="U822" s="531"/>
      <c r="V822" s="531"/>
      <c r="W822" s="531"/>
      <c r="X822" s="531"/>
      <c r="Y822" s="531"/>
      <c r="Z822" s="531"/>
      <c r="AA822" s="531"/>
    </row>
    <row r="823" spans="1:27" ht="15">
      <c r="A823" s="530"/>
      <c r="B823" s="527"/>
      <c r="C823" s="527"/>
      <c r="D823" s="527"/>
      <c r="E823" s="527"/>
      <c r="F823" s="527"/>
      <c r="G823" s="527"/>
      <c r="H823" s="527"/>
      <c r="I823" s="527"/>
      <c r="J823" s="528"/>
      <c r="K823" s="531"/>
      <c r="L823" s="531"/>
      <c r="M823" s="531"/>
      <c r="N823" s="531"/>
      <c r="O823" s="531"/>
      <c r="P823" s="531"/>
      <c r="Q823" s="531"/>
      <c r="R823" s="531"/>
      <c r="S823" s="531"/>
      <c r="T823" s="531"/>
      <c r="U823" s="531"/>
      <c r="V823" s="531"/>
      <c r="W823" s="531"/>
      <c r="X823" s="531"/>
      <c r="Y823" s="531"/>
      <c r="Z823" s="531"/>
      <c r="AA823" s="531"/>
    </row>
    <row r="824" spans="1:27" ht="15">
      <c r="A824" s="530"/>
      <c r="B824" s="527"/>
      <c r="C824" s="527"/>
      <c r="D824" s="527"/>
      <c r="E824" s="527"/>
      <c r="F824" s="527"/>
      <c r="G824" s="527"/>
      <c r="H824" s="527"/>
      <c r="I824" s="527"/>
      <c r="J824" s="528"/>
      <c r="K824" s="531"/>
      <c r="L824" s="531"/>
      <c r="M824" s="531"/>
      <c r="N824" s="531"/>
      <c r="O824" s="531"/>
      <c r="P824" s="531"/>
      <c r="Q824" s="531"/>
      <c r="R824" s="531"/>
      <c r="S824" s="531"/>
      <c r="T824" s="531"/>
      <c r="U824" s="531"/>
      <c r="V824" s="531"/>
      <c r="W824" s="531"/>
      <c r="X824" s="531"/>
      <c r="Y824" s="531"/>
      <c r="Z824" s="531"/>
      <c r="AA824" s="531"/>
    </row>
    <row r="825" spans="1:27" ht="15">
      <c r="A825" s="530"/>
      <c r="B825" s="527"/>
      <c r="C825" s="527"/>
      <c r="D825" s="527"/>
      <c r="E825" s="527"/>
      <c r="F825" s="527"/>
      <c r="G825" s="527"/>
      <c r="H825" s="527"/>
      <c r="I825" s="527"/>
      <c r="J825" s="528"/>
      <c r="K825" s="531"/>
      <c r="L825" s="531"/>
      <c r="M825" s="531"/>
      <c r="N825" s="531"/>
      <c r="O825" s="531"/>
      <c r="P825" s="531"/>
      <c r="Q825" s="531"/>
      <c r="R825" s="531"/>
      <c r="S825" s="531"/>
      <c r="T825" s="531"/>
      <c r="U825" s="531"/>
      <c r="V825" s="531"/>
      <c r="W825" s="531"/>
      <c r="X825" s="531"/>
      <c r="Y825" s="531"/>
      <c r="Z825" s="531"/>
      <c r="AA825" s="531"/>
    </row>
    <row r="826" spans="1:27" ht="15">
      <c r="A826" s="530"/>
      <c r="B826" s="527"/>
      <c r="C826" s="527"/>
      <c r="D826" s="527"/>
      <c r="E826" s="527"/>
      <c r="F826" s="527"/>
      <c r="G826" s="527"/>
      <c r="H826" s="527"/>
      <c r="I826" s="527"/>
      <c r="J826" s="528"/>
      <c r="K826" s="531"/>
      <c r="L826" s="531"/>
      <c r="M826" s="531"/>
      <c r="N826" s="531"/>
      <c r="O826" s="531"/>
      <c r="P826" s="531"/>
      <c r="Q826" s="531"/>
      <c r="R826" s="531"/>
      <c r="S826" s="531"/>
      <c r="T826" s="531"/>
      <c r="U826" s="531"/>
      <c r="V826" s="531"/>
      <c r="W826" s="531"/>
      <c r="X826" s="531"/>
      <c r="Y826" s="531"/>
      <c r="Z826" s="531"/>
      <c r="AA826" s="531"/>
    </row>
    <row r="827" spans="1:27" ht="15">
      <c r="A827" s="530"/>
      <c r="B827" s="527"/>
      <c r="C827" s="527"/>
      <c r="D827" s="527"/>
      <c r="E827" s="527"/>
      <c r="F827" s="527"/>
      <c r="G827" s="527"/>
      <c r="H827" s="527"/>
      <c r="I827" s="527"/>
      <c r="J827" s="528"/>
      <c r="K827" s="531"/>
      <c r="L827" s="531"/>
      <c r="M827" s="531"/>
      <c r="N827" s="531"/>
      <c r="O827" s="531"/>
      <c r="P827" s="531"/>
      <c r="Q827" s="531"/>
      <c r="R827" s="531"/>
      <c r="S827" s="531"/>
      <c r="T827" s="531"/>
      <c r="U827" s="531"/>
      <c r="V827" s="531"/>
      <c r="W827" s="531"/>
      <c r="X827" s="531"/>
      <c r="Y827" s="531"/>
      <c r="Z827" s="531"/>
      <c r="AA827" s="531"/>
    </row>
    <row r="828" spans="1:27" ht="15">
      <c r="A828" s="530"/>
      <c r="B828" s="527"/>
      <c r="C828" s="527"/>
      <c r="D828" s="527"/>
      <c r="E828" s="527"/>
      <c r="F828" s="527"/>
      <c r="G828" s="527"/>
      <c r="H828" s="527"/>
      <c r="I828" s="527"/>
      <c r="J828" s="528"/>
      <c r="K828" s="531"/>
      <c r="L828" s="531"/>
      <c r="M828" s="531"/>
      <c r="N828" s="531"/>
      <c r="O828" s="531"/>
      <c r="P828" s="531"/>
      <c r="Q828" s="531"/>
      <c r="R828" s="531"/>
      <c r="S828" s="531"/>
      <c r="T828" s="531"/>
      <c r="U828" s="531"/>
      <c r="V828" s="531"/>
      <c r="W828" s="531"/>
      <c r="X828" s="531"/>
      <c r="Y828" s="531"/>
      <c r="Z828" s="531"/>
      <c r="AA828" s="531"/>
    </row>
    <row r="829" spans="1:27" ht="15">
      <c r="A829" s="530"/>
      <c r="B829" s="527"/>
      <c r="C829" s="527"/>
      <c r="D829" s="527"/>
      <c r="E829" s="527"/>
      <c r="F829" s="527"/>
      <c r="G829" s="527"/>
      <c r="H829" s="527"/>
      <c r="I829" s="527"/>
      <c r="J829" s="528"/>
      <c r="K829" s="531"/>
      <c r="L829" s="531"/>
      <c r="M829" s="531"/>
      <c r="N829" s="531"/>
      <c r="O829" s="531"/>
      <c r="P829" s="531"/>
      <c r="Q829" s="531"/>
      <c r="R829" s="531"/>
      <c r="S829" s="531"/>
      <c r="T829" s="531"/>
      <c r="U829" s="531"/>
      <c r="V829" s="531"/>
      <c r="W829" s="531"/>
      <c r="X829" s="531"/>
      <c r="Y829" s="531"/>
      <c r="Z829" s="531"/>
      <c r="AA829" s="531"/>
    </row>
    <row r="830" spans="1:27" ht="15">
      <c r="A830" s="530"/>
      <c r="B830" s="527"/>
      <c r="C830" s="527"/>
      <c r="D830" s="527"/>
      <c r="E830" s="527"/>
      <c r="F830" s="527"/>
      <c r="G830" s="527"/>
      <c r="H830" s="527"/>
      <c r="I830" s="527"/>
      <c r="J830" s="528"/>
      <c r="K830" s="531"/>
      <c r="L830" s="531"/>
      <c r="M830" s="531"/>
      <c r="N830" s="531"/>
      <c r="O830" s="531"/>
      <c r="P830" s="531"/>
      <c r="Q830" s="531"/>
      <c r="R830" s="531"/>
      <c r="S830" s="531"/>
      <c r="T830" s="531"/>
      <c r="U830" s="531"/>
      <c r="V830" s="531"/>
      <c r="W830" s="531"/>
      <c r="X830" s="531"/>
      <c r="Y830" s="531"/>
      <c r="Z830" s="531"/>
      <c r="AA830" s="531"/>
    </row>
    <row r="831" spans="1:27" ht="15">
      <c r="A831" s="530"/>
      <c r="B831" s="527"/>
      <c r="C831" s="527"/>
      <c r="D831" s="527"/>
      <c r="E831" s="527"/>
      <c r="F831" s="527"/>
      <c r="G831" s="527"/>
      <c r="H831" s="527"/>
      <c r="I831" s="527"/>
      <c r="J831" s="528"/>
      <c r="K831" s="531"/>
      <c r="L831" s="531"/>
      <c r="M831" s="531"/>
      <c r="N831" s="531"/>
      <c r="O831" s="531"/>
      <c r="P831" s="531"/>
      <c r="Q831" s="531"/>
      <c r="R831" s="531"/>
      <c r="S831" s="531"/>
      <c r="T831" s="531"/>
      <c r="U831" s="531"/>
      <c r="V831" s="531"/>
      <c r="W831" s="531"/>
      <c r="X831" s="531"/>
      <c r="Y831" s="531"/>
      <c r="Z831" s="531"/>
      <c r="AA831" s="531"/>
    </row>
    <row r="832" spans="1:27" ht="15">
      <c r="A832" s="530"/>
      <c r="B832" s="527"/>
      <c r="C832" s="527"/>
      <c r="D832" s="527"/>
      <c r="E832" s="527"/>
      <c r="F832" s="527"/>
      <c r="G832" s="527"/>
      <c r="H832" s="527"/>
      <c r="I832" s="527"/>
      <c r="J832" s="528"/>
      <c r="K832" s="531"/>
      <c r="L832" s="531"/>
      <c r="M832" s="531"/>
      <c r="N832" s="531"/>
      <c r="O832" s="531"/>
      <c r="P832" s="531"/>
      <c r="Q832" s="531"/>
      <c r="R832" s="531"/>
      <c r="S832" s="531"/>
      <c r="T832" s="531"/>
      <c r="U832" s="531"/>
      <c r="V832" s="531"/>
      <c r="W832" s="531"/>
      <c r="X832" s="531"/>
      <c r="Y832" s="531"/>
      <c r="Z832" s="531"/>
      <c r="AA832" s="531"/>
    </row>
    <row r="833" spans="1:27" ht="15">
      <c r="A833" s="530"/>
      <c r="B833" s="527"/>
      <c r="C833" s="527"/>
      <c r="D833" s="527"/>
      <c r="E833" s="527"/>
      <c r="F833" s="527"/>
      <c r="G833" s="527"/>
      <c r="H833" s="527"/>
      <c r="I833" s="527"/>
      <c r="J833" s="528"/>
      <c r="K833" s="531"/>
      <c r="L833" s="531"/>
      <c r="M833" s="531"/>
      <c r="N833" s="531"/>
      <c r="O833" s="531"/>
      <c r="P833" s="531"/>
      <c r="Q833" s="531"/>
      <c r="R833" s="531"/>
      <c r="S833" s="531"/>
      <c r="T833" s="531"/>
      <c r="U833" s="531"/>
      <c r="V833" s="531"/>
      <c r="W833" s="531"/>
      <c r="X833" s="531"/>
      <c r="Y833" s="531"/>
      <c r="Z833" s="531"/>
      <c r="AA833" s="531"/>
    </row>
    <row r="834" spans="1:27" ht="15">
      <c r="A834" s="530"/>
      <c r="B834" s="527"/>
      <c r="C834" s="527"/>
      <c r="D834" s="527"/>
      <c r="E834" s="527"/>
      <c r="F834" s="527"/>
      <c r="G834" s="527"/>
      <c r="H834" s="527"/>
      <c r="I834" s="527"/>
      <c r="J834" s="528"/>
      <c r="K834" s="531"/>
      <c r="L834" s="531"/>
      <c r="M834" s="531"/>
      <c r="N834" s="531"/>
      <c r="O834" s="531"/>
      <c r="P834" s="531"/>
      <c r="Q834" s="531"/>
      <c r="R834" s="531"/>
      <c r="S834" s="531"/>
      <c r="T834" s="531"/>
      <c r="U834" s="531"/>
      <c r="V834" s="531"/>
      <c r="W834" s="531"/>
      <c r="X834" s="531"/>
      <c r="Y834" s="531"/>
      <c r="Z834" s="531"/>
      <c r="AA834" s="531"/>
    </row>
    <row r="835" spans="1:27" ht="15">
      <c r="A835" s="530"/>
      <c r="B835" s="527"/>
      <c r="C835" s="527"/>
      <c r="D835" s="527"/>
      <c r="E835" s="527"/>
      <c r="F835" s="527"/>
      <c r="G835" s="527"/>
      <c r="H835" s="527"/>
      <c r="I835" s="527"/>
      <c r="J835" s="528"/>
      <c r="K835" s="531"/>
      <c r="L835" s="531"/>
      <c r="M835" s="531"/>
      <c r="N835" s="531"/>
      <c r="O835" s="531"/>
      <c r="P835" s="531"/>
      <c r="Q835" s="531"/>
      <c r="R835" s="531"/>
      <c r="S835" s="531"/>
      <c r="T835" s="531"/>
      <c r="U835" s="531"/>
      <c r="V835" s="531"/>
      <c r="W835" s="531"/>
      <c r="X835" s="531"/>
      <c r="Y835" s="531"/>
      <c r="Z835" s="531"/>
      <c r="AA835" s="531"/>
    </row>
    <row r="836" spans="1:27" ht="15">
      <c r="A836" s="530"/>
      <c r="B836" s="527"/>
      <c r="C836" s="527"/>
      <c r="D836" s="527"/>
      <c r="E836" s="527"/>
      <c r="F836" s="527"/>
      <c r="G836" s="527"/>
      <c r="H836" s="527"/>
      <c r="I836" s="527"/>
      <c r="J836" s="528"/>
      <c r="K836" s="531"/>
      <c r="L836" s="531"/>
      <c r="M836" s="531"/>
      <c r="N836" s="531"/>
      <c r="O836" s="531"/>
      <c r="P836" s="531"/>
      <c r="Q836" s="531"/>
      <c r="R836" s="531"/>
      <c r="S836" s="531"/>
      <c r="T836" s="531"/>
      <c r="U836" s="531"/>
      <c r="V836" s="531"/>
      <c r="W836" s="531"/>
      <c r="X836" s="531"/>
      <c r="Y836" s="531"/>
      <c r="Z836" s="531"/>
      <c r="AA836" s="531"/>
    </row>
    <row r="837" spans="1:27" ht="15">
      <c r="A837" s="530"/>
      <c r="B837" s="527"/>
      <c r="C837" s="527"/>
      <c r="D837" s="527"/>
      <c r="E837" s="527"/>
      <c r="F837" s="527"/>
      <c r="G837" s="527"/>
      <c r="H837" s="527"/>
      <c r="I837" s="527"/>
      <c r="J837" s="528"/>
      <c r="K837" s="531"/>
      <c r="L837" s="531"/>
      <c r="M837" s="531"/>
      <c r="N837" s="531"/>
      <c r="O837" s="531"/>
      <c r="P837" s="531"/>
      <c r="Q837" s="531"/>
      <c r="R837" s="531"/>
      <c r="S837" s="531"/>
      <c r="T837" s="531"/>
      <c r="U837" s="531"/>
      <c r="V837" s="531"/>
      <c r="W837" s="531"/>
      <c r="X837" s="531"/>
      <c r="Y837" s="531"/>
      <c r="Z837" s="531"/>
      <c r="AA837" s="531"/>
    </row>
    <row r="838" spans="1:27" ht="15">
      <c r="A838" s="530"/>
      <c r="B838" s="527"/>
      <c r="C838" s="527"/>
      <c r="D838" s="527"/>
      <c r="E838" s="527"/>
      <c r="F838" s="527"/>
      <c r="G838" s="527"/>
      <c r="H838" s="527"/>
      <c r="I838" s="527"/>
      <c r="J838" s="528"/>
      <c r="K838" s="531"/>
      <c r="L838" s="531"/>
      <c r="M838" s="531"/>
      <c r="N838" s="531"/>
      <c r="O838" s="531"/>
      <c r="P838" s="531"/>
      <c r="Q838" s="531"/>
      <c r="R838" s="531"/>
      <c r="S838" s="531"/>
      <c r="T838" s="531"/>
      <c r="U838" s="531"/>
      <c r="V838" s="531"/>
      <c r="W838" s="531"/>
      <c r="X838" s="531"/>
      <c r="Y838" s="531"/>
      <c r="Z838" s="531"/>
      <c r="AA838" s="531"/>
    </row>
    <row r="839" spans="1:27" ht="15">
      <c r="A839" s="530"/>
      <c r="B839" s="527"/>
      <c r="C839" s="527"/>
      <c r="D839" s="527"/>
      <c r="E839" s="527"/>
      <c r="F839" s="527"/>
      <c r="G839" s="527"/>
      <c r="H839" s="527"/>
      <c r="I839" s="527"/>
      <c r="J839" s="528"/>
      <c r="K839" s="531"/>
      <c r="L839" s="531"/>
      <c r="M839" s="531"/>
      <c r="N839" s="531"/>
      <c r="O839" s="531"/>
      <c r="P839" s="531"/>
      <c r="Q839" s="531"/>
      <c r="R839" s="531"/>
      <c r="S839" s="531"/>
      <c r="T839" s="531"/>
      <c r="U839" s="531"/>
      <c r="V839" s="531"/>
      <c r="W839" s="531"/>
      <c r="X839" s="531"/>
      <c r="Y839" s="531"/>
      <c r="Z839" s="531"/>
      <c r="AA839" s="531"/>
    </row>
    <row r="840" spans="1:27" ht="15">
      <c r="A840" s="530"/>
      <c r="B840" s="527"/>
      <c r="C840" s="527"/>
      <c r="D840" s="527"/>
      <c r="E840" s="527"/>
      <c r="F840" s="527"/>
      <c r="G840" s="527"/>
      <c r="H840" s="527"/>
      <c r="I840" s="527"/>
      <c r="J840" s="528"/>
      <c r="K840" s="531"/>
      <c r="L840" s="531"/>
      <c r="M840" s="531"/>
      <c r="N840" s="531"/>
      <c r="O840" s="531"/>
      <c r="P840" s="531"/>
      <c r="Q840" s="531"/>
      <c r="R840" s="531"/>
      <c r="S840" s="531"/>
      <c r="T840" s="531"/>
      <c r="U840" s="531"/>
      <c r="V840" s="531"/>
      <c r="W840" s="531"/>
      <c r="X840" s="531"/>
      <c r="Y840" s="531"/>
      <c r="Z840" s="531"/>
      <c r="AA840" s="531"/>
    </row>
    <row r="841" spans="1:27" ht="15">
      <c r="A841" s="530"/>
      <c r="B841" s="527"/>
      <c r="C841" s="527"/>
      <c r="D841" s="527"/>
      <c r="E841" s="527"/>
      <c r="F841" s="527"/>
      <c r="G841" s="527"/>
      <c r="H841" s="527"/>
      <c r="I841" s="527"/>
      <c r="J841" s="528"/>
      <c r="K841" s="531"/>
      <c r="L841" s="531"/>
      <c r="M841" s="531"/>
      <c r="N841" s="531"/>
      <c r="O841" s="531"/>
      <c r="P841" s="531"/>
      <c r="Q841" s="531"/>
      <c r="R841" s="531"/>
      <c r="S841" s="531"/>
      <c r="T841" s="531"/>
      <c r="U841" s="531"/>
      <c r="V841" s="531"/>
      <c r="W841" s="531"/>
      <c r="X841" s="531"/>
      <c r="Y841" s="531"/>
      <c r="Z841" s="531"/>
      <c r="AA841" s="531"/>
    </row>
    <row r="842" spans="1:27" ht="15">
      <c r="A842" s="530"/>
      <c r="B842" s="527"/>
      <c r="C842" s="527"/>
      <c r="D842" s="527"/>
      <c r="E842" s="527"/>
      <c r="F842" s="527"/>
      <c r="G842" s="527"/>
      <c r="H842" s="527"/>
      <c r="I842" s="527"/>
      <c r="J842" s="528"/>
      <c r="K842" s="531"/>
      <c r="L842" s="531"/>
      <c r="M842" s="531"/>
      <c r="N842" s="531"/>
      <c r="O842" s="531"/>
      <c r="P842" s="531"/>
      <c r="Q842" s="531"/>
      <c r="R842" s="531"/>
      <c r="S842" s="531"/>
      <c r="T842" s="531"/>
      <c r="U842" s="531"/>
      <c r="V842" s="531"/>
      <c r="W842" s="531"/>
      <c r="X842" s="531"/>
      <c r="Y842" s="531"/>
      <c r="Z842" s="531"/>
      <c r="AA842" s="531"/>
    </row>
    <row r="843" spans="1:27" ht="15">
      <c r="A843" s="530"/>
      <c r="B843" s="527"/>
      <c r="C843" s="527"/>
      <c r="D843" s="527"/>
      <c r="E843" s="527"/>
      <c r="F843" s="527"/>
      <c r="G843" s="527"/>
      <c r="H843" s="527"/>
      <c r="I843" s="527"/>
      <c r="J843" s="528"/>
      <c r="K843" s="531"/>
      <c r="L843" s="531"/>
      <c r="M843" s="531"/>
      <c r="N843" s="531"/>
      <c r="O843" s="531"/>
      <c r="P843" s="531"/>
      <c r="Q843" s="531"/>
      <c r="R843" s="531"/>
      <c r="S843" s="531"/>
      <c r="T843" s="531"/>
      <c r="U843" s="531"/>
      <c r="V843" s="531"/>
      <c r="W843" s="531"/>
      <c r="X843" s="531"/>
      <c r="Y843" s="531"/>
      <c r="Z843" s="531"/>
      <c r="AA843" s="531"/>
    </row>
    <row r="844" spans="1:27" ht="15">
      <c r="A844" s="530"/>
      <c r="B844" s="527"/>
      <c r="C844" s="527"/>
      <c r="D844" s="527"/>
      <c r="E844" s="527"/>
      <c r="F844" s="527"/>
      <c r="G844" s="527"/>
      <c r="H844" s="527"/>
      <c r="I844" s="527"/>
      <c r="J844" s="528"/>
      <c r="K844" s="531"/>
      <c r="L844" s="531"/>
      <c r="M844" s="531"/>
      <c r="N844" s="531"/>
      <c r="O844" s="531"/>
      <c r="P844" s="531"/>
      <c r="Q844" s="531"/>
      <c r="R844" s="531"/>
      <c r="S844" s="531"/>
      <c r="T844" s="531"/>
      <c r="U844" s="531"/>
      <c r="V844" s="531"/>
      <c r="W844" s="531"/>
      <c r="X844" s="531"/>
      <c r="Y844" s="531"/>
      <c r="Z844" s="531"/>
      <c r="AA844" s="531"/>
    </row>
    <row r="845" spans="1:27" ht="15">
      <c r="A845" s="530"/>
      <c r="B845" s="527"/>
      <c r="C845" s="527"/>
      <c r="D845" s="527"/>
      <c r="E845" s="527"/>
      <c r="F845" s="527"/>
      <c r="G845" s="527"/>
      <c r="H845" s="527"/>
      <c r="I845" s="527"/>
      <c r="J845" s="528"/>
      <c r="K845" s="531"/>
      <c r="L845" s="531"/>
      <c r="M845" s="531"/>
      <c r="N845" s="531"/>
      <c r="O845" s="531"/>
      <c r="P845" s="531"/>
      <c r="Q845" s="531"/>
      <c r="R845" s="531"/>
      <c r="S845" s="531"/>
      <c r="T845" s="531"/>
      <c r="U845" s="531"/>
      <c r="V845" s="531"/>
      <c r="W845" s="531"/>
      <c r="X845" s="531"/>
      <c r="Y845" s="531"/>
      <c r="Z845" s="531"/>
      <c r="AA845" s="531"/>
    </row>
    <row r="846" spans="1:27" ht="15">
      <c r="A846" s="530"/>
      <c r="B846" s="527"/>
      <c r="C846" s="527"/>
      <c r="D846" s="527"/>
      <c r="E846" s="527"/>
      <c r="F846" s="527"/>
      <c r="G846" s="527"/>
      <c r="H846" s="527"/>
      <c r="I846" s="527"/>
      <c r="J846" s="528"/>
      <c r="K846" s="531"/>
      <c r="L846" s="531"/>
      <c r="M846" s="531"/>
      <c r="N846" s="531"/>
      <c r="O846" s="531"/>
      <c r="P846" s="531"/>
      <c r="Q846" s="531"/>
      <c r="R846" s="531"/>
      <c r="S846" s="531"/>
      <c r="T846" s="531"/>
      <c r="U846" s="531"/>
      <c r="V846" s="531"/>
      <c r="W846" s="531"/>
      <c r="X846" s="531"/>
      <c r="Y846" s="531"/>
      <c r="Z846" s="531"/>
      <c r="AA846" s="531"/>
    </row>
    <row r="847" spans="1:27" ht="15">
      <c r="A847" s="530"/>
      <c r="B847" s="527"/>
      <c r="C847" s="527"/>
      <c r="D847" s="527"/>
      <c r="E847" s="527"/>
      <c r="F847" s="527"/>
      <c r="G847" s="527"/>
      <c r="H847" s="527"/>
      <c r="I847" s="527"/>
      <c r="J847" s="528"/>
      <c r="K847" s="531"/>
      <c r="L847" s="531"/>
      <c r="M847" s="531"/>
      <c r="N847" s="531"/>
      <c r="O847" s="531"/>
      <c r="P847" s="531"/>
      <c r="Q847" s="531"/>
      <c r="R847" s="531"/>
      <c r="S847" s="531"/>
      <c r="T847" s="531"/>
      <c r="U847" s="531"/>
      <c r="V847" s="531"/>
      <c r="W847" s="531"/>
      <c r="X847" s="531"/>
      <c r="Y847" s="531"/>
      <c r="Z847" s="531"/>
      <c r="AA847" s="531"/>
    </row>
    <row r="848" spans="1:27" ht="15">
      <c r="A848" s="530"/>
      <c r="B848" s="527"/>
      <c r="C848" s="527"/>
      <c r="D848" s="527"/>
      <c r="E848" s="527"/>
      <c r="F848" s="527"/>
      <c r="G848" s="527"/>
      <c r="H848" s="527"/>
      <c r="I848" s="527"/>
      <c r="J848" s="528"/>
      <c r="K848" s="531"/>
      <c r="L848" s="531"/>
      <c r="M848" s="531"/>
      <c r="N848" s="531"/>
      <c r="O848" s="531"/>
      <c r="P848" s="531"/>
      <c r="Q848" s="531"/>
      <c r="R848" s="531"/>
      <c r="S848" s="531"/>
      <c r="T848" s="531"/>
      <c r="U848" s="531"/>
      <c r="V848" s="531"/>
      <c r="W848" s="531"/>
      <c r="X848" s="531"/>
      <c r="Y848" s="531"/>
      <c r="Z848" s="531"/>
      <c r="AA848" s="531"/>
    </row>
    <row r="849" spans="1:27" ht="15">
      <c r="A849" s="530"/>
      <c r="B849" s="527"/>
      <c r="C849" s="527"/>
      <c r="D849" s="527"/>
      <c r="E849" s="527"/>
      <c r="F849" s="527"/>
      <c r="G849" s="527"/>
      <c r="H849" s="527"/>
      <c r="I849" s="527"/>
      <c r="J849" s="528"/>
      <c r="K849" s="531"/>
      <c r="L849" s="531"/>
      <c r="M849" s="531"/>
      <c r="N849" s="531"/>
      <c r="O849" s="531"/>
      <c r="P849" s="531"/>
      <c r="Q849" s="531"/>
      <c r="R849" s="531"/>
      <c r="S849" s="531"/>
      <c r="T849" s="531"/>
      <c r="U849" s="531"/>
      <c r="V849" s="531"/>
      <c r="W849" s="531"/>
      <c r="X849" s="531"/>
      <c r="Y849" s="531"/>
      <c r="Z849" s="531"/>
      <c r="AA849" s="531"/>
    </row>
    <row r="850" spans="1:27" ht="15">
      <c r="A850" s="530"/>
      <c r="B850" s="527"/>
      <c r="C850" s="527"/>
      <c r="D850" s="527"/>
      <c r="E850" s="527"/>
      <c r="F850" s="527"/>
      <c r="G850" s="527"/>
      <c r="H850" s="527"/>
      <c r="I850" s="527"/>
      <c r="J850" s="528"/>
      <c r="K850" s="531"/>
      <c r="L850" s="531"/>
      <c r="M850" s="531"/>
      <c r="N850" s="531"/>
      <c r="O850" s="531"/>
      <c r="P850" s="531"/>
      <c r="Q850" s="531"/>
      <c r="R850" s="531"/>
      <c r="S850" s="531"/>
      <c r="T850" s="531"/>
      <c r="U850" s="531"/>
      <c r="V850" s="531"/>
      <c r="W850" s="531"/>
      <c r="X850" s="531"/>
      <c r="Y850" s="531"/>
      <c r="Z850" s="531"/>
      <c r="AA850" s="531"/>
    </row>
    <row r="851" spans="1:27" ht="15">
      <c r="A851" s="530"/>
      <c r="B851" s="527"/>
      <c r="C851" s="527"/>
      <c r="D851" s="527"/>
      <c r="E851" s="527"/>
      <c r="F851" s="527"/>
      <c r="G851" s="527"/>
      <c r="H851" s="527"/>
      <c r="I851" s="527"/>
      <c r="J851" s="528"/>
      <c r="K851" s="531"/>
      <c r="L851" s="531"/>
      <c r="M851" s="531"/>
      <c r="N851" s="531"/>
      <c r="O851" s="531"/>
      <c r="P851" s="531"/>
      <c r="Q851" s="531"/>
      <c r="R851" s="531"/>
      <c r="S851" s="531"/>
      <c r="T851" s="531"/>
      <c r="U851" s="531"/>
      <c r="V851" s="531"/>
      <c r="W851" s="531"/>
      <c r="X851" s="531"/>
      <c r="Y851" s="531"/>
      <c r="Z851" s="531"/>
      <c r="AA851" s="531"/>
    </row>
    <row r="852" spans="1:27" ht="15">
      <c r="A852" s="530"/>
      <c r="B852" s="527"/>
      <c r="C852" s="527"/>
      <c r="D852" s="527"/>
      <c r="E852" s="527"/>
      <c r="F852" s="527"/>
      <c r="G852" s="527"/>
      <c r="H852" s="527"/>
      <c r="I852" s="527"/>
      <c r="J852" s="528"/>
      <c r="K852" s="531"/>
      <c r="L852" s="531"/>
      <c r="M852" s="531"/>
      <c r="N852" s="531"/>
      <c r="O852" s="531"/>
      <c r="P852" s="531"/>
      <c r="Q852" s="531"/>
      <c r="R852" s="531"/>
      <c r="S852" s="531"/>
      <c r="T852" s="531"/>
      <c r="U852" s="531"/>
      <c r="V852" s="531"/>
      <c r="W852" s="531"/>
      <c r="X852" s="531"/>
      <c r="Y852" s="531"/>
      <c r="Z852" s="531"/>
      <c r="AA852" s="531"/>
    </row>
    <row r="853" spans="1:27" ht="15">
      <c r="A853" s="530"/>
      <c r="B853" s="527"/>
      <c r="C853" s="527"/>
      <c r="D853" s="527"/>
      <c r="E853" s="527"/>
      <c r="F853" s="527"/>
      <c r="G853" s="527"/>
      <c r="H853" s="527"/>
      <c r="I853" s="527"/>
      <c r="J853" s="528"/>
      <c r="K853" s="531"/>
      <c r="L853" s="531"/>
      <c r="M853" s="531"/>
      <c r="N853" s="531"/>
      <c r="O853" s="531"/>
      <c r="P853" s="531"/>
      <c r="Q853" s="531"/>
      <c r="R853" s="531"/>
      <c r="S853" s="531"/>
      <c r="T853" s="531"/>
      <c r="U853" s="531"/>
      <c r="V853" s="531"/>
      <c r="W853" s="531"/>
      <c r="X853" s="531"/>
      <c r="Y853" s="531"/>
      <c r="Z853" s="531"/>
      <c r="AA853" s="531"/>
    </row>
    <row r="854" spans="1:27" ht="15">
      <c r="A854" s="530"/>
      <c r="B854" s="527"/>
      <c r="C854" s="527"/>
      <c r="D854" s="527"/>
      <c r="E854" s="527"/>
      <c r="F854" s="527"/>
      <c r="G854" s="527"/>
      <c r="H854" s="527"/>
      <c r="I854" s="527"/>
      <c r="J854" s="528"/>
      <c r="K854" s="531"/>
      <c r="L854" s="531"/>
      <c r="M854" s="531"/>
      <c r="N854" s="531"/>
      <c r="O854" s="531"/>
      <c r="P854" s="531"/>
      <c r="Q854" s="531"/>
      <c r="R854" s="531"/>
      <c r="S854" s="531"/>
      <c r="T854" s="531"/>
      <c r="U854" s="531"/>
      <c r="V854" s="531"/>
      <c r="W854" s="531"/>
      <c r="X854" s="531"/>
      <c r="Y854" s="531"/>
      <c r="Z854" s="531"/>
      <c r="AA854" s="531"/>
    </row>
    <row r="855" spans="1:27" ht="15">
      <c r="A855" s="530"/>
      <c r="B855" s="527"/>
      <c r="C855" s="527"/>
      <c r="D855" s="527"/>
      <c r="E855" s="527"/>
      <c r="F855" s="527"/>
      <c r="G855" s="527"/>
      <c r="H855" s="527"/>
      <c r="I855" s="527"/>
      <c r="J855" s="528"/>
      <c r="K855" s="531"/>
      <c r="L855" s="531"/>
      <c r="M855" s="531"/>
      <c r="N855" s="531"/>
      <c r="O855" s="531"/>
      <c r="P855" s="531"/>
      <c r="Q855" s="531"/>
      <c r="R855" s="531"/>
      <c r="S855" s="531"/>
      <c r="T855" s="531"/>
      <c r="U855" s="531"/>
      <c r="V855" s="531"/>
      <c r="W855" s="531"/>
      <c r="X855" s="531"/>
      <c r="Y855" s="531"/>
      <c r="Z855" s="531"/>
      <c r="AA855" s="531"/>
    </row>
    <row r="856" spans="1:27" ht="15">
      <c r="A856" s="530"/>
      <c r="B856" s="527"/>
      <c r="C856" s="527"/>
      <c r="D856" s="527"/>
      <c r="E856" s="527"/>
      <c r="F856" s="527"/>
      <c r="G856" s="527"/>
      <c r="H856" s="527"/>
      <c r="I856" s="527"/>
      <c r="J856" s="528"/>
      <c r="K856" s="531"/>
      <c r="L856" s="531"/>
      <c r="M856" s="531"/>
      <c r="N856" s="531"/>
      <c r="O856" s="531"/>
      <c r="P856" s="531"/>
      <c r="Q856" s="531"/>
      <c r="R856" s="531"/>
      <c r="S856" s="531"/>
      <c r="T856" s="531"/>
      <c r="U856" s="531"/>
      <c r="V856" s="531"/>
      <c r="W856" s="531"/>
      <c r="X856" s="531"/>
      <c r="Y856" s="531"/>
      <c r="Z856" s="531"/>
      <c r="AA856" s="531"/>
    </row>
    <row r="857" spans="1:27" ht="15">
      <c r="A857" s="530"/>
      <c r="B857" s="527"/>
      <c r="C857" s="527"/>
      <c r="D857" s="527"/>
      <c r="E857" s="527"/>
      <c r="F857" s="527"/>
      <c r="G857" s="527"/>
      <c r="H857" s="527"/>
      <c r="I857" s="527"/>
      <c r="J857" s="528"/>
      <c r="K857" s="531"/>
      <c r="L857" s="531"/>
      <c r="M857" s="531"/>
      <c r="N857" s="531"/>
      <c r="O857" s="531"/>
      <c r="P857" s="531"/>
      <c r="Q857" s="531"/>
      <c r="R857" s="531"/>
      <c r="S857" s="531"/>
      <c r="T857" s="531"/>
      <c r="U857" s="531"/>
      <c r="V857" s="531"/>
      <c r="W857" s="531"/>
      <c r="X857" s="531"/>
      <c r="Y857" s="531"/>
      <c r="Z857" s="531"/>
      <c r="AA857" s="531"/>
    </row>
    <row r="858" spans="1:27" ht="15">
      <c r="A858" s="530"/>
      <c r="B858" s="527"/>
      <c r="C858" s="527"/>
      <c r="D858" s="527"/>
      <c r="E858" s="527"/>
      <c r="F858" s="527"/>
      <c r="G858" s="527"/>
      <c r="H858" s="527"/>
      <c r="I858" s="527"/>
      <c r="J858" s="528"/>
      <c r="K858" s="531"/>
      <c r="L858" s="531"/>
      <c r="M858" s="531"/>
      <c r="N858" s="531"/>
      <c r="O858" s="531"/>
      <c r="P858" s="531"/>
      <c r="Q858" s="531"/>
      <c r="R858" s="531"/>
      <c r="S858" s="531"/>
      <c r="T858" s="531"/>
      <c r="U858" s="531"/>
      <c r="V858" s="531"/>
      <c r="W858" s="531"/>
      <c r="X858" s="531"/>
      <c r="Y858" s="531"/>
      <c r="Z858" s="531"/>
      <c r="AA858" s="531"/>
    </row>
    <row r="859" spans="1:27" ht="15">
      <c r="A859" s="530"/>
      <c r="B859" s="527"/>
      <c r="C859" s="527"/>
      <c r="D859" s="527"/>
      <c r="E859" s="527"/>
      <c r="F859" s="527"/>
      <c r="G859" s="527"/>
      <c r="H859" s="527"/>
      <c r="I859" s="527"/>
      <c r="J859" s="528"/>
      <c r="K859" s="531"/>
      <c r="L859" s="531"/>
      <c r="M859" s="531"/>
      <c r="N859" s="531"/>
      <c r="O859" s="531"/>
      <c r="P859" s="531"/>
      <c r="Q859" s="531"/>
      <c r="R859" s="531"/>
      <c r="S859" s="531"/>
      <c r="T859" s="531"/>
      <c r="U859" s="531"/>
      <c r="V859" s="531"/>
      <c r="W859" s="531"/>
      <c r="X859" s="531"/>
      <c r="Y859" s="531"/>
      <c r="Z859" s="531"/>
      <c r="AA859" s="531"/>
    </row>
    <row r="860" spans="1:27" ht="15">
      <c r="A860" s="530"/>
      <c r="B860" s="527"/>
      <c r="C860" s="527"/>
      <c r="D860" s="527"/>
      <c r="E860" s="527"/>
      <c r="F860" s="527"/>
      <c r="G860" s="527"/>
      <c r="H860" s="527"/>
      <c r="I860" s="527"/>
      <c r="J860" s="528"/>
      <c r="K860" s="531"/>
      <c r="L860" s="531"/>
      <c r="M860" s="531"/>
      <c r="N860" s="531"/>
      <c r="O860" s="531"/>
      <c r="P860" s="531"/>
      <c r="Q860" s="531"/>
      <c r="R860" s="531"/>
      <c r="S860" s="531"/>
      <c r="T860" s="531"/>
      <c r="U860" s="531"/>
      <c r="V860" s="531"/>
      <c r="W860" s="531"/>
      <c r="X860" s="531"/>
      <c r="Y860" s="531"/>
      <c r="Z860" s="531"/>
      <c r="AA860" s="531"/>
    </row>
    <row r="861" spans="1:27" ht="15">
      <c r="A861" s="530"/>
      <c r="B861" s="527"/>
      <c r="C861" s="527"/>
      <c r="D861" s="527"/>
      <c r="E861" s="527"/>
      <c r="F861" s="527"/>
      <c r="G861" s="527"/>
      <c r="H861" s="527"/>
      <c r="I861" s="527"/>
      <c r="J861" s="528"/>
      <c r="K861" s="531"/>
      <c r="L861" s="531"/>
      <c r="M861" s="531"/>
      <c r="N861" s="531"/>
      <c r="O861" s="531"/>
      <c r="P861" s="531"/>
      <c r="Q861" s="531"/>
      <c r="R861" s="531"/>
      <c r="S861" s="531"/>
      <c r="T861" s="531"/>
      <c r="U861" s="531"/>
      <c r="V861" s="531"/>
      <c r="W861" s="531"/>
      <c r="X861" s="531"/>
      <c r="Y861" s="531"/>
      <c r="Z861" s="531"/>
      <c r="AA861" s="531"/>
    </row>
    <row r="862" spans="1:27" ht="15">
      <c r="A862" s="530"/>
      <c r="B862" s="527"/>
      <c r="C862" s="527"/>
      <c r="D862" s="527"/>
      <c r="E862" s="527"/>
      <c r="F862" s="527"/>
      <c r="G862" s="527"/>
      <c r="H862" s="527"/>
      <c r="I862" s="527"/>
      <c r="J862" s="528"/>
      <c r="K862" s="531"/>
      <c r="L862" s="531"/>
      <c r="M862" s="531"/>
      <c r="N862" s="531"/>
      <c r="O862" s="531"/>
      <c r="P862" s="531"/>
      <c r="Q862" s="531"/>
      <c r="R862" s="531"/>
      <c r="S862" s="531"/>
      <c r="T862" s="531"/>
      <c r="U862" s="531"/>
      <c r="V862" s="531"/>
      <c r="W862" s="531"/>
      <c r="X862" s="531"/>
      <c r="Y862" s="531"/>
      <c r="Z862" s="531"/>
      <c r="AA862" s="531"/>
    </row>
    <row r="863" spans="1:27" ht="15">
      <c r="A863" s="530"/>
      <c r="B863" s="527"/>
      <c r="C863" s="527"/>
      <c r="D863" s="527"/>
      <c r="E863" s="527"/>
      <c r="F863" s="527"/>
      <c r="G863" s="527"/>
      <c r="H863" s="527"/>
      <c r="I863" s="527"/>
      <c r="J863" s="528"/>
      <c r="K863" s="531"/>
      <c r="L863" s="531"/>
      <c r="M863" s="531"/>
      <c r="N863" s="531"/>
      <c r="O863" s="531"/>
      <c r="P863" s="531"/>
      <c r="Q863" s="531"/>
      <c r="R863" s="531"/>
      <c r="S863" s="531"/>
      <c r="T863" s="531"/>
      <c r="U863" s="531"/>
      <c r="V863" s="531"/>
      <c r="W863" s="531"/>
      <c r="X863" s="531"/>
      <c r="Y863" s="531"/>
      <c r="Z863" s="531"/>
      <c r="AA863" s="531"/>
    </row>
    <row r="864" spans="1:27" ht="15">
      <c r="A864" s="530"/>
      <c r="B864" s="527"/>
      <c r="C864" s="527"/>
      <c r="D864" s="527"/>
      <c r="E864" s="527"/>
      <c r="F864" s="527"/>
      <c r="G864" s="527"/>
      <c r="H864" s="527"/>
      <c r="I864" s="527"/>
      <c r="J864" s="528"/>
      <c r="K864" s="531"/>
      <c r="L864" s="531"/>
      <c r="M864" s="531"/>
      <c r="N864" s="531"/>
      <c r="O864" s="531"/>
      <c r="P864" s="531"/>
      <c r="Q864" s="531"/>
      <c r="R864" s="531"/>
      <c r="S864" s="531"/>
      <c r="T864" s="531"/>
      <c r="U864" s="531"/>
      <c r="V864" s="531"/>
      <c r="W864" s="531"/>
      <c r="X864" s="531"/>
      <c r="Y864" s="531"/>
      <c r="Z864" s="531"/>
      <c r="AA864" s="531"/>
    </row>
    <row r="865" spans="1:27" ht="15">
      <c r="A865" s="530"/>
      <c r="B865" s="527"/>
      <c r="C865" s="527"/>
      <c r="D865" s="527"/>
      <c r="E865" s="527"/>
      <c r="F865" s="527"/>
      <c r="G865" s="527"/>
      <c r="H865" s="527"/>
      <c r="I865" s="527"/>
      <c r="J865" s="528"/>
      <c r="K865" s="531"/>
      <c r="L865" s="531"/>
      <c r="M865" s="531"/>
      <c r="N865" s="531"/>
      <c r="O865" s="531"/>
      <c r="P865" s="531"/>
      <c r="Q865" s="531"/>
      <c r="R865" s="531"/>
      <c r="S865" s="531"/>
      <c r="T865" s="531"/>
      <c r="U865" s="531"/>
      <c r="V865" s="531"/>
      <c r="W865" s="531"/>
      <c r="X865" s="531"/>
      <c r="Y865" s="531"/>
      <c r="Z865" s="531"/>
      <c r="AA865" s="531"/>
    </row>
    <row r="866" spans="1:27" ht="15">
      <c r="A866" s="530"/>
      <c r="B866" s="527"/>
      <c r="C866" s="527"/>
      <c r="D866" s="527"/>
      <c r="E866" s="527"/>
      <c r="F866" s="527"/>
      <c r="G866" s="527"/>
      <c r="H866" s="527"/>
      <c r="I866" s="527"/>
      <c r="J866" s="528"/>
      <c r="K866" s="531"/>
      <c r="L866" s="531"/>
      <c r="M866" s="531"/>
      <c r="N866" s="531"/>
      <c r="O866" s="531"/>
      <c r="P866" s="531"/>
      <c r="Q866" s="531"/>
      <c r="R866" s="531"/>
      <c r="S866" s="531"/>
      <c r="T866" s="531"/>
      <c r="U866" s="531"/>
      <c r="V866" s="531"/>
      <c r="W866" s="531"/>
      <c r="X866" s="531"/>
      <c r="Y866" s="531"/>
      <c r="Z866" s="531"/>
      <c r="AA866" s="531"/>
    </row>
    <row r="867" spans="1:27" ht="15">
      <c r="A867" s="530"/>
      <c r="B867" s="527"/>
      <c r="C867" s="527"/>
      <c r="D867" s="527"/>
      <c r="E867" s="527"/>
      <c r="F867" s="527"/>
      <c r="G867" s="527"/>
      <c r="H867" s="527"/>
      <c r="I867" s="527"/>
      <c r="J867" s="528"/>
      <c r="K867" s="531"/>
      <c r="L867" s="531"/>
      <c r="M867" s="531"/>
      <c r="N867" s="531"/>
      <c r="O867" s="531"/>
      <c r="P867" s="531"/>
      <c r="Q867" s="531"/>
      <c r="R867" s="531"/>
      <c r="S867" s="531"/>
      <c r="T867" s="531"/>
      <c r="U867" s="531"/>
      <c r="V867" s="531"/>
      <c r="W867" s="531"/>
      <c r="X867" s="531"/>
      <c r="Y867" s="531"/>
      <c r="Z867" s="531"/>
      <c r="AA867" s="531"/>
    </row>
    <row r="868" spans="1:27" ht="15">
      <c r="A868" s="530"/>
      <c r="B868" s="527"/>
      <c r="C868" s="527"/>
      <c r="D868" s="527"/>
      <c r="E868" s="527"/>
      <c r="F868" s="527"/>
      <c r="G868" s="527"/>
      <c r="H868" s="527"/>
      <c r="I868" s="527"/>
      <c r="J868" s="528"/>
      <c r="K868" s="531"/>
      <c r="L868" s="531"/>
      <c r="M868" s="531"/>
      <c r="N868" s="531"/>
      <c r="O868" s="531"/>
      <c r="P868" s="531"/>
      <c r="Q868" s="531"/>
      <c r="R868" s="531"/>
      <c r="S868" s="531"/>
      <c r="T868" s="531"/>
      <c r="U868" s="531"/>
      <c r="V868" s="531"/>
      <c r="W868" s="531"/>
      <c r="X868" s="531"/>
      <c r="Y868" s="531"/>
      <c r="Z868" s="531"/>
      <c r="AA868" s="531"/>
    </row>
    <row r="869" spans="1:27" ht="15">
      <c r="A869" s="530"/>
      <c r="B869" s="527"/>
      <c r="C869" s="527"/>
      <c r="D869" s="527"/>
      <c r="E869" s="527"/>
      <c r="F869" s="527"/>
      <c r="G869" s="527"/>
      <c r="H869" s="527"/>
      <c r="I869" s="527"/>
      <c r="J869" s="528"/>
      <c r="K869" s="531"/>
      <c r="L869" s="531"/>
      <c r="M869" s="531"/>
      <c r="N869" s="531"/>
      <c r="O869" s="531"/>
      <c r="P869" s="531"/>
      <c r="Q869" s="531"/>
      <c r="R869" s="531"/>
      <c r="S869" s="531"/>
      <c r="T869" s="531"/>
      <c r="U869" s="531"/>
      <c r="V869" s="531"/>
      <c r="W869" s="531"/>
      <c r="X869" s="531"/>
      <c r="Y869" s="531"/>
      <c r="Z869" s="531"/>
      <c r="AA869" s="531"/>
    </row>
    <row r="870" spans="1:27" ht="15">
      <c r="A870" s="530"/>
      <c r="B870" s="527"/>
      <c r="C870" s="527"/>
      <c r="D870" s="527"/>
      <c r="E870" s="527"/>
      <c r="F870" s="527"/>
      <c r="G870" s="527"/>
      <c r="H870" s="527"/>
      <c r="I870" s="527"/>
      <c r="J870" s="528"/>
      <c r="K870" s="531"/>
      <c r="L870" s="531"/>
      <c r="M870" s="531"/>
      <c r="N870" s="531"/>
      <c r="O870" s="531"/>
      <c r="P870" s="531"/>
      <c r="Q870" s="531"/>
      <c r="R870" s="531"/>
      <c r="S870" s="531"/>
      <c r="T870" s="531"/>
      <c r="U870" s="531"/>
      <c r="V870" s="531"/>
      <c r="W870" s="531"/>
      <c r="X870" s="531"/>
      <c r="Y870" s="531"/>
      <c r="Z870" s="531"/>
      <c r="AA870" s="531"/>
    </row>
    <row r="871" spans="1:27" ht="15">
      <c r="A871" s="530"/>
      <c r="B871" s="527"/>
      <c r="C871" s="527"/>
      <c r="D871" s="527"/>
      <c r="E871" s="527"/>
      <c r="F871" s="527"/>
      <c r="G871" s="527"/>
      <c r="H871" s="527"/>
      <c r="I871" s="527"/>
      <c r="J871" s="528"/>
      <c r="K871" s="531"/>
      <c r="L871" s="531"/>
      <c r="M871" s="531"/>
      <c r="N871" s="531"/>
      <c r="O871" s="531"/>
      <c r="P871" s="531"/>
      <c r="Q871" s="531"/>
      <c r="R871" s="531"/>
      <c r="S871" s="531"/>
      <c r="T871" s="531"/>
      <c r="U871" s="531"/>
      <c r="V871" s="531"/>
      <c r="W871" s="531"/>
      <c r="X871" s="531"/>
      <c r="Y871" s="531"/>
      <c r="Z871" s="531"/>
      <c r="AA871" s="531"/>
    </row>
    <row r="872" spans="1:27" ht="15">
      <c r="A872" s="530"/>
      <c r="B872" s="527"/>
      <c r="C872" s="527"/>
      <c r="D872" s="527"/>
      <c r="E872" s="527"/>
      <c r="F872" s="527"/>
      <c r="G872" s="527"/>
      <c r="H872" s="527"/>
      <c r="I872" s="527"/>
      <c r="J872" s="528"/>
      <c r="K872" s="531"/>
      <c r="L872" s="531"/>
      <c r="M872" s="531"/>
      <c r="N872" s="531"/>
      <c r="O872" s="531"/>
      <c r="P872" s="531"/>
      <c r="Q872" s="531"/>
      <c r="R872" s="531"/>
      <c r="S872" s="531"/>
      <c r="T872" s="531"/>
      <c r="U872" s="531"/>
      <c r="V872" s="531"/>
      <c r="W872" s="531"/>
      <c r="X872" s="531"/>
      <c r="Y872" s="531"/>
      <c r="Z872" s="531"/>
      <c r="AA872" s="531"/>
    </row>
    <row r="873" spans="1:27" ht="15">
      <c r="A873" s="530"/>
      <c r="B873" s="527"/>
      <c r="C873" s="527"/>
      <c r="D873" s="527"/>
      <c r="E873" s="527"/>
      <c r="F873" s="527"/>
      <c r="G873" s="527"/>
      <c r="H873" s="527"/>
      <c r="I873" s="527"/>
      <c r="J873" s="528"/>
      <c r="K873" s="531"/>
      <c r="L873" s="531"/>
      <c r="M873" s="531"/>
      <c r="N873" s="531"/>
      <c r="O873" s="531"/>
      <c r="P873" s="531"/>
      <c r="Q873" s="531"/>
      <c r="R873" s="531"/>
      <c r="S873" s="531"/>
      <c r="T873" s="531"/>
      <c r="U873" s="531"/>
      <c r="V873" s="531"/>
      <c r="W873" s="531"/>
      <c r="X873" s="531"/>
      <c r="Y873" s="531"/>
      <c r="Z873" s="531"/>
      <c r="AA873" s="531"/>
    </row>
    <row r="874" spans="1:27" ht="15">
      <c r="A874" s="530"/>
      <c r="B874" s="527"/>
      <c r="C874" s="527"/>
      <c r="D874" s="527"/>
      <c r="E874" s="527"/>
      <c r="F874" s="527"/>
      <c r="G874" s="527"/>
      <c r="H874" s="527"/>
      <c r="I874" s="527"/>
      <c r="J874" s="528"/>
      <c r="K874" s="531"/>
      <c r="L874" s="531"/>
      <c r="M874" s="531"/>
      <c r="N874" s="531"/>
      <c r="O874" s="531"/>
      <c r="P874" s="531"/>
      <c r="Q874" s="531"/>
      <c r="R874" s="531"/>
      <c r="S874" s="531"/>
      <c r="T874" s="531"/>
      <c r="U874" s="531"/>
      <c r="V874" s="531"/>
      <c r="W874" s="531"/>
      <c r="X874" s="531"/>
      <c r="Y874" s="531"/>
      <c r="Z874" s="531"/>
      <c r="AA874" s="531"/>
    </row>
    <row r="875" spans="1:27" ht="15">
      <c r="A875" s="530"/>
      <c r="B875" s="527"/>
      <c r="C875" s="527"/>
      <c r="D875" s="527"/>
      <c r="E875" s="527"/>
      <c r="F875" s="527"/>
      <c r="G875" s="527"/>
      <c r="H875" s="527"/>
      <c r="I875" s="527"/>
      <c r="J875" s="528"/>
      <c r="K875" s="531"/>
      <c r="L875" s="531"/>
      <c r="M875" s="531"/>
      <c r="N875" s="531"/>
      <c r="O875" s="531"/>
      <c r="P875" s="531"/>
      <c r="Q875" s="531"/>
      <c r="R875" s="531"/>
      <c r="S875" s="531"/>
      <c r="T875" s="531"/>
      <c r="U875" s="531"/>
      <c r="V875" s="531"/>
      <c r="W875" s="531"/>
      <c r="X875" s="531"/>
      <c r="Y875" s="531"/>
      <c r="Z875" s="531"/>
      <c r="AA875" s="531"/>
    </row>
    <row r="876" spans="1:27" ht="15">
      <c r="A876" s="530"/>
      <c r="B876" s="527"/>
      <c r="C876" s="527"/>
      <c r="D876" s="527"/>
      <c r="E876" s="527"/>
      <c r="F876" s="527"/>
      <c r="G876" s="527"/>
      <c r="H876" s="527"/>
      <c r="I876" s="527"/>
      <c r="J876" s="528"/>
      <c r="K876" s="531"/>
      <c r="L876" s="531"/>
      <c r="M876" s="531"/>
      <c r="N876" s="531"/>
      <c r="O876" s="531"/>
      <c r="P876" s="531"/>
      <c r="Q876" s="531"/>
      <c r="R876" s="531"/>
      <c r="S876" s="531"/>
      <c r="T876" s="531"/>
      <c r="U876" s="531"/>
      <c r="V876" s="531"/>
      <c r="W876" s="531"/>
      <c r="X876" s="531"/>
      <c r="Y876" s="531"/>
      <c r="Z876" s="531"/>
      <c r="AA876" s="531"/>
    </row>
    <row r="877" spans="1:27" ht="15">
      <c r="A877" s="530"/>
      <c r="B877" s="527"/>
      <c r="C877" s="527"/>
      <c r="D877" s="527"/>
      <c r="E877" s="527"/>
      <c r="F877" s="527"/>
      <c r="G877" s="527"/>
      <c r="H877" s="527"/>
      <c r="I877" s="527"/>
      <c r="J877" s="528"/>
      <c r="K877" s="531"/>
      <c r="L877" s="531"/>
      <c r="M877" s="531"/>
      <c r="N877" s="531"/>
      <c r="O877" s="531"/>
      <c r="P877" s="531"/>
      <c r="Q877" s="531"/>
      <c r="R877" s="531"/>
      <c r="S877" s="531"/>
      <c r="T877" s="531"/>
      <c r="U877" s="531"/>
      <c r="V877" s="531"/>
      <c r="W877" s="531"/>
      <c r="X877" s="531"/>
      <c r="Y877" s="531"/>
      <c r="Z877" s="531"/>
      <c r="AA877" s="531"/>
    </row>
    <row r="878" spans="1:27" ht="15">
      <c r="A878" s="530"/>
      <c r="B878" s="527"/>
      <c r="C878" s="527"/>
      <c r="D878" s="527"/>
      <c r="E878" s="527"/>
      <c r="F878" s="527"/>
      <c r="G878" s="527"/>
      <c r="H878" s="527"/>
      <c r="I878" s="527"/>
      <c r="J878" s="528"/>
      <c r="K878" s="531"/>
      <c r="L878" s="531"/>
      <c r="M878" s="531"/>
      <c r="N878" s="531"/>
      <c r="O878" s="531"/>
      <c r="P878" s="531"/>
      <c r="Q878" s="531"/>
      <c r="R878" s="531"/>
      <c r="S878" s="531"/>
      <c r="T878" s="531"/>
      <c r="U878" s="531"/>
      <c r="V878" s="531"/>
      <c r="W878" s="531"/>
      <c r="X878" s="531"/>
      <c r="Y878" s="531"/>
      <c r="Z878" s="531"/>
      <c r="AA878" s="531"/>
    </row>
    <row r="879" spans="1:27" ht="15">
      <c r="A879" s="530"/>
      <c r="B879" s="527"/>
      <c r="C879" s="527"/>
      <c r="D879" s="527"/>
      <c r="E879" s="527"/>
      <c r="F879" s="527"/>
      <c r="G879" s="527"/>
      <c r="H879" s="527"/>
      <c r="I879" s="527"/>
      <c r="J879" s="528"/>
      <c r="K879" s="531"/>
      <c r="L879" s="531"/>
      <c r="M879" s="531"/>
      <c r="N879" s="531"/>
      <c r="O879" s="531"/>
      <c r="P879" s="531"/>
      <c r="Q879" s="531"/>
      <c r="R879" s="531"/>
      <c r="S879" s="531"/>
      <c r="T879" s="531"/>
      <c r="U879" s="531"/>
      <c r="V879" s="531"/>
      <c r="W879" s="531"/>
      <c r="X879" s="531"/>
      <c r="Y879" s="531"/>
      <c r="Z879" s="531"/>
      <c r="AA879" s="531"/>
    </row>
    <row r="880" spans="1:27" ht="15">
      <c r="A880" s="530"/>
      <c r="B880" s="527"/>
      <c r="C880" s="527"/>
      <c r="D880" s="527"/>
      <c r="E880" s="527"/>
      <c r="F880" s="527"/>
      <c r="G880" s="527"/>
      <c r="H880" s="527"/>
      <c r="I880" s="527"/>
      <c r="J880" s="528"/>
      <c r="K880" s="531"/>
      <c r="L880" s="531"/>
      <c r="M880" s="531"/>
      <c r="N880" s="531"/>
      <c r="O880" s="531"/>
      <c r="P880" s="531"/>
      <c r="Q880" s="531"/>
      <c r="R880" s="531"/>
      <c r="S880" s="531"/>
      <c r="T880" s="531"/>
      <c r="U880" s="531"/>
      <c r="V880" s="531"/>
      <c r="W880" s="531"/>
      <c r="X880" s="531"/>
      <c r="Y880" s="531"/>
      <c r="Z880" s="531"/>
      <c r="AA880" s="531"/>
    </row>
    <row r="881" spans="1:27" ht="15">
      <c r="A881" s="530"/>
      <c r="B881" s="527"/>
      <c r="C881" s="527"/>
      <c r="D881" s="527"/>
      <c r="E881" s="527"/>
      <c r="F881" s="527"/>
      <c r="G881" s="527"/>
      <c r="H881" s="527"/>
      <c r="I881" s="527"/>
      <c r="J881" s="528"/>
      <c r="K881" s="531"/>
      <c r="L881" s="531"/>
      <c r="M881" s="531"/>
      <c r="N881" s="531"/>
      <c r="O881" s="531"/>
      <c r="P881" s="531"/>
      <c r="Q881" s="531"/>
      <c r="R881" s="531"/>
      <c r="S881" s="531"/>
      <c r="T881" s="531"/>
      <c r="U881" s="531"/>
      <c r="V881" s="531"/>
      <c r="W881" s="531"/>
      <c r="X881" s="531"/>
      <c r="Y881" s="531"/>
      <c r="Z881" s="531"/>
      <c r="AA881" s="531"/>
    </row>
    <row r="882" spans="1:27" ht="15">
      <c r="A882" s="530"/>
      <c r="B882" s="527"/>
      <c r="C882" s="527"/>
      <c r="D882" s="527"/>
      <c r="E882" s="527"/>
      <c r="F882" s="527"/>
      <c r="G882" s="527"/>
      <c r="H882" s="527"/>
      <c r="I882" s="527"/>
      <c r="J882" s="528"/>
      <c r="K882" s="531"/>
      <c r="L882" s="531"/>
      <c r="M882" s="531"/>
      <c r="N882" s="531"/>
      <c r="O882" s="531"/>
      <c r="P882" s="531"/>
      <c r="Q882" s="531"/>
      <c r="R882" s="531"/>
      <c r="S882" s="531"/>
      <c r="T882" s="531"/>
      <c r="U882" s="531"/>
      <c r="V882" s="531"/>
      <c r="W882" s="531"/>
      <c r="X882" s="531"/>
      <c r="Y882" s="531"/>
      <c r="Z882" s="531"/>
      <c r="AA882" s="531"/>
    </row>
    <row r="883" spans="1:27" ht="15">
      <c r="A883" s="530"/>
      <c r="B883" s="527"/>
      <c r="C883" s="527"/>
      <c r="D883" s="527"/>
      <c r="E883" s="527"/>
      <c r="F883" s="527"/>
      <c r="G883" s="527"/>
      <c r="H883" s="527"/>
      <c r="I883" s="527"/>
      <c r="J883" s="528"/>
      <c r="K883" s="531"/>
      <c r="L883" s="531"/>
      <c r="M883" s="531"/>
      <c r="N883" s="531"/>
      <c r="O883" s="531"/>
      <c r="P883" s="531"/>
      <c r="Q883" s="531"/>
      <c r="R883" s="531"/>
      <c r="S883" s="531"/>
      <c r="T883" s="531"/>
      <c r="U883" s="531"/>
      <c r="V883" s="531"/>
      <c r="W883" s="531"/>
      <c r="X883" s="531"/>
      <c r="Y883" s="531"/>
      <c r="Z883" s="531"/>
      <c r="AA883" s="531"/>
    </row>
    <row r="884" spans="1:27" ht="15">
      <c r="A884" s="530"/>
      <c r="B884" s="527"/>
      <c r="C884" s="527"/>
      <c r="D884" s="527"/>
      <c r="E884" s="527"/>
      <c r="F884" s="527"/>
      <c r="G884" s="527"/>
      <c r="H884" s="527"/>
      <c r="I884" s="527"/>
      <c r="J884" s="528"/>
      <c r="K884" s="531"/>
      <c r="L884" s="531"/>
      <c r="M884" s="531"/>
      <c r="N884" s="531"/>
      <c r="O884" s="531"/>
      <c r="P884" s="531"/>
      <c r="Q884" s="531"/>
      <c r="R884" s="531"/>
      <c r="S884" s="531"/>
      <c r="T884" s="531"/>
      <c r="U884" s="531"/>
      <c r="V884" s="531"/>
      <c r="W884" s="531"/>
      <c r="X884" s="531"/>
      <c r="Y884" s="531"/>
      <c r="Z884" s="531"/>
      <c r="AA884" s="531"/>
    </row>
    <row r="885" spans="1:27" ht="15">
      <c r="A885" s="530"/>
      <c r="B885" s="527"/>
      <c r="C885" s="527"/>
      <c r="D885" s="527"/>
      <c r="E885" s="527"/>
      <c r="F885" s="527"/>
      <c r="G885" s="527"/>
      <c r="H885" s="527"/>
      <c r="I885" s="527"/>
      <c r="J885" s="528"/>
      <c r="K885" s="531"/>
      <c r="L885" s="531"/>
      <c r="M885" s="531"/>
      <c r="N885" s="531"/>
      <c r="O885" s="531"/>
      <c r="P885" s="531"/>
      <c r="Q885" s="531"/>
      <c r="R885" s="531"/>
      <c r="S885" s="531"/>
      <c r="T885" s="531"/>
      <c r="U885" s="531"/>
      <c r="V885" s="531"/>
      <c r="W885" s="531"/>
      <c r="X885" s="531"/>
      <c r="Y885" s="531"/>
      <c r="Z885" s="531"/>
      <c r="AA885" s="531"/>
    </row>
    <row r="886" spans="1:27" ht="15">
      <c r="A886" s="530"/>
      <c r="B886" s="527"/>
      <c r="C886" s="527"/>
      <c r="D886" s="527"/>
      <c r="E886" s="527"/>
      <c r="F886" s="527"/>
      <c r="G886" s="527"/>
      <c r="H886" s="527"/>
      <c r="I886" s="527"/>
      <c r="J886" s="528"/>
      <c r="K886" s="531"/>
      <c r="L886" s="531"/>
      <c r="M886" s="531"/>
      <c r="N886" s="531"/>
      <c r="O886" s="531"/>
      <c r="P886" s="531"/>
      <c r="Q886" s="531"/>
      <c r="R886" s="531"/>
      <c r="S886" s="531"/>
      <c r="T886" s="531"/>
      <c r="U886" s="531"/>
      <c r="V886" s="531"/>
      <c r="W886" s="531"/>
      <c r="X886" s="531"/>
      <c r="Y886" s="531"/>
      <c r="Z886" s="531"/>
      <c r="AA886" s="531"/>
    </row>
    <row r="887" spans="1:27" ht="15">
      <c r="A887" s="530"/>
      <c r="B887" s="527"/>
      <c r="C887" s="527"/>
      <c r="D887" s="527"/>
      <c r="E887" s="527"/>
      <c r="F887" s="527"/>
      <c r="G887" s="527"/>
      <c r="H887" s="527"/>
      <c r="I887" s="527"/>
      <c r="J887" s="528"/>
      <c r="K887" s="531"/>
      <c r="L887" s="531"/>
      <c r="M887" s="531"/>
      <c r="N887" s="531"/>
      <c r="O887" s="531"/>
      <c r="P887" s="531"/>
      <c r="Q887" s="531"/>
      <c r="R887" s="531"/>
      <c r="S887" s="531"/>
      <c r="T887" s="531"/>
      <c r="U887" s="531"/>
      <c r="V887" s="531"/>
      <c r="W887" s="531"/>
      <c r="X887" s="531"/>
      <c r="Y887" s="531"/>
      <c r="Z887" s="531"/>
      <c r="AA887" s="531"/>
    </row>
    <row r="888" spans="1:27" ht="15">
      <c r="A888" s="530"/>
      <c r="B888" s="527"/>
      <c r="C888" s="527"/>
      <c r="D888" s="527"/>
      <c r="E888" s="527"/>
      <c r="F888" s="527"/>
      <c r="G888" s="527"/>
      <c r="H888" s="527"/>
      <c r="I888" s="527"/>
      <c r="J888" s="528"/>
      <c r="K888" s="531"/>
      <c r="L888" s="531"/>
      <c r="M888" s="531"/>
      <c r="N888" s="531"/>
      <c r="O888" s="531"/>
      <c r="P888" s="531"/>
      <c r="Q888" s="531"/>
      <c r="R888" s="531"/>
      <c r="S888" s="531"/>
      <c r="T888" s="531"/>
      <c r="U888" s="531"/>
      <c r="V888" s="531"/>
      <c r="W888" s="531"/>
      <c r="X888" s="531"/>
      <c r="Y888" s="531"/>
      <c r="Z888" s="531"/>
      <c r="AA888" s="531"/>
    </row>
    <row r="889" spans="1:27" ht="15">
      <c r="A889" s="530"/>
      <c r="B889" s="527"/>
      <c r="C889" s="527"/>
      <c r="D889" s="527"/>
      <c r="E889" s="527"/>
      <c r="F889" s="527"/>
      <c r="G889" s="527"/>
      <c r="H889" s="527"/>
      <c r="I889" s="527"/>
      <c r="J889" s="528"/>
      <c r="K889" s="531"/>
      <c r="L889" s="531"/>
      <c r="M889" s="531"/>
      <c r="N889" s="531"/>
      <c r="O889" s="531"/>
      <c r="P889" s="531"/>
      <c r="Q889" s="531"/>
      <c r="R889" s="531"/>
      <c r="S889" s="531"/>
      <c r="T889" s="531"/>
      <c r="U889" s="531"/>
      <c r="V889" s="531"/>
      <c r="W889" s="531"/>
      <c r="X889" s="531"/>
      <c r="Y889" s="531"/>
      <c r="Z889" s="531"/>
      <c r="AA889" s="531"/>
    </row>
    <row r="890" spans="1:27" ht="15">
      <c r="A890" s="530"/>
      <c r="B890" s="527"/>
      <c r="C890" s="527"/>
      <c r="D890" s="527"/>
      <c r="E890" s="527"/>
      <c r="F890" s="527"/>
      <c r="G890" s="527"/>
      <c r="H890" s="527"/>
      <c r="I890" s="527"/>
      <c r="J890" s="528"/>
      <c r="K890" s="531"/>
      <c r="L890" s="531"/>
      <c r="M890" s="531"/>
      <c r="N890" s="531"/>
      <c r="O890" s="531"/>
      <c r="P890" s="531"/>
      <c r="Q890" s="531"/>
      <c r="R890" s="531"/>
      <c r="S890" s="531"/>
      <c r="T890" s="531"/>
      <c r="U890" s="531"/>
      <c r="V890" s="531"/>
      <c r="W890" s="531"/>
      <c r="X890" s="531"/>
      <c r="Y890" s="531"/>
      <c r="Z890" s="531"/>
      <c r="AA890" s="531"/>
    </row>
    <row r="891" spans="1:27" ht="15">
      <c r="A891" s="530"/>
      <c r="B891" s="527"/>
      <c r="C891" s="527"/>
      <c r="D891" s="527"/>
      <c r="E891" s="527"/>
      <c r="F891" s="527"/>
      <c r="G891" s="527"/>
      <c r="H891" s="527"/>
      <c r="I891" s="527"/>
      <c r="J891" s="528"/>
      <c r="K891" s="531"/>
      <c r="L891" s="531"/>
      <c r="M891" s="531"/>
      <c r="N891" s="531"/>
      <c r="O891" s="531"/>
      <c r="P891" s="531"/>
      <c r="Q891" s="531"/>
      <c r="R891" s="531"/>
      <c r="S891" s="531"/>
      <c r="T891" s="531"/>
      <c r="U891" s="531"/>
      <c r="V891" s="531"/>
      <c r="W891" s="531"/>
      <c r="X891" s="531"/>
      <c r="Y891" s="531"/>
      <c r="Z891" s="531"/>
      <c r="AA891" s="531"/>
    </row>
    <row r="892" spans="1:27" ht="15">
      <c r="A892" s="530"/>
      <c r="B892" s="527"/>
      <c r="C892" s="527"/>
      <c r="D892" s="527"/>
      <c r="E892" s="527"/>
      <c r="F892" s="527"/>
      <c r="G892" s="527"/>
      <c r="H892" s="527"/>
      <c r="I892" s="527"/>
      <c r="J892" s="528"/>
      <c r="K892" s="531"/>
      <c r="L892" s="531"/>
      <c r="M892" s="531"/>
      <c r="N892" s="531"/>
      <c r="O892" s="531"/>
      <c r="P892" s="531"/>
      <c r="Q892" s="531"/>
      <c r="R892" s="531"/>
      <c r="S892" s="531"/>
      <c r="T892" s="531"/>
      <c r="U892" s="531"/>
      <c r="V892" s="531"/>
      <c r="W892" s="531"/>
      <c r="X892" s="531"/>
      <c r="Y892" s="531"/>
      <c r="Z892" s="531"/>
      <c r="AA892" s="531"/>
    </row>
    <row r="893" spans="1:27" ht="15">
      <c r="A893" s="530"/>
      <c r="B893" s="527"/>
      <c r="C893" s="527"/>
      <c r="D893" s="527"/>
      <c r="E893" s="527"/>
      <c r="F893" s="527"/>
      <c r="G893" s="527"/>
      <c r="H893" s="527"/>
      <c r="I893" s="527"/>
      <c r="J893" s="528"/>
      <c r="K893" s="531"/>
      <c r="L893" s="531"/>
      <c r="M893" s="531"/>
      <c r="N893" s="531"/>
      <c r="O893" s="531"/>
      <c r="P893" s="531"/>
      <c r="Q893" s="531"/>
      <c r="R893" s="531"/>
      <c r="S893" s="531"/>
      <c r="T893" s="531"/>
      <c r="U893" s="531"/>
      <c r="V893" s="531"/>
      <c r="W893" s="531"/>
      <c r="X893" s="531"/>
      <c r="Y893" s="531"/>
      <c r="Z893" s="531"/>
      <c r="AA893" s="531"/>
    </row>
    <row r="894" spans="1:27" ht="15">
      <c r="A894" s="530"/>
      <c r="B894" s="527"/>
      <c r="C894" s="527"/>
      <c r="D894" s="527"/>
      <c r="E894" s="527"/>
      <c r="F894" s="527"/>
      <c r="G894" s="527"/>
      <c r="H894" s="527"/>
      <c r="I894" s="527"/>
      <c r="J894" s="528"/>
      <c r="K894" s="531"/>
      <c r="L894" s="531"/>
      <c r="M894" s="531"/>
      <c r="N894" s="531"/>
      <c r="O894" s="531"/>
      <c r="P894" s="531"/>
      <c r="Q894" s="531"/>
      <c r="R894" s="531"/>
      <c r="S894" s="531"/>
      <c r="T894" s="531"/>
      <c r="U894" s="531"/>
      <c r="V894" s="531"/>
      <c r="W894" s="531"/>
      <c r="X894" s="531"/>
      <c r="Y894" s="531"/>
      <c r="Z894" s="531"/>
      <c r="AA894" s="531"/>
    </row>
    <row r="895" spans="1:27" ht="15">
      <c r="A895" s="530"/>
      <c r="B895" s="527"/>
      <c r="C895" s="527"/>
      <c r="D895" s="527"/>
      <c r="E895" s="527"/>
      <c r="F895" s="527"/>
      <c r="G895" s="527"/>
      <c r="H895" s="527"/>
      <c r="I895" s="527"/>
      <c r="J895" s="528"/>
      <c r="K895" s="531"/>
      <c r="L895" s="531"/>
      <c r="M895" s="531"/>
      <c r="N895" s="531"/>
      <c r="O895" s="531"/>
      <c r="P895" s="531"/>
      <c r="Q895" s="531"/>
      <c r="R895" s="531"/>
      <c r="S895" s="531"/>
      <c r="T895" s="531"/>
      <c r="U895" s="531"/>
      <c r="V895" s="531"/>
      <c r="W895" s="531"/>
      <c r="X895" s="531"/>
      <c r="Y895" s="531"/>
      <c r="Z895" s="531"/>
      <c r="AA895" s="531"/>
    </row>
    <row r="896" spans="1:27" ht="15">
      <c r="A896" s="530"/>
      <c r="B896" s="527"/>
      <c r="C896" s="527"/>
      <c r="D896" s="527"/>
      <c r="E896" s="527"/>
      <c r="F896" s="527"/>
      <c r="G896" s="527"/>
      <c r="H896" s="527"/>
      <c r="I896" s="527"/>
      <c r="J896" s="528"/>
      <c r="K896" s="531"/>
      <c r="L896" s="531"/>
      <c r="M896" s="531"/>
      <c r="N896" s="531"/>
      <c r="O896" s="531"/>
      <c r="P896" s="531"/>
      <c r="Q896" s="531"/>
      <c r="R896" s="531"/>
      <c r="S896" s="531"/>
      <c r="T896" s="531"/>
      <c r="U896" s="531"/>
      <c r="V896" s="531"/>
      <c r="W896" s="531"/>
      <c r="X896" s="531"/>
      <c r="Y896" s="531"/>
      <c r="Z896" s="531"/>
      <c r="AA896" s="531"/>
    </row>
    <row r="897" spans="1:27" ht="15">
      <c r="A897" s="530"/>
      <c r="B897" s="527"/>
      <c r="C897" s="527"/>
      <c r="D897" s="527"/>
      <c r="E897" s="527"/>
      <c r="F897" s="527"/>
      <c r="G897" s="527"/>
      <c r="H897" s="527"/>
      <c r="I897" s="527"/>
      <c r="J897" s="528"/>
      <c r="K897" s="531"/>
      <c r="L897" s="531"/>
      <c r="M897" s="531"/>
      <c r="N897" s="531"/>
      <c r="O897" s="531"/>
      <c r="P897" s="531"/>
      <c r="Q897" s="531"/>
      <c r="R897" s="531"/>
      <c r="S897" s="531"/>
      <c r="T897" s="531"/>
      <c r="U897" s="531"/>
      <c r="V897" s="531"/>
      <c r="W897" s="531"/>
      <c r="X897" s="531"/>
      <c r="Y897" s="531"/>
      <c r="Z897" s="531"/>
      <c r="AA897" s="531"/>
    </row>
    <row r="898" spans="1:27" ht="15">
      <c r="A898" s="530"/>
      <c r="B898" s="527"/>
      <c r="C898" s="527"/>
      <c r="D898" s="527"/>
      <c r="E898" s="527"/>
      <c r="F898" s="527"/>
      <c r="G898" s="527"/>
      <c r="H898" s="527"/>
      <c r="I898" s="527"/>
      <c r="J898" s="528"/>
      <c r="K898" s="531"/>
      <c r="L898" s="531"/>
      <c r="M898" s="531"/>
      <c r="N898" s="531"/>
      <c r="O898" s="531"/>
      <c r="P898" s="531"/>
      <c r="Q898" s="531"/>
      <c r="R898" s="531"/>
      <c r="S898" s="531"/>
      <c r="T898" s="531"/>
      <c r="U898" s="531"/>
      <c r="V898" s="531"/>
      <c r="W898" s="531"/>
      <c r="X898" s="531"/>
      <c r="Y898" s="531"/>
      <c r="Z898" s="531"/>
      <c r="AA898" s="531"/>
    </row>
    <row r="899" spans="1:27" ht="15">
      <c r="A899" s="530"/>
      <c r="B899" s="527"/>
      <c r="C899" s="527"/>
      <c r="D899" s="527"/>
      <c r="E899" s="527"/>
      <c r="F899" s="527"/>
      <c r="G899" s="527"/>
      <c r="H899" s="527"/>
      <c r="I899" s="527"/>
      <c r="J899" s="528"/>
      <c r="K899" s="531"/>
      <c r="L899" s="531"/>
      <c r="M899" s="531"/>
      <c r="N899" s="531"/>
      <c r="O899" s="531"/>
      <c r="P899" s="531"/>
      <c r="Q899" s="531"/>
      <c r="R899" s="531"/>
      <c r="S899" s="531"/>
      <c r="T899" s="531"/>
      <c r="U899" s="531"/>
      <c r="V899" s="531"/>
      <c r="W899" s="531"/>
      <c r="X899" s="531"/>
      <c r="Y899" s="531"/>
      <c r="Z899" s="531"/>
      <c r="AA899" s="531"/>
    </row>
    <row r="900" spans="1:27" ht="15">
      <c r="A900" s="530"/>
      <c r="B900" s="527"/>
      <c r="C900" s="527"/>
      <c r="D900" s="527"/>
      <c r="E900" s="527"/>
      <c r="F900" s="527"/>
      <c r="G900" s="527"/>
      <c r="H900" s="527"/>
      <c r="I900" s="527"/>
      <c r="J900" s="528"/>
      <c r="K900" s="531"/>
      <c r="L900" s="531"/>
      <c r="M900" s="531"/>
      <c r="N900" s="531"/>
      <c r="O900" s="531"/>
      <c r="P900" s="531"/>
      <c r="Q900" s="531"/>
      <c r="R900" s="531"/>
      <c r="S900" s="531"/>
      <c r="T900" s="531"/>
      <c r="U900" s="531"/>
      <c r="V900" s="531"/>
      <c r="W900" s="531"/>
      <c r="X900" s="531"/>
      <c r="Y900" s="531"/>
      <c r="Z900" s="531"/>
      <c r="AA900" s="531"/>
    </row>
    <row r="901" spans="1:27" ht="15">
      <c r="A901" s="530"/>
      <c r="B901" s="527"/>
      <c r="C901" s="527"/>
      <c r="D901" s="527"/>
      <c r="E901" s="527"/>
      <c r="F901" s="527"/>
      <c r="G901" s="527"/>
      <c r="H901" s="527"/>
      <c r="I901" s="527"/>
      <c r="J901" s="528"/>
      <c r="K901" s="531"/>
      <c r="L901" s="531"/>
      <c r="M901" s="531"/>
      <c r="N901" s="531"/>
      <c r="O901" s="531"/>
      <c r="P901" s="531"/>
      <c r="Q901" s="531"/>
      <c r="R901" s="531"/>
      <c r="S901" s="531"/>
      <c r="T901" s="531"/>
      <c r="U901" s="531"/>
      <c r="V901" s="531"/>
      <c r="W901" s="531"/>
      <c r="X901" s="531"/>
      <c r="Y901" s="531"/>
      <c r="Z901" s="531"/>
      <c r="AA901" s="531"/>
    </row>
    <row r="902" spans="1:27" ht="15">
      <c r="A902" s="530"/>
      <c r="B902" s="527"/>
      <c r="C902" s="527"/>
      <c r="D902" s="527"/>
      <c r="E902" s="527"/>
      <c r="F902" s="527"/>
      <c r="G902" s="527"/>
      <c r="H902" s="527"/>
      <c r="I902" s="527"/>
      <c r="J902" s="528"/>
      <c r="K902" s="531"/>
      <c r="L902" s="531"/>
      <c r="M902" s="531"/>
      <c r="N902" s="531"/>
      <c r="O902" s="531"/>
      <c r="P902" s="531"/>
      <c r="Q902" s="531"/>
      <c r="R902" s="531"/>
      <c r="S902" s="531"/>
      <c r="T902" s="531"/>
      <c r="U902" s="531"/>
      <c r="V902" s="531"/>
      <c r="W902" s="531"/>
      <c r="X902" s="531"/>
      <c r="Y902" s="531"/>
      <c r="Z902" s="531"/>
      <c r="AA902" s="531"/>
    </row>
    <row r="903" spans="1:27" ht="15">
      <c r="A903" s="530"/>
      <c r="B903" s="527"/>
      <c r="C903" s="527"/>
      <c r="D903" s="527"/>
      <c r="E903" s="527"/>
      <c r="F903" s="527"/>
      <c r="G903" s="527"/>
      <c r="H903" s="527"/>
      <c r="I903" s="527"/>
      <c r="J903" s="528"/>
      <c r="K903" s="531"/>
      <c r="L903" s="531"/>
      <c r="M903" s="531"/>
      <c r="N903" s="531"/>
      <c r="O903" s="531"/>
      <c r="P903" s="531"/>
      <c r="Q903" s="531"/>
      <c r="R903" s="531"/>
      <c r="S903" s="531"/>
      <c r="T903" s="531"/>
      <c r="U903" s="531"/>
      <c r="V903" s="531"/>
      <c r="W903" s="531"/>
      <c r="X903" s="531"/>
      <c r="Y903" s="531"/>
      <c r="Z903" s="531"/>
      <c r="AA903" s="531"/>
    </row>
    <row r="904" spans="1:27" ht="15">
      <c r="A904" s="530"/>
      <c r="B904" s="527"/>
      <c r="C904" s="527"/>
      <c r="D904" s="527"/>
      <c r="E904" s="527"/>
      <c r="F904" s="527"/>
      <c r="G904" s="527"/>
      <c r="H904" s="527"/>
      <c r="I904" s="527"/>
      <c r="J904" s="528"/>
      <c r="K904" s="531"/>
      <c r="L904" s="531"/>
      <c r="M904" s="531"/>
      <c r="N904" s="531"/>
      <c r="O904" s="531"/>
      <c r="P904" s="531"/>
      <c r="Q904" s="531"/>
      <c r="R904" s="531"/>
      <c r="S904" s="531"/>
      <c r="T904" s="531"/>
      <c r="U904" s="531"/>
      <c r="V904" s="531"/>
      <c r="W904" s="531"/>
      <c r="X904" s="531"/>
      <c r="Y904" s="531"/>
      <c r="Z904" s="531"/>
      <c r="AA904" s="531"/>
    </row>
    <row r="905" spans="1:27" ht="15">
      <c r="A905" s="530"/>
      <c r="B905" s="527"/>
      <c r="C905" s="527"/>
      <c r="D905" s="527"/>
      <c r="E905" s="527"/>
      <c r="F905" s="527"/>
      <c r="G905" s="527"/>
      <c r="H905" s="527"/>
      <c r="I905" s="527"/>
      <c r="J905" s="528"/>
      <c r="K905" s="531"/>
      <c r="L905" s="531"/>
      <c r="M905" s="531"/>
      <c r="N905" s="531"/>
      <c r="O905" s="531"/>
      <c r="P905" s="531"/>
      <c r="Q905" s="531"/>
      <c r="R905" s="531"/>
      <c r="S905" s="531"/>
      <c r="T905" s="531"/>
      <c r="U905" s="531"/>
      <c r="V905" s="531"/>
      <c r="W905" s="531"/>
      <c r="X905" s="531"/>
      <c r="Y905" s="531"/>
      <c r="Z905" s="531"/>
      <c r="AA905" s="531"/>
    </row>
    <row r="906" spans="1:27" ht="15">
      <c r="A906" s="530"/>
      <c r="B906" s="527"/>
      <c r="C906" s="527"/>
      <c r="D906" s="527"/>
      <c r="E906" s="527"/>
      <c r="F906" s="527"/>
      <c r="G906" s="527"/>
      <c r="H906" s="527"/>
      <c r="I906" s="527"/>
      <c r="J906" s="528"/>
      <c r="K906" s="531"/>
      <c r="L906" s="531"/>
      <c r="M906" s="531"/>
      <c r="N906" s="531"/>
      <c r="O906" s="531"/>
      <c r="P906" s="531"/>
      <c r="Q906" s="531"/>
      <c r="R906" s="531"/>
      <c r="S906" s="531"/>
      <c r="T906" s="531"/>
      <c r="U906" s="531"/>
      <c r="V906" s="531"/>
      <c r="W906" s="531"/>
      <c r="X906" s="531"/>
      <c r="Y906" s="531"/>
      <c r="Z906" s="531"/>
      <c r="AA906" s="531"/>
    </row>
    <row r="907" spans="1:27" ht="15">
      <c r="A907" s="530"/>
      <c r="B907" s="527"/>
      <c r="C907" s="527"/>
      <c r="D907" s="527"/>
      <c r="E907" s="527"/>
      <c r="F907" s="527"/>
      <c r="G907" s="527"/>
      <c r="H907" s="527"/>
      <c r="I907" s="527"/>
      <c r="J907" s="528"/>
      <c r="K907" s="531"/>
      <c r="L907" s="531"/>
      <c r="M907" s="531"/>
      <c r="N907" s="531"/>
      <c r="O907" s="531"/>
      <c r="P907" s="531"/>
      <c r="Q907" s="531"/>
      <c r="R907" s="531"/>
      <c r="S907" s="531"/>
      <c r="T907" s="531"/>
      <c r="U907" s="531"/>
      <c r="V907" s="531"/>
      <c r="W907" s="531"/>
      <c r="X907" s="531"/>
      <c r="Y907" s="531"/>
      <c r="Z907" s="531"/>
      <c r="AA907" s="531"/>
    </row>
    <row r="908" spans="1:27" ht="15">
      <c r="A908" s="530"/>
      <c r="B908" s="527"/>
      <c r="C908" s="527"/>
      <c r="D908" s="527"/>
      <c r="E908" s="527"/>
      <c r="F908" s="527"/>
      <c r="G908" s="527"/>
      <c r="H908" s="527"/>
      <c r="I908" s="527"/>
      <c r="J908" s="528"/>
      <c r="K908" s="531"/>
      <c r="L908" s="531"/>
      <c r="M908" s="531"/>
      <c r="N908" s="531"/>
      <c r="O908" s="531"/>
      <c r="P908" s="531"/>
      <c r="Q908" s="531"/>
      <c r="R908" s="531"/>
      <c r="S908" s="531"/>
      <c r="T908" s="531"/>
      <c r="U908" s="531"/>
      <c r="V908" s="531"/>
      <c r="W908" s="531"/>
      <c r="X908" s="531"/>
      <c r="Y908" s="531"/>
      <c r="Z908" s="531"/>
      <c r="AA908" s="531"/>
    </row>
    <row r="909" spans="1:27" ht="15">
      <c r="A909" s="530"/>
      <c r="B909" s="527"/>
      <c r="C909" s="527"/>
      <c r="D909" s="527"/>
      <c r="E909" s="527"/>
      <c r="F909" s="527"/>
      <c r="G909" s="527"/>
      <c r="H909" s="527"/>
      <c r="I909" s="527"/>
      <c r="J909" s="528"/>
      <c r="K909" s="531"/>
      <c r="L909" s="531"/>
      <c r="M909" s="531"/>
      <c r="N909" s="531"/>
      <c r="O909" s="531"/>
      <c r="P909" s="531"/>
      <c r="Q909" s="531"/>
      <c r="R909" s="531"/>
      <c r="S909" s="531"/>
      <c r="T909" s="531"/>
      <c r="U909" s="531"/>
      <c r="V909" s="531"/>
      <c r="W909" s="531"/>
      <c r="X909" s="531"/>
      <c r="Y909" s="531"/>
      <c r="Z909" s="531"/>
      <c r="AA909" s="531"/>
    </row>
    <row r="910" spans="1:27" ht="15">
      <c r="A910" s="530"/>
      <c r="B910" s="527"/>
      <c r="C910" s="527"/>
      <c r="D910" s="527"/>
      <c r="E910" s="527"/>
      <c r="F910" s="527"/>
      <c r="G910" s="527"/>
      <c r="H910" s="527"/>
      <c r="I910" s="527"/>
      <c r="J910" s="528"/>
      <c r="K910" s="531"/>
      <c r="L910" s="531"/>
      <c r="M910" s="531"/>
      <c r="N910" s="531"/>
      <c r="O910" s="531"/>
      <c r="P910" s="531"/>
      <c r="Q910" s="531"/>
      <c r="R910" s="531"/>
      <c r="S910" s="531"/>
      <c r="T910" s="531"/>
      <c r="U910" s="531"/>
      <c r="V910" s="531"/>
      <c r="W910" s="531"/>
      <c r="X910" s="531"/>
      <c r="Y910" s="531"/>
      <c r="Z910" s="531"/>
      <c r="AA910" s="531"/>
    </row>
    <row r="911" spans="1:27" ht="15">
      <c r="A911" s="530"/>
      <c r="B911" s="527"/>
      <c r="C911" s="527"/>
      <c r="D911" s="527"/>
      <c r="E911" s="527"/>
      <c r="F911" s="527"/>
      <c r="G911" s="527"/>
      <c r="H911" s="527"/>
      <c r="I911" s="527"/>
      <c r="J911" s="528"/>
      <c r="K911" s="531"/>
      <c r="L911" s="531"/>
      <c r="M911" s="531"/>
      <c r="N911" s="531"/>
      <c r="O911" s="531"/>
      <c r="P911" s="531"/>
      <c r="Q911" s="531"/>
      <c r="R911" s="531"/>
      <c r="S911" s="531"/>
      <c r="T911" s="531"/>
      <c r="U911" s="531"/>
      <c r="V911" s="531"/>
      <c r="W911" s="531"/>
      <c r="X911" s="531"/>
      <c r="Y911" s="531"/>
      <c r="Z911" s="531"/>
      <c r="AA911" s="531"/>
    </row>
    <row r="912" spans="1:27" ht="15">
      <c r="A912" s="530"/>
      <c r="B912" s="527"/>
      <c r="C912" s="527"/>
      <c r="D912" s="527"/>
      <c r="E912" s="527"/>
      <c r="F912" s="527"/>
      <c r="G912" s="527"/>
      <c r="H912" s="527"/>
      <c r="I912" s="527"/>
      <c r="J912" s="528"/>
      <c r="K912" s="531"/>
      <c r="L912" s="531"/>
      <c r="M912" s="531"/>
      <c r="N912" s="531"/>
      <c r="O912" s="531"/>
      <c r="P912" s="531"/>
      <c r="Q912" s="531"/>
      <c r="R912" s="531"/>
      <c r="S912" s="531"/>
      <c r="T912" s="531"/>
      <c r="U912" s="531"/>
      <c r="V912" s="531"/>
      <c r="W912" s="531"/>
      <c r="X912" s="531"/>
      <c r="Y912" s="531"/>
      <c r="Z912" s="531"/>
      <c r="AA912" s="531"/>
    </row>
    <row r="913" spans="1:27" ht="15">
      <c r="A913" s="530"/>
      <c r="B913" s="527"/>
      <c r="C913" s="527"/>
      <c r="D913" s="527"/>
      <c r="E913" s="527"/>
      <c r="F913" s="527"/>
      <c r="G913" s="527"/>
      <c r="H913" s="527"/>
      <c r="I913" s="527"/>
      <c r="J913" s="528"/>
      <c r="K913" s="531"/>
      <c r="L913" s="531"/>
      <c r="M913" s="531"/>
      <c r="N913" s="531"/>
      <c r="O913" s="531"/>
      <c r="P913" s="531"/>
      <c r="Q913" s="531"/>
      <c r="R913" s="531"/>
      <c r="S913" s="531"/>
      <c r="T913" s="531"/>
      <c r="U913" s="531"/>
      <c r="V913" s="531"/>
      <c r="W913" s="531"/>
      <c r="X913" s="531"/>
      <c r="Y913" s="531"/>
      <c r="Z913" s="531"/>
      <c r="AA913" s="531"/>
    </row>
    <row r="914" spans="1:27" ht="15">
      <c r="A914" s="530"/>
      <c r="B914" s="527"/>
      <c r="C914" s="527"/>
      <c r="D914" s="527"/>
      <c r="E914" s="527"/>
      <c r="F914" s="527"/>
      <c r="G914" s="527"/>
      <c r="H914" s="527"/>
      <c r="I914" s="527"/>
      <c r="J914" s="528"/>
      <c r="K914" s="531"/>
      <c r="L914" s="531"/>
      <c r="M914" s="531"/>
      <c r="N914" s="531"/>
      <c r="O914" s="531"/>
      <c r="P914" s="531"/>
      <c r="Q914" s="531"/>
      <c r="R914" s="531"/>
      <c r="S914" s="531"/>
      <c r="T914" s="531"/>
      <c r="U914" s="531"/>
      <c r="V914" s="531"/>
      <c r="W914" s="531"/>
      <c r="X914" s="531"/>
      <c r="Y914" s="531"/>
      <c r="Z914" s="531"/>
      <c r="AA914" s="531"/>
    </row>
    <row r="915" spans="1:27" ht="15">
      <c r="A915" s="530"/>
      <c r="B915" s="527"/>
      <c r="C915" s="527"/>
      <c r="D915" s="527"/>
      <c r="E915" s="527"/>
      <c r="F915" s="527"/>
      <c r="G915" s="527"/>
      <c r="H915" s="527"/>
      <c r="I915" s="527"/>
      <c r="J915" s="528"/>
      <c r="K915" s="531"/>
      <c r="L915" s="531"/>
      <c r="M915" s="531"/>
      <c r="N915" s="531"/>
      <c r="O915" s="531"/>
      <c r="P915" s="531"/>
      <c r="Q915" s="531"/>
      <c r="R915" s="531"/>
      <c r="S915" s="531"/>
      <c r="T915" s="531"/>
      <c r="U915" s="531"/>
      <c r="V915" s="531"/>
      <c r="W915" s="531"/>
      <c r="X915" s="531"/>
      <c r="Y915" s="531"/>
      <c r="Z915" s="531"/>
      <c r="AA915" s="531"/>
    </row>
    <row r="916" spans="1:27" ht="15">
      <c r="A916" s="530"/>
      <c r="B916" s="527"/>
      <c r="C916" s="527"/>
      <c r="D916" s="527"/>
      <c r="E916" s="527"/>
      <c r="F916" s="527"/>
      <c r="G916" s="527"/>
      <c r="H916" s="527"/>
      <c r="I916" s="527"/>
      <c r="J916" s="528"/>
      <c r="K916" s="531"/>
      <c r="L916" s="531"/>
      <c r="M916" s="531"/>
      <c r="N916" s="531"/>
      <c r="O916" s="531"/>
      <c r="P916" s="531"/>
      <c r="Q916" s="531"/>
      <c r="R916" s="531"/>
      <c r="S916" s="531"/>
      <c r="T916" s="531"/>
      <c r="U916" s="531"/>
      <c r="V916" s="531"/>
      <c r="W916" s="531"/>
      <c r="X916" s="531"/>
      <c r="Y916" s="531"/>
      <c r="Z916" s="531"/>
      <c r="AA916" s="531"/>
    </row>
    <row r="917" spans="1:27" ht="15">
      <c r="A917" s="530"/>
      <c r="B917" s="527"/>
      <c r="C917" s="527"/>
      <c r="D917" s="527"/>
      <c r="E917" s="527"/>
      <c r="F917" s="527"/>
      <c r="G917" s="527"/>
      <c r="H917" s="527"/>
      <c r="I917" s="527"/>
      <c r="J917" s="528"/>
      <c r="K917" s="531"/>
      <c r="L917" s="531"/>
      <c r="M917" s="531"/>
      <c r="N917" s="531"/>
      <c r="O917" s="531"/>
      <c r="P917" s="531"/>
      <c r="Q917" s="531"/>
      <c r="R917" s="531"/>
      <c r="S917" s="531"/>
      <c r="T917" s="531"/>
      <c r="U917" s="531"/>
      <c r="V917" s="531"/>
      <c r="W917" s="531"/>
      <c r="X917" s="531"/>
      <c r="Y917" s="531"/>
      <c r="Z917" s="531"/>
      <c r="AA917" s="531"/>
    </row>
    <row r="918" spans="1:27" ht="15">
      <c r="A918" s="530"/>
      <c r="B918" s="527"/>
      <c r="C918" s="527"/>
      <c r="D918" s="527"/>
      <c r="E918" s="527"/>
      <c r="F918" s="527"/>
      <c r="G918" s="527"/>
      <c r="H918" s="527"/>
      <c r="I918" s="527"/>
      <c r="J918" s="528"/>
      <c r="K918" s="531"/>
      <c r="L918" s="531"/>
      <c r="M918" s="531"/>
      <c r="N918" s="531"/>
      <c r="O918" s="531"/>
      <c r="P918" s="531"/>
      <c r="Q918" s="531"/>
      <c r="R918" s="531"/>
      <c r="S918" s="531"/>
      <c r="T918" s="531"/>
      <c r="U918" s="531"/>
      <c r="V918" s="531"/>
      <c r="W918" s="531"/>
      <c r="X918" s="531"/>
      <c r="Y918" s="531"/>
      <c r="Z918" s="531"/>
      <c r="AA918" s="531"/>
    </row>
    <row r="919" spans="1:27" ht="15">
      <c r="A919" s="530"/>
      <c r="B919" s="527"/>
      <c r="C919" s="527"/>
      <c r="D919" s="527"/>
      <c r="E919" s="527"/>
      <c r="F919" s="527"/>
      <c r="G919" s="527"/>
      <c r="H919" s="527"/>
      <c r="I919" s="527"/>
      <c r="J919" s="528"/>
      <c r="K919" s="531"/>
      <c r="L919" s="531"/>
      <c r="M919" s="531"/>
      <c r="N919" s="531"/>
      <c r="O919" s="531"/>
      <c r="P919" s="531"/>
      <c r="Q919" s="531"/>
      <c r="R919" s="531"/>
      <c r="S919" s="531"/>
      <c r="T919" s="531"/>
      <c r="U919" s="531"/>
      <c r="V919" s="531"/>
      <c r="W919" s="531"/>
      <c r="X919" s="531"/>
      <c r="Y919" s="531"/>
      <c r="Z919" s="531"/>
      <c r="AA919" s="531"/>
    </row>
    <row r="920" spans="1:27" ht="15">
      <c r="A920" s="530"/>
      <c r="B920" s="527"/>
      <c r="C920" s="527"/>
      <c r="D920" s="527"/>
      <c r="E920" s="527"/>
      <c r="F920" s="527"/>
      <c r="G920" s="527"/>
      <c r="H920" s="527"/>
      <c r="I920" s="527"/>
      <c r="J920" s="528"/>
      <c r="K920" s="531"/>
      <c r="L920" s="531"/>
      <c r="M920" s="531"/>
      <c r="N920" s="531"/>
      <c r="O920" s="531"/>
      <c r="P920" s="531"/>
      <c r="Q920" s="531"/>
      <c r="R920" s="531"/>
      <c r="S920" s="531"/>
      <c r="T920" s="531"/>
      <c r="U920" s="531"/>
      <c r="V920" s="531"/>
      <c r="W920" s="531"/>
      <c r="X920" s="531"/>
      <c r="Y920" s="531"/>
      <c r="Z920" s="531"/>
      <c r="AA920" s="531"/>
    </row>
    <row r="921" spans="1:27" ht="15">
      <c r="A921" s="530"/>
      <c r="B921" s="527"/>
      <c r="C921" s="527"/>
      <c r="D921" s="527"/>
      <c r="E921" s="527"/>
      <c r="F921" s="527"/>
      <c r="G921" s="527"/>
      <c r="H921" s="527"/>
      <c r="I921" s="527"/>
      <c r="J921" s="528"/>
      <c r="K921" s="531"/>
      <c r="L921" s="531"/>
      <c r="M921" s="531"/>
      <c r="N921" s="531"/>
      <c r="O921" s="531"/>
      <c r="P921" s="531"/>
      <c r="Q921" s="531"/>
      <c r="R921" s="531"/>
      <c r="S921" s="531"/>
      <c r="T921" s="531"/>
      <c r="U921" s="531"/>
      <c r="V921" s="531"/>
      <c r="W921" s="531"/>
      <c r="X921" s="531"/>
      <c r="Y921" s="531"/>
      <c r="Z921" s="531"/>
      <c r="AA921" s="531"/>
    </row>
    <row r="922" spans="1:27" ht="15">
      <c r="A922" s="530"/>
      <c r="B922" s="527"/>
      <c r="C922" s="527"/>
      <c r="D922" s="527"/>
      <c r="E922" s="527"/>
      <c r="F922" s="527"/>
      <c r="G922" s="527"/>
      <c r="H922" s="527"/>
      <c r="I922" s="527"/>
      <c r="J922" s="528"/>
      <c r="K922" s="531"/>
      <c r="L922" s="531"/>
      <c r="M922" s="531"/>
      <c r="N922" s="531"/>
      <c r="O922" s="531"/>
      <c r="P922" s="531"/>
      <c r="Q922" s="531"/>
      <c r="R922" s="531"/>
      <c r="S922" s="531"/>
      <c r="T922" s="531"/>
      <c r="U922" s="531"/>
      <c r="V922" s="531"/>
      <c r="W922" s="531"/>
      <c r="X922" s="531"/>
      <c r="Y922" s="531"/>
      <c r="Z922" s="531"/>
      <c r="AA922" s="531"/>
    </row>
    <row r="923" spans="1:27" ht="15">
      <c r="A923" s="530"/>
      <c r="B923" s="527"/>
      <c r="C923" s="527"/>
      <c r="D923" s="527"/>
      <c r="E923" s="527"/>
      <c r="F923" s="527"/>
      <c r="G923" s="527"/>
      <c r="H923" s="527"/>
      <c r="I923" s="527"/>
      <c r="J923" s="528"/>
      <c r="K923" s="531"/>
      <c r="L923" s="531"/>
      <c r="M923" s="531"/>
      <c r="N923" s="531"/>
      <c r="O923" s="531"/>
      <c r="P923" s="531"/>
      <c r="Q923" s="531"/>
      <c r="R923" s="531"/>
      <c r="S923" s="531"/>
      <c r="T923" s="531"/>
      <c r="U923" s="531"/>
      <c r="V923" s="531"/>
      <c r="W923" s="531"/>
      <c r="X923" s="531"/>
      <c r="Y923" s="531"/>
      <c r="Z923" s="531"/>
      <c r="AA923" s="531"/>
    </row>
    <row r="924" spans="1:27" ht="15">
      <c r="A924" s="530"/>
      <c r="B924" s="527"/>
      <c r="C924" s="527"/>
      <c r="D924" s="527"/>
      <c r="E924" s="527"/>
      <c r="F924" s="527"/>
      <c r="G924" s="527"/>
      <c r="H924" s="527"/>
      <c r="I924" s="527"/>
      <c r="J924" s="528"/>
      <c r="K924" s="531"/>
      <c r="L924" s="531"/>
      <c r="M924" s="531"/>
      <c r="N924" s="531"/>
      <c r="O924" s="531"/>
      <c r="P924" s="531"/>
      <c r="Q924" s="531"/>
      <c r="R924" s="531"/>
      <c r="S924" s="531"/>
      <c r="T924" s="531"/>
      <c r="U924" s="531"/>
      <c r="V924" s="531"/>
      <c r="W924" s="531"/>
      <c r="X924" s="531"/>
      <c r="Y924" s="531"/>
      <c r="Z924" s="531"/>
      <c r="AA924" s="531"/>
    </row>
    <row r="925" spans="1:27" ht="15">
      <c r="A925" s="530"/>
      <c r="B925" s="527"/>
      <c r="C925" s="527"/>
      <c r="D925" s="527"/>
      <c r="E925" s="527"/>
      <c r="F925" s="527"/>
      <c r="G925" s="527"/>
      <c r="H925" s="527"/>
      <c r="I925" s="527"/>
      <c r="J925" s="528"/>
      <c r="K925" s="531"/>
      <c r="L925" s="531"/>
      <c r="M925" s="531"/>
      <c r="N925" s="531"/>
      <c r="O925" s="531"/>
      <c r="P925" s="531"/>
      <c r="Q925" s="531"/>
      <c r="R925" s="531"/>
      <c r="S925" s="531"/>
      <c r="T925" s="531"/>
      <c r="U925" s="531"/>
      <c r="V925" s="531"/>
      <c r="W925" s="531"/>
      <c r="X925" s="531"/>
      <c r="Y925" s="531"/>
      <c r="Z925" s="531"/>
      <c r="AA925" s="531"/>
    </row>
    <row r="926" spans="1:27" ht="15">
      <c r="A926" s="530"/>
      <c r="B926" s="527"/>
      <c r="C926" s="527"/>
      <c r="D926" s="527"/>
      <c r="E926" s="527"/>
      <c r="F926" s="527"/>
      <c r="G926" s="527"/>
      <c r="H926" s="527"/>
      <c r="I926" s="527"/>
      <c r="J926" s="528"/>
      <c r="K926" s="531"/>
      <c r="L926" s="531"/>
      <c r="M926" s="531"/>
      <c r="N926" s="531"/>
      <c r="O926" s="531"/>
      <c r="P926" s="531"/>
      <c r="Q926" s="531"/>
      <c r="R926" s="531"/>
      <c r="S926" s="531"/>
      <c r="T926" s="531"/>
      <c r="U926" s="531"/>
      <c r="V926" s="531"/>
      <c r="W926" s="531"/>
      <c r="X926" s="531"/>
      <c r="Y926" s="531"/>
      <c r="Z926" s="531"/>
      <c r="AA926" s="531"/>
    </row>
    <row r="927" spans="1:27" ht="15">
      <c r="A927" s="530"/>
      <c r="B927" s="527"/>
      <c r="C927" s="527"/>
      <c r="D927" s="527"/>
      <c r="E927" s="527"/>
      <c r="F927" s="527"/>
      <c r="G927" s="527"/>
      <c r="H927" s="527"/>
      <c r="I927" s="527"/>
      <c r="J927" s="528"/>
      <c r="K927" s="531"/>
      <c r="L927" s="531"/>
      <c r="M927" s="531"/>
      <c r="N927" s="531"/>
      <c r="O927" s="531"/>
      <c r="P927" s="531"/>
      <c r="Q927" s="531"/>
      <c r="R927" s="531"/>
      <c r="S927" s="531"/>
      <c r="T927" s="531"/>
      <c r="U927" s="531"/>
      <c r="V927" s="531"/>
      <c r="W927" s="531"/>
      <c r="X927" s="531"/>
      <c r="Y927" s="531"/>
      <c r="Z927" s="531"/>
      <c r="AA927" s="531"/>
    </row>
    <row r="928" spans="1:27" ht="15">
      <c r="A928" s="530"/>
      <c r="B928" s="527"/>
      <c r="C928" s="527"/>
      <c r="D928" s="527"/>
      <c r="E928" s="527"/>
      <c r="F928" s="527"/>
      <c r="G928" s="527"/>
      <c r="H928" s="527"/>
      <c r="I928" s="527"/>
      <c r="J928" s="528"/>
      <c r="K928" s="531"/>
      <c r="L928" s="531"/>
      <c r="M928" s="531"/>
      <c r="N928" s="531"/>
      <c r="O928" s="531"/>
      <c r="P928" s="531"/>
      <c r="Q928" s="531"/>
      <c r="R928" s="531"/>
      <c r="S928" s="531"/>
      <c r="T928" s="531"/>
      <c r="U928" s="531"/>
      <c r="V928" s="531"/>
      <c r="W928" s="531"/>
      <c r="X928" s="531"/>
      <c r="Y928" s="531"/>
      <c r="Z928" s="531"/>
      <c r="AA928" s="531"/>
    </row>
    <row r="929" spans="1:27" ht="15">
      <c r="A929" s="530"/>
      <c r="B929" s="527"/>
      <c r="C929" s="527"/>
      <c r="D929" s="527"/>
      <c r="E929" s="527"/>
      <c r="F929" s="527"/>
      <c r="G929" s="527"/>
      <c r="H929" s="527"/>
      <c r="I929" s="527"/>
      <c r="J929" s="528"/>
      <c r="K929" s="531"/>
      <c r="L929" s="531"/>
      <c r="M929" s="531"/>
      <c r="N929" s="531"/>
      <c r="O929" s="531"/>
      <c r="P929" s="531"/>
      <c r="Q929" s="531"/>
      <c r="R929" s="531"/>
      <c r="S929" s="531"/>
      <c r="T929" s="531"/>
      <c r="U929" s="531"/>
      <c r="V929" s="531"/>
      <c r="W929" s="531"/>
      <c r="X929" s="531"/>
      <c r="Y929" s="531"/>
      <c r="Z929" s="531"/>
      <c r="AA929" s="531"/>
    </row>
    <row r="930" spans="1:27" ht="15">
      <c r="A930" s="530"/>
      <c r="B930" s="527"/>
      <c r="C930" s="527"/>
      <c r="D930" s="527"/>
      <c r="E930" s="527"/>
      <c r="F930" s="527"/>
      <c r="G930" s="527"/>
      <c r="H930" s="527"/>
      <c r="I930" s="527"/>
      <c r="J930" s="528"/>
      <c r="K930" s="531"/>
      <c r="L930" s="531"/>
      <c r="M930" s="531"/>
      <c r="N930" s="531"/>
      <c r="O930" s="531"/>
      <c r="P930" s="531"/>
      <c r="Q930" s="531"/>
      <c r="R930" s="531"/>
      <c r="S930" s="531"/>
      <c r="T930" s="531"/>
      <c r="U930" s="531"/>
      <c r="V930" s="531"/>
      <c r="W930" s="531"/>
      <c r="X930" s="531"/>
      <c r="Y930" s="531"/>
      <c r="Z930" s="531"/>
      <c r="AA930" s="531"/>
    </row>
    <row r="931" spans="1:27" ht="15">
      <c r="A931" s="530"/>
      <c r="B931" s="527"/>
      <c r="C931" s="527"/>
      <c r="D931" s="527"/>
      <c r="E931" s="527"/>
      <c r="F931" s="527"/>
      <c r="G931" s="527"/>
      <c r="H931" s="527"/>
      <c r="I931" s="527"/>
      <c r="J931" s="528"/>
      <c r="K931" s="531"/>
      <c r="L931" s="531"/>
      <c r="M931" s="531"/>
      <c r="N931" s="531"/>
      <c r="O931" s="531"/>
      <c r="P931" s="531"/>
      <c r="Q931" s="531"/>
      <c r="R931" s="531"/>
      <c r="S931" s="531"/>
      <c r="T931" s="531"/>
      <c r="U931" s="531"/>
      <c r="V931" s="531"/>
      <c r="W931" s="531"/>
      <c r="X931" s="531"/>
      <c r="Y931" s="531"/>
      <c r="Z931" s="531"/>
      <c r="AA931" s="531"/>
    </row>
    <row r="932" spans="1:27" ht="15">
      <c r="A932" s="530"/>
      <c r="B932" s="527"/>
      <c r="C932" s="527"/>
      <c r="D932" s="527"/>
      <c r="E932" s="527"/>
      <c r="F932" s="527"/>
      <c r="G932" s="527"/>
      <c r="H932" s="527"/>
      <c r="I932" s="527"/>
      <c r="J932" s="528"/>
      <c r="K932" s="531"/>
      <c r="L932" s="531"/>
      <c r="M932" s="531"/>
      <c r="N932" s="531"/>
      <c r="O932" s="531"/>
      <c r="P932" s="531"/>
      <c r="Q932" s="531"/>
      <c r="R932" s="531"/>
      <c r="S932" s="531"/>
      <c r="T932" s="531"/>
      <c r="U932" s="531"/>
      <c r="V932" s="531"/>
      <c r="W932" s="531"/>
      <c r="X932" s="531"/>
      <c r="Y932" s="531"/>
      <c r="Z932" s="531"/>
      <c r="AA932" s="531"/>
    </row>
    <row r="933" spans="1:27" ht="15">
      <c r="A933" s="530"/>
      <c r="B933" s="527"/>
      <c r="C933" s="527"/>
      <c r="D933" s="527"/>
      <c r="E933" s="527"/>
      <c r="F933" s="527"/>
      <c r="G933" s="527"/>
      <c r="H933" s="527"/>
      <c r="I933" s="527"/>
      <c r="J933" s="528"/>
      <c r="K933" s="531"/>
      <c r="L933" s="531"/>
      <c r="M933" s="531"/>
      <c r="N933" s="531"/>
      <c r="O933" s="531"/>
      <c r="P933" s="531"/>
      <c r="Q933" s="531"/>
      <c r="R933" s="531"/>
      <c r="S933" s="531"/>
      <c r="T933" s="531"/>
      <c r="U933" s="531"/>
      <c r="V933" s="531"/>
      <c r="W933" s="531"/>
      <c r="X933" s="531"/>
      <c r="Y933" s="531"/>
      <c r="Z933" s="531"/>
      <c r="AA933" s="531"/>
    </row>
    <row r="934" spans="1:27" ht="15">
      <c r="A934" s="530"/>
      <c r="B934" s="527"/>
      <c r="C934" s="527"/>
      <c r="D934" s="527"/>
      <c r="E934" s="527"/>
      <c r="F934" s="527"/>
      <c r="G934" s="527"/>
      <c r="H934" s="527"/>
      <c r="I934" s="527"/>
      <c r="J934" s="528"/>
      <c r="K934" s="531"/>
      <c r="L934" s="531"/>
      <c r="M934" s="531"/>
      <c r="N934" s="531"/>
      <c r="O934" s="531"/>
      <c r="P934" s="531"/>
      <c r="Q934" s="531"/>
      <c r="R934" s="531"/>
      <c r="S934" s="531"/>
      <c r="T934" s="531"/>
      <c r="U934" s="531"/>
      <c r="V934" s="531"/>
      <c r="W934" s="531"/>
      <c r="X934" s="531"/>
      <c r="Y934" s="531"/>
      <c r="Z934" s="531"/>
      <c r="AA934" s="531"/>
    </row>
    <row r="935" spans="1:27" ht="15">
      <c r="A935" s="530"/>
      <c r="B935" s="527"/>
      <c r="C935" s="527"/>
      <c r="D935" s="527"/>
      <c r="E935" s="527"/>
      <c r="F935" s="527"/>
      <c r="G935" s="527"/>
      <c r="H935" s="527"/>
      <c r="I935" s="527"/>
      <c r="J935" s="528"/>
      <c r="K935" s="531"/>
      <c r="L935" s="531"/>
      <c r="M935" s="531"/>
      <c r="N935" s="531"/>
      <c r="O935" s="531"/>
      <c r="P935" s="531"/>
      <c r="Q935" s="531"/>
      <c r="R935" s="531"/>
      <c r="S935" s="531"/>
      <c r="T935" s="531"/>
      <c r="U935" s="531"/>
      <c r="V935" s="531"/>
      <c r="W935" s="531"/>
      <c r="X935" s="531"/>
      <c r="Y935" s="531"/>
      <c r="Z935" s="531"/>
      <c r="AA935" s="531"/>
    </row>
    <row r="936" spans="1:27" ht="15">
      <c r="A936" s="530"/>
      <c r="B936" s="527"/>
      <c r="C936" s="527"/>
      <c r="D936" s="527"/>
      <c r="E936" s="527"/>
      <c r="F936" s="527"/>
      <c r="G936" s="527"/>
      <c r="H936" s="527"/>
      <c r="I936" s="527"/>
      <c r="J936" s="528"/>
      <c r="K936" s="531"/>
      <c r="L936" s="531"/>
      <c r="M936" s="531"/>
      <c r="N936" s="531"/>
      <c r="O936" s="531"/>
      <c r="P936" s="531"/>
      <c r="Q936" s="531"/>
      <c r="R936" s="531"/>
      <c r="S936" s="531"/>
      <c r="T936" s="531"/>
      <c r="U936" s="531"/>
      <c r="V936" s="531"/>
      <c r="W936" s="531"/>
      <c r="X936" s="531"/>
      <c r="Y936" s="531"/>
      <c r="Z936" s="531"/>
      <c r="AA936" s="531"/>
    </row>
    <row r="937" spans="1:27" ht="15">
      <c r="A937" s="530"/>
      <c r="B937" s="527"/>
      <c r="C937" s="527"/>
      <c r="D937" s="527"/>
      <c r="E937" s="527"/>
      <c r="F937" s="527"/>
      <c r="G937" s="527"/>
      <c r="H937" s="527"/>
      <c r="I937" s="527"/>
      <c r="J937" s="528"/>
      <c r="K937" s="531"/>
      <c r="L937" s="531"/>
      <c r="M937" s="531"/>
      <c r="N937" s="531"/>
      <c r="O937" s="531"/>
      <c r="P937" s="531"/>
      <c r="Q937" s="531"/>
      <c r="R937" s="531"/>
      <c r="S937" s="531"/>
      <c r="T937" s="531"/>
      <c r="U937" s="531"/>
      <c r="V937" s="531"/>
      <c r="W937" s="531"/>
      <c r="X937" s="531"/>
      <c r="Y937" s="531"/>
      <c r="Z937" s="531"/>
      <c r="AA937" s="531"/>
    </row>
    <row r="938" spans="1:27" ht="15">
      <c r="A938" s="530"/>
      <c r="B938" s="527"/>
      <c r="C938" s="527"/>
      <c r="D938" s="527"/>
      <c r="E938" s="527"/>
      <c r="F938" s="527"/>
      <c r="G938" s="527"/>
      <c r="H938" s="527"/>
      <c r="I938" s="527"/>
      <c r="J938" s="528"/>
      <c r="K938" s="531"/>
      <c r="L938" s="531"/>
      <c r="M938" s="531"/>
      <c r="N938" s="531"/>
      <c r="O938" s="531"/>
      <c r="P938" s="531"/>
      <c r="Q938" s="531"/>
      <c r="R938" s="531"/>
      <c r="S938" s="531"/>
      <c r="T938" s="531"/>
      <c r="U938" s="531"/>
      <c r="V938" s="531"/>
      <c r="W938" s="531"/>
      <c r="X938" s="531"/>
      <c r="Y938" s="531"/>
      <c r="Z938" s="531"/>
      <c r="AA938" s="531"/>
    </row>
    <row r="939" spans="1:27" ht="15">
      <c r="A939" s="530"/>
      <c r="B939" s="527"/>
      <c r="C939" s="527"/>
      <c r="D939" s="527"/>
      <c r="E939" s="527"/>
      <c r="F939" s="527"/>
      <c r="G939" s="527"/>
      <c r="H939" s="527"/>
      <c r="I939" s="527"/>
      <c r="J939" s="528"/>
      <c r="K939" s="531"/>
      <c r="L939" s="531"/>
      <c r="M939" s="531"/>
      <c r="N939" s="531"/>
      <c r="O939" s="531"/>
      <c r="P939" s="531"/>
      <c r="Q939" s="531"/>
      <c r="R939" s="531"/>
      <c r="S939" s="531"/>
      <c r="T939" s="531"/>
      <c r="U939" s="531"/>
      <c r="V939" s="531"/>
      <c r="W939" s="531"/>
      <c r="X939" s="531"/>
      <c r="Y939" s="531"/>
      <c r="Z939" s="531"/>
      <c r="AA939" s="531"/>
    </row>
    <row r="940" spans="1:27" ht="15">
      <c r="A940" s="530"/>
      <c r="B940" s="527"/>
      <c r="C940" s="527"/>
      <c r="D940" s="527"/>
      <c r="E940" s="527"/>
      <c r="F940" s="527"/>
      <c r="G940" s="527"/>
      <c r="H940" s="527"/>
      <c r="I940" s="527"/>
      <c r="J940" s="528"/>
      <c r="K940" s="531"/>
      <c r="L940" s="531"/>
      <c r="M940" s="531"/>
      <c r="N940" s="531"/>
      <c r="O940" s="531"/>
      <c r="P940" s="531"/>
      <c r="Q940" s="531"/>
      <c r="R940" s="531"/>
      <c r="S940" s="531"/>
      <c r="T940" s="531"/>
      <c r="U940" s="531"/>
      <c r="V940" s="531"/>
      <c r="W940" s="531"/>
      <c r="X940" s="531"/>
      <c r="Y940" s="531"/>
      <c r="Z940" s="531"/>
      <c r="AA940" s="531"/>
    </row>
    <row r="941" spans="1:27" ht="15">
      <c r="A941" s="530"/>
      <c r="B941" s="527"/>
      <c r="C941" s="527"/>
      <c r="D941" s="527"/>
      <c r="E941" s="527"/>
      <c r="F941" s="527"/>
      <c r="G941" s="527"/>
      <c r="H941" s="527"/>
      <c r="I941" s="527"/>
      <c r="J941" s="528"/>
      <c r="K941" s="531"/>
      <c r="L941" s="531"/>
      <c r="M941" s="531"/>
      <c r="N941" s="531"/>
      <c r="O941" s="531"/>
      <c r="P941" s="531"/>
      <c r="Q941" s="531"/>
      <c r="R941" s="531"/>
      <c r="S941" s="531"/>
      <c r="T941" s="531"/>
      <c r="U941" s="531"/>
      <c r="V941" s="531"/>
      <c r="W941" s="531"/>
      <c r="X941" s="531"/>
      <c r="Y941" s="531"/>
      <c r="Z941" s="531"/>
      <c r="AA941" s="531"/>
    </row>
    <row r="942" spans="1:27" ht="15">
      <c r="A942" s="530"/>
      <c r="B942" s="527"/>
      <c r="C942" s="527"/>
      <c r="D942" s="527"/>
      <c r="E942" s="527"/>
      <c r="F942" s="527"/>
      <c r="G942" s="527"/>
      <c r="H942" s="527"/>
      <c r="I942" s="527"/>
      <c r="J942" s="528"/>
      <c r="K942" s="531"/>
      <c r="L942" s="531"/>
      <c r="M942" s="531"/>
      <c r="N942" s="531"/>
      <c r="O942" s="531"/>
      <c r="P942" s="531"/>
      <c r="Q942" s="531"/>
      <c r="R942" s="531"/>
      <c r="S942" s="531"/>
      <c r="T942" s="531"/>
      <c r="U942" s="531"/>
      <c r="V942" s="531"/>
      <c r="W942" s="531"/>
      <c r="X942" s="531"/>
      <c r="Y942" s="531"/>
      <c r="Z942" s="531"/>
      <c r="AA942" s="531"/>
    </row>
    <row r="943" spans="1:27" ht="15">
      <c r="A943" s="530"/>
      <c r="B943" s="527"/>
      <c r="C943" s="527"/>
      <c r="D943" s="527"/>
      <c r="E943" s="527"/>
      <c r="F943" s="527"/>
      <c r="G943" s="527"/>
      <c r="H943" s="527"/>
      <c r="I943" s="527"/>
      <c r="J943" s="528"/>
      <c r="K943" s="531"/>
      <c r="L943" s="531"/>
      <c r="M943" s="531"/>
      <c r="N943" s="531"/>
      <c r="O943" s="531"/>
      <c r="P943" s="531"/>
      <c r="Q943" s="531"/>
      <c r="R943" s="531"/>
      <c r="S943" s="531"/>
      <c r="T943" s="531"/>
      <c r="U943" s="531"/>
      <c r="V943" s="531"/>
      <c r="W943" s="531"/>
      <c r="X943" s="531"/>
      <c r="Y943" s="531"/>
      <c r="Z943" s="531"/>
      <c r="AA943" s="531"/>
    </row>
    <row r="944" spans="1:27" ht="15">
      <c r="A944" s="530"/>
      <c r="B944" s="527"/>
      <c r="C944" s="527"/>
      <c r="D944" s="527"/>
      <c r="E944" s="527"/>
      <c r="F944" s="527"/>
      <c r="G944" s="527"/>
      <c r="H944" s="527"/>
      <c r="I944" s="527"/>
      <c r="J944" s="528"/>
      <c r="K944" s="531"/>
      <c r="L944" s="531"/>
      <c r="M944" s="531"/>
      <c r="N944" s="531"/>
      <c r="O944" s="531"/>
      <c r="P944" s="531"/>
      <c r="Q944" s="531"/>
      <c r="R944" s="531"/>
      <c r="S944" s="531"/>
      <c r="T944" s="531"/>
      <c r="U944" s="531"/>
      <c r="V944" s="531"/>
      <c r="W944" s="531"/>
      <c r="X944" s="531"/>
      <c r="Y944" s="531"/>
      <c r="Z944" s="531"/>
      <c r="AA944" s="531"/>
    </row>
    <row r="945" spans="1:27" ht="15">
      <c r="A945" s="530"/>
      <c r="B945" s="527"/>
      <c r="C945" s="527"/>
      <c r="D945" s="527"/>
      <c r="E945" s="527"/>
      <c r="F945" s="527"/>
      <c r="G945" s="527"/>
      <c r="H945" s="527"/>
      <c r="I945" s="527"/>
      <c r="J945" s="528"/>
      <c r="K945" s="531"/>
      <c r="L945" s="531"/>
      <c r="M945" s="531"/>
      <c r="N945" s="531"/>
      <c r="O945" s="531"/>
      <c r="P945" s="531"/>
      <c r="Q945" s="531"/>
      <c r="R945" s="531"/>
      <c r="S945" s="531"/>
      <c r="T945" s="531"/>
      <c r="U945" s="531"/>
      <c r="V945" s="531"/>
      <c r="W945" s="531"/>
      <c r="X945" s="531"/>
      <c r="Y945" s="531"/>
      <c r="Z945" s="531"/>
      <c r="AA945" s="531"/>
    </row>
    <row r="946" spans="1:27" ht="15">
      <c r="A946" s="530"/>
      <c r="B946" s="527"/>
      <c r="C946" s="527"/>
      <c r="D946" s="527"/>
      <c r="E946" s="527"/>
      <c r="F946" s="527"/>
      <c r="G946" s="527"/>
      <c r="H946" s="527"/>
      <c r="I946" s="527"/>
      <c r="J946" s="528"/>
      <c r="K946" s="531"/>
      <c r="L946" s="531"/>
      <c r="M946" s="531"/>
      <c r="N946" s="531"/>
      <c r="O946" s="531"/>
      <c r="P946" s="531"/>
      <c r="Q946" s="531"/>
      <c r="R946" s="531"/>
      <c r="S946" s="531"/>
      <c r="T946" s="531"/>
      <c r="U946" s="531"/>
      <c r="V946" s="531"/>
      <c r="W946" s="531"/>
      <c r="X946" s="531"/>
      <c r="Y946" s="531"/>
      <c r="Z946" s="531"/>
      <c r="AA946" s="531"/>
    </row>
    <row r="947" spans="1:27" ht="15">
      <c r="A947" s="530"/>
      <c r="B947" s="527"/>
      <c r="C947" s="527"/>
      <c r="D947" s="527"/>
      <c r="E947" s="527"/>
      <c r="F947" s="527"/>
      <c r="G947" s="527"/>
      <c r="H947" s="527"/>
      <c r="I947" s="527"/>
      <c r="J947" s="528"/>
      <c r="K947" s="531"/>
      <c r="L947" s="531"/>
      <c r="M947" s="531"/>
      <c r="N947" s="531"/>
      <c r="O947" s="531"/>
      <c r="P947" s="531"/>
      <c r="Q947" s="531"/>
      <c r="R947" s="531"/>
      <c r="S947" s="531"/>
      <c r="T947" s="531"/>
      <c r="U947" s="531"/>
      <c r="V947" s="531"/>
      <c r="W947" s="531"/>
      <c r="X947" s="531"/>
      <c r="Y947" s="531"/>
      <c r="Z947" s="531"/>
      <c r="AA947" s="531"/>
    </row>
    <row r="948" spans="1:27" ht="15">
      <c r="A948" s="530"/>
      <c r="B948" s="527"/>
      <c r="C948" s="527"/>
      <c r="D948" s="527"/>
      <c r="E948" s="527"/>
      <c r="F948" s="527"/>
      <c r="G948" s="527"/>
      <c r="H948" s="527"/>
      <c r="I948" s="527"/>
      <c r="J948" s="528"/>
      <c r="K948" s="531"/>
      <c r="L948" s="531"/>
      <c r="M948" s="531"/>
      <c r="N948" s="531"/>
      <c r="O948" s="531"/>
      <c r="P948" s="531"/>
      <c r="Q948" s="531"/>
      <c r="R948" s="531"/>
      <c r="S948" s="531"/>
      <c r="T948" s="531"/>
      <c r="U948" s="531"/>
      <c r="V948" s="531"/>
      <c r="W948" s="531"/>
      <c r="X948" s="531"/>
      <c r="Y948" s="531"/>
      <c r="Z948" s="531"/>
      <c r="AA948" s="531"/>
    </row>
    <row r="949" spans="1:27" ht="15">
      <c r="A949" s="530"/>
      <c r="B949" s="527"/>
      <c r="C949" s="527"/>
      <c r="D949" s="527"/>
      <c r="E949" s="527"/>
      <c r="F949" s="527"/>
      <c r="G949" s="527"/>
      <c r="H949" s="527"/>
      <c r="I949" s="527"/>
      <c r="J949" s="528"/>
      <c r="K949" s="531"/>
      <c r="L949" s="531"/>
      <c r="M949" s="531"/>
      <c r="N949" s="531"/>
      <c r="O949" s="531"/>
      <c r="P949" s="531"/>
      <c r="Q949" s="531"/>
      <c r="R949" s="531"/>
      <c r="S949" s="531"/>
      <c r="T949" s="531"/>
      <c r="U949" s="531"/>
      <c r="V949" s="531"/>
      <c r="W949" s="531"/>
      <c r="X949" s="531"/>
      <c r="Y949" s="531"/>
      <c r="Z949" s="531"/>
      <c r="AA949" s="531"/>
    </row>
    <row r="950" spans="1:27" ht="15">
      <c r="A950" s="530"/>
      <c r="B950" s="527"/>
      <c r="C950" s="527"/>
      <c r="D950" s="527"/>
      <c r="E950" s="527"/>
      <c r="F950" s="527"/>
      <c r="G950" s="527"/>
      <c r="H950" s="527"/>
      <c r="I950" s="527"/>
      <c r="J950" s="528"/>
      <c r="K950" s="531"/>
      <c r="L950" s="531"/>
      <c r="M950" s="531"/>
      <c r="N950" s="531"/>
      <c r="O950" s="531"/>
      <c r="P950" s="531"/>
      <c r="Q950" s="531"/>
      <c r="R950" s="531"/>
      <c r="S950" s="531"/>
      <c r="T950" s="531"/>
      <c r="U950" s="531"/>
      <c r="V950" s="531"/>
      <c r="W950" s="531"/>
      <c r="X950" s="531"/>
      <c r="Y950" s="531"/>
      <c r="Z950" s="531"/>
      <c r="AA950" s="531"/>
    </row>
    <row r="951" spans="1:27" ht="15">
      <c r="A951" s="530"/>
      <c r="B951" s="527"/>
      <c r="C951" s="527"/>
      <c r="D951" s="527"/>
      <c r="E951" s="527"/>
      <c r="F951" s="527"/>
      <c r="G951" s="527"/>
      <c r="H951" s="527"/>
      <c r="I951" s="527"/>
      <c r="J951" s="528"/>
      <c r="K951" s="531"/>
      <c r="L951" s="531"/>
      <c r="M951" s="531"/>
      <c r="N951" s="531"/>
      <c r="O951" s="531"/>
      <c r="P951" s="531"/>
      <c r="Q951" s="531"/>
      <c r="R951" s="531"/>
      <c r="S951" s="531"/>
      <c r="T951" s="531"/>
      <c r="U951" s="531"/>
      <c r="V951" s="531"/>
      <c r="W951" s="531"/>
      <c r="X951" s="531"/>
      <c r="Y951" s="531"/>
      <c r="Z951" s="531"/>
      <c r="AA951" s="531"/>
    </row>
    <row r="952" spans="1:27" ht="15">
      <c r="A952" s="530"/>
      <c r="B952" s="527"/>
      <c r="C952" s="527"/>
      <c r="D952" s="527"/>
      <c r="E952" s="527"/>
      <c r="F952" s="527"/>
      <c r="G952" s="527"/>
      <c r="H952" s="527"/>
      <c r="I952" s="527"/>
      <c r="J952" s="528"/>
      <c r="K952" s="531"/>
      <c r="L952" s="531"/>
      <c r="M952" s="531"/>
      <c r="N952" s="531"/>
      <c r="O952" s="531"/>
      <c r="P952" s="531"/>
      <c r="Q952" s="531"/>
      <c r="R952" s="531"/>
      <c r="S952" s="531"/>
      <c r="T952" s="531"/>
      <c r="U952" s="531"/>
      <c r="V952" s="531"/>
      <c r="W952" s="531"/>
      <c r="X952" s="531"/>
      <c r="Y952" s="531"/>
      <c r="Z952" s="531"/>
      <c r="AA952" s="531"/>
    </row>
    <row r="953" spans="1:27" ht="15">
      <c r="A953" s="530"/>
      <c r="B953" s="527"/>
      <c r="C953" s="527"/>
      <c r="D953" s="527"/>
      <c r="E953" s="527"/>
      <c r="F953" s="527"/>
      <c r="G953" s="527"/>
      <c r="H953" s="527"/>
      <c r="I953" s="527"/>
      <c r="J953" s="528"/>
      <c r="K953" s="531"/>
      <c r="L953" s="531"/>
      <c r="M953" s="531"/>
      <c r="N953" s="531"/>
      <c r="O953" s="531"/>
      <c r="P953" s="531"/>
      <c r="Q953" s="531"/>
      <c r="R953" s="531"/>
      <c r="S953" s="531"/>
      <c r="T953" s="531"/>
      <c r="U953" s="531"/>
      <c r="V953" s="531"/>
      <c r="W953" s="531"/>
      <c r="X953" s="531"/>
      <c r="Y953" s="531"/>
      <c r="Z953" s="531"/>
      <c r="AA953" s="531"/>
    </row>
    <row r="954" spans="1:27" ht="15">
      <c r="A954" s="530"/>
      <c r="B954" s="527"/>
      <c r="C954" s="527"/>
      <c r="D954" s="527"/>
      <c r="E954" s="527"/>
      <c r="F954" s="527"/>
      <c r="G954" s="527"/>
      <c r="H954" s="527"/>
      <c r="I954" s="527"/>
      <c r="J954" s="528"/>
      <c r="K954" s="531"/>
      <c r="L954" s="531"/>
      <c r="M954" s="531"/>
      <c r="N954" s="531"/>
      <c r="O954" s="531"/>
      <c r="P954" s="531"/>
      <c r="Q954" s="531"/>
      <c r="R954" s="531"/>
      <c r="S954" s="531"/>
      <c r="T954" s="531"/>
      <c r="U954" s="531"/>
      <c r="V954" s="531"/>
      <c r="W954" s="531"/>
      <c r="X954" s="531"/>
      <c r="Y954" s="531"/>
      <c r="Z954" s="531"/>
      <c r="AA954" s="531"/>
    </row>
    <row r="955" spans="1:27" ht="15">
      <c r="A955" s="530"/>
      <c r="B955" s="527"/>
      <c r="C955" s="527"/>
      <c r="D955" s="527"/>
      <c r="E955" s="527"/>
      <c r="F955" s="527"/>
      <c r="G955" s="527"/>
      <c r="H955" s="527"/>
      <c r="I955" s="527"/>
      <c r="J955" s="528"/>
      <c r="K955" s="531"/>
      <c r="L955" s="531"/>
      <c r="M955" s="531"/>
      <c r="N955" s="531"/>
      <c r="O955" s="531"/>
      <c r="P955" s="531"/>
      <c r="Q955" s="531"/>
      <c r="R955" s="531"/>
      <c r="S955" s="531"/>
      <c r="T955" s="531"/>
      <c r="U955" s="531"/>
      <c r="V955" s="531"/>
      <c r="W955" s="531"/>
      <c r="X955" s="531"/>
      <c r="Y955" s="531"/>
      <c r="Z955" s="531"/>
      <c r="AA955" s="531"/>
    </row>
    <row r="956" spans="1:27" ht="15">
      <c r="A956" s="530"/>
      <c r="B956" s="527"/>
      <c r="C956" s="527"/>
      <c r="D956" s="527"/>
      <c r="E956" s="527"/>
      <c r="F956" s="527"/>
      <c r="G956" s="527"/>
      <c r="H956" s="527"/>
      <c r="I956" s="527"/>
      <c r="J956" s="528"/>
      <c r="K956" s="531"/>
      <c r="L956" s="531"/>
      <c r="M956" s="531"/>
      <c r="N956" s="531"/>
      <c r="O956" s="531"/>
      <c r="P956" s="531"/>
      <c r="Q956" s="531"/>
      <c r="R956" s="531"/>
      <c r="S956" s="531"/>
      <c r="T956" s="531"/>
      <c r="U956" s="531"/>
      <c r="V956" s="531"/>
      <c r="W956" s="531"/>
      <c r="X956" s="531"/>
      <c r="Y956" s="531"/>
      <c r="Z956" s="531"/>
      <c r="AA956" s="531"/>
    </row>
    <row r="957" spans="1:27" ht="15">
      <c r="A957" s="530"/>
      <c r="B957" s="527"/>
      <c r="C957" s="527"/>
      <c r="D957" s="527"/>
      <c r="E957" s="527"/>
      <c r="F957" s="527"/>
      <c r="G957" s="527"/>
      <c r="H957" s="527"/>
      <c r="I957" s="527"/>
      <c r="J957" s="528"/>
      <c r="K957" s="531"/>
      <c r="L957" s="531"/>
      <c r="M957" s="531"/>
      <c r="N957" s="531"/>
      <c r="O957" s="531"/>
      <c r="P957" s="531"/>
      <c r="Q957" s="531"/>
      <c r="R957" s="531"/>
      <c r="S957" s="531"/>
      <c r="T957" s="531"/>
      <c r="U957" s="531"/>
      <c r="V957" s="531"/>
      <c r="W957" s="531"/>
      <c r="X957" s="531"/>
      <c r="Y957" s="531"/>
      <c r="Z957" s="531"/>
      <c r="AA957" s="531"/>
    </row>
    <row r="958" spans="1:27" ht="15">
      <c r="A958" s="530"/>
      <c r="B958" s="527"/>
      <c r="C958" s="527"/>
      <c r="D958" s="527"/>
      <c r="E958" s="527"/>
      <c r="F958" s="527"/>
      <c r="G958" s="527"/>
      <c r="H958" s="527"/>
      <c r="I958" s="527"/>
      <c r="J958" s="528"/>
      <c r="K958" s="531"/>
      <c r="L958" s="531"/>
      <c r="M958" s="531"/>
      <c r="N958" s="531"/>
      <c r="O958" s="531"/>
      <c r="P958" s="531"/>
      <c r="Q958" s="531"/>
      <c r="R958" s="531"/>
      <c r="S958" s="531"/>
      <c r="T958" s="531"/>
      <c r="U958" s="531"/>
      <c r="V958" s="531"/>
      <c r="W958" s="531"/>
      <c r="X958" s="531"/>
      <c r="Y958" s="531"/>
      <c r="Z958" s="531"/>
      <c r="AA958" s="531"/>
    </row>
    <row r="959" spans="1:27" ht="15">
      <c r="A959" s="530"/>
      <c r="B959" s="527"/>
      <c r="C959" s="527"/>
      <c r="D959" s="527"/>
      <c r="E959" s="527"/>
      <c r="F959" s="527"/>
      <c r="G959" s="527"/>
      <c r="H959" s="527"/>
      <c r="I959" s="527"/>
      <c r="J959" s="528"/>
      <c r="K959" s="531"/>
      <c r="L959" s="531"/>
      <c r="M959" s="531"/>
      <c r="N959" s="531"/>
      <c r="O959" s="531"/>
      <c r="P959" s="531"/>
      <c r="Q959" s="531"/>
      <c r="R959" s="531"/>
      <c r="S959" s="531"/>
      <c r="T959" s="531"/>
      <c r="U959" s="531"/>
      <c r="V959" s="531"/>
      <c r="W959" s="531"/>
      <c r="X959" s="531"/>
      <c r="Y959" s="531"/>
      <c r="Z959" s="531"/>
      <c r="AA959" s="531"/>
    </row>
    <row r="960" spans="1:27" ht="15">
      <c r="A960" s="530"/>
      <c r="B960" s="527"/>
      <c r="C960" s="527"/>
      <c r="D960" s="527"/>
      <c r="E960" s="527"/>
      <c r="F960" s="527"/>
      <c r="G960" s="527"/>
      <c r="H960" s="527"/>
      <c r="I960" s="527"/>
      <c r="J960" s="528"/>
      <c r="K960" s="531"/>
      <c r="L960" s="531"/>
      <c r="M960" s="531"/>
      <c r="N960" s="531"/>
      <c r="O960" s="531"/>
      <c r="P960" s="531"/>
      <c r="Q960" s="531"/>
      <c r="R960" s="531"/>
      <c r="S960" s="531"/>
      <c r="T960" s="531"/>
      <c r="U960" s="531"/>
      <c r="V960" s="531"/>
      <c r="W960" s="531"/>
      <c r="X960" s="531"/>
      <c r="Y960" s="531"/>
      <c r="Z960" s="531"/>
      <c r="AA960" s="531"/>
    </row>
    <row r="961" spans="1:27" ht="15">
      <c r="A961" s="530"/>
      <c r="B961" s="527"/>
      <c r="C961" s="527"/>
      <c r="D961" s="527"/>
      <c r="E961" s="527"/>
      <c r="F961" s="527"/>
      <c r="G961" s="527"/>
      <c r="H961" s="527"/>
      <c r="I961" s="527"/>
      <c r="J961" s="528"/>
      <c r="K961" s="531"/>
      <c r="L961" s="531"/>
      <c r="M961" s="531"/>
      <c r="N961" s="531"/>
      <c r="O961" s="531"/>
      <c r="P961" s="531"/>
      <c r="Q961" s="531"/>
      <c r="R961" s="531"/>
      <c r="S961" s="531"/>
      <c r="T961" s="531"/>
      <c r="U961" s="531"/>
      <c r="V961" s="531"/>
      <c r="W961" s="531"/>
      <c r="X961" s="531"/>
      <c r="Y961" s="531"/>
      <c r="Z961" s="531"/>
      <c r="AA961" s="531"/>
    </row>
    <row r="962" spans="1:27" ht="15">
      <c r="A962" s="530"/>
      <c r="B962" s="527"/>
      <c r="C962" s="527"/>
      <c r="D962" s="527"/>
      <c r="E962" s="527"/>
      <c r="F962" s="527"/>
      <c r="G962" s="527"/>
      <c r="H962" s="527"/>
      <c r="I962" s="527"/>
      <c r="J962" s="528"/>
      <c r="K962" s="531"/>
      <c r="L962" s="531"/>
      <c r="M962" s="531"/>
      <c r="N962" s="531"/>
      <c r="O962" s="531"/>
      <c r="P962" s="531"/>
      <c r="Q962" s="531"/>
      <c r="R962" s="531"/>
      <c r="S962" s="531"/>
      <c r="T962" s="531"/>
      <c r="U962" s="531"/>
      <c r="V962" s="531"/>
      <c r="W962" s="531"/>
      <c r="X962" s="531"/>
      <c r="Y962" s="531"/>
      <c r="Z962" s="531"/>
      <c r="AA962" s="531"/>
    </row>
    <row r="963" spans="1:27" ht="15">
      <c r="A963" s="530"/>
      <c r="B963" s="527"/>
      <c r="C963" s="527"/>
      <c r="D963" s="527"/>
      <c r="E963" s="527"/>
      <c r="F963" s="527"/>
      <c r="G963" s="527"/>
      <c r="H963" s="527"/>
      <c r="I963" s="527"/>
      <c r="J963" s="528"/>
      <c r="K963" s="531"/>
      <c r="L963" s="531"/>
      <c r="M963" s="531"/>
      <c r="N963" s="531"/>
      <c r="O963" s="531"/>
      <c r="P963" s="531"/>
      <c r="Q963" s="531"/>
      <c r="R963" s="531"/>
      <c r="S963" s="531"/>
      <c r="T963" s="531"/>
      <c r="U963" s="531"/>
      <c r="V963" s="531"/>
      <c r="W963" s="531"/>
      <c r="X963" s="531"/>
      <c r="Y963" s="531"/>
      <c r="Z963" s="531"/>
      <c r="AA963" s="531"/>
    </row>
    <row r="964" spans="1:27" ht="15">
      <c r="A964" s="530"/>
      <c r="B964" s="527"/>
      <c r="C964" s="527"/>
      <c r="D964" s="527"/>
      <c r="E964" s="527"/>
      <c r="F964" s="527"/>
      <c r="G964" s="527"/>
      <c r="H964" s="527"/>
      <c r="I964" s="527"/>
      <c r="J964" s="528"/>
      <c r="K964" s="531"/>
      <c r="L964" s="531"/>
      <c r="M964" s="531"/>
      <c r="N964" s="531"/>
      <c r="O964" s="531"/>
      <c r="P964" s="531"/>
      <c r="Q964" s="531"/>
      <c r="R964" s="531"/>
      <c r="S964" s="531"/>
      <c r="T964" s="531"/>
      <c r="U964" s="531"/>
      <c r="V964" s="531"/>
      <c r="W964" s="531"/>
      <c r="X964" s="531"/>
      <c r="Y964" s="531"/>
      <c r="Z964" s="531"/>
      <c r="AA964" s="531"/>
    </row>
    <row r="965" spans="1:27" ht="15">
      <c r="A965" s="530"/>
      <c r="B965" s="527"/>
      <c r="C965" s="527"/>
      <c r="D965" s="527"/>
      <c r="E965" s="527"/>
      <c r="F965" s="527"/>
      <c r="G965" s="527"/>
      <c r="H965" s="527"/>
      <c r="I965" s="527"/>
      <c r="J965" s="528"/>
      <c r="K965" s="531"/>
      <c r="L965" s="531"/>
      <c r="M965" s="531"/>
      <c r="N965" s="531"/>
      <c r="O965" s="531"/>
      <c r="P965" s="531"/>
      <c r="Q965" s="531"/>
      <c r="R965" s="531"/>
      <c r="S965" s="531"/>
      <c r="T965" s="531"/>
      <c r="U965" s="531"/>
      <c r="V965" s="531"/>
      <c r="W965" s="531"/>
      <c r="X965" s="531"/>
      <c r="Y965" s="531"/>
      <c r="Z965" s="531"/>
      <c r="AA965" s="531"/>
    </row>
    <row r="966" spans="1:27" ht="15">
      <c r="A966" s="530"/>
      <c r="B966" s="527"/>
      <c r="C966" s="527"/>
      <c r="D966" s="527"/>
      <c r="E966" s="527"/>
      <c r="F966" s="527"/>
      <c r="G966" s="527"/>
      <c r="H966" s="527"/>
      <c r="I966" s="527"/>
      <c r="J966" s="528"/>
      <c r="K966" s="531"/>
      <c r="L966" s="531"/>
      <c r="M966" s="531"/>
      <c r="N966" s="531"/>
      <c r="O966" s="531"/>
      <c r="P966" s="531"/>
      <c r="Q966" s="531"/>
      <c r="R966" s="531"/>
      <c r="S966" s="531"/>
      <c r="T966" s="531"/>
      <c r="U966" s="531"/>
      <c r="V966" s="531"/>
      <c r="W966" s="531"/>
      <c r="X966" s="531"/>
      <c r="Y966" s="531"/>
      <c r="Z966" s="531"/>
      <c r="AA966" s="531"/>
    </row>
    <row r="967" spans="1:27" ht="15">
      <c r="A967" s="530"/>
      <c r="B967" s="527"/>
      <c r="C967" s="527"/>
      <c r="D967" s="527"/>
      <c r="E967" s="527"/>
      <c r="F967" s="527"/>
      <c r="G967" s="527"/>
      <c r="H967" s="527"/>
      <c r="I967" s="527"/>
      <c r="J967" s="528"/>
      <c r="K967" s="531"/>
      <c r="L967" s="531"/>
      <c r="M967" s="531"/>
      <c r="N967" s="531"/>
      <c r="O967" s="531"/>
      <c r="P967" s="531"/>
      <c r="Q967" s="531"/>
      <c r="R967" s="531"/>
      <c r="S967" s="531"/>
      <c r="T967" s="531"/>
      <c r="U967" s="531"/>
      <c r="V967" s="531"/>
      <c r="W967" s="531"/>
      <c r="X967" s="531"/>
      <c r="Y967" s="531"/>
      <c r="Z967" s="531"/>
      <c r="AA967" s="531"/>
    </row>
    <row r="968" spans="1:27" ht="15">
      <c r="A968" s="530"/>
      <c r="B968" s="527"/>
      <c r="C968" s="527"/>
      <c r="D968" s="527"/>
      <c r="E968" s="527"/>
      <c r="F968" s="527"/>
      <c r="G968" s="527"/>
      <c r="H968" s="527"/>
      <c r="I968" s="527"/>
      <c r="J968" s="528"/>
      <c r="K968" s="531"/>
      <c r="L968" s="531"/>
      <c r="M968" s="531"/>
      <c r="N968" s="531"/>
      <c r="O968" s="531"/>
      <c r="P968" s="531"/>
      <c r="Q968" s="531"/>
      <c r="R968" s="531"/>
      <c r="S968" s="531"/>
      <c r="T968" s="531"/>
      <c r="U968" s="531"/>
      <c r="V968" s="531"/>
      <c r="W968" s="531"/>
      <c r="X968" s="531"/>
      <c r="Y968" s="531"/>
      <c r="Z968" s="531"/>
      <c r="AA968" s="531"/>
    </row>
    <row r="969" spans="1:27" ht="15">
      <c r="A969" s="530"/>
      <c r="B969" s="527"/>
      <c r="C969" s="527"/>
      <c r="D969" s="527"/>
      <c r="E969" s="527"/>
      <c r="F969" s="527"/>
      <c r="G969" s="527"/>
      <c r="H969" s="527"/>
      <c r="I969" s="527"/>
      <c r="J969" s="528"/>
      <c r="K969" s="531"/>
      <c r="L969" s="531"/>
      <c r="M969" s="531"/>
      <c r="N969" s="531"/>
      <c r="O969" s="531"/>
      <c r="P969" s="531"/>
      <c r="Q969" s="531"/>
      <c r="R969" s="531"/>
      <c r="S969" s="531"/>
      <c r="T969" s="531"/>
      <c r="U969" s="531"/>
      <c r="V969" s="531"/>
      <c r="W969" s="531"/>
      <c r="X969" s="531"/>
      <c r="Y969" s="531"/>
      <c r="Z969" s="531"/>
      <c r="AA969" s="531"/>
    </row>
    <row r="970" spans="1:27" ht="15">
      <c r="A970" s="530"/>
      <c r="B970" s="527"/>
      <c r="C970" s="527"/>
      <c r="D970" s="527"/>
      <c r="E970" s="527"/>
      <c r="F970" s="527"/>
      <c r="G970" s="527"/>
      <c r="H970" s="527"/>
      <c r="I970" s="527"/>
      <c r="J970" s="528"/>
      <c r="K970" s="531"/>
      <c r="L970" s="531"/>
      <c r="M970" s="531"/>
      <c r="N970" s="531"/>
      <c r="O970" s="531"/>
      <c r="P970" s="531"/>
      <c r="Q970" s="531"/>
      <c r="R970" s="531"/>
      <c r="S970" s="531"/>
      <c r="T970" s="531"/>
      <c r="U970" s="531"/>
      <c r="V970" s="531"/>
      <c r="W970" s="531"/>
      <c r="X970" s="531"/>
      <c r="Y970" s="531"/>
      <c r="Z970" s="531"/>
      <c r="AA970" s="531"/>
    </row>
    <row r="971" spans="1:27" ht="15">
      <c r="A971" s="530"/>
      <c r="B971" s="527"/>
      <c r="C971" s="527"/>
      <c r="D971" s="527"/>
      <c r="E971" s="527"/>
      <c r="F971" s="527"/>
      <c r="G971" s="527"/>
      <c r="H971" s="527"/>
      <c r="I971" s="527"/>
      <c r="J971" s="528"/>
      <c r="K971" s="531"/>
      <c r="L971" s="531"/>
      <c r="M971" s="531"/>
      <c r="N971" s="531"/>
      <c r="O971" s="531"/>
      <c r="P971" s="531"/>
      <c r="Q971" s="531"/>
      <c r="R971" s="531"/>
      <c r="S971" s="531"/>
      <c r="T971" s="531"/>
      <c r="U971" s="531"/>
      <c r="V971" s="531"/>
      <c r="W971" s="531"/>
      <c r="X971" s="531"/>
      <c r="Y971" s="531"/>
      <c r="Z971" s="531"/>
      <c r="AA971" s="531"/>
    </row>
    <row r="972" spans="1:27" ht="15">
      <c r="A972" s="530"/>
      <c r="B972" s="527"/>
      <c r="C972" s="527"/>
      <c r="D972" s="527"/>
      <c r="E972" s="527"/>
      <c r="F972" s="527"/>
      <c r="G972" s="527"/>
      <c r="H972" s="527"/>
      <c r="I972" s="527"/>
      <c r="J972" s="528"/>
      <c r="K972" s="531"/>
      <c r="L972" s="531"/>
      <c r="M972" s="531"/>
      <c r="N972" s="531"/>
      <c r="O972" s="531"/>
      <c r="P972" s="531"/>
      <c r="Q972" s="531"/>
      <c r="R972" s="531"/>
      <c r="S972" s="531"/>
      <c r="T972" s="531"/>
      <c r="U972" s="531"/>
      <c r="V972" s="531"/>
      <c r="W972" s="531"/>
      <c r="X972" s="531"/>
      <c r="Y972" s="531"/>
      <c r="Z972" s="531"/>
      <c r="AA972" s="531"/>
    </row>
    <row r="973" spans="1:27" ht="15">
      <c r="A973" s="530"/>
      <c r="B973" s="527"/>
      <c r="C973" s="527"/>
      <c r="D973" s="527"/>
      <c r="E973" s="527"/>
      <c r="F973" s="527"/>
      <c r="G973" s="527"/>
      <c r="H973" s="527"/>
      <c r="I973" s="527"/>
      <c r="J973" s="528"/>
      <c r="K973" s="531"/>
      <c r="L973" s="531"/>
      <c r="M973" s="531"/>
      <c r="N973" s="531"/>
      <c r="O973" s="531"/>
      <c r="P973" s="531"/>
      <c r="Q973" s="531"/>
      <c r="R973" s="531"/>
      <c r="S973" s="531"/>
      <c r="T973" s="531"/>
      <c r="U973" s="531"/>
      <c r="V973" s="531"/>
      <c r="W973" s="531"/>
      <c r="X973" s="531"/>
      <c r="Y973" s="531"/>
      <c r="Z973" s="531"/>
      <c r="AA973" s="531"/>
    </row>
    <row r="974" spans="1:27" ht="15">
      <c r="A974" s="530"/>
      <c r="B974" s="527"/>
      <c r="C974" s="527"/>
      <c r="D974" s="527"/>
      <c r="E974" s="527"/>
      <c r="F974" s="527"/>
      <c r="G974" s="527"/>
      <c r="H974" s="527"/>
      <c r="I974" s="527"/>
      <c r="J974" s="528"/>
      <c r="K974" s="531"/>
      <c r="L974" s="531"/>
      <c r="M974" s="531"/>
      <c r="N974" s="531"/>
      <c r="O974" s="531"/>
      <c r="P974" s="531"/>
      <c r="Q974" s="531"/>
      <c r="R974" s="531"/>
      <c r="S974" s="531"/>
      <c r="T974" s="531"/>
      <c r="U974" s="531"/>
      <c r="V974" s="531"/>
      <c r="W974" s="531"/>
      <c r="X974" s="531"/>
      <c r="Y974" s="531"/>
      <c r="Z974" s="531"/>
      <c r="AA974" s="531"/>
    </row>
    <row r="975" spans="1:27" ht="15">
      <c r="A975" s="530"/>
      <c r="B975" s="527"/>
      <c r="C975" s="527"/>
      <c r="D975" s="527"/>
      <c r="E975" s="527"/>
      <c r="F975" s="527"/>
      <c r="G975" s="527"/>
      <c r="H975" s="527"/>
      <c r="I975" s="527"/>
      <c r="J975" s="528"/>
      <c r="K975" s="531"/>
      <c r="L975" s="531"/>
      <c r="M975" s="531"/>
      <c r="N975" s="531"/>
      <c r="O975" s="531"/>
      <c r="P975" s="531"/>
      <c r="Q975" s="531"/>
      <c r="R975" s="531"/>
      <c r="S975" s="531"/>
      <c r="T975" s="531"/>
      <c r="U975" s="531"/>
      <c r="V975" s="531"/>
      <c r="W975" s="531"/>
      <c r="X975" s="531"/>
      <c r="Y975" s="531"/>
      <c r="Z975" s="531"/>
      <c r="AA975" s="531"/>
    </row>
    <row r="976" spans="1:27" ht="15">
      <c r="A976" s="530"/>
      <c r="B976" s="527"/>
      <c r="C976" s="527"/>
      <c r="D976" s="527"/>
      <c r="E976" s="527"/>
      <c r="F976" s="527"/>
      <c r="G976" s="527"/>
      <c r="H976" s="527"/>
      <c r="I976" s="527"/>
      <c r="J976" s="528"/>
      <c r="K976" s="531"/>
      <c r="L976" s="531"/>
      <c r="M976" s="531"/>
      <c r="N976" s="531"/>
      <c r="O976" s="531"/>
      <c r="P976" s="531"/>
      <c r="Q976" s="531"/>
      <c r="R976" s="531"/>
      <c r="S976" s="531"/>
      <c r="T976" s="531"/>
      <c r="U976" s="531"/>
      <c r="V976" s="531"/>
      <c r="W976" s="531"/>
      <c r="X976" s="531"/>
      <c r="Y976" s="531"/>
      <c r="Z976" s="531"/>
      <c r="AA976" s="531"/>
    </row>
    <row r="977" spans="1:27" ht="15">
      <c r="A977" s="530"/>
      <c r="B977" s="527"/>
      <c r="C977" s="527"/>
      <c r="D977" s="527"/>
      <c r="E977" s="527"/>
      <c r="F977" s="527"/>
      <c r="G977" s="527"/>
      <c r="H977" s="527"/>
      <c r="I977" s="527"/>
      <c r="J977" s="528"/>
      <c r="K977" s="531"/>
      <c r="L977" s="531"/>
      <c r="M977" s="531"/>
      <c r="N977" s="531"/>
      <c r="O977" s="531"/>
      <c r="P977" s="531"/>
      <c r="Q977" s="531"/>
      <c r="R977" s="531"/>
      <c r="S977" s="531"/>
      <c r="T977" s="531"/>
      <c r="U977" s="531"/>
      <c r="V977" s="531"/>
      <c r="W977" s="531"/>
      <c r="X977" s="531"/>
      <c r="Y977" s="531"/>
      <c r="Z977" s="531"/>
      <c r="AA977" s="531"/>
    </row>
    <row r="978" spans="1:27" ht="15">
      <c r="A978" s="530"/>
      <c r="B978" s="527"/>
      <c r="C978" s="527"/>
      <c r="D978" s="527"/>
      <c r="E978" s="527"/>
      <c r="F978" s="527"/>
      <c r="G978" s="527"/>
      <c r="H978" s="527"/>
      <c r="I978" s="527"/>
      <c r="J978" s="528"/>
      <c r="K978" s="531"/>
      <c r="L978" s="531"/>
      <c r="M978" s="531"/>
      <c r="N978" s="531"/>
      <c r="O978" s="531"/>
      <c r="P978" s="531"/>
      <c r="Q978" s="531"/>
      <c r="R978" s="531"/>
      <c r="S978" s="531"/>
      <c r="T978" s="531"/>
      <c r="U978" s="531"/>
      <c r="V978" s="531"/>
      <c r="W978" s="531"/>
      <c r="X978" s="531"/>
      <c r="Y978" s="531"/>
      <c r="Z978" s="531"/>
      <c r="AA978" s="531"/>
    </row>
    <row r="979" spans="1:27" ht="15">
      <c r="A979" s="530"/>
      <c r="B979" s="527"/>
      <c r="C979" s="527"/>
      <c r="D979" s="527"/>
      <c r="E979" s="527"/>
      <c r="F979" s="527"/>
      <c r="G979" s="527"/>
      <c r="H979" s="527"/>
      <c r="I979" s="527"/>
      <c r="J979" s="528"/>
      <c r="K979" s="531"/>
      <c r="L979" s="531"/>
      <c r="M979" s="531"/>
      <c r="N979" s="531"/>
      <c r="O979" s="531"/>
      <c r="P979" s="531"/>
      <c r="Q979" s="531"/>
      <c r="R979" s="531"/>
      <c r="S979" s="531"/>
      <c r="T979" s="531"/>
      <c r="U979" s="531"/>
      <c r="V979" s="531"/>
      <c r="W979" s="531"/>
      <c r="X979" s="531"/>
      <c r="Y979" s="531"/>
      <c r="Z979" s="531"/>
      <c r="AA979" s="531"/>
    </row>
    <row r="980" spans="1:27" ht="15">
      <c r="A980" s="530"/>
      <c r="B980" s="527"/>
      <c r="C980" s="527"/>
      <c r="D980" s="527"/>
      <c r="E980" s="527"/>
      <c r="F980" s="527"/>
      <c r="G980" s="527"/>
      <c r="H980" s="527"/>
      <c r="I980" s="527"/>
      <c r="J980" s="528"/>
      <c r="K980" s="531"/>
      <c r="L980" s="531"/>
      <c r="M980" s="531"/>
      <c r="N980" s="531"/>
      <c r="O980" s="531"/>
      <c r="P980" s="531"/>
      <c r="Q980" s="531"/>
      <c r="R980" s="531"/>
      <c r="S980" s="531"/>
      <c r="T980" s="531"/>
      <c r="U980" s="531"/>
      <c r="V980" s="531"/>
      <c r="W980" s="531"/>
      <c r="X980" s="531"/>
      <c r="Y980" s="531"/>
      <c r="Z980" s="531"/>
      <c r="AA980" s="531"/>
    </row>
    <row r="981" spans="1:27" ht="15">
      <c r="A981" s="530"/>
      <c r="B981" s="527"/>
      <c r="C981" s="527"/>
      <c r="D981" s="527"/>
      <c r="E981" s="527"/>
      <c r="F981" s="527"/>
      <c r="G981" s="527"/>
      <c r="H981" s="527"/>
      <c r="I981" s="527"/>
      <c r="J981" s="528"/>
      <c r="K981" s="531"/>
      <c r="L981" s="531"/>
      <c r="M981" s="531"/>
      <c r="N981" s="531"/>
      <c r="O981" s="531"/>
      <c r="P981" s="531"/>
      <c r="Q981" s="531"/>
      <c r="R981" s="531"/>
      <c r="S981" s="531"/>
      <c r="T981" s="531"/>
      <c r="U981" s="531"/>
      <c r="V981" s="531"/>
      <c r="W981" s="531"/>
      <c r="X981" s="531"/>
      <c r="Y981" s="531"/>
      <c r="Z981" s="531"/>
      <c r="AA981" s="531"/>
    </row>
    <row r="982" spans="1:27" ht="15">
      <c r="A982" s="530"/>
      <c r="B982" s="527"/>
      <c r="C982" s="527"/>
      <c r="D982" s="527"/>
      <c r="E982" s="527"/>
      <c r="F982" s="527"/>
      <c r="G982" s="527"/>
      <c r="H982" s="527"/>
      <c r="I982" s="527"/>
      <c r="J982" s="528"/>
      <c r="K982" s="531"/>
      <c r="L982" s="531"/>
      <c r="M982" s="531"/>
      <c r="N982" s="531"/>
      <c r="O982" s="531"/>
      <c r="P982" s="531"/>
      <c r="Q982" s="531"/>
      <c r="R982" s="531"/>
      <c r="S982" s="531"/>
      <c r="T982" s="531"/>
      <c r="U982" s="531"/>
      <c r="V982" s="531"/>
      <c r="W982" s="531"/>
      <c r="X982" s="531"/>
      <c r="Y982" s="531"/>
      <c r="Z982" s="531"/>
      <c r="AA982" s="531"/>
    </row>
    <row r="983" spans="1:27" ht="15">
      <c r="A983" s="530"/>
      <c r="B983" s="527"/>
      <c r="C983" s="527"/>
      <c r="D983" s="527"/>
      <c r="E983" s="527"/>
      <c r="F983" s="527"/>
      <c r="G983" s="527"/>
      <c r="H983" s="527"/>
      <c r="I983" s="527"/>
      <c r="J983" s="528"/>
      <c r="K983" s="531"/>
      <c r="L983" s="531"/>
      <c r="M983" s="531"/>
      <c r="N983" s="531"/>
      <c r="O983" s="531"/>
      <c r="P983" s="531"/>
      <c r="Q983" s="531"/>
      <c r="R983" s="531"/>
      <c r="S983" s="531"/>
      <c r="T983" s="531"/>
      <c r="U983" s="531"/>
      <c r="V983" s="531"/>
      <c r="W983" s="531"/>
      <c r="X983" s="531"/>
      <c r="Y983" s="531"/>
      <c r="Z983" s="531"/>
      <c r="AA983" s="531"/>
    </row>
    <row r="984" spans="1:27" ht="15">
      <c r="A984" s="530"/>
      <c r="B984" s="527"/>
      <c r="C984" s="527"/>
      <c r="D984" s="527"/>
      <c r="E984" s="527"/>
      <c r="F984" s="527"/>
      <c r="G984" s="527"/>
      <c r="H984" s="527"/>
      <c r="I984" s="527"/>
      <c r="J984" s="528"/>
      <c r="K984" s="531"/>
      <c r="L984" s="531"/>
      <c r="M984" s="531"/>
      <c r="N984" s="531"/>
      <c r="O984" s="531"/>
      <c r="P984" s="531"/>
      <c r="Q984" s="531"/>
      <c r="R984" s="531"/>
      <c r="S984" s="531"/>
      <c r="T984" s="531"/>
      <c r="U984" s="531"/>
      <c r="V984" s="531"/>
      <c r="W984" s="531"/>
      <c r="X984" s="531"/>
      <c r="Y984" s="531"/>
      <c r="Z984" s="531"/>
      <c r="AA984" s="531"/>
    </row>
    <row r="985" spans="1:27" ht="15">
      <c r="A985" s="530"/>
      <c r="B985" s="527"/>
      <c r="C985" s="527"/>
      <c r="D985" s="527"/>
      <c r="E985" s="527"/>
      <c r="F985" s="527"/>
      <c r="G985" s="527"/>
      <c r="H985" s="527"/>
      <c r="I985" s="527"/>
      <c r="J985" s="528"/>
      <c r="K985" s="531"/>
      <c r="L985" s="531"/>
      <c r="M985" s="531"/>
      <c r="N985" s="531"/>
      <c r="O985" s="531"/>
      <c r="P985" s="531"/>
      <c r="Q985" s="531"/>
      <c r="R985" s="531"/>
      <c r="S985" s="531"/>
      <c r="T985" s="531"/>
      <c r="U985" s="531"/>
      <c r="V985" s="531"/>
      <c r="W985" s="531"/>
      <c r="X985" s="531"/>
      <c r="Y985" s="531"/>
      <c r="Z985" s="531"/>
      <c r="AA985" s="531"/>
    </row>
    <row r="986" spans="1:27" ht="15">
      <c r="A986" s="530"/>
      <c r="B986" s="527"/>
      <c r="C986" s="527"/>
      <c r="D986" s="527"/>
      <c r="E986" s="527"/>
      <c r="F986" s="527"/>
      <c r="G986" s="527"/>
      <c r="H986" s="527"/>
      <c r="I986" s="527"/>
      <c r="J986" s="528"/>
      <c r="K986" s="531"/>
      <c r="L986" s="531"/>
      <c r="M986" s="531"/>
      <c r="N986" s="531"/>
      <c r="O986" s="531"/>
      <c r="P986" s="531"/>
      <c r="Q986" s="531"/>
      <c r="R986" s="531"/>
      <c r="S986" s="531"/>
      <c r="T986" s="531"/>
      <c r="U986" s="531"/>
      <c r="V986" s="531"/>
      <c r="W986" s="531"/>
      <c r="X986" s="531"/>
      <c r="Y986" s="531"/>
      <c r="Z986" s="531"/>
      <c r="AA986" s="531"/>
    </row>
    <row r="987" spans="1:27" ht="15">
      <c r="A987" s="530"/>
      <c r="B987" s="527"/>
      <c r="C987" s="527"/>
      <c r="D987" s="527"/>
      <c r="E987" s="527"/>
      <c r="F987" s="527"/>
      <c r="G987" s="527"/>
      <c r="H987" s="527"/>
      <c r="I987" s="527"/>
      <c r="J987" s="528"/>
      <c r="K987" s="531"/>
      <c r="L987" s="531"/>
      <c r="M987" s="531"/>
      <c r="N987" s="531"/>
      <c r="O987" s="531"/>
      <c r="P987" s="531"/>
      <c r="Q987" s="531"/>
      <c r="R987" s="531"/>
      <c r="S987" s="531"/>
      <c r="T987" s="531"/>
      <c r="U987" s="531"/>
      <c r="V987" s="531"/>
      <c r="W987" s="531"/>
      <c r="X987" s="531"/>
      <c r="Y987" s="531"/>
      <c r="Z987" s="531"/>
      <c r="AA987" s="531"/>
    </row>
    <row r="988" spans="1:27" ht="15">
      <c r="A988" s="530"/>
      <c r="B988" s="527"/>
      <c r="C988" s="527"/>
      <c r="D988" s="527"/>
      <c r="E988" s="527"/>
      <c r="F988" s="527"/>
      <c r="G988" s="527"/>
      <c r="H988" s="527"/>
      <c r="I988" s="527"/>
      <c r="J988" s="528"/>
      <c r="K988" s="531"/>
      <c r="L988" s="531"/>
      <c r="M988" s="531"/>
      <c r="N988" s="531"/>
      <c r="O988" s="531"/>
      <c r="P988" s="531"/>
      <c r="Q988" s="531"/>
      <c r="R988" s="531"/>
      <c r="S988" s="531"/>
      <c r="T988" s="531"/>
      <c r="U988" s="531"/>
      <c r="V988" s="531"/>
      <c r="W988" s="531"/>
      <c r="X988" s="531"/>
      <c r="Y988" s="531"/>
      <c r="Z988" s="531"/>
      <c r="AA988" s="531"/>
    </row>
    <row r="989" spans="1:27" ht="15">
      <c r="A989" s="530"/>
      <c r="B989" s="527"/>
      <c r="C989" s="527"/>
      <c r="D989" s="527"/>
      <c r="E989" s="527"/>
      <c r="F989" s="527"/>
      <c r="G989" s="527"/>
      <c r="H989" s="527"/>
      <c r="I989" s="527"/>
      <c r="J989" s="528"/>
      <c r="K989" s="531"/>
      <c r="L989" s="531"/>
      <c r="M989" s="531"/>
      <c r="N989" s="531"/>
      <c r="O989" s="531"/>
      <c r="P989" s="531"/>
      <c r="Q989" s="531"/>
      <c r="R989" s="531"/>
      <c r="S989" s="531"/>
      <c r="T989" s="531"/>
      <c r="U989" s="531"/>
      <c r="V989" s="531"/>
      <c r="W989" s="531"/>
      <c r="X989" s="531"/>
      <c r="Y989" s="531"/>
      <c r="Z989" s="531"/>
      <c r="AA989" s="531"/>
    </row>
    <row r="990" spans="1:27" ht="15">
      <c r="A990" s="530"/>
      <c r="B990" s="527"/>
      <c r="C990" s="527"/>
      <c r="D990" s="527"/>
      <c r="E990" s="527"/>
      <c r="F990" s="527"/>
      <c r="G990" s="527"/>
      <c r="H990" s="527"/>
      <c r="I990" s="527"/>
      <c r="J990" s="528"/>
      <c r="K990" s="531"/>
      <c r="L990" s="531"/>
      <c r="M990" s="531"/>
      <c r="N990" s="531"/>
      <c r="O990" s="531"/>
      <c r="P990" s="531"/>
      <c r="Q990" s="531"/>
      <c r="R990" s="531"/>
      <c r="S990" s="531"/>
      <c r="T990" s="531"/>
      <c r="U990" s="531"/>
      <c r="V990" s="531"/>
      <c r="W990" s="531"/>
      <c r="X990" s="531"/>
      <c r="Y990" s="531"/>
      <c r="Z990" s="531"/>
      <c r="AA990" s="531"/>
    </row>
    <row r="991" spans="1:27" ht="15">
      <c r="A991" s="530"/>
      <c r="B991" s="527"/>
      <c r="C991" s="527"/>
      <c r="D991" s="527"/>
      <c r="E991" s="527"/>
      <c r="F991" s="527"/>
      <c r="G991" s="527"/>
      <c r="H991" s="527"/>
      <c r="I991" s="527"/>
      <c r="J991" s="528"/>
      <c r="K991" s="531"/>
      <c r="L991" s="531"/>
      <c r="M991" s="531"/>
      <c r="N991" s="531"/>
      <c r="O991" s="531"/>
      <c r="P991" s="531"/>
      <c r="Q991" s="531"/>
      <c r="R991" s="531"/>
      <c r="S991" s="531"/>
      <c r="T991" s="531"/>
      <c r="U991" s="531"/>
      <c r="V991" s="531"/>
      <c r="W991" s="531"/>
      <c r="X991" s="531"/>
      <c r="Y991" s="531"/>
      <c r="Z991" s="531"/>
      <c r="AA991" s="531"/>
    </row>
    <row r="992" spans="1:27" ht="15">
      <c r="A992" s="530"/>
      <c r="B992" s="527"/>
      <c r="C992" s="527"/>
      <c r="D992" s="527"/>
      <c r="E992" s="527"/>
      <c r="F992" s="527"/>
      <c r="G992" s="527"/>
      <c r="H992" s="527"/>
      <c r="I992" s="527"/>
      <c r="J992" s="528"/>
      <c r="K992" s="531"/>
      <c r="L992" s="531"/>
      <c r="M992" s="531"/>
      <c r="N992" s="531"/>
      <c r="O992" s="531"/>
      <c r="P992" s="531"/>
      <c r="Q992" s="531"/>
      <c r="R992" s="531"/>
      <c r="S992" s="531"/>
      <c r="T992" s="531"/>
      <c r="U992" s="531"/>
      <c r="V992" s="531"/>
      <c r="W992" s="531"/>
      <c r="X992" s="531"/>
      <c r="Y992" s="531"/>
      <c r="Z992" s="531"/>
      <c r="AA992" s="531"/>
    </row>
    <row r="993" spans="1:27" ht="15">
      <c r="A993" s="530"/>
      <c r="B993" s="527"/>
      <c r="C993" s="527"/>
      <c r="D993" s="527"/>
      <c r="E993" s="527"/>
      <c r="F993" s="527"/>
      <c r="G993" s="527"/>
      <c r="H993" s="527"/>
      <c r="I993" s="527"/>
      <c r="J993" s="528"/>
      <c r="K993" s="531"/>
      <c r="L993" s="531"/>
      <c r="M993" s="531"/>
      <c r="N993" s="531"/>
      <c r="O993" s="531"/>
      <c r="P993" s="531"/>
      <c r="Q993" s="531"/>
      <c r="R993" s="531"/>
      <c r="S993" s="531"/>
      <c r="T993" s="531"/>
      <c r="U993" s="531"/>
      <c r="V993" s="531"/>
      <c r="W993" s="531"/>
      <c r="X993" s="531"/>
      <c r="Y993" s="531"/>
      <c r="Z993" s="531"/>
      <c r="AA993" s="531"/>
    </row>
    <row r="994" spans="1:27" ht="15">
      <c r="A994" s="530"/>
      <c r="B994" s="527"/>
      <c r="C994" s="527"/>
      <c r="D994" s="527"/>
      <c r="E994" s="527"/>
      <c r="F994" s="527"/>
      <c r="G994" s="527"/>
      <c r="H994" s="527"/>
      <c r="I994" s="527"/>
      <c r="J994" s="528"/>
      <c r="K994" s="531"/>
      <c r="L994" s="531"/>
      <c r="M994" s="531"/>
      <c r="N994" s="531"/>
      <c r="O994" s="531"/>
      <c r="P994" s="531"/>
      <c r="Q994" s="531"/>
      <c r="R994" s="531"/>
      <c r="S994" s="531"/>
      <c r="T994" s="531"/>
      <c r="U994" s="531"/>
      <c r="V994" s="531"/>
      <c r="W994" s="531"/>
      <c r="X994" s="531"/>
      <c r="Y994" s="531"/>
      <c r="Z994" s="531"/>
      <c r="AA994" s="531"/>
    </row>
    <row r="995" spans="1:27" ht="15">
      <c r="A995" s="530"/>
      <c r="B995" s="527"/>
      <c r="C995" s="527"/>
      <c r="D995" s="527"/>
      <c r="E995" s="527"/>
      <c r="F995" s="527"/>
      <c r="G995" s="527"/>
      <c r="H995" s="527"/>
      <c r="I995" s="527"/>
      <c r="J995" s="528"/>
      <c r="K995" s="531"/>
      <c r="L995" s="531"/>
      <c r="M995" s="531"/>
      <c r="N995" s="531"/>
      <c r="O995" s="531"/>
      <c r="P995" s="531"/>
      <c r="Q995" s="531"/>
      <c r="R995" s="531"/>
      <c r="S995" s="531"/>
      <c r="T995" s="531"/>
      <c r="U995" s="531"/>
      <c r="V995" s="531"/>
      <c r="W995" s="531"/>
      <c r="X995" s="531"/>
      <c r="Y995" s="531"/>
      <c r="Z995" s="531"/>
      <c r="AA995" s="531"/>
    </row>
    <row r="996" spans="1:27" ht="15">
      <c r="A996" s="530"/>
      <c r="B996" s="527"/>
      <c r="C996" s="527"/>
      <c r="D996" s="527"/>
      <c r="E996" s="527"/>
      <c r="F996" s="527"/>
      <c r="G996" s="527"/>
      <c r="H996" s="527"/>
      <c r="I996" s="527"/>
      <c r="J996" s="528"/>
      <c r="K996" s="531"/>
      <c r="L996" s="531"/>
      <c r="M996" s="531"/>
      <c r="N996" s="531"/>
      <c r="O996" s="531"/>
      <c r="P996" s="531"/>
      <c r="Q996" s="531"/>
      <c r="R996" s="531"/>
      <c r="S996" s="531"/>
      <c r="T996" s="531"/>
      <c r="U996" s="531"/>
      <c r="V996" s="531"/>
      <c r="W996" s="531"/>
      <c r="X996" s="531"/>
      <c r="Y996" s="531"/>
      <c r="Z996" s="531"/>
      <c r="AA996" s="531"/>
    </row>
    <row r="997" spans="1:27" ht="15">
      <c r="A997" s="530"/>
      <c r="B997" s="527"/>
      <c r="C997" s="527"/>
      <c r="D997" s="527"/>
      <c r="E997" s="527"/>
      <c r="F997" s="527"/>
      <c r="G997" s="527"/>
      <c r="H997" s="527"/>
      <c r="I997" s="527"/>
      <c r="J997" s="528"/>
      <c r="K997" s="531"/>
      <c r="L997" s="531"/>
      <c r="M997" s="531"/>
      <c r="N997" s="531"/>
      <c r="O997" s="531"/>
      <c r="P997" s="531"/>
      <c r="Q997" s="531"/>
      <c r="R997" s="531"/>
      <c r="S997" s="531"/>
      <c r="T997" s="531"/>
      <c r="U997" s="531"/>
      <c r="V997" s="531"/>
      <c r="W997" s="531"/>
      <c r="X997" s="531"/>
      <c r="Y997" s="531"/>
      <c r="Z997" s="531"/>
      <c r="AA997" s="531"/>
    </row>
    <row r="998" spans="1:27" ht="15">
      <c r="A998" s="530"/>
      <c r="B998" s="527"/>
      <c r="C998" s="527"/>
      <c r="D998" s="527"/>
      <c r="E998" s="527"/>
      <c r="F998" s="527"/>
      <c r="G998" s="527"/>
      <c r="H998" s="527"/>
      <c r="I998" s="527"/>
      <c r="J998" s="528"/>
      <c r="K998" s="531"/>
      <c r="L998" s="531"/>
      <c r="M998" s="531"/>
      <c r="N998" s="531"/>
      <c r="O998" s="531"/>
      <c r="P998" s="531"/>
      <c r="Q998" s="531"/>
      <c r="R998" s="531"/>
      <c r="S998" s="531"/>
      <c r="T998" s="531"/>
      <c r="U998" s="531"/>
      <c r="V998" s="531"/>
      <c r="W998" s="531"/>
      <c r="X998" s="531"/>
      <c r="Y998" s="531"/>
      <c r="Z998" s="531"/>
      <c r="AA998" s="531"/>
    </row>
    <row r="999" spans="1:27" ht="15">
      <c r="A999" s="530"/>
      <c r="B999" s="527"/>
      <c r="C999" s="527"/>
      <c r="D999" s="527"/>
      <c r="E999" s="527"/>
      <c r="F999" s="527"/>
      <c r="G999" s="527"/>
      <c r="H999" s="527"/>
      <c r="I999" s="527"/>
      <c r="J999" s="528"/>
      <c r="K999" s="531"/>
      <c r="L999" s="531"/>
      <c r="M999" s="531"/>
      <c r="N999" s="531"/>
      <c r="O999" s="531"/>
      <c r="P999" s="531"/>
      <c r="Q999" s="531"/>
      <c r="R999" s="531"/>
      <c r="S999" s="531"/>
      <c r="T999" s="531"/>
      <c r="U999" s="531"/>
      <c r="V999" s="531"/>
      <c r="W999" s="531"/>
      <c r="X999" s="531"/>
      <c r="Y999" s="531"/>
      <c r="Z999" s="531"/>
      <c r="AA999" s="531"/>
    </row>
    <row r="1000" spans="1:27" ht="15">
      <c r="A1000" s="530"/>
      <c r="B1000" s="527"/>
      <c r="C1000" s="527"/>
      <c r="D1000" s="527"/>
      <c r="E1000" s="527"/>
      <c r="F1000" s="527"/>
      <c r="G1000" s="527"/>
      <c r="H1000" s="527"/>
      <c r="I1000" s="527"/>
      <c r="J1000" s="528"/>
      <c r="K1000" s="531"/>
      <c r="L1000" s="531"/>
      <c r="M1000" s="531"/>
      <c r="N1000" s="531"/>
      <c r="O1000" s="531"/>
      <c r="P1000" s="531"/>
      <c r="Q1000" s="531"/>
      <c r="R1000" s="531"/>
      <c r="S1000" s="531"/>
      <c r="T1000" s="531"/>
      <c r="U1000" s="531"/>
      <c r="V1000" s="531"/>
      <c r="W1000" s="531"/>
      <c r="X1000" s="531"/>
      <c r="Y1000" s="531"/>
      <c r="Z1000" s="531"/>
      <c r="AA1000" s="531"/>
    </row>
    <row r="1001" spans="1:27" ht="15">
      <c r="A1001" s="530"/>
      <c r="B1001" s="527"/>
      <c r="C1001" s="527"/>
      <c r="D1001" s="527"/>
      <c r="E1001" s="527"/>
      <c r="F1001" s="527"/>
      <c r="G1001" s="527"/>
      <c r="H1001" s="527"/>
      <c r="I1001" s="527"/>
      <c r="J1001" s="528"/>
      <c r="K1001" s="531"/>
      <c r="L1001" s="531"/>
      <c r="M1001" s="531"/>
      <c r="N1001" s="531"/>
      <c r="O1001" s="531"/>
      <c r="P1001" s="531"/>
      <c r="Q1001" s="531"/>
      <c r="R1001" s="531"/>
      <c r="S1001" s="531"/>
      <c r="T1001" s="531"/>
      <c r="U1001" s="531"/>
      <c r="V1001" s="531"/>
      <c r="W1001" s="531"/>
      <c r="X1001" s="531"/>
      <c r="Y1001" s="531"/>
      <c r="Z1001" s="531"/>
      <c r="AA1001" s="531"/>
    </row>
    <row r="1002" spans="1:27" ht="15">
      <c r="A1002" s="530"/>
      <c r="B1002" s="534"/>
      <c r="C1002" s="534"/>
      <c r="D1002" s="534"/>
      <c r="E1002" s="534"/>
      <c r="F1002" s="534"/>
      <c r="G1002" s="534"/>
      <c r="H1002" s="534"/>
      <c r="I1002" s="534"/>
      <c r="J1002" s="535"/>
      <c r="K1002" s="531"/>
      <c r="L1002" s="531"/>
      <c r="M1002" s="531"/>
      <c r="N1002" s="531"/>
      <c r="O1002" s="531"/>
      <c r="P1002" s="531"/>
      <c r="Q1002" s="531"/>
      <c r="R1002" s="531"/>
      <c r="S1002" s="531"/>
      <c r="T1002" s="531"/>
      <c r="U1002" s="531"/>
      <c r="V1002" s="531"/>
      <c r="W1002" s="531"/>
      <c r="X1002" s="531"/>
      <c r="Y1002" s="531"/>
      <c r="Z1002" s="531"/>
      <c r="AA1002" s="531"/>
    </row>
    <row r="1003" spans="1:27" ht="15">
      <c r="A1003" s="536"/>
      <c r="B1003" s="537"/>
      <c r="C1003" s="537"/>
      <c r="D1003" s="537"/>
      <c r="E1003" s="537"/>
      <c r="F1003" s="537"/>
      <c r="G1003" s="537"/>
      <c r="H1003" s="537"/>
      <c r="I1003" s="537"/>
    </row>
  </sheetData>
  <customSheetViews>
    <customSheetView guid="{E4B6CD70-6F71-4930-8D93-E959514A309A}" filter="1" showAutoFilter="1">
      <pageMargins left="0.7" right="0.7" top="0.75" bottom="0.75" header="0.3" footer="0.3"/>
      <autoFilter ref="K136" xr:uid="{99A22D71-5E81-40B3-86DD-FDE7F9E53F4C}"/>
    </customSheetView>
    <customSheetView guid="{A4698AFA-486A-415A-8D19-820587C948A9}" filter="1" showAutoFilter="1">
      <pageMargins left="0.7" right="0.7" top="0.75" bottom="0.75" header="0.3" footer="0.3"/>
      <autoFilter ref="D1:D1000" xr:uid="{879DC713-4CE7-45EA-8067-0E2B1AEDB3C0}"/>
    </customSheetView>
    <customSheetView guid="{E111926B-F6F2-4F37-858B-7FDE682576C0}" filter="1" showAutoFilter="1">
      <pageMargins left="0.7" right="0.7" top="0.75" bottom="0.75" header="0.3" footer="0.3"/>
      <autoFilter ref="A1:Z1000" xr:uid="{61B81B86-8278-4FE8-9CD8-9EF9298A3A99}"/>
    </customSheetView>
  </customSheetView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98"/>
  <sheetViews>
    <sheetView workbookViewId="0"/>
  </sheetViews>
  <sheetFormatPr defaultColWidth="12.5703125" defaultRowHeight="15.75" customHeight="1"/>
  <cols>
    <col min="1" max="1" width="18.85546875" customWidth="1"/>
    <col min="2" max="2" width="25.140625" customWidth="1"/>
    <col min="3" max="3" width="30.5703125" customWidth="1"/>
    <col min="4" max="4" width="23" customWidth="1"/>
    <col min="9" max="9" width="8.28515625" customWidth="1"/>
    <col min="10" max="10" width="7" customWidth="1"/>
  </cols>
  <sheetData>
    <row r="1" spans="1:26" ht="15">
      <c r="A1" s="538" t="s">
        <v>9557</v>
      </c>
      <c r="B1" s="538" t="s">
        <v>5410</v>
      </c>
      <c r="C1" s="538" t="s">
        <v>3370</v>
      </c>
      <c r="D1" s="538" t="s">
        <v>5411</v>
      </c>
      <c r="E1" s="538" t="s">
        <v>9</v>
      </c>
      <c r="F1" s="538" t="s">
        <v>9558</v>
      </c>
      <c r="G1" s="538"/>
      <c r="H1" s="538"/>
      <c r="I1" s="538"/>
      <c r="J1" s="538"/>
      <c r="K1" s="538"/>
      <c r="L1" s="538"/>
      <c r="M1" s="538"/>
      <c r="N1" s="538"/>
      <c r="O1" s="538"/>
      <c r="P1" s="538"/>
      <c r="Q1" s="538"/>
      <c r="R1" s="538"/>
      <c r="S1" s="538"/>
      <c r="T1" s="538"/>
      <c r="U1" s="538"/>
      <c r="V1" s="538"/>
      <c r="W1" s="538"/>
      <c r="X1" s="538"/>
      <c r="Y1" s="538"/>
      <c r="Z1" s="538"/>
    </row>
    <row r="2" spans="1:26" ht="12.75">
      <c r="A2" s="117" t="s">
        <v>9559</v>
      </c>
      <c r="B2" s="539" t="s">
        <v>9560</v>
      </c>
      <c r="C2" s="540" t="s">
        <v>78</v>
      </c>
      <c r="D2" s="117" t="s">
        <v>9561</v>
      </c>
      <c r="E2" s="36" t="s">
        <v>27</v>
      </c>
      <c r="I2" s="36"/>
      <c r="J2" s="541"/>
    </row>
    <row r="3" spans="1:26" ht="12.75">
      <c r="A3" s="117" t="s">
        <v>9562</v>
      </c>
      <c r="B3" s="540" t="s">
        <v>9563</v>
      </c>
      <c r="C3" s="36" t="s">
        <v>9564</v>
      </c>
      <c r="D3" s="117" t="s">
        <v>9565</v>
      </c>
      <c r="E3" s="36" t="s">
        <v>27</v>
      </c>
      <c r="I3" s="36"/>
      <c r="J3" s="541"/>
    </row>
    <row r="4" spans="1:26" ht="12.75">
      <c r="A4" s="117" t="s">
        <v>9566</v>
      </c>
      <c r="B4" s="540" t="s">
        <v>9567</v>
      </c>
      <c r="C4" s="540" t="s">
        <v>9568</v>
      </c>
      <c r="D4" s="117" t="s">
        <v>9569</v>
      </c>
      <c r="E4" s="36" t="s">
        <v>27</v>
      </c>
      <c r="I4" s="36"/>
      <c r="J4" s="541"/>
    </row>
    <row r="5" spans="1:26" ht="12.75">
      <c r="A5" s="117" t="s">
        <v>9570</v>
      </c>
      <c r="B5" s="540" t="s">
        <v>9571</v>
      </c>
      <c r="C5" s="540" t="s">
        <v>9572</v>
      </c>
      <c r="D5" s="117" t="s">
        <v>9573</v>
      </c>
      <c r="E5" s="36" t="s">
        <v>27</v>
      </c>
      <c r="I5" s="36"/>
      <c r="J5" s="541"/>
    </row>
    <row r="6" spans="1:26" ht="15" hidden="1">
      <c r="A6" s="538" t="s">
        <v>5409</v>
      </c>
      <c r="B6" s="538" t="s">
        <v>5410</v>
      </c>
      <c r="C6" s="538" t="s">
        <v>3370</v>
      </c>
      <c r="D6" s="538" t="s">
        <v>5411</v>
      </c>
      <c r="E6" s="538" t="s">
        <v>9</v>
      </c>
      <c r="F6" s="538"/>
      <c r="G6" s="538"/>
      <c r="H6" s="538" t="s">
        <v>22</v>
      </c>
      <c r="I6" s="538"/>
      <c r="J6" s="538"/>
      <c r="K6" s="538" t="s">
        <v>9574</v>
      </c>
      <c r="L6" s="538"/>
      <c r="M6" s="538"/>
      <c r="N6" s="538"/>
      <c r="O6" s="538"/>
      <c r="P6" s="538"/>
      <c r="Q6" s="538"/>
      <c r="R6" s="538"/>
      <c r="S6" s="538"/>
      <c r="T6" s="538"/>
      <c r="U6" s="538"/>
      <c r="V6" s="538"/>
      <c r="W6" s="538"/>
      <c r="X6" s="538"/>
      <c r="Y6" s="538"/>
      <c r="Z6" s="538"/>
    </row>
    <row r="7" spans="1:26" ht="12.75" hidden="1">
      <c r="A7" s="117" t="s">
        <v>3619</v>
      </c>
      <c r="B7" s="540" t="s">
        <v>9414</v>
      </c>
      <c r="C7" s="540" t="s">
        <v>5572</v>
      </c>
      <c r="D7" s="117" t="s">
        <v>9575</v>
      </c>
      <c r="E7" s="36" t="s">
        <v>27</v>
      </c>
      <c r="H7" s="36">
        <v>100</v>
      </c>
      <c r="I7" s="36" t="s">
        <v>9576</v>
      </c>
      <c r="J7" s="541" t="e">
        <f>AVERAGE(F7:F21)</f>
        <v>#DIV/0!</v>
      </c>
      <c r="K7" s="36">
        <v>100</v>
      </c>
    </row>
    <row r="8" spans="1:26" ht="25.5" hidden="1">
      <c r="A8" s="117" t="s">
        <v>9577</v>
      </c>
      <c r="B8" s="402" t="s">
        <v>9578</v>
      </c>
      <c r="C8" s="117" t="s">
        <v>9579</v>
      </c>
      <c r="D8" s="117" t="s">
        <v>9575</v>
      </c>
      <c r="E8" s="36" t="s">
        <v>27</v>
      </c>
      <c r="H8" s="36">
        <v>100</v>
      </c>
      <c r="I8" s="36" t="s">
        <v>9580</v>
      </c>
      <c r="J8" s="541" t="e">
        <f>AVERAGE(G7:G21)</f>
        <v>#DIV/0!</v>
      </c>
      <c r="K8" s="36">
        <v>97</v>
      </c>
    </row>
    <row r="9" spans="1:26" ht="12.75" hidden="1">
      <c r="A9" s="117" t="s">
        <v>9418</v>
      </c>
      <c r="B9" s="542" t="s">
        <v>9419</v>
      </c>
      <c r="C9" s="117" t="s">
        <v>9581</v>
      </c>
      <c r="D9" s="117" t="s">
        <v>9575</v>
      </c>
      <c r="E9" s="36" t="s">
        <v>27</v>
      </c>
      <c r="H9" s="36">
        <v>80</v>
      </c>
      <c r="K9" s="36">
        <v>95</v>
      </c>
    </row>
    <row r="10" spans="1:26" ht="12.75" hidden="1">
      <c r="A10" s="117" t="s">
        <v>5418</v>
      </c>
      <c r="B10" s="117"/>
      <c r="C10" s="117" t="s">
        <v>5420</v>
      </c>
      <c r="D10" s="117" t="s">
        <v>9582</v>
      </c>
      <c r="E10" s="36" t="s">
        <v>27</v>
      </c>
      <c r="H10" s="36">
        <v>100</v>
      </c>
      <c r="K10" s="36">
        <v>97</v>
      </c>
    </row>
    <row r="11" spans="1:26" ht="12.75" hidden="1">
      <c r="A11" s="117" t="s">
        <v>178</v>
      </c>
      <c r="B11" s="540" t="s">
        <v>9583</v>
      </c>
      <c r="C11" s="543" t="s">
        <v>299</v>
      </c>
      <c r="D11" s="117" t="s">
        <v>9584</v>
      </c>
      <c r="E11" s="36" t="s">
        <v>27</v>
      </c>
      <c r="H11" s="36">
        <v>89</v>
      </c>
      <c r="K11" s="36">
        <v>94</v>
      </c>
    </row>
    <row r="12" spans="1:26" ht="12.75" hidden="1">
      <c r="A12" s="117" t="s">
        <v>69</v>
      </c>
      <c r="B12" s="36" t="s">
        <v>9528</v>
      </c>
      <c r="C12" s="117" t="s">
        <v>9529</v>
      </c>
      <c r="D12" s="117" t="s">
        <v>9585</v>
      </c>
      <c r="E12" s="36" t="s">
        <v>27</v>
      </c>
      <c r="H12" s="36">
        <v>91</v>
      </c>
      <c r="K12" s="36">
        <v>92</v>
      </c>
    </row>
    <row r="13" spans="1:26" ht="12.75" hidden="1">
      <c r="A13" s="117" t="s">
        <v>230</v>
      </c>
      <c r="B13" s="117" t="s">
        <v>9586</v>
      </c>
      <c r="C13" s="117" t="s">
        <v>9587</v>
      </c>
      <c r="D13" s="117" t="s">
        <v>9588</v>
      </c>
      <c r="E13" s="36" t="s">
        <v>27</v>
      </c>
      <c r="H13" s="36">
        <v>92</v>
      </c>
      <c r="K13" s="36">
        <v>95</v>
      </c>
    </row>
    <row r="14" spans="1:26" ht="12.75" hidden="1">
      <c r="A14" s="117" t="s">
        <v>9589</v>
      </c>
      <c r="B14" s="116" t="s">
        <v>9590</v>
      </c>
      <c r="C14" s="117" t="s">
        <v>9591</v>
      </c>
      <c r="D14" s="117" t="s">
        <v>9592</v>
      </c>
      <c r="E14" s="36" t="s">
        <v>27</v>
      </c>
      <c r="H14" s="36">
        <v>100</v>
      </c>
      <c r="K14" s="36">
        <v>100</v>
      </c>
    </row>
    <row r="15" spans="1:26" ht="12.75" hidden="1">
      <c r="A15" s="117" t="s">
        <v>192</v>
      </c>
      <c r="B15" s="117" t="s">
        <v>608</v>
      </c>
      <c r="C15" s="117" t="s">
        <v>607</v>
      </c>
      <c r="D15" s="117" t="s">
        <v>9593</v>
      </c>
      <c r="E15" s="36" t="s">
        <v>27</v>
      </c>
      <c r="H15" s="36">
        <v>88</v>
      </c>
      <c r="K15" s="36">
        <v>92</v>
      </c>
    </row>
    <row r="16" spans="1:26" ht="12.75" hidden="1">
      <c r="A16" s="117" t="s">
        <v>601</v>
      </c>
      <c r="B16" s="36" t="s">
        <v>9446</v>
      </c>
      <c r="C16" s="117" t="s">
        <v>602</v>
      </c>
      <c r="D16" s="117" t="s">
        <v>9594</v>
      </c>
      <c r="E16" s="36" t="s">
        <v>27</v>
      </c>
      <c r="H16" s="36">
        <v>100</v>
      </c>
      <c r="K16" s="36">
        <v>87</v>
      </c>
    </row>
    <row r="17" spans="1:11" ht="12.75" hidden="1">
      <c r="A17" s="117" t="s">
        <v>9595</v>
      </c>
      <c r="B17" s="117"/>
      <c r="C17" s="117"/>
      <c r="D17" s="117" t="s">
        <v>9596</v>
      </c>
      <c r="E17" s="36" t="s">
        <v>34</v>
      </c>
      <c r="H17" s="36">
        <v>82</v>
      </c>
    </row>
    <row r="18" spans="1:11" ht="12.75" hidden="1">
      <c r="A18" s="117" t="s">
        <v>9497</v>
      </c>
      <c r="B18" s="36" t="s">
        <v>9498</v>
      </c>
      <c r="C18" s="117" t="s">
        <v>9499</v>
      </c>
      <c r="D18" s="117" t="s">
        <v>9594</v>
      </c>
      <c r="E18" s="36" t="s">
        <v>27</v>
      </c>
      <c r="H18" s="36">
        <v>90</v>
      </c>
      <c r="K18" s="36">
        <v>99</v>
      </c>
    </row>
    <row r="19" spans="1:11" ht="12.75" hidden="1">
      <c r="A19" s="117" t="s">
        <v>9597</v>
      </c>
      <c r="B19" s="544" t="s">
        <v>9598</v>
      </c>
      <c r="C19" s="117" t="s">
        <v>9494</v>
      </c>
      <c r="D19" s="117" t="s">
        <v>9599</v>
      </c>
      <c r="E19" s="36" t="s">
        <v>27</v>
      </c>
      <c r="H19" s="36">
        <v>100</v>
      </c>
      <c r="K19" s="36">
        <v>100</v>
      </c>
    </row>
    <row r="20" spans="1:11" ht="12.75" hidden="1">
      <c r="A20" s="36" t="s">
        <v>5553</v>
      </c>
      <c r="B20" s="36" t="s">
        <v>9406</v>
      </c>
      <c r="C20" s="117" t="s">
        <v>5555</v>
      </c>
      <c r="D20" s="117" t="s">
        <v>9594</v>
      </c>
      <c r="E20" s="36" t="s">
        <v>27</v>
      </c>
      <c r="H20" s="36">
        <v>97</v>
      </c>
      <c r="K20" s="36">
        <v>99</v>
      </c>
    </row>
    <row r="21" spans="1:11" ht="12.75" hidden="1">
      <c r="A21" s="117" t="s">
        <v>9600</v>
      </c>
      <c r="B21" s="36" t="s">
        <v>5414</v>
      </c>
      <c r="C21" s="117" t="s">
        <v>5415</v>
      </c>
      <c r="D21" s="117" t="s">
        <v>3833</v>
      </c>
      <c r="E21" s="36" t="s">
        <v>27</v>
      </c>
      <c r="H21" s="36">
        <v>66</v>
      </c>
      <c r="K21" s="36">
        <v>98</v>
      </c>
    </row>
    <row r="22" spans="1:11" ht="12.75" hidden="1">
      <c r="A22" s="177" t="s">
        <v>9601</v>
      </c>
      <c r="B22" s="116" t="s">
        <v>9602</v>
      </c>
      <c r="C22" s="36" t="s">
        <v>917</v>
      </c>
      <c r="D22" s="116" t="s">
        <v>3739</v>
      </c>
      <c r="E22" s="36" t="s">
        <v>27</v>
      </c>
      <c r="H22" s="36">
        <v>92</v>
      </c>
      <c r="K22" s="36">
        <v>98</v>
      </c>
    </row>
    <row r="23" spans="1:11" ht="12.75" hidden="1">
      <c r="A23" s="116" t="s">
        <v>6624</v>
      </c>
      <c r="B23" s="116" t="s">
        <v>9603</v>
      </c>
      <c r="C23" s="116" t="s">
        <v>1150</v>
      </c>
      <c r="D23" s="116" t="s">
        <v>9604</v>
      </c>
      <c r="E23" s="36" t="s">
        <v>27</v>
      </c>
      <c r="H23" s="36">
        <v>94</v>
      </c>
      <c r="K23" s="36">
        <v>95</v>
      </c>
    </row>
    <row r="24" spans="1:11" ht="12.75" hidden="1">
      <c r="A24" s="116" t="s">
        <v>9501</v>
      </c>
      <c r="B24" s="116" t="s">
        <v>9502</v>
      </c>
      <c r="C24" s="36" t="s">
        <v>9605</v>
      </c>
      <c r="D24" s="116" t="s">
        <v>9594</v>
      </c>
      <c r="E24" s="36" t="s">
        <v>27</v>
      </c>
      <c r="H24" s="36">
        <v>100</v>
      </c>
      <c r="K24" s="36">
        <v>100</v>
      </c>
    </row>
    <row r="25" spans="1:11" ht="12.75" hidden="1">
      <c r="A25" s="116" t="s">
        <v>9606</v>
      </c>
      <c r="B25" s="116" t="s">
        <v>9607</v>
      </c>
      <c r="C25" s="36" t="s">
        <v>9608</v>
      </c>
      <c r="D25" s="116" t="s">
        <v>9594</v>
      </c>
      <c r="E25" s="36" t="s">
        <v>27</v>
      </c>
      <c r="H25" s="36">
        <v>98</v>
      </c>
      <c r="K25" s="36">
        <v>100</v>
      </c>
    </row>
    <row r="26" spans="1:11" ht="12.75" hidden="1">
      <c r="A26" s="116" t="s">
        <v>3573</v>
      </c>
      <c r="B26" s="116" t="s">
        <v>353</v>
      </c>
      <c r="C26" s="36" t="s">
        <v>352</v>
      </c>
      <c r="D26" s="116" t="s">
        <v>9609</v>
      </c>
      <c r="E26" s="36" t="s">
        <v>27</v>
      </c>
      <c r="H26" s="36" t="s">
        <v>65</v>
      </c>
    </row>
    <row r="27" spans="1:11" ht="12.75" hidden="1">
      <c r="A27" s="117" t="s">
        <v>9410</v>
      </c>
      <c r="B27" s="36" t="s">
        <v>9411</v>
      </c>
      <c r="C27" s="545" t="s">
        <v>9412</v>
      </c>
      <c r="D27" s="422" t="s">
        <v>9610</v>
      </c>
      <c r="E27" s="36" t="s">
        <v>27</v>
      </c>
      <c r="K27" s="36">
        <v>100</v>
      </c>
    </row>
    <row r="28" spans="1:11" ht="12.75" hidden="1">
      <c r="A28" s="117" t="s">
        <v>9415</v>
      </c>
      <c r="B28" s="36" t="s">
        <v>5563</v>
      </c>
      <c r="C28" s="414" t="s">
        <v>9611</v>
      </c>
      <c r="D28" s="414" t="s">
        <v>9610</v>
      </c>
      <c r="E28" s="36" t="s">
        <v>27</v>
      </c>
      <c r="K28" s="36">
        <v>97</v>
      </c>
    </row>
    <row r="29" spans="1:11" ht="12.75" hidden="1">
      <c r="A29" s="116" t="s">
        <v>9612</v>
      </c>
      <c r="B29" s="36" t="s">
        <v>9613</v>
      </c>
      <c r="C29" s="116" t="s">
        <v>9614</v>
      </c>
      <c r="D29" s="187" t="s">
        <v>9615</v>
      </c>
      <c r="E29" s="36" t="s">
        <v>27</v>
      </c>
      <c r="K29" s="36">
        <v>100</v>
      </c>
    </row>
    <row r="30" spans="1:11" ht="12.75" hidden="1">
      <c r="A30" s="116" t="s">
        <v>5591</v>
      </c>
      <c r="B30" s="36" t="s">
        <v>5592</v>
      </c>
      <c r="C30" s="193" t="s">
        <v>9417</v>
      </c>
      <c r="D30" s="116" t="s">
        <v>9616</v>
      </c>
      <c r="E30" s="36" t="s">
        <v>27</v>
      </c>
      <c r="K30" s="36">
        <v>98</v>
      </c>
    </row>
    <row r="31" spans="1:11" ht="12.75" hidden="1">
      <c r="A31" s="116" t="s">
        <v>5477</v>
      </c>
      <c r="B31" s="116" t="s">
        <v>5478</v>
      </c>
      <c r="C31" s="193" t="s">
        <v>9421</v>
      </c>
      <c r="D31" s="116" t="s">
        <v>9617</v>
      </c>
      <c r="E31" s="36" t="s">
        <v>27</v>
      </c>
      <c r="K31" s="36">
        <v>100</v>
      </c>
    </row>
    <row r="32" spans="1:11" ht="12.75" hidden="1">
      <c r="A32" s="116" t="s">
        <v>9618</v>
      </c>
      <c r="B32" s="36" t="s">
        <v>5566</v>
      </c>
      <c r="C32" s="116">
        <f>380965343433</f>
        <v>380965343433</v>
      </c>
      <c r="D32" s="414" t="s">
        <v>9610</v>
      </c>
      <c r="E32" s="36" t="s">
        <v>27</v>
      </c>
      <c r="K32" s="36">
        <v>100</v>
      </c>
    </row>
    <row r="33" spans="1:26" ht="12.75" hidden="1">
      <c r="A33" s="116" t="s">
        <v>9619</v>
      </c>
      <c r="B33" s="36" t="s">
        <v>5577</v>
      </c>
      <c r="C33" s="546" t="s">
        <v>9620</v>
      </c>
      <c r="D33" s="116" t="s">
        <v>9616</v>
      </c>
      <c r="E33" s="36" t="s">
        <v>27</v>
      </c>
      <c r="K33" s="36">
        <v>81</v>
      </c>
    </row>
    <row r="34" spans="1:26" ht="12.75" hidden="1">
      <c r="A34" s="116" t="s">
        <v>9621</v>
      </c>
      <c r="B34" s="547" t="s">
        <v>9622</v>
      </c>
      <c r="C34" s="36" t="s">
        <v>9623</v>
      </c>
      <c r="D34" s="548"/>
      <c r="E34" s="36" t="s">
        <v>27</v>
      </c>
      <c r="F34" s="549"/>
      <c r="G34" s="116"/>
      <c r="H34" s="116"/>
      <c r="I34" s="116"/>
      <c r="J34" s="116"/>
      <c r="K34" s="116">
        <v>80</v>
      </c>
      <c r="L34" s="116"/>
      <c r="M34" s="116"/>
      <c r="N34" s="116"/>
      <c r="O34" s="116"/>
      <c r="P34" s="116"/>
      <c r="Q34" s="116"/>
      <c r="R34" s="116"/>
      <c r="S34" s="116"/>
      <c r="T34" s="116"/>
      <c r="U34" s="116"/>
      <c r="V34" s="116"/>
      <c r="W34" s="116"/>
      <c r="X34" s="116"/>
      <c r="Y34" s="116"/>
      <c r="Z34" s="116"/>
    </row>
    <row r="35" spans="1:26" ht="12.75" hidden="1">
      <c r="A35" s="116" t="s">
        <v>9624</v>
      </c>
      <c r="B35" s="547" t="s">
        <v>9625</v>
      </c>
      <c r="C35" s="547" t="s">
        <v>9626</v>
      </c>
      <c r="D35" s="419"/>
      <c r="E35" s="36" t="s">
        <v>27</v>
      </c>
      <c r="F35" s="550"/>
      <c r="G35" s="116"/>
      <c r="H35" s="116"/>
      <c r="I35" s="116"/>
      <c r="J35" s="116"/>
      <c r="K35" s="116" t="s">
        <v>78</v>
      </c>
      <c r="L35" s="116"/>
      <c r="M35" s="116"/>
      <c r="N35" s="116"/>
      <c r="O35" s="116"/>
      <c r="P35" s="116"/>
      <c r="Q35" s="116"/>
      <c r="R35" s="116"/>
      <c r="S35" s="116"/>
      <c r="T35" s="116"/>
      <c r="U35" s="116"/>
      <c r="V35" s="116"/>
      <c r="W35" s="116"/>
      <c r="X35" s="116"/>
      <c r="Y35" s="116"/>
      <c r="Z35" s="116"/>
    </row>
    <row r="36" spans="1:26" ht="12.75" hidden="1">
      <c r="A36" s="116" t="s">
        <v>9627</v>
      </c>
      <c r="B36" s="547" t="s">
        <v>9628</v>
      </c>
      <c r="C36" s="551" t="s">
        <v>9629</v>
      </c>
      <c r="D36" s="419"/>
      <c r="E36" s="36" t="s">
        <v>27</v>
      </c>
      <c r="F36" s="550"/>
      <c r="G36" s="116"/>
      <c r="H36" s="116"/>
      <c r="I36" s="116"/>
      <c r="J36" s="116"/>
      <c r="K36" s="116" t="s">
        <v>78</v>
      </c>
      <c r="L36" s="116"/>
      <c r="M36" s="116"/>
      <c r="N36" s="116"/>
      <c r="O36" s="116"/>
      <c r="P36" s="116"/>
      <c r="Q36" s="116"/>
      <c r="R36" s="116"/>
      <c r="S36" s="116"/>
      <c r="T36" s="116"/>
      <c r="U36" s="116"/>
      <c r="V36" s="116"/>
      <c r="W36" s="116"/>
      <c r="X36" s="116"/>
      <c r="Y36" s="116"/>
      <c r="Z36" s="116"/>
    </row>
    <row r="37" spans="1:26" ht="12.75" hidden="1">
      <c r="A37" s="116" t="s">
        <v>9442</v>
      </c>
      <c r="B37" s="547" t="s">
        <v>9443</v>
      </c>
      <c r="C37" s="551" t="s">
        <v>9444</v>
      </c>
      <c r="D37" s="419"/>
      <c r="E37" s="36" t="s">
        <v>27</v>
      </c>
      <c r="F37" s="550"/>
      <c r="G37" s="116"/>
      <c r="H37" s="116"/>
      <c r="I37" s="116"/>
      <c r="J37" s="116"/>
      <c r="K37" s="116" t="s">
        <v>78</v>
      </c>
      <c r="L37" s="116"/>
      <c r="M37" s="116"/>
      <c r="N37" s="116"/>
      <c r="O37" s="116"/>
      <c r="P37" s="116"/>
      <c r="Q37" s="116"/>
      <c r="R37" s="116"/>
      <c r="S37" s="116"/>
      <c r="T37" s="116"/>
      <c r="U37" s="116"/>
      <c r="V37" s="116"/>
      <c r="W37" s="116"/>
      <c r="X37" s="116"/>
      <c r="Y37" s="116"/>
      <c r="Z37" s="116"/>
    </row>
    <row r="38" spans="1:26" ht="12.75" hidden="1">
      <c r="A38" s="552" t="s">
        <v>5482</v>
      </c>
      <c r="B38" s="36" t="s">
        <v>5483</v>
      </c>
      <c r="C38" s="553" t="s">
        <v>5484</v>
      </c>
      <c r="D38" s="419"/>
      <c r="E38" s="36" t="s">
        <v>27</v>
      </c>
      <c r="F38" s="550"/>
      <c r="G38" s="116"/>
      <c r="H38" s="116"/>
      <c r="I38" s="116"/>
      <c r="J38" s="116"/>
      <c r="K38" s="116" t="s">
        <v>78</v>
      </c>
      <c r="L38" s="116"/>
      <c r="M38" s="116"/>
      <c r="N38" s="116"/>
      <c r="O38" s="116"/>
      <c r="P38" s="116"/>
      <c r="Q38" s="116"/>
      <c r="R38" s="116"/>
      <c r="S38" s="116"/>
      <c r="T38" s="116"/>
      <c r="U38" s="116"/>
      <c r="V38" s="116"/>
      <c r="W38" s="116"/>
      <c r="X38" s="116"/>
      <c r="Y38" s="116"/>
      <c r="Z38" s="116"/>
    </row>
    <row r="39" spans="1:26" ht="12.75" hidden="1">
      <c r="A39" s="116"/>
      <c r="B39" s="116"/>
      <c r="C39" s="116"/>
      <c r="D39" s="116"/>
      <c r="E39" s="36"/>
    </row>
    <row r="40" spans="1:26" ht="15">
      <c r="A40" s="554" t="s">
        <v>5409</v>
      </c>
      <c r="B40" s="555" t="s">
        <v>5410</v>
      </c>
      <c r="C40" s="555" t="s">
        <v>3370</v>
      </c>
      <c r="D40" s="555" t="s">
        <v>5411</v>
      </c>
      <c r="E40" s="556"/>
      <c r="F40" s="556"/>
      <c r="G40" s="556"/>
      <c r="H40" s="556"/>
      <c r="I40" s="556"/>
      <c r="J40" s="556"/>
      <c r="K40" s="556"/>
      <c r="L40" s="556"/>
      <c r="M40" s="556"/>
      <c r="N40" s="556"/>
      <c r="O40" s="556"/>
      <c r="P40" s="556"/>
      <c r="Q40" s="556"/>
      <c r="R40" s="556"/>
      <c r="S40" s="556"/>
      <c r="T40" s="556"/>
      <c r="U40" s="556"/>
      <c r="V40" s="556"/>
      <c r="W40" s="556"/>
      <c r="X40" s="556"/>
      <c r="Y40" s="116"/>
      <c r="Z40" s="116"/>
    </row>
    <row r="41" spans="1:26" ht="12.75">
      <c r="A41" s="415"/>
      <c r="B41" s="683" t="s">
        <v>9630</v>
      </c>
      <c r="C41" s="684"/>
      <c r="D41" s="557"/>
      <c r="E41" s="116"/>
      <c r="F41" s="116"/>
      <c r="G41" s="116"/>
      <c r="H41" s="116"/>
      <c r="I41" s="116"/>
      <c r="J41" s="116"/>
      <c r="K41" s="116"/>
      <c r="L41" s="116"/>
      <c r="M41" s="116"/>
      <c r="N41" s="116"/>
      <c r="O41" s="116"/>
      <c r="P41" s="116"/>
      <c r="Q41" s="116"/>
      <c r="R41" s="116"/>
      <c r="S41" s="116"/>
      <c r="T41" s="116"/>
      <c r="U41" s="116"/>
      <c r="V41" s="116"/>
      <c r="W41" s="116"/>
      <c r="X41" s="116"/>
      <c r="Y41" s="116"/>
      <c r="Z41" s="116"/>
    </row>
    <row r="42" spans="1:26" ht="25.5">
      <c r="A42" s="414" t="s">
        <v>5538</v>
      </c>
      <c r="B42" s="419"/>
      <c r="C42" s="557" t="s">
        <v>5540</v>
      </c>
      <c r="D42" s="558" t="s">
        <v>9631</v>
      </c>
      <c r="E42" s="36" t="s">
        <v>27</v>
      </c>
      <c r="F42" s="116"/>
      <c r="G42" s="116"/>
      <c r="H42" s="116"/>
      <c r="I42" s="116"/>
      <c r="J42" s="116"/>
      <c r="K42" s="116"/>
      <c r="L42" s="116"/>
      <c r="M42" s="116"/>
      <c r="N42" s="116"/>
      <c r="O42" s="116"/>
      <c r="P42" s="116"/>
      <c r="Q42" s="116"/>
      <c r="R42" s="116"/>
      <c r="S42" s="116"/>
      <c r="T42" s="116"/>
      <c r="U42" s="116"/>
      <c r="V42" s="116"/>
      <c r="W42" s="116"/>
      <c r="X42" s="116"/>
      <c r="Y42" s="116"/>
      <c r="Z42" s="116"/>
    </row>
    <row r="43" spans="1:26" ht="12.75">
      <c r="A43" s="415" t="s">
        <v>9612</v>
      </c>
      <c r="B43" s="419" t="s">
        <v>9613</v>
      </c>
      <c r="C43" s="419" t="s">
        <v>9614</v>
      </c>
      <c r="D43" s="558"/>
      <c r="E43" s="36" t="s">
        <v>27</v>
      </c>
      <c r="F43" s="116"/>
      <c r="G43" s="116"/>
      <c r="H43" s="116"/>
      <c r="I43" s="116"/>
      <c r="J43" s="116"/>
      <c r="K43" s="116"/>
      <c r="L43" s="116"/>
      <c r="M43" s="116"/>
      <c r="N43" s="116"/>
      <c r="O43" s="116"/>
      <c r="P43" s="116"/>
      <c r="Q43" s="116"/>
      <c r="R43" s="116"/>
      <c r="S43" s="116"/>
      <c r="T43" s="116"/>
      <c r="U43" s="116"/>
      <c r="V43" s="116"/>
      <c r="W43" s="116"/>
      <c r="X43" s="116"/>
      <c r="Y43" s="116"/>
      <c r="Z43" s="116"/>
    </row>
    <row r="44" spans="1:26" ht="12.75">
      <c r="A44" s="415" t="s">
        <v>9606</v>
      </c>
      <c r="B44" s="419" t="s">
        <v>9607</v>
      </c>
      <c r="C44" s="419" t="s">
        <v>9608</v>
      </c>
      <c r="D44" s="558"/>
      <c r="E44" s="36" t="s">
        <v>27</v>
      </c>
      <c r="F44" s="116"/>
      <c r="G44" s="116"/>
      <c r="H44" s="116"/>
      <c r="I44" s="116"/>
      <c r="J44" s="116"/>
      <c r="K44" s="116"/>
      <c r="L44" s="116"/>
      <c r="M44" s="116"/>
      <c r="N44" s="116"/>
      <c r="O44" s="116"/>
      <c r="P44" s="116"/>
      <c r="Q44" s="116"/>
      <c r="R44" s="116"/>
      <c r="S44" s="116"/>
      <c r="T44" s="116"/>
      <c r="U44" s="116"/>
      <c r="V44" s="116"/>
      <c r="W44" s="116"/>
      <c r="X44" s="116"/>
      <c r="Y44" s="116"/>
      <c r="Z44" s="116"/>
    </row>
    <row r="45" spans="1:26" ht="12.75">
      <c r="A45" s="415" t="s">
        <v>9624</v>
      </c>
      <c r="B45" s="559" t="s">
        <v>9625</v>
      </c>
      <c r="C45" s="559" t="s">
        <v>9626</v>
      </c>
      <c r="D45" s="558" t="s">
        <v>9632</v>
      </c>
      <c r="E45" s="36" t="s">
        <v>27</v>
      </c>
      <c r="F45" s="116"/>
      <c r="G45" s="116"/>
      <c r="H45" s="116"/>
      <c r="I45" s="116"/>
      <c r="J45" s="116"/>
      <c r="K45" s="116"/>
      <c r="L45" s="116"/>
      <c r="M45" s="116"/>
      <c r="N45" s="116"/>
      <c r="O45" s="116"/>
      <c r="P45" s="116"/>
      <c r="Q45" s="116"/>
      <c r="R45" s="116"/>
      <c r="S45" s="116"/>
      <c r="T45" s="116"/>
      <c r="U45" s="116"/>
      <c r="V45" s="116"/>
      <c r="W45" s="116"/>
      <c r="X45" s="116"/>
      <c r="Y45" s="116"/>
      <c r="Z45" s="116"/>
    </row>
    <row r="46" spans="1:26" ht="12.75">
      <c r="A46" s="415" t="s">
        <v>9633</v>
      </c>
      <c r="B46" s="36" t="s">
        <v>9634</v>
      </c>
      <c r="C46" s="553" t="s">
        <v>9635</v>
      </c>
      <c r="D46" s="558"/>
      <c r="E46" s="36" t="s">
        <v>27</v>
      </c>
      <c r="F46" s="116"/>
      <c r="G46" s="116"/>
      <c r="H46" s="116"/>
      <c r="I46" s="116"/>
      <c r="J46" s="116"/>
      <c r="K46" s="116"/>
      <c r="L46" s="116"/>
      <c r="M46" s="116"/>
      <c r="N46" s="116"/>
      <c r="O46" s="116"/>
      <c r="P46" s="116"/>
      <c r="Q46" s="116"/>
      <c r="R46" s="116"/>
      <c r="S46" s="116"/>
      <c r="T46" s="116"/>
      <c r="U46" s="116"/>
      <c r="V46" s="116"/>
      <c r="W46" s="116"/>
      <c r="X46" s="116"/>
      <c r="Y46" s="116"/>
      <c r="Z46" s="116"/>
    </row>
    <row r="47" spans="1:26" ht="12.75">
      <c r="A47" s="422" t="s">
        <v>9636</v>
      </c>
      <c r="B47" s="36" t="s">
        <v>9637</v>
      </c>
      <c r="C47" s="422" t="s">
        <v>9638</v>
      </c>
      <c r="D47" s="558"/>
      <c r="E47" s="36" t="s">
        <v>27</v>
      </c>
      <c r="F47" s="116"/>
      <c r="G47" s="116"/>
      <c r="H47" s="116"/>
      <c r="I47" s="116"/>
      <c r="J47" s="116"/>
      <c r="K47" s="116"/>
      <c r="L47" s="116"/>
      <c r="M47" s="116"/>
      <c r="N47" s="116"/>
      <c r="O47" s="116"/>
      <c r="P47" s="116"/>
      <c r="Q47" s="116"/>
      <c r="R47" s="116"/>
      <c r="S47" s="116"/>
      <c r="T47" s="116"/>
      <c r="U47" s="116"/>
      <c r="V47" s="116"/>
      <c r="W47" s="116"/>
      <c r="X47" s="116"/>
      <c r="Y47" s="116"/>
      <c r="Z47" s="116"/>
    </row>
    <row r="48" spans="1:26" ht="12.75">
      <c r="A48" s="415" t="s">
        <v>9403</v>
      </c>
      <c r="B48" s="36" t="s">
        <v>5548</v>
      </c>
      <c r="C48" s="414" t="s">
        <v>5549</v>
      </c>
      <c r="D48" s="558"/>
      <c r="E48" s="36" t="s">
        <v>27</v>
      </c>
      <c r="F48" s="116"/>
      <c r="G48" s="116"/>
      <c r="H48" s="116"/>
      <c r="I48" s="116"/>
      <c r="J48" s="116"/>
      <c r="K48" s="116"/>
      <c r="L48" s="116"/>
      <c r="M48" s="116"/>
      <c r="N48" s="116"/>
      <c r="O48" s="116"/>
      <c r="P48" s="116"/>
      <c r="Q48" s="116"/>
      <c r="R48" s="116"/>
      <c r="S48" s="116"/>
      <c r="T48" s="116"/>
      <c r="U48" s="116"/>
      <c r="V48" s="116"/>
      <c r="W48" s="116"/>
      <c r="X48" s="116"/>
      <c r="Y48" s="116"/>
      <c r="Z48" s="116"/>
    </row>
    <row r="49" spans="1:26" ht="12.75">
      <c r="A49" s="415" t="s">
        <v>9405</v>
      </c>
      <c r="B49" s="36" t="s">
        <v>5543</v>
      </c>
      <c r="C49" s="36" t="s">
        <v>5544</v>
      </c>
      <c r="D49" s="558"/>
      <c r="E49" s="116"/>
      <c r="F49" s="116"/>
      <c r="G49" s="116"/>
      <c r="H49" s="116"/>
      <c r="I49" s="116"/>
      <c r="J49" s="116"/>
      <c r="K49" s="116"/>
      <c r="L49" s="116"/>
      <c r="M49" s="116"/>
      <c r="N49" s="116"/>
      <c r="O49" s="116"/>
      <c r="P49" s="116"/>
      <c r="Q49" s="116"/>
      <c r="R49" s="116"/>
      <c r="S49" s="116"/>
      <c r="T49" s="116"/>
      <c r="U49" s="116"/>
      <c r="V49" s="116"/>
      <c r="W49" s="116"/>
      <c r="X49" s="116"/>
      <c r="Y49" s="116"/>
      <c r="Z49" s="116"/>
    </row>
    <row r="50" spans="1:26" ht="12.75">
      <c r="A50" s="415" t="s">
        <v>5553</v>
      </c>
      <c r="B50" s="419" t="s">
        <v>9406</v>
      </c>
      <c r="C50" s="557" t="s">
        <v>5555</v>
      </c>
      <c r="D50" s="419" t="s">
        <v>9639</v>
      </c>
      <c r="E50" s="36" t="s">
        <v>27</v>
      </c>
      <c r="F50" s="116"/>
      <c r="G50" s="116"/>
      <c r="H50" s="116"/>
      <c r="I50" s="116"/>
      <c r="J50" s="116"/>
      <c r="K50" s="116"/>
      <c r="L50" s="116"/>
      <c r="M50" s="116"/>
      <c r="N50" s="116"/>
      <c r="O50" s="116"/>
      <c r="P50" s="116"/>
      <c r="Q50" s="116"/>
      <c r="R50" s="116"/>
      <c r="S50" s="116"/>
      <c r="T50" s="116"/>
      <c r="U50" s="116"/>
      <c r="V50" s="116"/>
      <c r="W50" s="116"/>
      <c r="X50" s="116"/>
      <c r="Y50" s="116"/>
      <c r="Z50" s="116"/>
    </row>
    <row r="51" spans="1:26" ht="12.75">
      <c r="A51" s="415"/>
      <c r="D51" s="558"/>
      <c r="E51" s="116"/>
      <c r="F51" s="116"/>
      <c r="G51" s="116"/>
      <c r="H51" s="116"/>
      <c r="I51" s="116"/>
      <c r="J51" s="116"/>
      <c r="K51" s="116"/>
      <c r="L51" s="116"/>
      <c r="M51" s="116"/>
      <c r="N51" s="116"/>
      <c r="O51" s="116"/>
      <c r="P51" s="116"/>
      <c r="Q51" s="116"/>
      <c r="R51" s="116"/>
      <c r="S51" s="116"/>
      <c r="T51" s="116"/>
      <c r="U51" s="116"/>
      <c r="V51" s="116"/>
      <c r="W51" s="116"/>
      <c r="X51" s="116"/>
      <c r="Y51" s="116"/>
      <c r="Z51" s="116"/>
    </row>
    <row r="52" spans="1:26" ht="12.75">
      <c r="A52" s="415"/>
      <c r="B52" s="683" t="s">
        <v>9640</v>
      </c>
      <c r="C52" s="684"/>
      <c r="D52" s="557"/>
      <c r="E52" s="116"/>
      <c r="F52" s="116"/>
      <c r="G52" s="116"/>
      <c r="H52" s="116"/>
      <c r="I52" s="116"/>
      <c r="J52" s="116"/>
      <c r="K52" s="116"/>
      <c r="L52" s="116"/>
      <c r="M52" s="116"/>
      <c r="N52" s="116"/>
      <c r="O52" s="116"/>
      <c r="P52" s="116"/>
      <c r="Q52" s="116"/>
      <c r="R52" s="116"/>
      <c r="S52" s="116"/>
      <c r="T52" s="116"/>
      <c r="U52" s="116"/>
      <c r="V52" s="116"/>
      <c r="W52" s="116"/>
      <c r="X52" s="116"/>
      <c r="Y52" s="116"/>
      <c r="Z52" s="116"/>
    </row>
    <row r="53" spans="1:26" ht="12.75">
      <c r="A53" s="414" t="s">
        <v>9497</v>
      </c>
      <c r="B53" s="419" t="s">
        <v>9498</v>
      </c>
      <c r="C53" s="557" t="s">
        <v>9499</v>
      </c>
      <c r="D53" s="560"/>
      <c r="E53" s="36" t="s">
        <v>27</v>
      </c>
      <c r="F53" s="116"/>
      <c r="G53" s="116"/>
      <c r="H53" s="116"/>
      <c r="I53" s="116"/>
      <c r="J53" s="116"/>
      <c r="K53" s="116"/>
      <c r="L53" s="116"/>
      <c r="M53" s="116"/>
      <c r="N53" s="116"/>
      <c r="O53" s="116"/>
      <c r="P53" s="116"/>
      <c r="Q53" s="116"/>
      <c r="R53" s="116"/>
      <c r="S53" s="116"/>
      <c r="T53" s="116"/>
      <c r="U53" s="116"/>
      <c r="V53" s="116"/>
      <c r="W53" s="116"/>
      <c r="X53" s="116"/>
      <c r="Y53" s="116"/>
      <c r="Z53" s="116"/>
    </row>
    <row r="54" spans="1:26" ht="12.75">
      <c r="A54" s="415" t="s">
        <v>9501</v>
      </c>
      <c r="B54" s="419" t="s">
        <v>9502</v>
      </c>
      <c r="C54" s="419" t="s">
        <v>9605</v>
      </c>
      <c r="D54" s="419"/>
      <c r="E54" s="36" t="s">
        <v>27</v>
      </c>
      <c r="F54" s="116"/>
      <c r="G54" s="116"/>
      <c r="H54" s="116"/>
      <c r="I54" s="116"/>
      <c r="J54" s="116"/>
      <c r="K54" s="116"/>
      <c r="L54" s="116"/>
      <c r="M54" s="116"/>
      <c r="N54" s="116"/>
      <c r="O54" s="116"/>
      <c r="P54" s="116"/>
      <c r="Q54" s="116"/>
      <c r="R54" s="116"/>
      <c r="S54" s="116"/>
      <c r="T54" s="116"/>
      <c r="U54" s="116"/>
      <c r="V54" s="116"/>
      <c r="W54" s="116"/>
      <c r="X54" s="116"/>
      <c r="Y54" s="116"/>
      <c r="Z54" s="116"/>
    </row>
    <row r="55" spans="1:26" ht="12.75">
      <c r="A55" s="415"/>
      <c r="B55" s="683" t="s">
        <v>9641</v>
      </c>
      <c r="C55" s="684"/>
      <c r="D55" s="557"/>
      <c r="E55" s="116"/>
      <c r="F55" s="116"/>
      <c r="G55" s="116"/>
      <c r="H55" s="116"/>
      <c r="I55" s="116"/>
      <c r="J55" s="116"/>
      <c r="K55" s="116"/>
      <c r="L55" s="116"/>
      <c r="M55" s="116"/>
      <c r="N55" s="116"/>
      <c r="O55" s="116"/>
      <c r="P55" s="116"/>
      <c r="Q55" s="116"/>
      <c r="R55" s="116"/>
      <c r="S55" s="116"/>
      <c r="T55" s="116"/>
      <c r="U55" s="116"/>
      <c r="V55" s="116"/>
      <c r="W55" s="116"/>
      <c r="X55" s="116"/>
      <c r="Y55" s="116"/>
      <c r="Z55" s="116"/>
    </row>
    <row r="56" spans="1:26" ht="25.5">
      <c r="A56" s="561" t="s">
        <v>9577</v>
      </c>
      <c r="B56" s="562" t="s">
        <v>9578</v>
      </c>
      <c r="C56" s="557" t="s">
        <v>9579</v>
      </c>
      <c r="D56" s="560" t="s">
        <v>9642</v>
      </c>
      <c r="E56" s="36" t="s">
        <v>38</v>
      </c>
      <c r="F56" s="116"/>
      <c r="G56" s="116"/>
      <c r="H56" s="563"/>
      <c r="I56" s="116"/>
      <c r="J56" s="116"/>
      <c r="K56" s="116"/>
      <c r="L56" s="116"/>
      <c r="M56" s="116"/>
      <c r="N56" s="116"/>
      <c r="O56" s="116"/>
      <c r="P56" s="116"/>
      <c r="Q56" s="116"/>
      <c r="R56" s="116"/>
      <c r="S56" s="116"/>
      <c r="T56" s="116"/>
      <c r="U56" s="116"/>
      <c r="V56" s="116"/>
      <c r="W56" s="116"/>
      <c r="X56" s="116"/>
      <c r="Y56" s="116"/>
      <c r="Z56" s="116"/>
    </row>
    <row r="57" spans="1:26" ht="12.75">
      <c r="A57" s="561" t="s">
        <v>5476</v>
      </c>
      <c r="B57" s="36" t="s">
        <v>5471</v>
      </c>
      <c r="C57" s="557" t="s">
        <v>5472</v>
      </c>
      <c r="D57" s="560" t="s">
        <v>9642</v>
      </c>
      <c r="E57" s="36" t="s">
        <v>27</v>
      </c>
      <c r="F57" s="116"/>
      <c r="G57" s="116"/>
      <c r="H57" s="563"/>
      <c r="I57" s="116"/>
      <c r="J57" s="116"/>
      <c r="K57" s="116"/>
      <c r="L57" s="116"/>
      <c r="M57" s="116"/>
      <c r="N57" s="116"/>
      <c r="O57" s="116"/>
      <c r="P57" s="116"/>
      <c r="Q57" s="116"/>
      <c r="R57" s="116"/>
      <c r="S57" s="116"/>
      <c r="T57" s="116"/>
      <c r="U57" s="116"/>
      <c r="V57" s="116"/>
      <c r="W57" s="116"/>
      <c r="X57" s="116"/>
      <c r="Y57" s="116"/>
      <c r="Z57" s="116"/>
    </row>
    <row r="58" spans="1:26" ht="12.75">
      <c r="A58" s="414" t="s">
        <v>9410</v>
      </c>
      <c r="B58" s="419" t="s">
        <v>9411</v>
      </c>
      <c r="C58" s="557" t="s">
        <v>9412</v>
      </c>
      <c r="D58" s="419" t="s">
        <v>9639</v>
      </c>
      <c r="E58" s="36" t="s">
        <v>27</v>
      </c>
      <c r="F58" s="116"/>
      <c r="G58" s="116"/>
      <c r="H58" s="116"/>
      <c r="I58" s="116"/>
      <c r="J58" s="116"/>
      <c r="K58" s="116"/>
      <c r="L58" s="116"/>
      <c r="M58" s="116"/>
      <c r="N58" s="116"/>
      <c r="O58" s="116"/>
      <c r="P58" s="116"/>
      <c r="Q58" s="116"/>
      <c r="R58" s="116"/>
      <c r="S58" s="116"/>
      <c r="T58" s="116"/>
      <c r="U58" s="116"/>
      <c r="V58" s="116"/>
      <c r="W58" s="116"/>
      <c r="X58" s="116"/>
      <c r="Y58" s="116"/>
      <c r="Z58" s="116"/>
    </row>
    <row r="59" spans="1:26" ht="12.75">
      <c r="A59" s="414" t="s">
        <v>9601</v>
      </c>
      <c r="B59" s="419" t="s">
        <v>9602</v>
      </c>
      <c r="C59" s="419" t="s">
        <v>917</v>
      </c>
      <c r="D59" s="419" t="s">
        <v>9639</v>
      </c>
      <c r="E59" s="36" t="s">
        <v>27</v>
      </c>
      <c r="F59" s="116"/>
      <c r="G59" s="116"/>
      <c r="H59" s="116"/>
      <c r="I59" s="116"/>
      <c r="J59" s="116"/>
      <c r="K59" s="116"/>
      <c r="L59" s="116"/>
      <c r="M59" s="116"/>
      <c r="N59" s="116"/>
      <c r="O59" s="116"/>
      <c r="P59" s="116"/>
      <c r="Q59" s="116"/>
      <c r="R59" s="116"/>
      <c r="S59" s="116"/>
      <c r="T59" s="116"/>
      <c r="U59" s="116"/>
      <c r="V59" s="116"/>
      <c r="W59" s="116"/>
      <c r="X59" s="116"/>
      <c r="Y59" s="116"/>
      <c r="Z59" s="116"/>
    </row>
    <row r="60" spans="1:26" ht="12.75">
      <c r="A60" s="414" t="s">
        <v>3619</v>
      </c>
      <c r="B60" s="564" t="s">
        <v>9414</v>
      </c>
      <c r="C60" s="564" t="s">
        <v>5572</v>
      </c>
      <c r="D60" s="419" t="s">
        <v>9639</v>
      </c>
      <c r="E60" s="36" t="s">
        <v>27</v>
      </c>
      <c r="F60" s="116"/>
      <c r="G60" s="116"/>
      <c r="H60" s="563"/>
      <c r="I60" s="116"/>
      <c r="J60" s="116"/>
      <c r="K60" s="116"/>
      <c r="L60" s="116"/>
      <c r="M60" s="116"/>
      <c r="N60" s="116"/>
      <c r="O60" s="116"/>
      <c r="P60" s="116"/>
      <c r="Q60" s="116"/>
      <c r="R60" s="116"/>
      <c r="S60" s="116"/>
      <c r="T60" s="116"/>
      <c r="U60" s="116"/>
      <c r="V60" s="116"/>
      <c r="W60" s="116"/>
      <c r="X60" s="116"/>
      <c r="Y60" s="116"/>
      <c r="Z60" s="116"/>
    </row>
    <row r="61" spans="1:26" ht="12.75">
      <c r="A61" s="414" t="s">
        <v>9415</v>
      </c>
      <c r="B61" s="419" t="s">
        <v>5563</v>
      </c>
      <c r="C61" s="557" t="s">
        <v>9611</v>
      </c>
      <c r="D61" s="419" t="s">
        <v>9639</v>
      </c>
      <c r="E61" s="36" t="s">
        <v>27</v>
      </c>
      <c r="F61" s="116"/>
      <c r="G61" s="116"/>
      <c r="H61" s="116"/>
      <c r="I61" s="116"/>
      <c r="J61" s="116"/>
      <c r="K61" s="116"/>
      <c r="L61" s="116"/>
      <c r="M61" s="116"/>
      <c r="N61" s="116"/>
      <c r="O61" s="116"/>
      <c r="P61" s="116"/>
      <c r="Q61" s="116"/>
      <c r="R61" s="116"/>
      <c r="S61" s="116"/>
      <c r="T61" s="116"/>
      <c r="U61" s="116"/>
      <c r="V61" s="116"/>
      <c r="W61" s="116"/>
      <c r="X61" s="116"/>
      <c r="Y61" s="116"/>
      <c r="Z61" s="116"/>
    </row>
    <row r="62" spans="1:26" ht="12.75">
      <c r="A62" s="415" t="s">
        <v>5591</v>
      </c>
      <c r="B62" s="419" t="s">
        <v>5592</v>
      </c>
      <c r="C62" s="559" t="s">
        <v>9417</v>
      </c>
      <c r="D62" s="419" t="s">
        <v>9639</v>
      </c>
      <c r="E62" s="36" t="s">
        <v>27</v>
      </c>
      <c r="F62" s="116"/>
      <c r="G62" s="116"/>
      <c r="H62" s="116"/>
      <c r="I62" s="116"/>
      <c r="J62" s="116"/>
      <c r="K62" s="116"/>
      <c r="L62" s="116"/>
      <c r="M62" s="116"/>
      <c r="N62" s="116"/>
      <c r="O62" s="116"/>
      <c r="P62" s="116"/>
      <c r="Q62" s="116"/>
      <c r="R62" s="116"/>
      <c r="S62" s="116"/>
      <c r="T62" s="116"/>
      <c r="U62" s="116"/>
      <c r="V62" s="116"/>
      <c r="W62" s="116"/>
      <c r="X62" s="116"/>
      <c r="Y62" s="116"/>
      <c r="Z62" s="116"/>
    </row>
    <row r="63" spans="1:26" ht="12.75">
      <c r="A63" s="414" t="s">
        <v>9418</v>
      </c>
      <c r="B63" s="565" t="s">
        <v>9419</v>
      </c>
      <c r="C63" s="557" t="s">
        <v>9581</v>
      </c>
      <c r="D63" s="419" t="s">
        <v>9639</v>
      </c>
      <c r="E63" s="36" t="s">
        <v>27</v>
      </c>
      <c r="F63" s="116"/>
      <c r="G63" s="116"/>
      <c r="H63" s="116"/>
      <c r="I63" s="116"/>
      <c r="J63" s="116"/>
      <c r="K63" s="116"/>
      <c r="L63" s="116"/>
      <c r="M63" s="116"/>
      <c r="N63" s="116"/>
      <c r="O63" s="116"/>
      <c r="P63" s="116"/>
      <c r="Q63" s="116"/>
      <c r="R63" s="116"/>
      <c r="S63" s="116"/>
      <c r="T63" s="116"/>
      <c r="U63" s="116"/>
      <c r="V63" s="116"/>
      <c r="W63" s="116"/>
      <c r="X63" s="116"/>
      <c r="Y63" s="116"/>
      <c r="Z63" s="116"/>
    </row>
    <row r="64" spans="1:26" ht="12.75">
      <c r="A64" s="415" t="s">
        <v>5477</v>
      </c>
      <c r="B64" s="419" t="s">
        <v>5478</v>
      </c>
      <c r="C64" s="559" t="s">
        <v>9421</v>
      </c>
      <c r="D64" s="419" t="s">
        <v>9639</v>
      </c>
      <c r="E64" s="36" t="s">
        <v>27</v>
      </c>
      <c r="F64" s="116"/>
      <c r="G64" s="116"/>
      <c r="H64" s="116"/>
      <c r="I64" s="116"/>
      <c r="J64" s="116"/>
      <c r="K64" s="116"/>
      <c r="L64" s="116"/>
      <c r="M64" s="116"/>
      <c r="N64" s="116"/>
      <c r="O64" s="116"/>
      <c r="P64" s="116"/>
      <c r="Q64" s="116"/>
      <c r="R64" s="116"/>
      <c r="S64" s="116"/>
      <c r="T64" s="116"/>
      <c r="U64" s="116"/>
      <c r="V64" s="116"/>
      <c r="W64" s="116"/>
      <c r="X64" s="116"/>
      <c r="Y64" s="116"/>
      <c r="Z64" s="116"/>
    </row>
    <row r="65" spans="1:26" ht="12.75">
      <c r="A65" s="415" t="s">
        <v>9643</v>
      </c>
      <c r="B65" s="419" t="s">
        <v>9431</v>
      </c>
      <c r="C65" s="419" t="s">
        <v>9644</v>
      </c>
      <c r="D65" s="419" t="s">
        <v>9639</v>
      </c>
      <c r="E65" s="36" t="s">
        <v>27</v>
      </c>
      <c r="F65" s="116"/>
      <c r="G65" s="116"/>
      <c r="H65" s="116"/>
      <c r="I65" s="116"/>
      <c r="J65" s="116"/>
      <c r="K65" s="116"/>
      <c r="L65" s="116"/>
      <c r="M65" s="116"/>
      <c r="N65" s="116"/>
      <c r="O65" s="116"/>
      <c r="P65" s="116"/>
      <c r="Q65" s="116"/>
      <c r="R65" s="116"/>
      <c r="S65" s="116"/>
      <c r="T65" s="116"/>
      <c r="U65" s="116"/>
      <c r="V65" s="116"/>
      <c r="W65" s="116"/>
      <c r="X65" s="116"/>
      <c r="Y65" s="116"/>
      <c r="Z65" s="116"/>
    </row>
    <row r="66" spans="1:26" ht="14.25">
      <c r="A66" s="422" t="s">
        <v>9645</v>
      </c>
      <c r="B66" s="566" t="s">
        <v>9485</v>
      </c>
      <c r="C66" s="419" t="s">
        <v>9646</v>
      </c>
      <c r="D66" s="419" t="s">
        <v>9639</v>
      </c>
      <c r="E66" s="36" t="s">
        <v>27</v>
      </c>
      <c r="F66" s="116"/>
      <c r="G66" s="116"/>
      <c r="H66" s="116"/>
      <c r="I66" s="116"/>
      <c r="J66" s="116"/>
      <c r="K66" s="116"/>
      <c r="L66" s="116"/>
      <c r="M66" s="116"/>
      <c r="N66" s="116"/>
      <c r="O66" s="116"/>
      <c r="P66" s="116"/>
      <c r="Q66" s="116"/>
      <c r="R66" s="116"/>
      <c r="S66" s="116"/>
      <c r="T66" s="116"/>
      <c r="U66" s="116"/>
      <c r="V66" s="116"/>
      <c r="W66" s="116"/>
      <c r="X66" s="116"/>
      <c r="Y66" s="116"/>
      <c r="Z66" s="116"/>
    </row>
    <row r="67" spans="1:26" ht="14.25">
      <c r="A67" s="415" t="s">
        <v>9422</v>
      </c>
      <c r="B67" s="566" t="s">
        <v>5480</v>
      </c>
      <c r="C67" s="419" t="s">
        <v>9647</v>
      </c>
      <c r="D67" s="419" t="s">
        <v>9639</v>
      </c>
      <c r="E67" s="36" t="s">
        <v>27</v>
      </c>
      <c r="F67" s="116"/>
      <c r="G67" s="116"/>
      <c r="H67" s="116"/>
      <c r="I67" s="116"/>
      <c r="J67" s="116"/>
      <c r="K67" s="116"/>
      <c r="L67" s="116"/>
      <c r="M67" s="116"/>
      <c r="N67" s="116"/>
      <c r="O67" s="116"/>
      <c r="P67" s="116"/>
      <c r="Q67" s="116"/>
      <c r="R67" s="116"/>
      <c r="S67" s="116"/>
      <c r="T67" s="116"/>
      <c r="U67" s="116"/>
      <c r="V67" s="116"/>
      <c r="W67" s="116"/>
      <c r="X67" s="116"/>
      <c r="Y67" s="116"/>
      <c r="Z67" s="116"/>
    </row>
    <row r="68" spans="1:26" ht="14.25">
      <c r="A68" s="415" t="s">
        <v>5504</v>
      </c>
      <c r="B68" s="566" t="s">
        <v>5505</v>
      </c>
      <c r="C68" s="419" t="s">
        <v>9648</v>
      </c>
      <c r="D68" s="419" t="s">
        <v>9639</v>
      </c>
      <c r="E68" s="36" t="s">
        <v>27</v>
      </c>
      <c r="F68" s="116"/>
      <c r="G68" s="116"/>
      <c r="H68" s="116"/>
      <c r="I68" s="116"/>
      <c r="J68" s="116"/>
      <c r="K68" s="116"/>
      <c r="L68" s="116"/>
      <c r="M68" s="116"/>
      <c r="N68" s="116"/>
      <c r="O68" s="116"/>
      <c r="P68" s="116"/>
      <c r="Q68" s="116"/>
      <c r="R68" s="116"/>
      <c r="S68" s="116"/>
      <c r="T68" s="116"/>
      <c r="U68" s="116"/>
      <c r="V68" s="116"/>
      <c r="W68" s="116"/>
      <c r="X68" s="116"/>
      <c r="Y68" s="116"/>
      <c r="Z68" s="116"/>
    </row>
    <row r="69" spans="1:26" ht="12.75">
      <c r="A69" s="415" t="s">
        <v>9424</v>
      </c>
      <c r="B69" s="567" t="s">
        <v>9425</v>
      </c>
      <c r="C69" s="568" t="s">
        <v>9426</v>
      </c>
      <c r="D69" s="419" t="s">
        <v>9639</v>
      </c>
      <c r="E69" s="36" t="s">
        <v>6406</v>
      </c>
      <c r="F69" s="116"/>
      <c r="G69" s="116"/>
      <c r="H69" s="116"/>
      <c r="I69" s="116"/>
      <c r="J69" s="116"/>
      <c r="K69" s="116"/>
      <c r="L69" s="116"/>
      <c r="M69" s="116"/>
      <c r="N69" s="116"/>
      <c r="O69" s="116"/>
      <c r="P69" s="116"/>
      <c r="Q69" s="116"/>
      <c r="R69" s="116"/>
      <c r="S69" s="116"/>
      <c r="T69" s="116"/>
      <c r="U69" s="116"/>
      <c r="V69" s="116"/>
      <c r="W69" s="116"/>
      <c r="X69" s="116"/>
      <c r="Y69" s="116"/>
      <c r="Z69" s="116"/>
    </row>
    <row r="70" spans="1:26" ht="12.75">
      <c r="A70" s="415" t="s">
        <v>9457</v>
      </c>
      <c r="B70" s="567" t="s">
        <v>9458</v>
      </c>
      <c r="C70" s="569" t="s">
        <v>9649</v>
      </c>
      <c r="D70" s="419" t="s">
        <v>9639</v>
      </c>
      <c r="E70" s="36" t="s">
        <v>6406</v>
      </c>
      <c r="F70" s="116"/>
      <c r="G70" s="116"/>
      <c r="H70" s="116"/>
      <c r="I70" s="116"/>
      <c r="J70" s="116"/>
      <c r="K70" s="116"/>
      <c r="L70" s="116"/>
      <c r="M70" s="116"/>
      <c r="N70" s="116"/>
      <c r="O70" s="116"/>
      <c r="P70" s="116"/>
      <c r="Q70" s="116"/>
      <c r="R70" s="116"/>
      <c r="S70" s="116"/>
      <c r="T70" s="116"/>
      <c r="U70" s="116"/>
      <c r="V70" s="116"/>
      <c r="W70" s="116"/>
      <c r="X70" s="116"/>
      <c r="Y70" s="116"/>
      <c r="Z70" s="116"/>
    </row>
    <row r="71" spans="1:26" ht="12.75">
      <c r="A71" s="415" t="s">
        <v>9650</v>
      </c>
      <c r="B71" s="419" t="s">
        <v>5424</v>
      </c>
      <c r="C71" s="419" t="s">
        <v>9651</v>
      </c>
      <c r="D71" s="419" t="s">
        <v>9652</v>
      </c>
      <c r="E71" s="36" t="s">
        <v>27</v>
      </c>
      <c r="F71" s="116"/>
      <c r="G71" s="116"/>
      <c r="H71" s="116"/>
      <c r="I71" s="116"/>
      <c r="J71" s="116"/>
      <c r="K71" s="116"/>
      <c r="L71" s="116"/>
      <c r="M71" s="116"/>
      <c r="N71" s="116"/>
      <c r="O71" s="116"/>
      <c r="P71" s="116"/>
      <c r="Q71" s="116"/>
      <c r="R71" s="116"/>
      <c r="S71" s="116"/>
      <c r="T71" s="116"/>
      <c r="U71" s="116"/>
      <c r="V71" s="116"/>
      <c r="W71" s="116"/>
      <c r="X71" s="116"/>
      <c r="Y71" s="116"/>
      <c r="Z71" s="116"/>
    </row>
    <row r="72" spans="1:26" ht="12.75">
      <c r="A72" s="415" t="s">
        <v>9473</v>
      </c>
      <c r="B72" s="419" t="s">
        <v>9474</v>
      </c>
      <c r="C72" s="553" t="s">
        <v>9475</v>
      </c>
      <c r="D72" s="419" t="s">
        <v>9653</v>
      </c>
      <c r="E72" s="36" t="s">
        <v>27</v>
      </c>
      <c r="F72" s="116"/>
      <c r="G72" s="116"/>
      <c r="H72" s="116"/>
      <c r="I72" s="116"/>
      <c r="J72" s="116"/>
      <c r="K72" s="116"/>
      <c r="L72" s="116"/>
      <c r="M72" s="116"/>
      <c r="N72" s="116"/>
      <c r="O72" s="116"/>
      <c r="P72" s="116"/>
      <c r="Q72" s="116"/>
      <c r="R72" s="116"/>
      <c r="S72" s="116"/>
      <c r="T72" s="116"/>
      <c r="U72" s="116"/>
      <c r="V72" s="116"/>
      <c r="W72" s="116"/>
      <c r="X72" s="116"/>
      <c r="Y72" s="116"/>
      <c r="Z72" s="116"/>
    </row>
    <row r="73" spans="1:26" ht="18.75" customHeight="1">
      <c r="A73" s="422" t="s">
        <v>9606</v>
      </c>
      <c r="B73" s="422" t="s">
        <v>9654</v>
      </c>
      <c r="C73" s="419" t="s">
        <v>9608</v>
      </c>
      <c r="D73" s="419" t="s">
        <v>9639</v>
      </c>
      <c r="E73" s="36" t="s">
        <v>38</v>
      </c>
      <c r="F73" s="116"/>
      <c r="G73" s="116"/>
      <c r="H73" s="116"/>
      <c r="I73" s="116"/>
      <c r="J73" s="116"/>
      <c r="K73" s="116"/>
      <c r="L73" s="116"/>
      <c r="M73" s="116"/>
      <c r="N73" s="116"/>
      <c r="O73" s="116"/>
      <c r="P73" s="116"/>
      <c r="Q73" s="116"/>
      <c r="R73" s="116"/>
      <c r="S73" s="116"/>
      <c r="T73" s="116"/>
      <c r="U73" s="116"/>
      <c r="V73" s="116"/>
      <c r="W73" s="116"/>
      <c r="X73" s="116"/>
      <c r="Y73" s="116"/>
      <c r="Z73" s="116"/>
    </row>
    <row r="74" spans="1:26" ht="12.75">
      <c r="A74" s="561" t="s">
        <v>5418</v>
      </c>
      <c r="B74" s="545" t="s">
        <v>5419</v>
      </c>
      <c r="C74" s="557" t="s">
        <v>5420</v>
      </c>
      <c r="D74" s="560" t="s">
        <v>9655</v>
      </c>
      <c r="E74" s="36" t="s">
        <v>27</v>
      </c>
      <c r="F74" s="116"/>
      <c r="G74" s="116"/>
      <c r="H74" s="116"/>
      <c r="I74" s="116"/>
      <c r="J74" s="116"/>
      <c r="K74" s="116"/>
      <c r="L74" s="116"/>
      <c r="M74" s="116"/>
      <c r="N74" s="116"/>
      <c r="O74" s="116"/>
      <c r="P74" s="116"/>
      <c r="Q74" s="116"/>
      <c r="R74" s="116"/>
      <c r="S74" s="116"/>
      <c r="T74" s="116"/>
      <c r="U74" s="116"/>
      <c r="V74" s="116"/>
      <c r="W74" s="116"/>
      <c r="X74" s="116"/>
      <c r="Y74" s="116"/>
      <c r="Z74" s="116"/>
    </row>
    <row r="75" spans="1:26" ht="14.25">
      <c r="A75" s="570" t="s">
        <v>9434</v>
      </c>
      <c r="B75" s="419" t="s">
        <v>5508</v>
      </c>
      <c r="C75" s="553" t="s">
        <v>9435</v>
      </c>
      <c r="D75" s="419" t="s">
        <v>9639</v>
      </c>
      <c r="E75" s="36" t="s">
        <v>27</v>
      </c>
      <c r="F75" s="116"/>
      <c r="G75" s="116"/>
      <c r="H75" s="116"/>
      <c r="I75" s="116"/>
      <c r="J75" s="116"/>
      <c r="K75" s="116"/>
      <c r="L75" s="116"/>
      <c r="M75" s="116"/>
      <c r="N75" s="116"/>
      <c r="O75" s="116"/>
      <c r="P75" s="116"/>
      <c r="Q75" s="116"/>
      <c r="R75" s="116"/>
      <c r="S75" s="116"/>
      <c r="T75" s="116"/>
      <c r="U75" s="116"/>
      <c r="V75" s="116"/>
      <c r="W75" s="116"/>
      <c r="X75" s="116"/>
      <c r="Y75" s="116"/>
      <c r="Z75" s="116"/>
    </row>
    <row r="76" spans="1:26" ht="12.75">
      <c r="A76" s="414" t="s">
        <v>9589</v>
      </c>
      <c r="B76" s="419" t="s">
        <v>9590</v>
      </c>
      <c r="C76" s="557" t="s">
        <v>9591</v>
      </c>
      <c r="D76" s="419" t="s">
        <v>9639</v>
      </c>
      <c r="E76" s="36" t="s">
        <v>27</v>
      </c>
      <c r="F76" s="116"/>
      <c r="G76" s="116"/>
      <c r="H76" s="116"/>
      <c r="I76" s="116"/>
      <c r="J76" s="116"/>
      <c r="K76" s="116"/>
      <c r="L76" s="116"/>
      <c r="M76" s="116"/>
      <c r="N76" s="116"/>
      <c r="O76" s="116"/>
      <c r="P76" s="116"/>
      <c r="Q76" s="116"/>
      <c r="R76" s="116"/>
      <c r="S76" s="116"/>
      <c r="T76" s="116"/>
      <c r="U76" s="116"/>
      <c r="V76" s="116"/>
      <c r="W76" s="116"/>
      <c r="X76" s="116"/>
      <c r="Y76" s="116"/>
      <c r="Z76" s="116"/>
    </row>
    <row r="77" spans="1:26" ht="18" customHeight="1">
      <c r="A77" s="414" t="s">
        <v>9656</v>
      </c>
      <c r="B77" s="419" t="s">
        <v>9498</v>
      </c>
      <c r="C77" s="557" t="s">
        <v>9499</v>
      </c>
      <c r="D77" s="419" t="s">
        <v>9657</v>
      </c>
      <c r="E77" s="36" t="s">
        <v>27</v>
      </c>
      <c r="F77" s="116"/>
      <c r="G77" s="116"/>
      <c r="H77" s="116"/>
      <c r="I77" s="116"/>
      <c r="J77" s="116"/>
      <c r="K77" s="116"/>
      <c r="L77" s="116"/>
      <c r="M77" s="116"/>
      <c r="N77" s="116"/>
      <c r="O77" s="116"/>
      <c r="P77" s="116"/>
      <c r="Q77" s="116"/>
      <c r="R77" s="116"/>
      <c r="S77" s="116"/>
      <c r="T77" s="116"/>
      <c r="U77" s="116"/>
      <c r="V77" s="116"/>
      <c r="W77" s="116"/>
      <c r="X77" s="116"/>
      <c r="Y77" s="116"/>
      <c r="Z77" s="116"/>
    </row>
    <row r="78" spans="1:26" ht="16.5" customHeight="1">
      <c r="A78" s="419" t="s">
        <v>5568</v>
      </c>
      <c r="B78" s="559" t="s">
        <v>9628</v>
      </c>
      <c r="C78" s="559" t="s">
        <v>9629</v>
      </c>
      <c r="D78" s="116" t="s">
        <v>9639</v>
      </c>
      <c r="E78" s="36" t="s">
        <v>27</v>
      </c>
      <c r="F78" s="116"/>
      <c r="G78" s="116"/>
      <c r="H78" s="116"/>
      <c r="I78" s="116"/>
      <c r="J78" s="116"/>
      <c r="K78" s="116"/>
      <c r="L78" s="116"/>
      <c r="M78" s="116"/>
      <c r="N78" s="116"/>
      <c r="O78" s="116"/>
      <c r="P78" s="116"/>
      <c r="Q78" s="116"/>
      <c r="R78" s="116"/>
      <c r="S78" s="116"/>
      <c r="T78" s="116"/>
      <c r="U78" s="116"/>
      <c r="V78" s="116"/>
      <c r="W78" s="116"/>
      <c r="X78" s="116"/>
      <c r="Y78" s="116"/>
      <c r="Z78" s="116"/>
    </row>
    <row r="79" spans="1:26" ht="14.25">
      <c r="A79" s="570" t="s">
        <v>5559</v>
      </c>
      <c r="B79" s="419" t="s">
        <v>5560</v>
      </c>
      <c r="C79" s="553" t="s">
        <v>9658</v>
      </c>
      <c r="D79" s="419" t="s">
        <v>9639</v>
      </c>
      <c r="E79" s="36" t="s">
        <v>27</v>
      </c>
      <c r="F79" s="116"/>
      <c r="G79" s="116"/>
      <c r="H79" s="116"/>
      <c r="I79" s="116"/>
      <c r="J79" s="116"/>
      <c r="K79" s="116"/>
      <c r="L79" s="116"/>
      <c r="M79" s="116"/>
      <c r="N79" s="116"/>
      <c r="O79" s="116"/>
      <c r="P79" s="116"/>
      <c r="Q79" s="116"/>
      <c r="R79" s="116"/>
      <c r="S79" s="116"/>
      <c r="T79" s="116"/>
      <c r="U79" s="116"/>
      <c r="V79" s="116"/>
      <c r="W79" s="116"/>
      <c r="X79" s="116"/>
      <c r="Y79" s="116"/>
      <c r="Z79" s="116"/>
    </row>
    <row r="80" spans="1:26" ht="12.75">
      <c r="A80" s="415" t="s">
        <v>192</v>
      </c>
      <c r="B80" s="419" t="s">
        <v>608</v>
      </c>
      <c r="C80" s="419" t="s">
        <v>607</v>
      </c>
      <c r="D80" s="571" t="s">
        <v>9657</v>
      </c>
      <c r="E80" s="36" t="s">
        <v>27</v>
      </c>
      <c r="F80" s="116"/>
      <c r="G80" s="116"/>
      <c r="H80" s="116"/>
      <c r="I80" s="116"/>
      <c r="J80" s="116"/>
      <c r="K80" s="116"/>
      <c r="L80" s="116"/>
      <c r="M80" s="116"/>
      <c r="N80" s="116"/>
      <c r="O80" s="116"/>
      <c r="P80" s="116"/>
      <c r="Q80" s="116"/>
      <c r="R80" s="116"/>
      <c r="S80" s="116"/>
      <c r="T80" s="116"/>
      <c r="U80" s="116"/>
      <c r="V80" s="116"/>
      <c r="W80" s="116"/>
      <c r="X80" s="116"/>
      <c r="Y80" s="116"/>
      <c r="Z80" s="116"/>
    </row>
    <row r="81" spans="1:26" ht="12.75">
      <c r="A81" s="422" t="s">
        <v>9659</v>
      </c>
      <c r="B81" s="422" t="s">
        <v>5566</v>
      </c>
      <c r="C81" s="572">
        <f>380965343433</f>
        <v>380965343433</v>
      </c>
      <c r="D81" s="419" t="s">
        <v>9639</v>
      </c>
      <c r="E81" s="36" t="s">
        <v>27</v>
      </c>
      <c r="F81" s="116"/>
      <c r="G81" s="116"/>
      <c r="H81" s="116"/>
      <c r="I81" s="116"/>
      <c r="J81" s="116"/>
      <c r="K81" s="116"/>
      <c r="L81" s="116"/>
      <c r="M81" s="116"/>
      <c r="N81" s="116"/>
      <c r="O81" s="116"/>
      <c r="P81" s="116"/>
      <c r="Q81" s="116"/>
      <c r="R81" s="116"/>
      <c r="S81" s="116"/>
      <c r="T81" s="116"/>
      <c r="U81" s="116"/>
      <c r="V81" s="116"/>
      <c r="W81" s="116"/>
      <c r="X81" s="116"/>
      <c r="Y81" s="116"/>
      <c r="Z81" s="116"/>
    </row>
    <row r="82" spans="1:26" ht="14.25">
      <c r="A82" s="573" t="s">
        <v>9437</v>
      </c>
      <c r="B82" s="422" t="s">
        <v>5517</v>
      </c>
      <c r="C82" s="574" t="s">
        <v>9438</v>
      </c>
      <c r="D82" s="419" t="s">
        <v>9639</v>
      </c>
      <c r="E82" s="36" t="s">
        <v>27</v>
      </c>
      <c r="F82" s="116"/>
      <c r="G82" s="116"/>
      <c r="H82" s="116"/>
      <c r="I82" s="116"/>
      <c r="J82" s="116"/>
      <c r="K82" s="116"/>
      <c r="L82" s="116"/>
      <c r="M82" s="116"/>
      <c r="N82" s="116"/>
      <c r="O82" s="116"/>
      <c r="P82" s="116"/>
      <c r="Q82" s="116"/>
      <c r="R82" s="116"/>
      <c r="S82" s="116"/>
      <c r="T82" s="116"/>
      <c r="U82" s="116"/>
      <c r="V82" s="116"/>
      <c r="W82" s="116"/>
      <c r="X82" s="116"/>
      <c r="Y82" s="116"/>
      <c r="Z82" s="116"/>
    </row>
    <row r="83" spans="1:26" ht="12.75">
      <c r="A83" s="422" t="s">
        <v>9660</v>
      </c>
      <c r="B83" s="422" t="s">
        <v>5577</v>
      </c>
      <c r="C83" s="574" t="s">
        <v>9661</v>
      </c>
      <c r="D83" s="419" t="s">
        <v>9639</v>
      </c>
      <c r="E83" s="36" t="s">
        <v>27</v>
      </c>
      <c r="F83" s="116"/>
      <c r="G83" s="116"/>
      <c r="H83" s="116"/>
      <c r="I83" s="116"/>
      <c r="J83" s="116"/>
      <c r="K83" s="116"/>
      <c r="L83" s="116"/>
      <c r="M83" s="116"/>
      <c r="N83" s="116"/>
      <c r="O83" s="116"/>
      <c r="P83" s="116"/>
      <c r="Q83" s="116"/>
      <c r="R83" s="116"/>
      <c r="S83" s="116"/>
      <c r="T83" s="116"/>
      <c r="U83" s="116"/>
      <c r="V83" s="116"/>
      <c r="W83" s="116"/>
      <c r="X83" s="116"/>
      <c r="Y83" s="116"/>
      <c r="Z83" s="116"/>
    </row>
    <row r="84" spans="1:26" ht="12.75">
      <c r="A84" s="422" t="s">
        <v>5582</v>
      </c>
      <c r="B84" s="567" t="s">
        <v>5583</v>
      </c>
      <c r="C84" s="567" t="s">
        <v>9662</v>
      </c>
      <c r="D84" s="422" t="s">
        <v>9639</v>
      </c>
      <c r="E84" s="36" t="s">
        <v>27</v>
      </c>
      <c r="F84" s="116"/>
      <c r="G84" s="116"/>
      <c r="H84" s="116"/>
      <c r="I84" s="116"/>
      <c r="J84" s="116"/>
      <c r="K84" s="116"/>
      <c r="L84" s="116"/>
      <c r="M84" s="116"/>
      <c r="N84" s="116"/>
      <c r="O84" s="116"/>
      <c r="P84" s="116"/>
      <c r="Q84" s="116"/>
      <c r="R84" s="116"/>
      <c r="S84" s="116"/>
      <c r="T84" s="116"/>
      <c r="U84" s="116"/>
      <c r="V84" s="116"/>
      <c r="W84" s="116"/>
      <c r="X84" s="116"/>
      <c r="Y84" s="116"/>
      <c r="Z84" s="116"/>
    </row>
    <row r="85" spans="1:26" ht="12.75">
      <c r="A85" s="422" t="s">
        <v>9663</v>
      </c>
      <c r="B85" s="567" t="s">
        <v>9664</v>
      </c>
      <c r="C85" s="567"/>
      <c r="D85" s="422"/>
      <c r="E85" s="36"/>
      <c r="F85" s="116"/>
      <c r="G85" s="116"/>
      <c r="H85" s="116"/>
      <c r="I85" s="116"/>
      <c r="J85" s="116"/>
      <c r="K85" s="116"/>
      <c r="L85" s="116"/>
      <c r="M85" s="116"/>
      <c r="N85" s="116"/>
      <c r="O85" s="116"/>
      <c r="P85" s="116"/>
      <c r="Q85" s="116"/>
      <c r="R85" s="116"/>
      <c r="S85" s="116"/>
      <c r="T85" s="116"/>
      <c r="U85" s="116"/>
      <c r="V85" s="116"/>
      <c r="W85" s="116"/>
      <c r="X85" s="116"/>
      <c r="Y85" s="116"/>
      <c r="Z85" s="116"/>
    </row>
    <row r="86" spans="1:26" ht="12.75">
      <c r="A86" s="575" t="s">
        <v>9665</v>
      </c>
      <c r="B86" s="575" t="s">
        <v>9502</v>
      </c>
      <c r="C86" s="575" t="s">
        <v>9605</v>
      </c>
      <c r="D86" s="576" t="s">
        <v>9657</v>
      </c>
      <c r="E86" s="577" t="s">
        <v>38</v>
      </c>
      <c r="F86" s="116" t="s">
        <v>9666</v>
      </c>
      <c r="G86" s="116"/>
      <c r="H86" s="116"/>
      <c r="I86" s="116"/>
      <c r="J86" s="116"/>
      <c r="K86" s="116"/>
      <c r="L86" s="116"/>
      <c r="M86" s="116"/>
      <c r="N86" s="116"/>
      <c r="O86" s="116"/>
      <c r="P86" s="116"/>
      <c r="Q86" s="116"/>
      <c r="R86" s="116"/>
      <c r="S86" s="116"/>
      <c r="T86" s="116"/>
      <c r="U86" s="116"/>
      <c r="V86" s="116"/>
      <c r="W86" s="116"/>
      <c r="X86" s="116"/>
      <c r="Y86" s="116"/>
      <c r="Z86" s="116"/>
    </row>
    <row r="87" spans="1:26" ht="12.75">
      <c r="A87" s="575" t="s">
        <v>69</v>
      </c>
      <c r="B87" s="575" t="s">
        <v>9528</v>
      </c>
      <c r="C87" s="575" t="s">
        <v>9529</v>
      </c>
      <c r="D87" s="576" t="s">
        <v>9657</v>
      </c>
      <c r="E87" s="577" t="s">
        <v>38</v>
      </c>
      <c r="F87" s="116" t="s">
        <v>9666</v>
      </c>
      <c r="G87" s="116"/>
      <c r="H87" s="116"/>
      <c r="I87" s="116"/>
      <c r="J87" s="116"/>
      <c r="K87" s="116"/>
      <c r="L87" s="116"/>
      <c r="M87" s="116"/>
      <c r="N87" s="116"/>
      <c r="O87" s="116"/>
      <c r="P87" s="116"/>
      <c r="Q87" s="116"/>
      <c r="R87" s="116"/>
      <c r="S87" s="116"/>
      <c r="T87" s="116"/>
      <c r="U87" s="116"/>
      <c r="V87" s="116"/>
      <c r="W87" s="116"/>
      <c r="X87" s="116"/>
      <c r="Y87" s="116"/>
      <c r="Z87" s="116"/>
    </row>
    <row r="88" spans="1:26" ht="15" customHeight="1">
      <c r="A88" s="575" t="s">
        <v>9667</v>
      </c>
      <c r="B88" s="575" t="s">
        <v>9583</v>
      </c>
      <c r="C88" s="575" t="s">
        <v>299</v>
      </c>
      <c r="D88" s="575" t="s">
        <v>9639</v>
      </c>
      <c r="E88" s="577" t="s">
        <v>38</v>
      </c>
      <c r="F88" s="116" t="s">
        <v>9666</v>
      </c>
      <c r="G88" s="116"/>
      <c r="H88" s="116"/>
      <c r="I88" s="116"/>
      <c r="J88" s="116"/>
      <c r="K88" s="116"/>
      <c r="L88" s="116"/>
      <c r="M88" s="116"/>
      <c r="N88" s="116"/>
      <c r="O88" s="116"/>
      <c r="P88" s="116"/>
      <c r="Q88" s="116"/>
      <c r="R88" s="116"/>
      <c r="S88" s="116"/>
      <c r="T88" s="116"/>
      <c r="U88" s="116"/>
      <c r="V88" s="116"/>
      <c r="W88" s="116"/>
      <c r="X88" s="116"/>
      <c r="Y88" s="116"/>
      <c r="Z88" s="116"/>
    </row>
    <row r="89" spans="1:26" ht="12.75">
      <c r="A89" s="575" t="s">
        <v>9621</v>
      </c>
      <c r="B89" s="578" t="s">
        <v>9622</v>
      </c>
      <c r="C89" s="575" t="s">
        <v>9623</v>
      </c>
      <c r="D89" s="575" t="s">
        <v>9668</v>
      </c>
      <c r="E89" s="577" t="s">
        <v>38</v>
      </c>
      <c r="F89" s="116"/>
      <c r="G89" s="116"/>
      <c r="H89" s="116"/>
      <c r="I89" s="116"/>
      <c r="J89" s="116"/>
      <c r="K89" s="116"/>
      <c r="L89" s="116"/>
      <c r="M89" s="116"/>
      <c r="N89" s="116"/>
      <c r="O89" s="116"/>
      <c r="P89" s="116"/>
      <c r="Q89" s="116"/>
      <c r="R89" s="116"/>
      <c r="S89" s="116"/>
      <c r="T89" s="116"/>
      <c r="U89" s="116"/>
      <c r="V89" s="116"/>
      <c r="W89" s="116"/>
      <c r="X89" s="116"/>
      <c r="Y89" s="116"/>
      <c r="Z89" s="116"/>
    </row>
    <row r="90" spans="1:26" ht="12.75">
      <c r="A90" s="579" t="s">
        <v>9442</v>
      </c>
      <c r="B90" s="559" t="s">
        <v>9443</v>
      </c>
      <c r="C90" s="559" t="s">
        <v>9444</v>
      </c>
      <c r="D90" s="560" t="s">
        <v>9655</v>
      </c>
      <c r="E90" s="36" t="s">
        <v>27</v>
      </c>
      <c r="F90" s="116"/>
      <c r="G90" s="116"/>
      <c r="H90" s="116"/>
      <c r="I90" s="116"/>
      <c r="J90" s="116"/>
      <c r="K90" s="116"/>
      <c r="L90" s="116"/>
      <c r="M90" s="116"/>
      <c r="N90" s="116"/>
      <c r="O90" s="116"/>
      <c r="P90" s="116"/>
      <c r="Q90" s="116"/>
      <c r="R90" s="116"/>
      <c r="S90" s="116"/>
      <c r="T90" s="116"/>
      <c r="U90" s="116"/>
      <c r="V90" s="116"/>
      <c r="W90" s="116"/>
      <c r="X90" s="116"/>
      <c r="Y90" s="116"/>
      <c r="Z90" s="116"/>
    </row>
    <row r="91" spans="1:26" ht="12.75">
      <c r="A91" s="415" t="s">
        <v>5482</v>
      </c>
      <c r="B91" s="419" t="s">
        <v>5483</v>
      </c>
      <c r="C91" s="559" t="s">
        <v>5484</v>
      </c>
      <c r="D91" s="419" t="s">
        <v>9639</v>
      </c>
      <c r="E91" s="36" t="s">
        <v>27</v>
      </c>
      <c r="F91" s="116"/>
      <c r="G91" s="116"/>
      <c r="H91" s="116"/>
      <c r="I91" s="116"/>
      <c r="J91" s="116"/>
      <c r="K91" s="116"/>
      <c r="L91" s="116"/>
      <c r="M91" s="116"/>
      <c r="N91" s="116"/>
      <c r="O91" s="116"/>
      <c r="P91" s="116"/>
      <c r="Q91" s="116"/>
      <c r="R91" s="116"/>
      <c r="S91" s="116"/>
      <c r="T91" s="116"/>
      <c r="U91" s="116"/>
      <c r="V91" s="116"/>
      <c r="W91" s="116"/>
      <c r="X91" s="116"/>
      <c r="Y91" s="116"/>
      <c r="Z91" s="116"/>
    </row>
    <row r="92" spans="1:26" ht="12.75">
      <c r="A92" s="414" t="s">
        <v>601</v>
      </c>
      <c r="B92" s="419" t="s">
        <v>9446</v>
      </c>
      <c r="C92" s="557" t="s">
        <v>602</v>
      </c>
      <c r="D92" s="419" t="s">
        <v>9639</v>
      </c>
      <c r="E92" s="36" t="s">
        <v>27</v>
      </c>
      <c r="F92" s="116"/>
      <c r="G92" s="116"/>
      <c r="H92" s="116"/>
      <c r="I92" s="116"/>
      <c r="J92" s="116"/>
      <c r="K92" s="116"/>
      <c r="L92" s="116"/>
      <c r="M92" s="116"/>
      <c r="N92" s="116"/>
      <c r="O92" s="116"/>
      <c r="P92" s="116"/>
      <c r="Q92" s="116"/>
      <c r="R92" s="116"/>
      <c r="S92" s="116"/>
      <c r="T92" s="116"/>
      <c r="U92" s="116"/>
      <c r="V92" s="116"/>
      <c r="W92" s="116"/>
      <c r="X92" s="116"/>
      <c r="Y92" s="116"/>
      <c r="Z92" s="116"/>
    </row>
    <row r="93" spans="1:26" ht="12.75">
      <c r="A93" s="414" t="s">
        <v>5510</v>
      </c>
      <c r="B93" s="567" t="s">
        <v>5511</v>
      </c>
      <c r="C93" s="557" t="s">
        <v>5512</v>
      </c>
      <c r="D93" s="419" t="s">
        <v>9639</v>
      </c>
      <c r="E93" s="36" t="s">
        <v>27</v>
      </c>
      <c r="F93" s="116"/>
      <c r="G93" s="116"/>
      <c r="H93" s="116"/>
      <c r="I93" s="116"/>
      <c r="J93" s="116"/>
      <c r="K93" s="116"/>
      <c r="L93" s="116"/>
      <c r="M93" s="116"/>
      <c r="N93" s="116"/>
      <c r="O93" s="116"/>
      <c r="P93" s="116"/>
      <c r="Q93" s="116"/>
      <c r="R93" s="116"/>
      <c r="S93" s="116"/>
      <c r="T93" s="116"/>
      <c r="U93" s="116"/>
      <c r="V93" s="116"/>
      <c r="W93" s="116"/>
      <c r="X93" s="116"/>
      <c r="Y93" s="116"/>
      <c r="Z93" s="116"/>
    </row>
    <row r="94" spans="1:26" ht="12.75">
      <c r="A94" s="414" t="s">
        <v>9407</v>
      </c>
      <c r="B94" s="567" t="s">
        <v>5557</v>
      </c>
      <c r="C94" s="557" t="s">
        <v>5558</v>
      </c>
      <c r="D94" s="419" t="s">
        <v>9639</v>
      </c>
      <c r="E94" s="36" t="s">
        <v>27</v>
      </c>
      <c r="F94" s="116"/>
      <c r="G94" s="116"/>
      <c r="H94" s="116"/>
      <c r="I94" s="116"/>
      <c r="J94" s="116"/>
      <c r="K94" s="116"/>
      <c r="L94" s="116"/>
      <c r="M94" s="116"/>
      <c r="N94" s="116"/>
      <c r="O94" s="116"/>
      <c r="P94" s="116"/>
      <c r="Q94" s="116"/>
      <c r="R94" s="116"/>
      <c r="S94" s="116"/>
      <c r="T94" s="116"/>
      <c r="U94" s="116"/>
      <c r="V94" s="116"/>
      <c r="W94" s="116"/>
      <c r="X94" s="116"/>
      <c r="Y94" s="116"/>
      <c r="Z94" s="116"/>
    </row>
    <row r="95" spans="1:26" ht="12.75">
      <c r="A95" s="414" t="s">
        <v>9669</v>
      </c>
      <c r="B95" s="567" t="s">
        <v>9670</v>
      </c>
      <c r="C95" s="557" t="s">
        <v>839</v>
      </c>
      <c r="D95" s="419" t="s">
        <v>9639</v>
      </c>
      <c r="E95" s="36" t="s">
        <v>27</v>
      </c>
      <c r="F95" s="116"/>
      <c r="G95" s="116"/>
      <c r="H95" s="116"/>
      <c r="I95" s="116"/>
      <c r="J95" s="116"/>
      <c r="K95" s="116"/>
      <c r="L95" s="116"/>
      <c r="M95" s="116"/>
      <c r="N95" s="116"/>
      <c r="O95" s="116"/>
      <c r="P95" s="116"/>
      <c r="Q95" s="116"/>
      <c r="R95" s="116"/>
      <c r="S95" s="116"/>
      <c r="T95" s="116"/>
      <c r="U95" s="116"/>
      <c r="V95" s="116"/>
      <c r="W95" s="116"/>
      <c r="X95" s="116"/>
      <c r="Y95" s="116"/>
      <c r="Z95" s="116"/>
    </row>
    <row r="96" spans="1:26" ht="12.75">
      <c r="A96" s="414" t="s">
        <v>5546</v>
      </c>
      <c r="B96" s="567" t="s">
        <v>5539</v>
      </c>
      <c r="C96" s="557" t="s">
        <v>5540</v>
      </c>
      <c r="D96" s="419" t="s">
        <v>9639</v>
      </c>
      <c r="E96" s="36" t="s">
        <v>27</v>
      </c>
      <c r="F96" s="116"/>
      <c r="G96" s="116"/>
      <c r="H96" s="116"/>
      <c r="I96" s="116"/>
      <c r="J96" s="116"/>
      <c r="K96" s="116"/>
      <c r="L96" s="116"/>
      <c r="M96" s="116"/>
      <c r="N96" s="116"/>
      <c r="O96" s="116"/>
      <c r="P96" s="116"/>
      <c r="Q96" s="116"/>
      <c r="R96" s="116"/>
      <c r="S96" s="116"/>
      <c r="T96" s="116"/>
      <c r="U96" s="116"/>
      <c r="V96" s="116"/>
      <c r="W96" s="116"/>
      <c r="X96" s="116"/>
      <c r="Y96" s="116"/>
      <c r="Z96" s="116"/>
    </row>
    <row r="97" spans="1:26" ht="12.75">
      <c r="A97" s="414" t="s">
        <v>9447</v>
      </c>
      <c r="B97" s="567" t="s">
        <v>9448</v>
      </c>
      <c r="C97" s="557" t="s">
        <v>9449</v>
      </c>
      <c r="D97" s="419" t="s">
        <v>9639</v>
      </c>
      <c r="E97" s="36" t="s">
        <v>27</v>
      </c>
      <c r="F97" s="116"/>
      <c r="G97" s="116"/>
      <c r="H97" s="116"/>
      <c r="I97" s="116"/>
      <c r="J97" s="116"/>
      <c r="K97" s="116"/>
      <c r="L97" s="116"/>
      <c r="M97" s="116"/>
      <c r="N97" s="116"/>
      <c r="O97" s="116"/>
      <c r="P97" s="116"/>
      <c r="Q97" s="116"/>
      <c r="R97" s="116"/>
      <c r="S97" s="116"/>
      <c r="T97" s="116"/>
      <c r="U97" s="116"/>
      <c r="V97" s="116"/>
      <c r="W97" s="116"/>
      <c r="X97" s="116"/>
      <c r="Y97" s="116"/>
      <c r="Z97" s="116"/>
    </row>
    <row r="98" spans="1:26" ht="12.75">
      <c r="A98" s="414" t="s">
        <v>5426</v>
      </c>
      <c r="B98" s="567" t="s">
        <v>5427</v>
      </c>
      <c r="C98" s="557" t="s">
        <v>5428</v>
      </c>
      <c r="D98" s="419" t="s">
        <v>9639</v>
      </c>
      <c r="E98" s="36" t="s">
        <v>27</v>
      </c>
      <c r="F98" s="116"/>
      <c r="G98" s="116"/>
      <c r="H98" s="116"/>
      <c r="I98" s="116"/>
      <c r="J98" s="116"/>
      <c r="K98" s="116"/>
      <c r="L98" s="116"/>
      <c r="M98" s="116"/>
      <c r="N98" s="116"/>
      <c r="O98" s="116"/>
      <c r="P98" s="116"/>
      <c r="Q98" s="116"/>
      <c r="R98" s="116"/>
      <c r="S98" s="116"/>
      <c r="T98" s="116"/>
      <c r="U98" s="116"/>
      <c r="V98" s="116"/>
      <c r="W98" s="116"/>
      <c r="X98" s="116"/>
      <c r="Y98" s="116"/>
      <c r="Z98" s="116"/>
    </row>
    <row r="99" spans="1:26" ht="12.75">
      <c r="A99" s="414" t="s">
        <v>9450</v>
      </c>
      <c r="B99" s="567" t="s">
        <v>9451</v>
      </c>
      <c r="C99" s="557" t="s">
        <v>9452</v>
      </c>
      <c r="D99" s="419" t="s">
        <v>9639</v>
      </c>
      <c r="E99" s="36" t="s">
        <v>27</v>
      </c>
      <c r="F99" s="116"/>
      <c r="G99" s="116"/>
      <c r="H99" s="116"/>
      <c r="I99" s="116"/>
      <c r="J99" s="116"/>
      <c r="K99" s="116"/>
      <c r="L99" s="116"/>
      <c r="M99" s="116"/>
      <c r="N99" s="116"/>
      <c r="O99" s="116"/>
      <c r="P99" s="116"/>
      <c r="Q99" s="116"/>
      <c r="R99" s="116"/>
      <c r="S99" s="116"/>
      <c r="T99" s="116"/>
      <c r="U99" s="116"/>
      <c r="V99" s="116"/>
      <c r="W99" s="116"/>
      <c r="X99" s="116"/>
      <c r="Y99" s="116"/>
      <c r="Z99" s="116"/>
    </row>
    <row r="100" spans="1:26" ht="12.75">
      <c r="A100" s="414" t="s">
        <v>5466</v>
      </c>
      <c r="B100" s="580" t="s">
        <v>5467</v>
      </c>
      <c r="C100" s="414" t="s">
        <v>5468</v>
      </c>
      <c r="D100" s="419" t="s">
        <v>9639</v>
      </c>
      <c r="E100" s="36" t="s">
        <v>27</v>
      </c>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2.75">
      <c r="A101" s="414" t="s">
        <v>9453</v>
      </c>
      <c r="B101" s="580" t="s">
        <v>9454</v>
      </c>
      <c r="C101" s="414" t="s">
        <v>5525</v>
      </c>
      <c r="D101" s="419" t="s">
        <v>9639</v>
      </c>
      <c r="E101" s="36" t="s">
        <v>27</v>
      </c>
      <c r="F101" s="144"/>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2.75">
      <c r="A102" s="414" t="s">
        <v>5432</v>
      </c>
      <c r="B102" s="580" t="s">
        <v>5433</v>
      </c>
      <c r="C102" s="414" t="s">
        <v>5434</v>
      </c>
      <c r="D102" s="419" t="s">
        <v>9639</v>
      </c>
      <c r="E102" s="36" t="s">
        <v>27</v>
      </c>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2.75">
      <c r="A103" s="414" t="s">
        <v>5485</v>
      </c>
      <c r="B103" s="581" t="s">
        <v>5486</v>
      </c>
      <c r="C103" s="557" t="s">
        <v>5487</v>
      </c>
      <c r="D103" s="419" t="s">
        <v>9639</v>
      </c>
      <c r="E103" s="36" t="s">
        <v>27</v>
      </c>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2.75">
      <c r="A104" s="582" t="s">
        <v>5488</v>
      </c>
      <c r="B104" s="583" t="s">
        <v>5489</v>
      </c>
      <c r="C104" s="584" t="s">
        <v>9455</v>
      </c>
      <c r="D104" s="419" t="s">
        <v>9639</v>
      </c>
      <c r="E104" s="36" t="s">
        <v>6406</v>
      </c>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2.75">
      <c r="A105" s="582" t="s">
        <v>226</v>
      </c>
      <c r="B105" s="583" t="s">
        <v>9456</v>
      </c>
      <c r="C105" s="584" t="s">
        <v>228</v>
      </c>
      <c r="D105" s="419" t="s">
        <v>9639</v>
      </c>
      <c r="E105" s="36" t="s">
        <v>6406</v>
      </c>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2.75">
      <c r="A106" s="582" t="s">
        <v>9460</v>
      </c>
      <c r="B106" s="583" t="s">
        <v>9461</v>
      </c>
      <c r="C106" s="584" t="s">
        <v>9462</v>
      </c>
      <c r="D106" s="419" t="s">
        <v>9639</v>
      </c>
      <c r="E106" s="36" t="s">
        <v>6406</v>
      </c>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2.75">
      <c r="A107" s="421" t="s">
        <v>5422</v>
      </c>
      <c r="B107" s="548" t="s">
        <v>5414</v>
      </c>
      <c r="C107" s="585" t="s">
        <v>5415</v>
      </c>
      <c r="D107" s="586" t="s">
        <v>9671</v>
      </c>
      <c r="E107" s="36" t="s">
        <v>27</v>
      </c>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2.75">
      <c r="A108" s="422" t="s">
        <v>9672</v>
      </c>
      <c r="B108" s="36" t="s">
        <v>5606</v>
      </c>
      <c r="C108" s="422" t="s">
        <v>5607</v>
      </c>
      <c r="D108" s="419" t="s">
        <v>9639</v>
      </c>
      <c r="E108" s="36" t="s">
        <v>27</v>
      </c>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2.75">
      <c r="A109" s="415" t="s">
        <v>5444</v>
      </c>
      <c r="B109" s="36" t="s">
        <v>5445</v>
      </c>
      <c r="C109" s="415" t="s">
        <v>3266</v>
      </c>
      <c r="D109" s="419" t="s">
        <v>9639</v>
      </c>
      <c r="E109" s="36" t="s">
        <v>27</v>
      </c>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2.75">
      <c r="A110" s="415" t="s">
        <v>5442</v>
      </c>
      <c r="B110" s="36" t="s">
        <v>5443</v>
      </c>
      <c r="C110" s="415" t="s">
        <v>2701</v>
      </c>
      <c r="D110" s="419" t="s">
        <v>9639</v>
      </c>
      <c r="E110" s="36" t="s">
        <v>27</v>
      </c>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2.75">
      <c r="A111" s="415" t="s">
        <v>9464</v>
      </c>
      <c r="B111" s="36" t="s">
        <v>5495</v>
      </c>
      <c r="C111" s="415" t="s">
        <v>5496</v>
      </c>
      <c r="D111" s="419" t="s">
        <v>9639</v>
      </c>
      <c r="E111" s="36" t="s">
        <v>27</v>
      </c>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2.75">
      <c r="A112" s="415" t="s">
        <v>9673</v>
      </c>
      <c r="B112" s="36" t="s">
        <v>9674</v>
      </c>
      <c r="C112" s="415" t="s">
        <v>9675</v>
      </c>
      <c r="D112" s="419" t="s">
        <v>9639</v>
      </c>
      <c r="E112" s="36" t="s">
        <v>38</v>
      </c>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2.75">
      <c r="A113" s="415" t="s">
        <v>9547</v>
      </c>
      <c r="B113" s="36" t="s">
        <v>9548</v>
      </c>
      <c r="C113" s="415" t="s">
        <v>9549</v>
      </c>
      <c r="D113" s="419" t="s">
        <v>9639</v>
      </c>
      <c r="E113" s="36" t="s">
        <v>27</v>
      </c>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2.75">
      <c r="A114" s="415" t="s">
        <v>9465</v>
      </c>
      <c r="B114" s="36" t="s">
        <v>5436</v>
      </c>
      <c r="C114" s="415" t="s">
        <v>5437</v>
      </c>
      <c r="D114" s="419" t="s">
        <v>9639</v>
      </c>
      <c r="E114" s="36" t="s">
        <v>27</v>
      </c>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2.75">
      <c r="A115" s="415" t="s">
        <v>5439</v>
      </c>
      <c r="B115" s="36" t="s">
        <v>5440</v>
      </c>
      <c r="C115" s="415" t="s">
        <v>5441</v>
      </c>
      <c r="D115" s="419" t="s">
        <v>9639</v>
      </c>
      <c r="E115" s="36" t="s">
        <v>27</v>
      </c>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2.75">
      <c r="A116" s="415" t="s">
        <v>9676</v>
      </c>
      <c r="B116" s="36" t="s">
        <v>9677</v>
      </c>
      <c r="C116" s="415" t="s">
        <v>558</v>
      </c>
      <c r="D116" s="419" t="s">
        <v>9639</v>
      </c>
      <c r="E116" s="36" t="s">
        <v>27</v>
      </c>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2.75">
      <c r="A117" s="415" t="s">
        <v>5458</v>
      </c>
      <c r="B117" s="587" t="s">
        <v>5459</v>
      </c>
      <c r="C117" s="588" t="s">
        <v>9466</v>
      </c>
      <c r="D117" s="419" t="s">
        <v>9639</v>
      </c>
      <c r="E117" s="36" t="s">
        <v>27</v>
      </c>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2.75">
      <c r="A118" s="415" t="s">
        <v>5446</v>
      </c>
      <c r="B118" s="587" t="s">
        <v>5447</v>
      </c>
      <c r="C118" s="588" t="s">
        <v>5448</v>
      </c>
      <c r="D118" s="419" t="s">
        <v>9639</v>
      </c>
      <c r="E118" s="36" t="s">
        <v>27</v>
      </c>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2.75">
      <c r="A119" s="415" t="s">
        <v>9678</v>
      </c>
      <c r="B119" s="587" t="s">
        <v>9679</v>
      </c>
      <c r="C119" s="588" t="s">
        <v>9680</v>
      </c>
      <c r="D119" s="419" t="s">
        <v>9639</v>
      </c>
      <c r="E119" s="36" t="s">
        <v>38</v>
      </c>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2.75">
      <c r="A120" s="415" t="s">
        <v>5449</v>
      </c>
      <c r="B120" s="587" t="s">
        <v>5450</v>
      </c>
      <c r="C120" s="588" t="s">
        <v>5451</v>
      </c>
      <c r="D120" s="419" t="s">
        <v>9639</v>
      </c>
      <c r="E120" s="36" t="s">
        <v>27</v>
      </c>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2.75">
      <c r="A121" s="415" t="s">
        <v>3426</v>
      </c>
      <c r="B121" s="587" t="s">
        <v>9467</v>
      </c>
      <c r="C121" s="588" t="s">
        <v>9468</v>
      </c>
      <c r="D121" s="419" t="s">
        <v>9639</v>
      </c>
      <c r="E121" s="36" t="s">
        <v>27</v>
      </c>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2.75">
      <c r="A122" s="415" t="s">
        <v>5452</v>
      </c>
      <c r="B122" s="587" t="s">
        <v>5453</v>
      </c>
      <c r="C122" s="588" t="s">
        <v>5454</v>
      </c>
      <c r="D122" s="419" t="s">
        <v>9639</v>
      </c>
      <c r="E122" s="36" t="s">
        <v>27</v>
      </c>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2.75">
      <c r="A123" s="415" t="s">
        <v>9469</v>
      </c>
      <c r="B123" s="587" t="s">
        <v>5551</v>
      </c>
      <c r="C123" s="588" t="s">
        <v>5552</v>
      </c>
      <c r="D123" s="419" t="s">
        <v>9639</v>
      </c>
      <c r="E123" s="36" t="s">
        <v>27</v>
      </c>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2.75">
      <c r="A124" s="415"/>
      <c r="B124" s="683" t="s">
        <v>9681</v>
      </c>
      <c r="C124" s="684"/>
      <c r="D124" s="589"/>
      <c r="E124" s="117"/>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2.75">
      <c r="A125" s="415" t="s">
        <v>9488</v>
      </c>
      <c r="B125" s="419" t="s">
        <v>9489</v>
      </c>
      <c r="C125" s="419" t="s">
        <v>9490</v>
      </c>
      <c r="D125" s="419" t="s">
        <v>9491</v>
      </c>
      <c r="E125" s="36" t="s">
        <v>27</v>
      </c>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2.75">
      <c r="A126" s="415" t="s">
        <v>9492</v>
      </c>
      <c r="B126" s="36" t="s">
        <v>9493</v>
      </c>
      <c r="C126" s="557" t="s">
        <v>9494</v>
      </c>
      <c r="D126" s="419" t="s">
        <v>9495</v>
      </c>
      <c r="E126" s="36" t="s">
        <v>27</v>
      </c>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2.75">
      <c r="A127" s="415"/>
      <c r="B127" s="683" t="s">
        <v>9682</v>
      </c>
      <c r="C127" s="684"/>
      <c r="D127" s="589"/>
      <c r="E127" s="117"/>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2.75">
      <c r="A128" s="419" t="s">
        <v>178</v>
      </c>
      <c r="B128" s="419" t="s">
        <v>9583</v>
      </c>
      <c r="C128" s="419" t="s">
        <v>299</v>
      </c>
      <c r="D128" s="590" t="s">
        <v>9584</v>
      </c>
      <c r="E128" s="36" t="s">
        <v>27</v>
      </c>
      <c r="F128" s="116"/>
    </row>
    <row r="129" spans="1:26" ht="12.75">
      <c r="A129" s="419" t="s">
        <v>69</v>
      </c>
      <c r="B129" s="419" t="s">
        <v>9528</v>
      </c>
      <c r="C129" s="419" t="s">
        <v>9529</v>
      </c>
      <c r="D129" s="590" t="s">
        <v>9585</v>
      </c>
      <c r="E129" s="36" t="s">
        <v>27</v>
      </c>
      <c r="F129" s="116"/>
    </row>
    <row r="130" spans="1:26" ht="12.75">
      <c r="A130" s="419" t="s">
        <v>192</v>
      </c>
      <c r="B130" s="419" t="s">
        <v>608</v>
      </c>
      <c r="C130" s="419" t="s">
        <v>607</v>
      </c>
      <c r="D130" s="590" t="s">
        <v>9593</v>
      </c>
      <c r="E130" s="36" t="s">
        <v>27</v>
      </c>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2.75">
      <c r="A131" s="415" t="s">
        <v>6182</v>
      </c>
      <c r="B131" s="419" t="s">
        <v>9531</v>
      </c>
      <c r="C131" s="116"/>
      <c r="D131" s="590" t="s">
        <v>9683</v>
      </c>
      <c r="E131" s="36" t="s">
        <v>27</v>
      </c>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2.75">
      <c r="A132" s="116" t="s">
        <v>3573</v>
      </c>
      <c r="B132" s="116" t="s">
        <v>353</v>
      </c>
      <c r="C132" s="36" t="s">
        <v>352</v>
      </c>
      <c r="D132" s="591" t="s">
        <v>9684</v>
      </c>
      <c r="E132" s="36" t="s">
        <v>27</v>
      </c>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5" customHeight="1">
      <c r="A133" s="116" t="s">
        <v>86</v>
      </c>
      <c r="B133" s="116" t="s">
        <v>9532</v>
      </c>
      <c r="C133" s="592" t="s">
        <v>9685</v>
      </c>
      <c r="D133" s="591" t="s">
        <v>9686</v>
      </c>
      <c r="E133" s="36" t="s">
        <v>27</v>
      </c>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2.75">
      <c r="A134" s="415" t="s">
        <v>9536</v>
      </c>
      <c r="B134" s="419" t="s">
        <v>9537</v>
      </c>
      <c r="C134" s="116"/>
      <c r="D134" s="590" t="s">
        <v>9687</v>
      </c>
      <c r="E134" s="36" t="s">
        <v>27</v>
      </c>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2.75">
      <c r="A135" s="116" t="s">
        <v>471</v>
      </c>
      <c r="B135" s="116" t="s">
        <v>9539</v>
      </c>
      <c r="C135" s="116" t="s">
        <v>800</v>
      </c>
      <c r="D135" s="591" t="s">
        <v>9688</v>
      </c>
      <c r="E135" s="36" t="s">
        <v>27</v>
      </c>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2.75">
      <c r="A136" s="415" t="s">
        <v>9541</v>
      </c>
      <c r="B136" s="419"/>
      <c r="C136" s="419" t="s">
        <v>1150</v>
      </c>
      <c r="D136" s="590" t="s">
        <v>9688</v>
      </c>
      <c r="E136" s="36" t="s">
        <v>27</v>
      </c>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2.75">
      <c r="A137" s="415" t="s">
        <v>5601</v>
      </c>
      <c r="B137" s="419" t="s">
        <v>5602</v>
      </c>
      <c r="C137" s="36" t="s">
        <v>5603</v>
      </c>
      <c r="D137" s="590" t="s">
        <v>9689</v>
      </c>
      <c r="E137" s="36" t="s">
        <v>27</v>
      </c>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2.75">
      <c r="A138" s="415"/>
      <c r="B138" s="419"/>
      <c r="C138" s="419"/>
      <c r="D138" s="419"/>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2.75">
      <c r="A139" s="415"/>
      <c r="B139" s="419"/>
      <c r="C139" s="419"/>
      <c r="D139" s="419"/>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2.75">
      <c r="A140" s="415"/>
      <c r="B140" s="419"/>
      <c r="C140" s="419"/>
      <c r="D140" s="419"/>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2.75">
      <c r="A141" s="415"/>
      <c r="B141" s="419"/>
      <c r="C141" s="419"/>
      <c r="D141" s="419"/>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2.75">
      <c r="A142" s="415"/>
      <c r="B142" s="419"/>
      <c r="C142" s="419"/>
      <c r="D142" s="419"/>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2.75">
      <c r="A143" s="415"/>
      <c r="B143" s="419"/>
      <c r="C143" s="419"/>
      <c r="D143" s="419"/>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2.75">
      <c r="A144" s="415"/>
      <c r="B144" s="419"/>
      <c r="C144" s="419"/>
      <c r="D144" s="419"/>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2.75">
      <c r="A145" s="415"/>
      <c r="B145" s="419"/>
      <c r="C145" s="419"/>
      <c r="D145" s="419"/>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2.75">
      <c r="A146" s="415"/>
      <c r="B146" s="419"/>
      <c r="C146" s="419"/>
      <c r="D146" s="419"/>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2.75">
      <c r="A147" s="415"/>
      <c r="B147" s="419"/>
      <c r="C147" s="419"/>
      <c r="D147" s="419"/>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2.75">
      <c r="A148" s="415"/>
      <c r="B148" s="419"/>
      <c r="C148" s="419"/>
      <c r="D148" s="419"/>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2.75">
      <c r="A149" s="415"/>
      <c r="B149" s="419"/>
      <c r="C149" s="419"/>
      <c r="D149" s="419"/>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2.75">
      <c r="A150" s="415"/>
      <c r="B150" s="419"/>
      <c r="C150" s="419"/>
      <c r="D150" s="419"/>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2.75">
      <c r="A151" s="415"/>
      <c r="B151" s="419"/>
      <c r="C151" s="419"/>
      <c r="D151" s="419"/>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2.75">
      <c r="A152" s="415"/>
      <c r="B152" s="419"/>
      <c r="C152" s="419"/>
      <c r="D152" s="419"/>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2.75">
      <c r="A153" s="415"/>
      <c r="B153" s="419"/>
      <c r="C153" s="419"/>
      <c r="D153" s="419"/>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2.75">
      <c r="A154" s="415"/>
      <c r="B154" s="419"/>
      <c r="C154" s="419"/>
      <c r="D154" s="419"/>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2.75">
      <c r="A155" s="415"/>
      <c r="B155" s="419"/>
      <c r="C155" s="419"/>
      <c r="D155" s="419"/>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2.75">
      <c r="A156" s="415"/>
      <c r="B156" s="419"/>
      <c r="C156" s="419"/>
      <c r="D156" s="419"/>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2.75">
      <c r="A157" s="415"/>
      <c r="B157" s="419"/>
      <c r="C157" s="419"/>
      <c r="D157" s="419"/>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2.75">
      <c r="A158" s="415"/>
      <c r="B158" s="419"/>
      <c r="C158" s="419"/>
      <c r="D158" s="419"/>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2.75">
      <c r="A159" s="415"/>
      <c r="B159" s="419"/>
      <c r="C159" s="419"/>
      <c r="D159" s="419"/>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2.75">
      <c r="A160" s="415"/>
      <c r="B160" s="419"/>
      <c r="C160" s="419"/>
      <c r="D160" s="419"/>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2.75">
      <c r="A161" s="415"/>
      <c r="B161" s="419"/>
      <c r="C161" s="419"/>
      <c r="D161" s="419"/>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2.75">
      <c r="A162" s="415"/>
      <c r="B162" s="419"/>
      <c r="C162" s="419"/>
      <c r="D162" s="419"/>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2.75">
      <c r="A163" s="415"/>
      <c r="B163" s="419"/>
      <c r="C163" s="419"/>
      <c r="D163" s="419"/>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2.75">
      <c r="A164" s="415"/>
      <c r="B164" s="419"/>
      <c r="C164" s="419"/>
      <c r="D164" s="419"/>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2.75">
      <c r="A165" s="415"/>
      <c r="B165" s="419"/>
      <c r="C165" s="419"/>
      <c r="D165" s="419"/>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2.75">
      <c r="A166" s="415"/>
      <c r="B166" s="419"/>
      <c r="C166" s="419"/>
      <c r="D166" s="419"/>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2.75">
      <c r="A167" s="415"/>
      <c r="B167" s="419"/>
      <c r="C167" s="419"/>
      <c r="D167" s="419"/>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2.75">
      <c r="A168" s="415"/>
      <c r="B168" s="419"/>
      <c r="C168" s="419"/>
      <c r="D168" s="419"/>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2.75">
      <c r="A169" s="415"/>
      <c r="B169" s="419"/>
      <c r="C169" s="419"/>
      <c r="D169" s="419"/>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2.75">
      <c r="A170" s="415"/>
      <c r="B170" s="419"/>
      <c r="C170" s="419"/>
      <c r="D170" s="419"/>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2.75">
      <c r="A171" s="415"/>
      <c r="B171" s="419"/>
      <c r="C171" s="419"/>
      <c r="D171" s="419"/>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2.75">
      <c r="A172" s="415"/>
      <c r="B172" s="419"/>
      <c r="C172" s="419"/>
      <c r="D172" s="419"/>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2.75">
      <c r="A173" s="415"/>
      <c r="B173" s="419"/>
      <c r="C173" s="419"/>
      <c r="D173" s="419"/>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2.75">
      <c r="A174" s="415"/>
      <c r="B174" s="419"/>
      <c r="C174" s="419"/>
      <c r="D174" s="419"/>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2.75">
      <c r="A175" s="415"/>
      <c r="B175" s="419"/>
      <c r="C175" s="419"/>
      <c r="D175" s="419"/>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2.75">
      <c r="A176" s="415"/>
      <c r="B176" s="419"/>
      <c r="C176" s="419"/>
      <c r="D176" s="419"/>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2.75">
      <c r="A177" s="415"/>
      <c r="B177" s="419"/>
      <c r="C177" s="419"/>
      <c r="D177" s="419"/>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2.75">
      <c r="A178" s="415"/>
      <c r="B178" s="419"/>
      <c r="C178" s="419"/>
      <c r="D178" s="419"/>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2.75">
      <c r="A179" s="415"/>
      <c r="B179" s="419"/>
      <c r="C179" s="419"/>
      <c r="D179" s="419"/>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2.75">
      <c r="A180" s="415"/>
      <c r="B180" s="419"/>
      <c r="C180" s="419"/>
      <c r="D180" s="419"/>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2.75">
      <c r="A181" s="415"/>
      <c r="B181" s="419"/>
      <c r="C181" s="419"/>
      <c r="D181" s="419"/>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2.75">
      <c r="A182" s="415"/>
      <c r="B182" s="419"/>
      <c r="C182" s="419"/>
      <c r="D182" s="419"/>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2.75">
      <c r="A183" s="415"/>
      <c r="B183" s="419"/>
      <c r="C183" s="419"/>
      <c r="D183" s="419"/>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2.75">
      <c r="A184" s="415"/>
      <c r="B184" s="419"/>
      <c r="C184" s="419"/>
      <c r="D184" s="419"/>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2.75">
      <c r="A185" s="415"/>
      <c r="B185" s="419"/>
      <c r="C185" s="419"/>
      <c r="D185" s="419"/>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2.75">
      <c r="A186" s="415"/>
      <c r="B186" s="419"/>
      <c r="C186" s="419"/>
      <c r="D186" s="419"/>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2.75">
      <c r="A187" s="415"/>
      <c r="B187" s="419"/>
      <c r="C187" s="419"/>
      <c r="D187" s="419"/>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2.75">
      <c r="A188" s="415"/>
      <c r="B188" s="419"/>
      <c r="C188" s="419"/>
      <c r="D188" s="419"/>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2.75">
      <c r="A189" s="415"/>
      <c r="B189" s="419"/>
      <c r="C189" s="419"/>
      <c r="D189" s="419"/>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2.75">
      <c r="A190" s="415"/>
      <c r="B190" s="419"/>
      <c r="C190" s="419"/>
      <c r="D190" s="419"/>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2.75">
      <c r="A191" s="415"/>
      <c r="B191" s="419"/>
      <c r="C191" s="419"/>
      <c r="D191" s="419"/>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2.75">
      <c r="A192" s="415"/>
      <c r="B192" s="419"/>
      <c r="C192" s="419"/>
      <c r="D192" s="419"/>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2.75">
      <c r="A193" s="415"/>
      <c r="B193" s="419"/>
      <c r="C193" s="419"/>
      <c r="D193" s="419"/>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2.75">
      <c r="A194" s="415"/>
      <c r="B194" s="419"/>
      <c r="C194" s="419"/>
      <c r="D194" s="419"/>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2.75">
      <c r="A195" s="415"/>
      <c r="B195" s="419"/>
      <c r="C195" s="419"/>
      <c r="D195" s="419"/>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2.75">
      <c r="A196" s="415"/>
      <c r="B196" s="419"/>
      <c r="C196" s="419"/>
      <c r="D196" s="419"/>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2.75">
      <c r="A197" s="415"/>
      <c r="B197" s="419"/>
      <c r="C197" s="419"/>
      <c r="D197" s="419"/>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2.75">
      <c r="A198" s="415"/>
      <c r="B198" s="419"/>
      <c r="C198" s="419"/>
      <c r="D198" s="419"/>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2.75">
      <c r="A199" s="415"/>
      <c r="B199" s="419"/>
      <c r="C199" s="419"/>
      <c r="D199" s="419"/>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2.75">
      <c r="A200" s="415"/>
      <c r="B200" s="419"/>
      <c r="C200" s="419"/>
      <c r="D200" s="419"/>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2.75">
      <c r="A201" s="415"/>
      <c r="B201" s="419"/>
      <c r="C201" s="419"/>
      <c r="D201" s="419"/>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2.75">
      <c r="A202" s="415"/>
      <c r="B202" s="419"/>
      <c r="C202" s="419"/>
      <c r="D202" s="419"/>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2.75">
      <c r="A203" s="415"/>
      <c r="B203" s="419"/>
      <c r="C203" s="419"/>
      <c r="D203" s="419"/>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2.75">
      <c r="A204" s="415"/>
      <c r="B204" s="419"/>
      <c r="C204" s="419"/>
      <c r="D204" s="419"/>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2.75">
      <c r="A205" s="415"/>
      <c r="B205" s="419"/>
      <c r="C205" s="419"/>
      <c r="D205" s="419"/>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2.75">
      <c r="A206" s="415"/>
      <c r="B206" s="419"/>
      <c r="C206" s="419"/>
      <c r="D206" s="419"/>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2.75">
      <c r="A207" s="415"/>
      <c r="B207" s="419"/>
      <c r="C207" s="419"/>
      <c r="D207" s="419"/>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2.75">
      <c r="A208" s="415"/>
      <c r="B208" s="419"/>
      <c r="C208" s="419"/>
      <c r="D208" s="419"/>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2.75">
      <c r="A209" s="415"/>
      <c r="B209" s="419"/>
      <c r="C209" s="419"/>
      <c r="D209" s="419"/>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2.75">
      <c r="A210" s="415"/>
      <c r="B210" s="419"/>
      <c r="C210" s="419"/>
      <c r="D210" s="419"/>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2.75">
      <c r="A211" s="415"/>
      <c r="B211" s="419"/>
      <c r="C211" s="419"/>
      <c r="D211" s="419"/>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2.75">
      <c r="A212" s="415"/>
      <c r="B212" s="419"/>
      <c r="C212" s="419"/>
      <c r="D212" s="419"/>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2.75">
      <c r="A213" s="415"/>
      <c r="B213" s="419"/>
      <c r="C213" s="419"/>
      <c r="D213" s="419"/>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2.75">
      <c r="A214" s="415"/>
      <c r="B214" s="419"/>
      <c r="C214" s="419"/>
      <c r="D214" s="419"/>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2.75">
      <c r="A215" s="415"/>
      <c r="B215" s="419"/>
      <c r="C215" s="419"/>
      <c r="D215" s="419"/>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2.75">
      <c r="A216" s="415"/>
      <c r="B216" s="419"/>
      <c r="C216" s="419"/>
      <c r="D216" s="419"/>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2.75">
      <c r="A217" s="415"/>
      <c r="B217" s="419"/>
      <c r="C217" s="419"/>
      <c r="D217" s="419"/>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2.75">
      <c r="A218" s="415"/>
      <c r="B218" s="419"/>
      <c r="C218" s="419"/>
      <c r="D218" s="419"/>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2.75">
      <c r="A219" s="415"/>
      <c r="B219" s="419"/>
      <c r="C219" s="419"/>
      <c r="D219" s="419"/>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2.75">
      <c r="A220" s="415"/>
      <c r="B220" s="419"/>
      <c r="C220" s="419"/>
      <c r="D220" s="419"/>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2.75">
      <c r="A221" s="415"/>
      <c r="B221" s="419"/>
      <c r="C221" s="419"/>
      <c r="D221" s="419"/>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2.75">
      <c r="A222" s="415"/>
      <c r="B222" s="419"/>
      <c r="C222" s="419"/>
      <c r="D222" s="419"/>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2.75">
      <c r="A223" s="415"/>
      <c r="B223" s="419"/>
      <c r="C223" s="419"/>
      <c r="D223" s="419"/>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2.75">
      <c r="A224" s="415"/>
      <c r="B224" s="419"/>
      <c r="C224" s="419"/>
      <c r="D224" s="419"/>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2.75">
      <c r="A225" s="415"/>
      <c r="B225" s="419"/>
      <c r="C225" s="419"/>
      <c r="D225" s="419"/>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2.75">
      <c r="A226" s="415"/>
      <c r="B226" s="419"/>
      <c r="C226" s="419"/>
      <c r="D226" s="419"/>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2.75">
      <c r="A227" s="415"/>
      <c r="B227" s="419"/>
      <c r="C227" s="419"/>
      <c r="D227" s="419"/>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2.75">
      <c r="A228" s="415"/>
      <c r="B228" s="419"/>
      <c r="C228" s="419"/>
      <c r="D228" s="419"/>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2.75">
      <c r="A229" s="415"/>
      <c r="B229" s="419"/>
      <c r="C229" s="419"/>
      <c r="D229" s="419"/>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2.75">
      <c r="A230" s="415"/>
      <c r="B230" s="419"/>
      <c r="C230" s="419"/>
      <c r="D230" s="419"/>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2.75">
      <c r="A231" s="415"/>
      <c r="B231" s="419"/>
      <c r="C231" s="419"/>
      <c r="D231" s="419"/>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2.75">
      <c r="A232" s="415"/>
      <c r="B232" s="419"/>
      <c r="C232" s="419"/>
      <c r="D232" s="419"/>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2.75">
      <c r="A233" s="415"/>
      <c r="B233" s="419"/>
      <c r="C233" s="419"/>
      <c r="D233" s="419"/>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2.75">
      <c r="A234" s="415"/>
      <c r="B234" s="419"/>
      <c r="C234" s="419"/>
      <c r="D234" s="419"/>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2.75">
      <c r="A235" s="415"/>
      <c r="B235" s="419"/>
      <c r="C235" s="419"/>
      <c r="D235" s="419"/>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2.75">
      <c r="A236" s="415"/>
      <c r="B236" s="419"/>
      <c r="C236" s="419"/>
      <c r="D236" s="419"/>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2.75">
      <c r="A237" s="415"/>
      <c r="B237" s="419"/>
      <c r="C237" s="419"/>
      <c r="D237" s="419"/>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2.75">
      <c r="A238" s="415"/>
      <c r="B238" s="419"/>
      <c r="C238" s="419"/>
      <c r="D238" s="419"/>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2.75">
      <c r="A239" s="415"/>
      <c r="B239" s="419"/>
      <c r="C239" s="419"/>
      <c r="D239" s="419"/>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2.75">
      <c r="A240" s="415"/>
      <c r="B240" s="419"/>
      <c r="C240" s="419"/>
      <c r="D240" s="419"/>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2.75">
      <c r="A241" s="415"/>
      <c r="B241" s="419"/>
      <c r="C241" s="419"/>
      <c r="D241" s="419"/>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2.75">
      <c r="A242" s="415"/>
      <c r="B242" s="419"/>
      <c r="C242" s="419"/>
      <c r="D242" s="419"/>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2.75">
      <c r="A243" s="415"/>
      <c r="B243" s="419"/>
      <c r="C243" s="419"/>
      <c r="D243" s="419"/>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2.75">
      <c r="A244" s="415"/>
      <c r="B244" s="419"/>
      <c r="C244" s="419"/>
      <c r="D244" s="419"/>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2.75">
      <c r="A245" s="415"/>
      <c r="B245" s="419"/>
      <c r="C245" s="419"/>
      <c r="D245" s="419"/>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2.75">
      <c r="A246" s="415"/>
      <c r="B246" s="419"/>
      <c r="C246" s="419"/>
      <c r="D246" s="419"/>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2.75">
      <c r="A247" s="415"/>
      <c r="B247" s="419"/>
      <c r="C247" s="419"/>
      <c r="D247" s="419"/>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2.75">
      <c r="A248" s="415"/>
      <c r="B248" s="419"/>
      <c r="C248" s="419"/>
      <c r="D248" s="419"/>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2.75">
      <c r="A249" s="415"/>
      <c r="B249" s="419"/>
      <c r="C249" s="419"/>
      <c r="D249" s="419"/>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2.75">
      <c r="A250" s="415"/>
      <c r="B250" s="419"/>
      <c r="C250" s="419"/>
      <c r="D250" s="419"/>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2.75">
      <c r="A251" s="415"/>
      <c r="B251" s="419"/>
      <c r="C251" s="419"/>
      <c r="D251" s="419"/>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2.75">
      <c r="A252" s="415"/>
      <c r="B252" s="419"/>
      <c r="C252" s="419"/>
      <c r="D252" s="419"/>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2.75">
      <c r="A253" s="415"/>
      <c r="B253" s="419"/>
      <c r="C253" s="419"/>
      <c r="D253" s="419"/>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2.75">
      <c r="A254" s="415"/>
      <c r="B254" s="419"/>
      <c r="C254" s="419"/>
      <c r="D254" s="419"/>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2.75">
      <c r="A255" s="415"/>
      <c r="B255" s="419"/>
      <c r="C255" s="419"/>
      <c r="D255" s="419"/>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2.75">
      <c r="A256" s="415"/>
      <c r="B256" s="419"/>
      <c r="C256" s="419"/>
      <c r="D256" s="419"/>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2.75">
      <c r="A257" s="415"/>
      <c r="B257" s="419"/>
      <c r="C257" s="419"/>
      <c r="D257" s="419"/>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2.75">
      <c r="A258" s="415"/>
      <c r="B258" s="419"/>
      <c r="C258" s="419"/>
      <c r="D258" s="419"/>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2.75">
      <c r="A259" s="415"/>
      <c r="B259" s="419"/>
      <c r="C259" s="419"/>
      <c r="D259" s="419"/>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2.75">
      <c r="A260" s="415"/>
      <c r="B260" s="419"/>
      <c r="C260" s="419"/>
      <c r="D260" s="419"/>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2.75">
      <c r="A261" s="415"/>
      <c r="B261" s="419"/>
      <c r="C261" s="419"/>
      <c r="D261" s="419"/>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2.75">
      <c r="A262" s="415"/>
      <c r="B262" s="419"/>
      <c r="C262" s="419"/>
      <c r="D262" s="419"/>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2.75">
      <c r="A263" s="415"/>
      <c r="B263" s="419"/>
      <c r="C263" s="419"/>
      <c r="D263" s="419"/>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2.75">
      <c r="A264" s="415"/>
      <c r="B264" s="419"/>
      <c r="C264" s="419"/>
      <c r="D264" s="419"/>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2.75">
      <c r="A265" s="415"/>
      <c r="B265" s="419"/>
      <c r="C265" s="419"/>
      <c r="D265" s="419"/>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2.75">
      <c r="A266" s="415"/>
      <c r="B266" s="419"/>
      <c r="C266" s="419"/>
      <c r="D266" s="419"/>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2.75">
      <c r="A267" s="415"/>
      <c r="B267" s="419"/>
      <c r="C267" s="419"/>
      <c r="D267" s="419"/>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2.75">
      <c r="A268" s="415"/>
      <c r="B268" s="419"/>
      <c r="C268" s="419"/>
      <c r="D268" s="419"/>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2.75">
      <c r="A269" s="415"/>
      <c r="B269" s="419"/>
      <c r="C269" s="419"/>
      <c r="D269" s="419"/>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2.75">
      <c r="A270" s="415"/>
      <c r="B270" s="419"/>
      <c r="C270" s="419"/>
      <c r="D270" s="419"/>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2.75">
      <c r="A271" s="415"/>
      <c r="B271" s="419"/>
      <c r="C271" s="419"/>
      <c r="D271" s="419"/>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2.75">
      <c r="A272" s="415"/>
      <c r="B272" s="419"/>
      <c r="C272" s="419"/>
      <c r="D272" s="419"/>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2.75">
      <c r="A273" s="415"/>
      <c r="B273" s="419"/>
      <c r="C273" s="419"/>
      <c r="D273" s="419"/>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2.75">
      <c r="A274" s="415"/>
      <c r="B274" s="419"/>
      <c r="C274" s="419"/>
      <c r="D274" s="419"/>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2.75">
      <c r="A275" s="415"/>
      <c r="B275" s="419"/>
      <c r="C275" s="419"/>
      <c r="D275" s="419"/>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2.75">
      <c r="A276" s="415"/>
      <c r="B276" s="419"/>
      <c r="C276" s="419"/>
      <c r="D276" s="419"/>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2.75">
      <c r="A277" s="415"/>
      <c r="B277" s="419"/>
      <c r="C277" s="419"/>
      <c r="D277" s="419"/>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2.75">
      <c r="A278" s="415"/>
      <c r="B278" s="419"/>
      <c r="C278" s="419"/>
      <c r="D278" s="419"/>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2.75">
      <c r="A279" s="415"/>
      <c r="B279" s="419"/>
      <c r="C279" s="419"/>
      <c r="D279" s="419"/>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2.75">
      <c r="A280" s="415"/>
      <c r="B280" s="419"/>
      <c r="C280" s="419"/>
      <c r="D280" s="419"/>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2.75">
      <c r="A281" s="415"/>
      <c r="B281" s="419"/>
      <c r="C281" s="419"/>
      <c r="D281" s="419"/>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2.75">
      <c r="A282" s="415"/>
      <c r="B282" s="419"/>
      <c r="C282" s="419"/>
      <c r="D282" s="419"/>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2.75">
      <c r="A283" s="415"/>
      <c r="B283" s="419"/>
      <c r="C283" s="419"/>
      <c r="D283" s="419"/>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2.75">
      <c r="A284" s="415"/>
      <c r="B284" s="419"/>
      <c r="C284" s="419"/>
      <c r="D284" s="419"/>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2.75">
      <c r="A285" s="415"/>
      <c r="B285" s="419"/>
      <c r="C285" s="419"/>
      <c r="D285" s="419"/>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2.75">
      <c r="A286" s="415"/>
      <c r="B286" s="419"/>
      <c r="C286" s="419"/>
      <c r="D286" s="419"/>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2.75">
      <c r="A287" s="415"/>
      <c r="B287" s="419"/>
      <c r="C287" s="419"/>
      <c r="D287" s="419"/>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2.75">
      <c r="A288" s="415"/>
      <c r="B288" s="419"/>
      <c r="C288" s="419"/>
      <c r="D288" s="419"/>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2.75">
      <c r="A289" s="415"/>
      <c r="B289" s="419"/>
      <c r="C289" s="419"/>
      <c r="D289" s="419"/>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2.75">
      <c r="A290" s="415"/>
      <c r="B290" s="419"/>
      <c r="C290" s="419"/>
      <c r="D290" s="419"/>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2.75">
      <c r="A291" s="415"/>
      <c r="B291" s="419"/>
      <c r="C291" s="419"/>
      <c r="D291" s="419"/>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2.75">
      <c r="A292" s="415"/>
      <c r="B292" s="419"/>
      <c r="C292" s="419"/>
      <c r="D292" s="419"/>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2.75">
      <c r="A293" s="415"/>
      <c r="B293" s="419"/>
      <c r="C293" s="419"/>
      <c r="D293" s="419"/>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2.75">
      <c r="A294" s="415"/>
      <c r="B294" s="419"/>
      <c r="C294" s="419"/>
      <c r="D294" s="419"/>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2.75">
      <c r="A295" s="415"/>
      <c r="B295" s="419"/>
      <c r="C295" s="419"/>
      <c r="D295" s="419"/>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2.75">
      <c r="A296" s="415"/>
      <c r="B296" s="419"/>
      <c r="C296" s="419"/>
      <c r="D296" s="419"/>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2.75">
      <c r="A297" s="415"/>
      <c r="B297" s="419"/>
      <c r="C297" s="419"/>
      <c r="D297" s="419"/>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2.75">
      <c r="A298" s="415"/>
      <c r="B298" s="419"/>
      <c r="C298" s="419"/>
      <c r="D298" s="419"/>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2.75">
      <c r="A299" s="415"/>
      <c r="B299" s="419"/>
      <c r="C299" s="419"/>
      <c r="D299" s="419"/>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2.75">
      <c r="A300" s="415"/>
      <c r="B300" s="419"/>
      <c r="C300" s="419"/>
      <c r="D300" s="419"/>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2.75">
      <c r="A301" s="415"/>
      <c r="B301" s="419"/>
      <c r="C301" s="419"/>
      <c r="D301" s="419"/>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2.75">
      <c r="A302" s="415"/>
      <c r="B302" s="419"/>
      <c r="C302" s="419"/>
      <c r="D302" s="419"/>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2.75">
      <c r="A303" s="415"/>
      <c r="B303" s="419"/>
      <c r="C303" s="419"/>
      <c r="D303" s="419"/>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2.75">
      <c r="A304" s="415"/>
      <c r="B304" s="419"/>
      <c r="C304" s="419"/>
      <c r="D304" s="419"/>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2.75">
      <c r="A305" s="415"/>
      <c r="B305" s="419"/>
      <c r="C305" s="419"/>
      <c r="D305" s="419"/>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2.75">
      <c r="A306" s="415"/>
      <c r="B306" s="419"/>
      <c r="C306" s="419"/>
      <c r="D306" s="419"/>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2.75">
      <c r="A307" s="415"/>
      <c r="B307" s="419"/>
      <c r="C307" s="419"/>
      <c r="D307" s="419"/>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2.75">
      <c r="A308" s="415"/>
      <c r="B308" s="419"/>
      <c r="C308" s="419"/>
      <c r="D308" s="419"/>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2.75">
      <c r="A309" s="415"/>
      <c r="B309" s="419"/>
      <c r="C309" s="419"/>
      <c r="D309" s="419"/>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2.75">
      <c r="A310" s="415"/>
      <c r="B310" s="419"/>
      <c r="C310" s="419"/>
      <c r="D310" s="419"/>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2.75">
      <c r="A311" s="415"/>
      <c r="B311" s="419"/>
      <c r="C311" s="419"/>
      <c r="D311" s="419"/>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2.75">
      <c r="A312" s="415"/>
      <c r="B312" s="419"/>
      <c r="C312" s="419"/>
      <c r="D312" s="419"/>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2.75">
      <c r="A313" s="415"/>
      <c r="B313" s="419"/>
      <c r="C313" s="419"/>
      <c r="D313" s="419"/>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2.75">
      <c r="A314" s="415"/>
      <c r="B314" s="419"/>
      <c r="C314" s="419"/>
      <c r="D314" s="419"/>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2.75">
      <c r="A315" s="415"/>
      <c r="B315" s="419"/>
      <c r="C315" s="419"/>
      <c r="D315" s="419"/>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2.75">
      <c r="A316" s="415"/>
      <c r="B316" s="419"/>
      <c r="C316" s="419"/>
      <c r="D316" s="419"/>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2.75">
      <c r="A317" s="415"/>
      <c r="B317" s="419"/>
      <c r="C317" s="419"/>
      <c r="D317" s="419"/>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2.75">
      <c r="A318" s="415"/>
      <c r="B318" s="419"/>
      <c r="C318" s="419"/>
      <c r="D318" s="419"/>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2.75">
      <c r="A319" s="415"/>
      <c r="B319" s="419"/>
      <c r="C319" s="419"/>
      <c r="D319" s="419"/>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2.75">
      <c r="A320" s="415"/>
      <c r="B320" s="419"/>
      <c r="C320" s="419"/>
      <c r="D320" s="419"/>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2.75">
      <c r="A321" s="415"/>
      <c r="B321" s="419"/>
      <c r="C321" s="419"/>
      <c r="D321" s="419"/>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2.75">
      <c r="A322" s="415"/>
      <c r="B322" s="419"/>
      <c r="C322" s="419"/>
      <c r="D322" s="419"/>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2.75">
      <c r="A323" s="415"/>
      <c r="B323" s="419"/>
      <c r="C323" s="419"/>
      <c r="D323" s="419"/>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2.75">
      <c r="A324" s="415"/>
      <c r="B324" s="419"/>
      <c r="C324" s="419"/>
      <c r="D324" s="419"/>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2.75">
      <c r="A325" s="415"/>
      <c r="B325" s="419"/>
      <c r="C325" s="419"/>
      <c r="D325" s="419"/>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2.75">
      <c r="A326" s="415"/>
      <c r="B326" s="419"/>
      <c r="C326" s="419"/>
      <c r="D326" s="419"/>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2.75">
      <c r="A327" s="415"/>
      <c r="B327" s="419"/>
      <c r="C327" s="419"/>
      <c r="D327" s="419"/>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2.75">
      <c r="A328" s="415"/>
      <c r="B328" s="419"/>
      <c r="C328" s="419"/>
      <c r="D328" s="419"/>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2.75">
      <c r="A329" s="415"/>
      <c r="B329" s="419"/>
      <c r="C329" s="419"/>
      <c r="D329" s="419"/>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2.75">
      <c r="A330" s="415"/>
      <c r="B330" s="419"/>
      <c r="C330" s="419"/>
      <c r="D330" s="419"/>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2.75">
      <c r="A331" s="415"/>
      <c r="B331" s="419"/>
      <c r="C331" s="419"/>
      <c r="D331" s="419"/>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2.75">
      <c r="A332" s="415"/>
      <c r="B332" s="419"/>
      <c r="C332" s="419"/>
      <c r="D332" s="419"/>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2.75">
      <c r="A333" s="415"/>
      <c r="B333" s="419"/>
      <c r="C333" s="419"/>
      <c r="D333" s="419"/>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2.75">
      <c r="A334" s="415"/>
      <c r="B334" s="419"/>
      <c r="C334" s="419"/>
      <c r="D334" s="419"/>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2.75">
      <c r="A335" s="415"/>
      <c r="B335" s="419"/>
      <c r="C335" s="419"/>
      <c r="D335" s="419"/>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2.75">
      <c r="A336" s="415"/>
      <c r="B336" s="419"/>
      <c r="C336" s="419"/>
      <c r="D336" s="419"/>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2.75">
      <c r="A337" s="415"/>
      <c r="B337" s="419"/>
      <c r="C337" s="419"/>
      <c r="D337" s="419"/>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2.75">
      <c r="A338" s="415"/>
      <c r="B338" s="419"/>
      <c r="C338" s="419"/>
      <c r="D338" s="419"/>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2.75">
      <c r="A339" s="415"/>
      <c r="B339" s="419"/>
      <c r="C339" s="419"/>
      <c r="D339" s="419"/>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2.75">
      <c r="A340" s="415"/>
      <c r="B340" s="419"/>
      <c r="C340" s="419"/>
      <c r="D340" s="419"/>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2.75">
      <c r="A341" s="415"/>
      <c r="B341" s="419"/>
      <c r="C341" s="419"/>
      <c r="D341" s="419"/>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2.75">
      <c r="A342" s="415"/>
      <c r="B342" s="419"/>
      <c r="C342" s="419"/>
      <c r="D342" s="419"/>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2.75">
      <c r="A343" s="415"/>
      <c r="B343" s="419"/>
      <c r="C343" s="419"/>
      <c r="D343" s="419"/>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2.75">
      <c r="A344" s="415"/>
      <c r="B344" s="419"/>
      <c r="C344" s="419"/>
      <c r="D344" s="419"/>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2.75">
      <c r="A345" s="415"/>
      <c r="B345" s="419"/>
      <c r="C345" s="419"/>
      <c r="D345" s="419"/>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2.75">
      <c r="A346" s="415"/>
      <c r="B346" s="419"/>
      <c r="C346" s="419"/>
      <c r="D346" s="419"/>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2.75">
      <c r="A347" s="415"/>
      <c r="B347" s="419"/>
      <c r="C347" s="419"/>
      <c r="D347" s="419"/>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2.75">
      <c r="A348" s="415"/>
      <c r="B348" s="419"/>
      <c r="C348" s="419"/>
      <c r="D348" s="419"/>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2.75">
      <c r="A349" s="415"/>
      <c r="B349" s="419"/>
      <c r="C349" s="419"/>
      <c r="D349" s="419"/>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2.75">
      <c r="A350" s="415"/>
      <c r="B350" s="419"/>
      <c r="C350" s="419"/>
      <c r="D350" s="419"/>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2.75">
      <c r="A351" s="415"/>
      <c r="B351" s="419"/>
      <c r="C351" s="419"/>
      <c r="D351" s="419"/>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2.75">
      <c r="A352" s="415"/>
      <c r="B352" s="419"/>
      <c r="C352" s="419"/>
      <c r="D352" s="419"/>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2.75">
      <c r="A353" s="415"/>
      <c r="B353" s="419"/>
      <c r="C353" s="419"/>
      <c r="D353" s="419"/>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2.75">
      <c r="A354" s="415"/>
      <c r="B354" s="419"/>
      <c r="C354" s="419"/>
      <c r="D354" s="419"/>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2.75">
      <c r="A355" s="415"/>
      <c r="B355" s="419"/>
      <c r="C355" s="419"/>
      <c r="D355" s="419"/>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2.75">
      <c r="A356" s="415"/>
      <c r="B356" s="419"/>
      <c r="C356" s="419"/>
      <c r="D356" s="419"/>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2.75">
      <c r="A357" s="415"/>
      <c r="B357" s="419"/>
      <c r="C357" s="419"/>
      <c r="D357" s="419"/>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2.75">
      <c r="A358" s="415"/>
      <c r="B358" s="419"/>
      <c r="C358" s="419"/>
      <c r="D358" s="419"/>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2.75">
      <c r="A359" s="415"/>
      <c r="B359" s="419"/>
      <c r="C359" s="419"/>
      <c r="D359" s="419"/>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2.75">
      <c r="A360" s="415"/>
      <c r="B360" s="419"/>
      <c r="C360" s="419"/>
      <c r="D360" s="419"/>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2.75">
      <c r="A361" s="415"/>
      <c r="B361" s="419"/>
      <c r="C361" s="419"/>
      <c r="D361" s="419"/>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2.75">
      <c r="A362" s="415"/>
      <c r="B362" s="419"/>
      <c r="C362" s="419"/>
      <c r="D362" s="419"/>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2.75">
      <c r="A363" s="415"/>
      <c r="B363" s="419"/>
      <c r="C363" s="419"/>
      <c r="D363" s="419"/>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2.75">
      <c r="A364" s="415"/>
      <c r="B364" s="419"/>
      <c r="C364" s="419"/>
      <c r="D364" s="419"/>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2.75">
      <c r="A365" s="415"/>
      <c r="B365" s="419"/>
      <c r="C365" s="419"/>
      <c r="D365" s="419"/>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2.75">
      <c r="A366" s="415"/>
      <c r="B366" s="419"/>
      <c r="C366" s="419"/>
      <c r="D366" s="419"/>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2.75">
      <c r="A367" s="415"/>
      <c r="B367" s="419"/>
      <c r="C367" s="419"/>
      <c r="D367" s="419"/>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2.75">
      <c r="A368" s="415"/>
      <c r="B368" s="419"/>
      <c r="C368" s="419"/>
      <c r="D368" s="419"/>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2.75">
      <c r="A369" s="415"/>
      <c r="B369" s="419"/>
      <c r="C369" s="419"/>
      <c r="D369" s="419"/>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2.75">
      <c r="A370" s="415"/>
      <c r="B370" s="419"/>
      <c r="C370" s="419"/>
      <c r="D370" s="419"/>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2.75">
      <c r="A371" s="415"/>
      <c r="B371" s="419"/>
      <c r="C371" s="419"/>
      <c r="D371" s="419"/>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2.75">
      <c r="A372" s="415"/>
      <c r="B372" s="419"/>
      <c r="C372" s="419"/>
      <c r="D372" s="419"/>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2.75">
      <c r="A373" s="415"/>
      <c r="B373" s="419"/>
      <c r="C373" s="419"/>
      <c r="D373" s="419"/>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2.75">
      <c r="A374" s="415"/>
      <c r="B374" s="419"/>
      <c r="C374" s="419"/>
      <c r="D374" s="419"/>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2.75">
      <c r="A375" s="415"/>
      <c r="B375" s="419"/>
      <c r="C375" s="419"/>
      <c r="D375" s="419"/>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2.75">
      <c r="A376" s="415"/>
      <c r="B376" s="419"/>
      <c r="C376" s="419"/>
      <c r="D376" s="419"/>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2.75">
      <c r="A377" s="415"/>
      <c r="B377" s="419"/>
      <c r="C377" s="419"/>
      <c r="D377" s="419"/>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2.75">
      <c r="A378" s="415"/>
      <c r="B378" s="419"/>
      <c r="C378" s="419"/>
      <c r="D378" s="419"/>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2.75">
      <c r="A379" s="415"/>
      <c r="B379" s="419"/>
      <c r="C379" s="419"/>
      <c r="D379" s="419"/>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2.75">
      <c r="A380" s="415"/>
      <c r="B380" s="419"/>
      <c r="C380" s="419"/>
      <c r="D380" s="419"/>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2.75">
      <c r="A381" s="415"/>
      <c r="B381" s="419"/>
      <c r="C381" s="419"/>
      <c r="D381" s="419"/>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2.75">
      <c r="A382" s="415"/>
      <c r="B382" s="419"/>
      <c r="C382" s="419"/>
      <c r="D382" s="419"/>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2.75">
      <c r="A383" s="415"/>
      <c r="B383" s="419"/>
      <c r="C383" s="419"/>
      <c r="D383" s="419"/>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2.75">
      <c r="A384" s="415"/>
      <c r="B384" s="419"/>
      <c r="C384" s="419"/>
      <c r="D384" s="419"/>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2.75">
      <c r="A385" s="415"/>
      <c r="B385" s="419"/>
      <c r="C385" s="419"/>
      <c r="D385" s="419"/>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2.75">
      <c r="A386" s="415"/>
      <c r="B386" s="419"/>
      <c r="C386" s="419"/>
      <c r="D386" s="419"/>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2.75">
      <c r="A387" s="415"/>
      <c r="B387" s="419"/>
      <c r="C387" s="419"/>
      <c r="D387" s="419"/>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2.75">
      <c r="A388" s="415"/>
      <c r="B388" s="419"/>
      <c r="C388" s="419"/>
      <c r="D388" s="419"/>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2.75">
      <c r="A389" s="415"/>
      <c r="B389" s="419"/>
      <c r="C389" s="419"/>
      <c r="D389" s="419"/>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2.75">
      <c r="A390" s="415"/>
      <c r="B390" s="419"/>
      <c r="C390" s="419"/>
      <c r="D390" s="419"/>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2.75">
      <c r="A391" s="415"/>
      <c r="B391" s="419"/>
      <c r="C391" s="419"/>
      <c r="D391" s="419"/>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2.75">
      <c r="A392" s="415"/>
      <c r="B392" s="419"/>
      <c r="C392" s="419"/>
      <c r="D392" s="419"/>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2.75">
      <c r="A393" s="415"/>
      <c r="B393" s="419"/>
      <c r="C393" s="419"/>
      <c r="D393" s="419"/>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2.75">
      <c r="A394" s="415"/>
      <c r="B394" s="419"/>
      <c r="C394" s="419"/>
      <c r="D394" s="419"/>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2.75">
      <c r="A395" s="415"/>
      <c r="B395" s="419"/>
      <c r="C395" s="419"/>
      <c r="D395" s="419"/>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2.75">
      <c r="A396" s="415"/>
      <c r="B396" s="419"/>
      <c r="C396" s="419"/>
      <c r="D396" s="419"/>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2.75">
      <c r="A397" s="415"/>
      <c r="B397" s="419"/>
      <c r="C397" s="419"/>
      <c r="D397" s="419"/>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2.75">
      <c r="A398" s="415"/>
      <c r="B398" s="419"/>
      <c r="C398" s="419"/>
      <c r="D398" s="419"/>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2.75">
      <c r="A399" s="415"/>
      <c r="B399" s="419"/>
      <c r="C399" s="419"/>
      <c r="D399" s="419"/>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2.75">
      <c r="A400" s="415"/>
      <c r="B400" s="419"/>
      <c r="C400" s="419"/>
      <c r="D400" s="419"/>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2.75">
      <c r="A401" s="415"/>
      <c r="B401" s="419"/>
      <c r="C401" s="419"/>
      <c r="D401" s="419"/>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2.75">
      <c r="A402" s="415"/>
      <c r="B402" s="419"/>
      <c r="C402" s="419"/>
      <c r="D402" s="419"/>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2.75">
      <c r="A403" s="415"/>
      <c r="B403" s="419"/>
      <c r="C403" s="419"/>
      <c r="D403" s="419"/>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2.75">
      <c r="A404" s="415"/>
      <c r="B404" s="419"/>
      <c r="C404" s="419"/>
      <c r="D404" s="419"/>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2.75">
      <c r="A405" s="415"/>
      <c r="B405" s="419"/>
      <c r="C405" s="419"/>
      <c r="D405" s="419"/>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2.75">
      <c r="A406" s="415"/>
      <c r="B406" s="419"/>
      <c r="C406" s="419"/>
      <c r="D406" s="419"/>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2.75">
      <c r="A407" s="415"/>
      <c r="B407" s="419"/>
      <c r="C407" s="419"/>
      <c r="D407" s="419"/>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2.75">
      <c r="A408" s="415"/>
      <c r="B408" s="419"/>
      <c r="C408" s="419"/>
      <c r="D408" s="419"/>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2.75">
      <c r="A409" s="415"/>
      <c r="B409" s="419"/>
      <c r="C409" s="419"/>
      <c r="D409" s="419"/>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2.75">
      <c r="A410" s="415"/>
      <c r="B410" s="419"/>
      <c r="C410" s="419"/>
      <c r="D410" s="419"/>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2.75">
      <c r="A411" s="415"/>
      <c r="B411" s="419"/>
      <c r="C411" s="419"/>
      <c r="D411" s="419"/>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2.75">
      <c r="A412" s="415"/>
      <c r="B412" s="419"/>
      <c r="C412" s="419"/>
      <c r="D412" s="419"/>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2.75">
      <c r="A413" s="415"/>
      <c r="B413" s="419"/>
      <c r="C413" s="419"/>
      <c r="D413" s="419"/>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2.75">
      <c r="A414" s="415"/>
      <c r="B414" s="419"/>
      <c r="C414" s="419"/>
      <c r="D414" s="419"/>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2.75">
      <c r="A415" s="415"/>
      <c r="B415" s="419"/>
      <c r="C415" s="419"/>
      <c r="D415" s="419"/>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2.75">
      <c r="A416" s="415"/>
      <c r="B416" s="419"/>
      <c r="C416" s="419"/>
      <c r="D416" s="419"/>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2.75">
      <c r="A417" s="415"/>
      <c r="B417" s="419"/>
      <c r="C417" s="419"/>
      <c r="D417" s="419"/>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2.75">
      <c r="A418" s="415"/>
      <c r="B418" s="419"/>
      <c r="C418" s="419"/>
      <c r="D418" s="419"/>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2.75">
      <c r="A419" s="415"/>
      <c r="B419" s="419"/>
      <c r="C419" s="419"/>
      <c r="D419" s="419"/>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2.75">
      <c r="A420" s="415"/>
      <c r="B420" s="419"/>
      <c r="C420" s="419"/>
      <c r="D420" s="419"/>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2.75">
      <c r="A421" s="415"/>
      <c r="B421" s="419"/>
      <c r="C421" s="419"/>
      <c r="D421" s="419"/>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2.75">
      <c r="A422" s="415"/>
      <c r="B422" s="419"/>
      <c r="C422" s="419"/>
      <c r="D422" s="419"/>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2.75">
      <c r="A423" s="415"/>
      <c r="B423" s="419"/>
      <c r="C423" s="419"/>
      <c r="D423" s="419"/>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2.75">
      <c r="A424" s="415"/>
      <c r="B424" s="419"/>
      <c r="C424" s="419"/>
      <c r="D424" s="419"/>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2.75">
      <c r="A425" s="415"/>
      <c r="B425" s="419"/>
      <c r="C425" s="419"/>
      <c r="D425" s="419"/>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2.75">
      <c r="A426" s="415"/>
      <c r="B426" s="419"/>
      <c r="C426" s="419"/>
      <c r="D426" s="419"/>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2.75">
      <c r="A427" s="415"/>
      <c r="B427" s="419"/>
      <c r="C427" s="419"/>
      <c r="D427" s="419"/>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2.75">
      <c r="A428" s="415"/>
      <c r="B428" s="419"/>
      <c r="C428" s="419"/>
      <c r="D428" s="419"/>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2.75">
      <c r="A429" s="415"/>
      <c r="B429" s="419"/>
      <c r="C429" s="419"/>
      <c r="D429" s="419"/>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2.75">
      <c r="A430" s="415"/>
      <c r="B430" s="419"/>
      <c r="C430" s="419"/>
      <c r="D430" s="419"/>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2.75">
      <c r="A431" s="415"/>
      <c r="B431" s="419"/>
      <c r="C431" s="419"/>
      <c r="D431" s="419"/>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2.75">
      <c r="A432" s="415"/>
      <c r="B432" s="419"/>
      <c r="C432" s="419"/>
      <c r="D432" s="419"/>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2.75">
      <c r="A433" s="415"/>
      <c r="B433" s="419"/>
      <c r="C433" s="419"/>
      <c r="D433" s="419"/>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2.75">
      <c r="A434" s="415"/>
      <c r="B434" s="419"/>
      <c r="C434" s="419"/>
      <c r="D434" s="419"/>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2.75">
      <c r="A435" s="415"/>
      <c r="B435" s="419"/>
      <c r="C435" s="419"/>
      <c r="D435" s="419"/>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2.75">
      <c r="A436" s="415"/>
      <c r="B436" s="419"/>
      <c r="C436" s="419"/>
      <c r="D436" s="419"/>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2.75">
      <c r="A437" s="415"/>
      <c r="B437" s="419"/>
      <c r="C437" s="419"/>
      <c r="D437" s="419"/>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2.75">
      <c r="A438" s="415"/>
      <c r="B438" s="419"/>
      <c r="C438" s="419"/>
      <c r="D438" s="419"/>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2.75">
      <c r="A439" s="415"/>
      <c r="B439" s="419"/>
      <c r="C439" s="419"/>
      <c r="D439" s="419"/>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2.75">
      <c r="A440" s="415"/>
      <c r="B440" s="419"/>
      <c r="C440" s="419"/>
      <c r="D440" s="419"/>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2.75">
      <c r="A441" s="415"/>
      <c r="B441" s="419"/>
      <c r="C441" s="419"/>
      <c r="D441" s="419"/>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2.75">
      <c r="A442" s="415"/>
      <c r="B442" s="419"/>
      <c r="C442" s="419"/>
      <c r="D442" s="419"/>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2.75">
      <c r="A443" s="415"/>
      <c r="B443" s="419"/>
      <c r="C443" s="419"/>
      <c r="D443" s="419"/>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2.75">
      <c r="A444" s="415"/>
      <c r="B444" s="419"/>
      <c r="C444" s="419"/>
      <c r="D444" s="419"/>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2.75">
      <c r="A445" s="415"/>
      <c r="B445" s="419"/>
      <c r="C445" s="419"/>
      <c r="D445" s="419"/>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2.75">
      <c r="A446" s="415"/>
      <c r="B446" s="419"/>
      <c r="C446" s="419"/>
      <c r="D446" s="419"/>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2.75">
      <c r="A447" s="415"/>
      <c r="B447" s="419"/>
      <c r="C447" s="419"/>
      <c r="D447" s="419"/>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2.75">
      <c r="A448" s="415"/>
      <c r="B448" s="419"/>
      <c r="C448" s="419"/>
      <c r="D448" s="419"/>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2.75">
      <c r="A449" s="415"/>
      <c r="B449" s="419"/>
      <c r="C449" s="419"/>
      <c r="D449" s="419"/>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2.75">
      <c r="A450" s="415"/>
      <c r="B450" s="419"/>
      <c r="C450" s="419"/>
      <c r="D450" s="419"/>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2.75">
      <c r="A451" s="415"/>
      <c r="B451" s="419"/>
      <c r="C451" s="419"/>
      <c r="D451" s="419"/>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2.75">
      <c r="A452" s="415"/>
      <c r="B452" s="419"/>
      <c r="C452" s="419"/>
      <c r="D452" s="419"/>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2.75">
      <c r="A453" s="415"/>
      <c r="B453" s="419"/>
      <c r="C453" s="419"/>
      <c r="D453" s="419"/>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2.75">
      <c r="A454" s="415"/>
      <c r="B454" s="419"/>
      <c r="C454" s="419"/>
      <c r="D454" s="419"/>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2.75">
      <c r="A455" s="415"/>
      <c r="B455" s="419"/>
      <c r="C455" s="419"/>
      <c r="D455" s="419"/>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2.75">
      <c r="A456" s="415"/>
      <c r="B456" s="419"/>
      <c r="C456" s="419"/>
      <c r="D456" s="419"/>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2.75">
      <c r="A457" s="415"/>
      <c r="B457" s="419"/>
      <c r="C457" s="419"/>
      <c r="D457" s="419"/>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2.75">
      <c r="A458" s="415"/>
      <c r="B458" s="419"/>
      <c r="C458" s="419"/>
      <c r="D458" s="419"/>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2.75">
      <c r="A459" s="415"/>
      <c r="B459" s="419"/>
      <c r="C459" s="419"/>
      <c r="D459" s="419"/>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2.75">
      <c r="A460" s="415"/>
      <c r="B460" s="419"/>
      <c r="C460" s="419"/>
      <c r="D460" s="419"/>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2.75">
      <c r="A461" s="415"/>
      <c r="B461" s="419"/>
      <c r="C461" s="419"/>
      <c r="D461" s="419"/>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2.75">
      <c r="A462" s="415"/>
      <c r="B462" s="419"/>
      <c r="C462" s="419"/>
      <c r="D462" s="419"/>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2.75">
      <c r="A463" s="415"/>
      <c r="B463" s="419"/>
      <c r="C463" s="419"/>
      <c r="D463" s="419"/>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2.75">
      <c r="A464" s="415"/>
      <c r="B464" s="419"/>
      <c r="C464" s="419"/>
      <c r="D464" s="419"/>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2.75">
      <c r="A465" s="415"/>
      <c r="B465" s="419"/>
      <c r="C465" s="419"/>
      <c r="D465" s="419"/>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2.75">
      <c r="A466" s="415"/>
      <c r="B466" s="419"/>
      <c r="C466" s="419"/>
      <c r="D466" s="419"/>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2.75">
      <c r="A467" s="415"/>
      <c r="B467" s="419"/>
      <c r="C467" s="419"/>
      <c r="D467" s="419"/>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2.75">
      <c r="A468" s="415"/>
      <c r="B468" s="419"/>
      <c r="C468" s="419"/>
      <c r="D468" s="419"/>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2.75">
      <c r="A469" s="415"/>
      <c r="B469" s="419"/>
      <c r="C469" s="419"/>
      <c r="D469" s="419"/>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2.75">
      <c r="A470" s="415"/>
      <c r="B470" s="419"/>
      <c r="C470" s="419"/>
      <c r="D470" s="419"/>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2.75">
      <c r="A471" s="415"/>
      <c r="B471" s="419"/>
      <c r="C471" s="419"/>
      <c r="D471" s="419"/>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2.75">
      <c r="A472" s="415"/>
      <c r="B472" s="419"/>
      <c r="C472" s="419"/>
      <c r="D472" s="419"/>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2.75">
      <c r="A473" s="415"/>
      <c r="B473" s="419"/>
      <c r="C473" s="419"/>
      <c r="D473" s="419"/>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2.75">
      <c r="A474" s="415"/>
      <c r="B474" s="419"/>
      <c r="C474" s="419"/>
      <c r="D474" s="419"/>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2.75">
      <c r="A475" s="415"/>
      <c r="B475" s="419"/>
      <c r="C475" s="419"/>
      <c r="D475" s="419"/>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2.75">
      <c r="A476" s="415"/>
      <c r="B476" s="419"/>
      <c r="C476" s="419"/>
      <c r="D476" s="419"/>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2.75">
      <c r="A477" s="415"/>
      <c r="B477" s="419"/>
      <c r="C477" s="419"/>
      <c r="D477" s="419"/>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2.75">
      <c r="A478" s="415"/>
      <c r="B478" s="419"/>
      <c r="C478" s="419"/>
      <c r="D478" s="419"/>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2.75">
      <c r="A479" s="415"/>
      <c r="B479" s="419"/>
      <c r="C479" s="419"/>
      <c r="D479" s="419"/>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2.75">
      <c r="A480" s="415"/>
      <c r="B480" s="419"/>
      <c r="C480" s="419"/>
      <c r="D480" s="419"/>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2.75">
      <c r="A481" s="415"/>
      <c r="B481" s="419"/>
      <c r="C481" s="419"/>
      <c r="D481" s="419"/>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2.75">
      <c r="A482" s="415"/>
      <c r="B482" s="419"/>
      <c r="C482" s="419"/>
      <c r="D482" s="419"/>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2.75">
      <c r="A483" s="415"/>
      <c r="B483" s="419"/>
      <c r="C483" s="419"/>
      <c r="D483" s="419"/>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2.75">
      <c r="A484" s="415"/>
      <c r="B484" s="419"/>
      <c r="C484" s="419"/>
      <c r="D484" s="419"/>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2.75">
      <c r="A485" s="415"/>
      <c r="B485" s="419"/>
      <c r="C485" s="419"/>
      <c r="D485" s="419"/>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2.75">
      <c r="A486" s="415"/>
      <c r="B486" s="419"/>
      <c r="C486" s="419"/>
      <c r="D486" s="419"/>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2.75">
      <c r="A487" s="415"/>
      <c r="B487" s="419"/>
      <c r="C487" s="419"/>
      <c r="D487" s="419"/>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2.75">
      <c r="A488" s="415"/>
      <c r="B488" s="419"/>
      <c r="C488" s="419"/>
      <c r="D488" s="419"/>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2.75">
      <c r="A489" s="415"/>
      <c r="B489" s="419"/>
      <c r="C489" s="419"/>
      <c r="D489" s="419"/>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2.75">
      <c r="A490" s="415"/>
      <c r="B490" s="419"/>
      <c r="C490" s="419"/>
      <c r="D490" s="419"/>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2.75">
      <c r="A491" s="415"/>
      <c r="B491" s="419"/>
      <c r="C491" s="419"/>
      <c r="D491" s="419"/>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2.75">
      <c r="A492" s="415"/>
      <c r="B492" s="419"/>
      <c r="C492" s="419"/>
      <c r="D492" s="419"/>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2.75">
      <c r="A493" s="415"/>
      <c r="B493" s="419"/>
      <c r="C493" s="419"/>
      <c r="D493" s="419"/>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2.75">
      <c r="A494" s="415"/>
      <c r="B494" s="419"/>
      <c r="C494" s="419"/>
      <c r="D494" s="419"/>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2.75">
      <c r="A495" s="415"/>
      <c r="B495" s="419"/>
      <c r="C495" s="419"/>
      <c r="D495" s="419"/>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2.75">
      <c r="A496" s="415"/>
      <c r="B496" s="419"/>
      <c r="C496" s="419"/>
      <c r="D496" s="419"/>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2.75">
      <c r="A497" s="415"/>
      <c r="B497" s="419"/>
      <c r="C497" s="419"/>
      <c r="D497" s="419"/>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2.75">
      <c r="A498" s="415"/>
      <c r="B498" s="419"/>
      <c r="C498" s="419"/>
      <c r="D498" s="419"/>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2.75">
      <c r="A499" s="415"/>
      <c r="B499" s="419"/>
      <c r="C499" s="419"/>
      <c r="D499" s="419"/>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2.75">
      <c r="A500" s="415"/>
      <c r="B500" s="419"/>
      <c r="C500" s="419"/>
      <c r="D500" s="419"/>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2.75">
      <c r="A501" s="415"/>
      <c r="B501" s="419"/>
      <c r="C501" s="419"/>
      <c r="D501" s="419"/>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2.75">
      <c r="A502" s="415"/>
      <c r="B502" s="419"/>
      <c r="C502" s="419"/>
      <c r="D502" s="419"/>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2.75">
      <c r="A503" s="415"/>
      <c r="B503" s="419"/>
      <c r="C503" s="419"/>
      <c r="D503" s="419"/>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2.75">
      <c r="A504" s="415"/>
      <c r="B504" s="419"/>
      <c r="C504" s="419"/>
      <c r="D504" s="419"/>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2.75">
      <c r="A505" s="415"/>
      <c r="B505" s="419"/>
      <c r="C505" s="419"/>
      <c r="D505" s="419"/>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2.75">
      <c r="A506" s="415"/>
      <c r="B506" s="419"/>
      <c r="C506" s="419"/>
      <c r="D506" s="419"/>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2.75">
      <c r="A507" s="415"/>
      <c r="B507" s="419"/>
      <c r="C507" s="419"/>
      <c r="D507" s="419"/>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2.75">
      <c r="A508" s="415"/>
      <c r="B508" s="419"/>
      <c r="C508" s="419"/>
      <c r="D508" s="419"/>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2.75">
      <c r="A509" s="415"/>
      <c r="B509" s="419"/>
      <c r="C509" s="419"/>
      <c r="D509" s="419"/>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2.75">
      <c r="A510" s="415"/>
      <c r="B510" s="419"/>
      <c r="C510" s="419"/>
      <c r="D510" s="419"/>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2.75">
      <c r="A511" s="415"/>
      <c r="B511" s="419"/>
      <c r="C511" s="419"/>
      <c r="D511" s="419"/>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2.75">
      <c r="A512" s="415"/>
      <c r="B512" s="419"/>
      <c r="C512" s="419"/>
      <c r="D512" s="419"/>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2.75">
      <c r="A513" s="415"/>
      <c r="B513" s="419"/>
      <c r="C513" s="419"/>
      <c r="D513" s="419"/>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2.75">
      <c r="A514" s="415"/>
      <c r="B514" s="419"/>
      <c r="C514" s="419"/>
      <c r="D514" s="419"/>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2.75">
      <c r="A515" s="415"/>
      <c r="B515" s="419"/>
      <c r="C515" s="419"/>
      <c r="D515" s="419"/>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2.75">
      <c r="A516" s="415"/>
      <c r="B516" s="419"/>
      <c r="C516" s="419"/>
      <c r="D516" s="419"/>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2.75">
      <c r="A517" s="415"/>
      <c r="B517" s="419"/>
      <c r="C517" s="419"/>
      <c r="D517" s="419"/>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2.75">
      <c r="A518" s="415"/>
      <c r="B518" s="419"/>
      <c r="C518" s="419"/>
      <c r="D518" s="419"/>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2.75">
      <c r="A519" s="415"/>
      <c r="B519" s="419"/>
      <c r="C519" s="419"/>
      <c r="D519" s="419"/>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2.75">
      <c r="A520" s="415"/>
      <c r="B520" s="419"/>
      <c r="C520" s="419"/>
      <c r="D520" s="419"/>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2.75">
      <c r="A521" s="415"/>
      <c r="B521" s="419"/>
      <c r="C521" s="419"/>
      <c r="D521" s="419"/>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2.75">
      <c r="A522" s="415"/>
      <c r="B522" s="419"/>
      <c r="C522" s="419"/>
      <c r="D522" s="419"/>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2.75">
      <c r="A523" s="415"/>
      <c r="B523" s="419"/>
      <c r="C523" s="419"/>
      <c r="D523" s="419"/>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2.75">
      <c r="A524" s="415"/>
      <c r="B524" s="419"/>
      <c r="C524" s="419"/>
      <c r="D524" s="419"/>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2.75">
      <c r="A525" s="415"/>
      <c r="B525" s="419"/>
      <c r="C525" s="419"/>
      <c r="D525" s="419"/>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2.75">
      <c r="A526" s="415"/>
      <c r="B526" s="419"/>
      <c r="C526" s="419"/>
      <c r="D526" s="419"/>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2.75">
      <c r="A527" s="415"/>
      <c r="B527" s="419"/>
      <c r="C527" s="419"/>
      <c r="D527" s="419"/>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2.75">
      <c r="A528" s="415"/>
      <c r="B528" s="419"/>
      <c r="C528" s="419"/>
      <c r="D528" s="419"/>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2.75">
      <c r="A529" s="415"/>
      <c r="B529" s="419"/>
      <c r="C529" s="419"/>
      <c r="D529" s="419"/>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2.75">
      <c r="A530" s="415"/>
      <c r="B530" s="419"/>
      <c r="C530" s="419"/>
      <c r="D530" s="419"/>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2.75">
      <c r="A531" s="415"/>
      <c r="B531" s="419"/>
      <c r="C531" s="419"/>
      <c r="D531" s="419"/>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2.75">
      <c r="A532" s="415"/>
      <c r="B532" s="419"/>
      <c r="C532" s="419"/>
      <c r="D532" s="419"/>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2.75">
      <c r="A533" s="415"/>
      <c r="B533" s="419"/>
      <c r="C533" s="419"/>
      <c r="D533" s="419"/>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2.75">
      <c r="A534" s="415"/>
      <c r="B534" s="419"/>
      <c r="C534" s="419"/>
      <c r="D534" s="419"/>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2.75">
      <c r="A535" s="415"/>
      <c r="B535" s="419"/>
      <c r="C535" s="419"/>
      <c r="D535" s="419"/>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2.75">
      <c r="A536" s="415"/>
      <c r="B536" s="419"/>
      <c r="C536" s="419"/>
      <c r="D536" s="419"/>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2.75">
      <c r="A537" s="415"/>
      <c r="B537" s="419"/>
      <c r="C537" s="419"/>
      <c r="D537" s="419"/>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2.75">
      <c r="A538" s="415"/>
      <c r="B538" s="419"/>
      <c r="C538" s="419"/>
      <c r="D538" s="419"/>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2.75">
      <c r="A539" s="415"/>
      <c r="B539" s="419"/>
      <c r="C539" s="419"/>
      <c r="D539" s="419"/>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2.75">
      <c r="A540" s="415"/>
      <c r="B540" s="419"/>
      <c r="C540" s="419"/>
      <c r="D540" s="419"/>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2.75">
      <c r="A541" s="415"/>
      <c r="B541" s="419"/>
      <c r="C541" s="419"/>
      <c r="D541" s="419"/>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2.75">
      <c r="A542" s="415"/>
      <c r="B542" s="419"/>
      <c r="C542" s="419"/>
      <c r="D542" s="419"/>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2.75">
      <c r="A543" s="415"/>
      <c r="B543" s="419"/>
      <c r="C543" s="419"/>
      <c r="D543" s="419"/>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2.75">
      <c r="A544" s="415"/>
      <c r="B544" s="419"/>
      <c r="C544" s="419"/>
      <c r="D544" s="419"/>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2.75">
      <c r="A545" s="415"/>
      <c r="B545" s="419"/>
      <c r="C545" s="419"/>
      <c r="D545" s="419"/>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2.75">
      <c r="A546" s="415"/>
      <c r="B546" s="419"/>
      <c r="C546" s="419"/>
      <c r="D546" s="419"/>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2.75">
      <c r="A547" s="415"/>
      <c r="B547" s="419"/>
      <c r="C547" s="419"/>
      <c r="D547" s="419"/>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2.75">
      <c r="A548" s="415"/>
      <c r="B548" s="419"/>
      <c r="C548" s="419"/>
      <c r="D548" s="419"/>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2.75">
      <c r="A549" s="415"/>
      <c r="B549" s="419"/>
      <c r="C549" s="419"/>
      <c r="D549" s="419"/>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2.75">
      <c r="A550" s="415"/>
      <c r="B550" s="419"/>
      <c r="C550" s="419"/>
      <c r="D550" s="419"/>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2.75">
      <c r="A551" s="415"/>
      <c r="B551" s="419"/>
      <c r="C551" s="419"/>
      <c r="D551" s="419"/>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2.75">
      <c r="A552" s="415"/>
      <c r="B552" s="419"/>
      <c r="C552" s="419"/>
      <c r="D552" s="419"/>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2.75">
      <c r="A553" s="415"/>
      <c r="B553" s="419"/>
      <c r="C553" s="419"/>
      <c r="D553" s="419"/>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2.75">
      <c r="A554" s="415"/>
      <c r="B554" s="419"/>
      <c r="C554" s="419"/>
      <c r="D554" s="419"/>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2.75">
      <c r="A555" s="415"/>
      <c r="B555" s="419"/>
      <c r="C555" s="419"/>
      <c r="D555" s="419"/>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2.75">
      <c r="A556" s="415"/>
      <c r="B556" s="419"/>
      <c r="C556" s="419"/>
      <c r="D556" s="419"/>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2.75">
      <c r="A557" s="415"/>
      <c r="B557" s="419"/>
      <c r="C557" s="419"/>
      <c r="D557" s="419"/>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2.75">
      <c r="A558" s="415"/>
      <c r="B558" s="419"/>
      <c r="C558" s="419"/>
      <c r="D558" s="419"/>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2.75">
      <c r="A559" s="415"/>
      <c r="B559" s="419"/>
      <c r="C559" s="419"/>
      <c r="D559" s="419"/>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2.75">
      <c r="A560" s="415"/>
      <c r="B560" s="419"/>
      <c r="C560" s="419"/>
      <c r="D560" s="419"/>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2.75">
      <c r="A561" s="415"/>
      <c r="B561" s="419"/>
      <c r="C561" s="419"/>
      <c r="D561" s="419"/>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2.75">
      <c r="A562" s="415"/>
      <c r="B562" s="419"/>
      <c r="C562" s="419"/>
      <c r="D562" s="419"/>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2.75">
      <c r="A563" s="415"/>
      <c r="B563" s="419"/>
      <c r="C563" s="419"/>
      <c r="D563" s="419"/>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2.75">
      <c r="A564" s="415"/>
      <c r="B564" s="419"/>
      <c r="C564" s="419"/>
      <c r="D564" s="419"/>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2.75">
      <c r="A565" s="415"/>
      <c r="B565" s="419"/>
      <c r="C565" s="419"/>
      <c r="D565" s="419"/>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2.75">
      <c r="A566" s="415"/>
      <c r="B566" s="419"/>
      <c r="C566" s="419"/>
      <c r="D566" s="419"/>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2.75">
      <c r="A567" s="415"/>
      <c r="B567" s="419"/>
      <c r="C567" s="419"/>
      <c r="D567" s="419"/>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2.75">
      <c r="A568" s="415"/>
      <c r="B568" s="419"/>
      <c r="C568" s="419"/>
      <c r="D568" s="419"/>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2.75">
      <c r="A569" s="415"/>
      <c r="B569" s="419"/>
      <c r="C569" s="419"/>
      <c r="D569" s="419"/>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2.75">
      <c r="A570" s="415"/>
      <c r="B570" s="419"/>
      <c r="C570" s="419"/>
      <c r="D570" s="419"/>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2.75">
      <c r="A571" s="415"/>
      <c r="B571" s="419"/>
      <c r="C571" s="419"/>
      <c r="D571" s="419"/>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2.75">
      <c r="A572" s="415"/>
      <c r="B572" s="419"/>
      <c r="C572" s="419"/>
      <c r="D572" s="419"/>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2.75">
      <c r="A573" s="415"/>
      <c r="B573" s="419"/>
      <c r="C573" s="419"/>
      <c r="D573" s="419"/>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2.75">
      <c r="A574" s="415"/>
      <c r="B574" s="419"/>
      <c r="C574" s="419"/>
      <c r="D574" s="419"/>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2.75">
      <c r="A575" s="415"/>
      <c r="B575" s="419"/>
      <c r="C575" s="419"/>
      <c r="D575" s="419"/>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2.75">
      <c r="A576" s="415"/>
      <c r="B576" s="419"/>
      <c r="C576" s="419"/>
      <c r="D576" s="419"/>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2.75">
      <c r="A577" s="415"/>
      <c r="B577" s="419"/>
      <c r="C577" s="419"/>
      <c r="D577" s="419"/>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2.75">
      <c r="A578" s="415"/>
      <c r="B578" s="419"/>
      <c r="C578" s="419"/>
      <c r="D578" s="419"/>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2.75">
      <c r="A579" s="415"/>
      <c r="B579" s="419"/>
      <c r="C579" s="419"/>
      <c r="D579" s="419"/>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2.75">
      <c r="A580" s="415"/>
      <c r="B580" s="419"/>
      <c r="C580" s="419"/>
      <c r="D580" s="419"/>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2.75">
      <c r="A581" s="415"/>
      <c r="B581" s="419"/>
      <c r="C581" s="419"/>
      <c r="D581" s="419"/>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2.75">
      <c r="A582" s="415"/>
      <c r="B582" s="419"/>
      <c r="C582" s="419"/>
      <c r="D582" s="419"/>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2.75">
      <c r="A583" s="415"/>
      <c r="B583" s="419"/>
      <c r="C583" s="419"/>
      <c r="D583" s="419"/>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2.75">
      <c r="A584" s="415"/>
      <c r="B584" s="419"/>
      <c r="C584" s="419"/>
      <c r="D584" s="419"/>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2.75">
      <c r="A585" s="415"/>
      <c r="B585" s="419"/>
      <c r="C585" s="419"/>
      <c r="D585" s="419"/>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2.75">
      <c r="A586" s="415"/>
      <c r="B586" s="419"/>
      <c r="C586" s="419"/>
      <c r="D586" s="419"/>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2.75">
      <c r="A587" s="415"/>
      <c r="B587" s="419"/>
      <c r="C587" s="419"/>
      <c r="D587" s="419"/>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2.75">
      <c r="A588" s="415"/>
      <c r="B588" s="419"/>
      <c r="C588" s="419"/>
      <c r="D588" s="419"/>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2.75">
      <c r="A589" s="415"/>
      <c r="B589" s="419"/>
      <c r="C589" s="419"/>
      <c r="D589" s="419"/>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2.75">
      <c r="A590" s="415"/>
      <c r="B590" s="419"/>
      <c r="C590" s="419"/>
      <c r="D590" s="419"/>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2.75">
      <c r="A591" s="415"/>
      <c r="B591" s="419"/>
      <c r="C591" s="419"/>
      <c r="D591" s="419"/>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2.75">
      <c r="A592" s="415"/>
      <c r="B592" s="419"/>
      <c r="C592" s="419"/>
      <c r="D592" s="419"/>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2.75">
      <c r="A593" s="415"/>
      <c r="B593" s="419"/>
      <c r="C593" s="419"/>
      <c r="D593" s="419"/>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2.75">
      <c r="A594" s="415"/>
      <c r="B594" s="419"/>
      <c r="C594" s="419"/>
      <c r="D594" s="419"/>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2.75">
      <c r="A595" s="415"/>
      <c r="B595" s="419"/>
      <c r="C595" s="419"/>
      <c r="D595" s="419"/>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2.75">
      <c r="A596" s="415"/>
      <c r="B596" s="419"/>
      <c r="C596" s="419"/>
      <c r="D596" s="419"/>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2.75">
      <c r="A597" s="415"/>
      <c r="B597" s="419"/>
      <c r="C597" s="419"/>
      <c r="D597" s="419"/>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2.75">
      <c r="A598" s="415"/>
      <c r="B598" s="419"/>
      <c r="C598" s="419"/>
      <c r="D598" s="419"/>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2.75">
      <c r="A599" s="415"/>
      <c r="B599" s="419"/>
      <c r="C599" s="419"/>
      <c r="D599" s="419"/>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2.75">
      <c r="A600" s="415"/>
      <c r="B600" s="419"/>
      <c r="C600" s="419"/>
      <c r="D600" s="419"/>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2.75">
      <c r="A601" s="415"/>
      <c r="B601" s="419"/>
      <c r="C601" s="419"/>
      <c r="D601" s="419"/>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2.75">
      <c r="A602" s="415"/>
      <c r="B602" s="419"/>
      <c r="C602" s="419"/>
      <c r="D602" s="419"/>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2.75">
      <c r="A603" s="415"/>
      <c r="B603" s="419"/>
      <c r="C603" s="419"/>
      <c r="D603" s="419"/>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2.75">
      <c r="A604" s="415"/>
      <c r="B604" s="419"/>
      <c r="C604" s="419"/>
      <c r="D604" s="419"/>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2.75">
      <c r="A605" s="415"/>
      <c r="B605" s="419"/>
      <c r="C605" s="419"/>
      <c r="D605" s="419"/>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2.75">
      <c r="A606" s="415"/>
      <c r="B606" s="419"/>
      <c r="C606" s="419"/>
      <c r="D606" s="419"/>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2.75">
      <c r="A607" s="415"/>
      <c r="B607" s="419"/>
      <c r="C607" s="419"/>
      <c r="D607" s="419"/>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2.75">
      <c r="A608" s="415"/>
      <c r="B608" s="419"/>
      <c r="C608" s="419"/>
      <c r="D608" s="419"/>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2.75">
      <c r="A609" s="415"/>
      <c r="B609" s="419"/>
      <c r="C609" s="419"/>
      <c r="D609" s="419"/>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2.75">
      <c r="A610" s="415"/>
      <c r="B610" s="419"/>
      <c r="C610" s="419"/>
      <c r="D610" s="419"/>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2.75">
      <c r="A611" s="415"/>
      <c r="B611" s="419"/>
      <c r="C611" s="419"/>
      <c r="D611" s="419"/>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2.75">
      <c r="A612" s="415"/>
      <c r="B612" s="419"/>
      <c r="C612" s="419"/>
      <c r="D612" s="419"/>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2.75">
      <c r="A613" s="415"/>
      <c r="B613" s="419"/>
      <c r="C613" s="419"/>
      <c r="D613" s="419"/>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2.75">
      <c r="A614" s="415"/>
      <c r="B614" s="419"/>
      <c r="C614" s="419"/>
      <c r="D614" s="419"/>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2.75">
      <c r="A615" s="415"/>
      <c r="B615" s="419"/>
      <c r="C615" s="419"/>
      <c r="D615" s="419"/>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2.75">
      <c r="A616" s="415"/>
      <c r="B616" s="419"/>
      <c r="C616" s="419"/>
      <c r="D616" s="419"/>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2.75">
      <c r="A617" s="415"/>
      <c r="B617" s="419"/>
      <c r="C617" s="419"/>
      <c r="D617" s="419"/>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2.75">
      <c r="A618" s="415"/>
      <c r="B618" s="419"/>
      <c r="C618" s="419"/>
      <c r="D618" s="419"/>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2.75">
      <c r="A619" s="415"/>
      <c r="B619" s="419"/>
      <c r="C619" s="419"/>
      <c r="D619" s="419"/>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2.75">
      <c r="A620" s="415"/>
      <c r="B620" s="419"/>
      <c r="C620" s="419"/>
      <c r="D620" s="419"/>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2.75">
      <c r="A621" s="415"/>
      <c r="B621" s="419"/>
      <c r="C621" s="419"/>
      <c r="D621" s="419"/>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2.75">
      <c r="A622" s="415"/>
      <c r="B622" s="419"/>
      <c r="C622" s="419"/>
      <c r="D622" s="419"/>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2.75">
      <c r="A623" s="415"/>
      <c r="B623" s="419"/>
      <c r="C623" s="419"/>
      <c r="D623" s="419"/>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2.75">
      <c r="A624" s="415"/>
      <c r="B624" s="419"/>
      <c r="C624" s="419"/>
      <c r="D624" s="419"/>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2.75">
      <c r="A625" s="415"/>
      <c r="B625" s="419"/>
      <c r="C625" s="419"/>
      <c r="D625" s="419"/>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2.75">
      <c r="A626" s="415"/>
      <c r="B626" s="419"/>
      <c r="C626" s="419"/>
      <c r="D626" s="419"/>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2.75">
      <c r="A627" s="415"/>
      <c r="B627" s="419"/>
      <c r="C627" s="419"/>
      <c r="D627" s="419"/>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2.75">
      <c r="A628" s="415"/>
      <c r="B628" s="419"/>
      <c r="C628" s="419"/>
      <c r="D628" s="419"/>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2.75">
      <c r="A629" s="415"/>
      <c r="B629" s="419"/>
      <c r="C629" s="419"/>
      <c r="D629" s="419"/>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2.75">
      <c r="A630" s="415"/>
      <c r="B630" s="419"/>
      <c r="C630" s="419"/>
      <c r="D630" s="419"/>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2.75">
      <c r="A631" s="415"/>
      <c r="B631" s="419"/>
      <c r="C631" s="419"/>
      <c r="D631" s="419"/>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2.75">
      <c r="A632" s="415"/>
      <c r="B632" s="419"/>
      <c r="C632" s="419"/>
      <c r="D632" s="419"/>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2.75">
      <c r="A633" s="415"/>
      <c r="B633" s="419"/>
      <c r="C633" s="419"/>
      <c r="D633" s="419"/>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2.75">
      <c r="A634" s="415"/>
      <c r="B634" s="419"/>
      <c r="C634" s="419"/>
      <c r="D634" s="419"/>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2.75">
      <c r="A635" s="415"/>
      <c r="B635" s="419"/>
      <c r="C635" s="419"/>
      <c r="D635" s="419"/>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2.75">
      <c r="A636" s="415"/>
      <c r="B636" s="419"/>
      <c r="C636" s="419"/>
      <c r="D636" s="419"/>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2.75">
      <c r="A637" s="415"/>
      <c r="B637" s="419"/>
      <c r="C637" s="419"/>
      <c r="D637" s="419"/>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2.75">
      <c r="A638" s="415"/>
      <c r="B638" s="419"/>
      <c r="C638" s="419"/>
      <c r="D638" s="419"/>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2.75">
      <c r="A639" s="415"/>
      <c r="B639" s="419"/>
      <c r="C639" s="419"/>
      <c r="D639" s="419"/>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2.75">
      <c r="A640" s="415"/>
      <c r="B640" s="419"/>
      <c r="C640" s="419"/>
      <c r="D640" s="419"/>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2.75">
      <c r="A641" s="415"/>
      <c r="B641" s="419"/>
      <c r="C641" s="419"/>
      <c r="D641" s="419"/>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2.75">
      <c r="A642" s="415"/>
      <c r="B642" s="419"/>
      <c r="C642" s="419"/>
      <c r="D642" s="419"/>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2.75">
      <c r="A643" s="415"/>
      <c r="B643" s="419"/>
      <c r="C643" s="419"/>
      <c r="D643" s="419"/>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2.75">
      <c r="A644" s="415"/>
      <c r="B644" s="419"/>
      <c r="C644" s="419"/>
      <c r="D644" s="419"/>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2.75">
      <c r="A645" s="415"/>
      <c r="B645" s="419"/>
      <c r="C645" s="419"/>
      <c r="D645" s="419"/>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2.75">
      <c r="A646" s="415"/>
      <c r="B646" s="419"/>
      <c r="C646" s="419"/>
      <c r="D646" s="419"/>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2.75">
      <c r="A647" s="415"/>
      <c r="B647" s="419"/>
      <c r="C647" s="419"/>
      <c r="D647" s="419"/>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2.75">
      <c r="A648" s="415"/>
      <c r="B648" s="419"/>
      <c r="C648" s="419"/>
      <c r="D648" s="419"/>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2.75">
      <c r="A649" s="415"/>
      <c r="B649" s="419"/>
      <c r="C649" s="419"/>
      <c r="D649" s="419"/>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2.75">
      <c r="A650" s="415"/>
      <c r="B650" s="419"/>
      <c r="C650" s="419"/>
      <c r="D650" s="419"/>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2.75">
      <c r="A651" s="415"/>
      <c r="B651" s="419"/>
      <c r="C651" s="419"/>
      <c r="D651" s="419"/>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2.75">
      <c r="A652" s="415"/>
      <c r="B652" s="419"/>
      <c r="C652" s="419"/>
      <c r="D652" s="419"/>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2.75">
      <c r="A653" s="415"/>
      <c r="B653" s="419"/>
      <c r="C653" s="419"/>
      <c r="D653" s="419"/>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2.75">
      <c r="A654" s="415"/>
      <c r="B654" s="419"/>
      <c r="C654" s="419"/>
      <c r="D654" s="419"/>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2.75">
      <c r="A655" s="415"/>
      <c r="B655" s="419"/>
      <c r="C655" s="419"/>
      <c r="D655" s="419"/>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2.75">
      <c r="A656" s="415"/>
      <c r="B656" s="419"/>
      <c r="C656" s="419"/>
      <c r="D656" s="419"/>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2.75">
      <c r="A657" s="415"/>
      <c r="B657" s="419"/>
      <c r="C657" s="419"/>
      <c r="D657" s="419"/>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2.75">
      <c r="A658" s="415"/>
      <c r="B658" s="419"/>
      <c r="C658" s="419"/>
      <c r="D658" s="419"/>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2.75">
      <c r="A659" s="415"/>
      <c r="B659" s="419"/>
      <c r="C659" s="419"/>
      <c r="D659" s="419"/>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2.75">
      <c r="A660" s="415"/>
      <c r="B660" s="419"/>
      <c r="C660" s="419"/>
      <c r="D660" s="419"/>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2.75">
      <c r="A661" s="415"/>
      <c r="B661" s="419"/>
      <c r="C661" s="419"/>
      <c r="D661" s="419"/>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2.75">
      <c r="A662" s="415"/>
      <c r="B662" s="419"/>
      <c r="C662" s="419"/>
      <c r="D662" s="419"/>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2.75">
      <c r="A663" s="415"/>
      <c r="B663" s="419"/>
      <c r="C663" s="419"/>
      <c r="D663" s="419"/>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2.75">
      <c r="A664" s="415"/>
      <c r="B664" s="419"/>
      <c r="C664" s="419"/>
      <c r="D664" s="419"/>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2.75">
      <c r="A665" s="415"/>
      <c r="B665" s="419"/>
      <c r="C665" s="419"/>
      <c r="D665" s="419"/>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2.75">
      <c r="A666" s="415"/>
      <c r="B666" s="419"/>
      <c r="C666" s="419"/>
      <c r="D666" s="419"/>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2.75">
      <c r="A667" s="415"/>
      <c r="B667" s="419"/>
      <c r="C667" s="419"/>
      <c r="D667" s="419"/>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2.75">
      <c r="A668" s="415"/>
      <c r="B668" s="419"/>
      <c r="C668" s="419"/>
      <c r="D668" s="419"/>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2.75">
      <c r="A669" s="415"/>
      <c r="B669" s="419"/>
      <c r="C669" s="419"/>
      <c r="D669" s="419"/>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2.75">
      <c r="A670" s="415"/>
      <c r="B670" s="419"/>
      <c r="C670" s="419"/>
      <c r="D670" s="419"/>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2.75">
      <c r="A671" s="415"/>
      <c r="B671" s="419"/>
      <c r="C671" s="419"/>
      <c r="D671" s="419"/>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2.75">
      <c r="A672" s="415"/>
      <c r="B672" s="419"/>
      <c r="C672" s="419"/>
      <c r="D672" s="419"/>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2.75">
      <c r="A673" s="415"/>
      <c r="B673" s="419"/>
      <c r="C673" s="419"/>
      <c r="D673" s="419"/>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2.75">
      <c r="A674" s="415"/>
      <c r="B674" s="419"/>
      <c r="C674" s="419"/>
      <c r="D674" s="419"/>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2.75">
      <c r="A675" s="415"/>
      <c r="B675" s="419"/>
      <c r="C675" s="419"/>
      <c r="D675" s="419"/>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2.75">
      <c r="A676" s="415"/>
      <c r="B676" s="419"/>
      <c r="C676" s="419"/>
      <c r="D676" s="419"/>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2.75">
      <c r="A677" s="415"/>
      <c r="B677" s="419"/>
      <c r="C677" s="419"/>
      <c r="D677" s="419"/>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2.75">
      <c r="A678" s="415"/>
      <c r="B678" s="419"/>
      <c r="C678" s="419"/>
      <c r="D678" s="419"/>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2.75">
      <c r="A679" s="415"/>
      <c r="B679" s="419"/>
      <c r="C679" s="419"/>
      <c r="D679" s="419"/>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2.75">
      <c r="A680" s="415"/>
      <c r="B680" s="419"/>
      <c r="C680" s="419"/>
      <c r="D680" s="419"/>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2.75">
      <c r="A681" s="415"/>
      <c r="B681" s="419"/>
      <c r="C681" s="419"/>
      <c r="D681" s="419"/>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2.75">
      <c r="A682" s="415"/>
      <c r="B682" s="419"/>
      <c r="C682" s="419"/>
      <c r="D682" s="419"/>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2.75">
      <c r="A683" s="415"/>
      <c r="B683" s="419"/>
      <c r="C683" s="419"/>
      <c r="D683" s="419"/>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2.75">
      <c r="A684" s="415"/>
      <c r="B684" s="419"/>
      <c r="C684" s="419"/>
      <c r="D684" s="419"/>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2.75">
      <c r="A685" s="415"/>
      <c r="B685" s="419"/>
      <c r="C685" s="419"/>
      <c r="D685" s="419"/>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2.75">
      <c r="A686" s="415"/>
      <c r="B686" s="419"/>
      <c r="C686" s="419"/>
      <c r="D686" s="419"/>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2.75">
      <c r="A687" s="415"/>
      <c r="B687" s="419"/>
      <c r="C687" s="419"/>
      <c r="D687" s="419"/>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2.75">
      <c r="A688" s="415"/>
      <c r="B688" s="419"/>
      <c r="C688" s="419"/>
      <c r="D688" s="419"/>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2.75">
      <c r="A689" s="415"/>
      <c r="B689" s="419"/>
      <c r="C689" s="419"/>
      <c r="D689" s="419"/>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2.75">
      <c r="A690" s="415"/>
      <c r="B690" s="419"/>
      <c r="C690" s="419"/>
      <c r="D690" s="419"/>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2.75">
      <c r="A691" s="415"/>
      <c r="B691" s="419"/>
      <c r="C691" s="419"/>
      <c r="D691" s="419"/>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2.75">
      <c r="A692" s="415"/>
      <c r="B692" s="419"/>
      <c r="C692" s="419"/>
      <c r="D692" s="419"/>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2.75">
      <c r="A693" s="415"/>
      <c r="B693" s="419"/>
      <c r="C693" s="419"/>
      <c r="D693" s="419"/>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2.75">
      <c r="A694" s="415"/>
      <c r="B694" s="419"/>
      <c r="C694" s="419"/>
      <c r="D694" s="419"/>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2.75">
      <c r="A695" s="415"/>
      <c r="B695" s="419"/>
      <c r="C695" s="419"/>
      <c r="D695" s="419"/>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2.75">
      <c r="A696" s="415"/>
      <c r="B696" s="419"/>
      <c r="C696" s="419"/>
      <c r="D696" s="419"/>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2.75">
      <c r="A697" s="415"/>
      <c r="B697" s="419"/>
      <c r="C697" s="419"/>
      <c r="D697" s="419"/>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2.75">
      <c r="A698" s="415"/>
      <c r="B698" s="419"/>
      <c r="C698" s="419"/>
      <c r="D698" s="419"/>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2.75">
      <c r="A699" s="415"/>
      <c r="B699" s="419"/>
      <c r="C699" s="419"/>
      <c r="D699" s="419"/>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2.75">
      <c r="A700" s="415"/>
      <c r="B700" s="419"/>
      <c r="C700" s="419"/>
      <c r="D700" s="419"/>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2.75">
      <c r="A701" s="415"/>
      <c r="B701" s="419"/>
      <c r="C701" s="419"/>
      <c r="D701" s="419"/>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2.75">
      <c r="A702" s="415"/>
      <c r="B702" s="419"/>
      <c r="C702" s="419"/>
      <c r="D702" s="419"/>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2.75">
      <c r="A703" s="415"/>
      <c r="B703" s="419"/>
      <c r="C703" s="419"/>
      <c r="D703" s="419"/>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2.75">
      <c r="A704" s="415"/>
      <c r="B704" s="419"/>
      <c r="C704" s="419"/>
      <c r="D704" s="419"/>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2.75">
      <c r="A705" s="415"/>
      <c r="B705" s="419"/>
      <c r="C705" s="419"/>
      <c r="D705" s="419"/>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2.75">
      <c r="A706" s="415"/>
      <c r="B706" s="419"/>
      <c r="C706" s="419"/>
      <c r="D706" s="419"/>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2.75">
      <c r="A707" s="415"/>
      <c r="B707" s="419"/>
      <c r="C707" s="419"/>
      <c r="D707" s="419"/>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2.75">
      <c r="A708" s="415"/>
      <c r="B708" s="419"/>
      <c r="C708" s="419"/>
      <c r="D708" s="419"/>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2.75">
      <c r="A709" s="415"/>
      <c r="B709" s="419"/>
      <c r="C709" s="419"/>
      <c r="D709" s="419"/>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2.75">
      <c r="A710" s="415"/>
      <c r="B710" s="419"/>
      <c r="C710" s="419"/>
      <c r="D710" s="419"/>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2.75">
      <c r="A711" s="415"/>
      <c r="B711" s="419"/>
      <c r="C711" s="419"/>
      <c r="D711" s="419"/>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2.75">
      <c r="A712" s="415"/>
      <c r="B712" s="419"/>
      <c r="C712" s="419"/>
      <c r="D712" s="419"/>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2.75">
      <c r="A713" s="415"/>
      <c r="B713" s="419"/>
      <c r="C713" s="419"/>
      <c r="D713" s="419"/>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2.75">
      <c r="A714" s="415"/>
      <c r="B714" s="419"/>
      <c r="C714" s="419"/>
      <c r="D714" s="419"/>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2.75">
      <c r="A715" s="415"/>
      <c r="B715" s="419"/>
      <c r="C715" s="419"/>
      <c r="D715" s="419"/>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2.75">
      <c r="A716" s="415"/>
      <c r="B716" s="419"/>
      <c r="C716" s="419"/>
      <c r="D716" s="419"/>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2.75">
      <c r="A717" s="415"/>
      <c r="B717" s="419"/>
      <c r="C717" s="419"/>
      <c r="D717" s="419"/>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2.75">
      <c r="A718" s="415"/>
      <c r="B718" s="419"/>
      <c r="C718" s="419"/>
      <c r="D718" s="419"/>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2.75">
      <c r="A719" s="415"/>
      <c r="B719" s="419"/>
      <c r="C719" s="419"/>
      <c r="D719" s="419"/>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2.75">
      <c r="A720" s="415"/>
      <c r="B720" s="419"/>
      <c r="C720" s="419"/>
      <c r="D720" s="419"/>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2.75">
      <c r="A721" s="415"/>
      <c r="B721" s="419"/>
      <c r="C721" s="419"/>
      <c r="D721" s="419"/>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2.75">
      <c r="A722" s="415"/>
      <c r="B722" s="419"/>
      <c r="C722" s="419"/>
      <c r="D722" s="419"/>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2.75">
      <c r="A723" s="415"/>
      <c r="B723" s="419"/>
      <c r="C723" s="419"/>
      <c r="D723" s="419"/>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2.75">
      <c r="A724" s="415"/>
      <c r="B724" s="419"/>
      <c r="C724" s="419"/>
      <c r="D724" s="419"/>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2.75">
      <c r="A725" s="415"/>
      <c r="B725" s="419"/>
      <c r="C725" s="419"/>
      <c r="D725" s="419"/>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2.75">
      <c r="A726" s="415"/>
      <c r="B726" s="419"/>
      <c r="C726" s="419"/>
      <c r="D726" s="419"/>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2.75">
      <c r="A727" s="415"/>
      <c r="B727" s="419"/>
      <c r="C727" s="419"/>
      <c r="D727" s="419"/>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2.75">
      <c r="A728" s="415"/>
      <c r="B728" s="419"/>
      <c r="C728" s="419"/>
      <c r="D728" s="419"/>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2.75">
      <c r="A729" s="415"/>
      <c r="B729" s="419"/>
      <c r="C729" s="419"/>
      <c r="D729" s="419"/>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2.75">
      <c r="A730" s="415"/>
      <c r="B730" s="419"/>
      <c r="C730" s="419"/>
      <c r="D730" s="419"/>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2.75">
      <c r="A731" s="415"/>
      <c r="B731" s="419"/>
      <c r="C731" s="419"/>
      <c r="D731" s="419"/>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2.75">
      <c r="A732" s="415"/>
      <c r="B732" s="419"/>
      <c r="C732" s="419"/>
      <c r="D732" s="419"/>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2.75">
      <c r="A733" s="415"/>
      <c r="B733" s="419"/>
      <c r="C733" s="419"/>
      <c r="D733" s="419"/>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2.75">
      <c r="A734" s="415"/>
      <c r="B734" s="419"/>
      <c r="C734" s="419"/>
      <c r="D734" s="419"/>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2.75">
      <c r="A735" s="415"/>
      <c r="B735" s="419"/>
      <c r="C735" s="419"/>
      <c r="D735" s="419"/>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2.75">
      <c r="A736" s="415"/>
      <c r="B736" s="419"/>
      <c r="C736" s="419"/>
      <c r="D736" s="419"/>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2.75">
      <c r="A737" s="415"/>
      <c r="B737" s="419"/>
      <c r="C737" s="419"/>
      <c r="D737" s="419"/>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2.75">
      <c r="A738" s="415"/>
      <c r="B738" s="419"/>
      <c r="C738" s="419"/>
      <c r="D738" s="419"/>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2.75">
      <c r="A739" s="415"/>
      <c r="B739" s="419"/>
      <c r="C739" s="419"/>
      <c r="D739" s="419"/>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2.75">
      <c r="A740" s="415"/>
      <c r="B740" s="419"/>
      <c r="C740" s="419"/>
      <c r="D740" s="419"/>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2.75">
      <c r="A741" s="415"/>
      <c r="B741" s="419"/>
      <c r="C741" s="419"/>
      <c r="D741" s="419"/>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2.75">
      <c r="A742" s="415"/>
      <c r="B742" s="419"/>
      <c r="C742" s="419"/>
      <c r="D742" s="419"/>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2.75">
      <c r="A743" s="415"/>
      <c r="B743" s="419"/>
      <c r="C743" s="419"/>
      <c r="D743" s="419"/>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2.75">
      <c r="A744" s="415"/>
      <c r="B744" s="419"/>
      <c r="C744" s="419"/>
      <c r="D744" s="419"/>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2.75">
      <c r="A745" s="415"/>
      <c r="B745" s="419"/>
      <c r="C745" s="419"/>
      <c r="D745" s="419"/>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2.75">
      <c r="A746" s="415"/>
      <c r="B746" s="419"/>
      <c r="C746" s="419"/>
      <c r="D746" s="419"/>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2.75">
      <c r="A747" s="415"/>
      <c r="B747" s="419"/>
      <c r="C747" s="419"/>
      <c r="D747" s="419"/>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2.75">
      <c r="A748" s="415"/>
      <c r="B748" s="419"/>
      <c r="C748" s="419"/>
      <c r="D748" s="419"/>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2.75">
      <c r="A749" s="415"/>
      <c r="B749" s="419"/>
      <c r="C749" s="419"/>
      <c r="D749" s="419"/>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2.75">
      <c r="A750" s="415"/>
      <c r="B750" s="419"/>
      <c r="C750" s="419"/>
      <c r="D750" s="419"/>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2.75">
      <c r="A751" s="415"/>
      <c r="B751" s="419"/>
      <c r="C751" s="419"/>
      <c r="D751" s="419"/>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2.75">
      <c r="A752" s="415"/>
      <c r="B752" s="419"/>
      <c r="C752" s="419"/>
      <c r="D752" s="419"/>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2.75">
      <c r="A753" s="415"/>
      <c r="B753" s="419"/>
      <c r="C753" s="419"/>
      <c r="D753" s="419"/>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2.75">
      <c r="A754" s="415"/>
      <c r="B754" s="419"/>
      <c r="C754" s="419"/>
      <c r="D754" s="419"/>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2.75">
      <c r="A755" s="415"/>
      <c r="B755" s="419"/>
      <c r="C755" s="419"/>
      <c r="D755" s="419"/>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2.75">
      <c r="A756" s="415"/>
      <c r="B756" s="419"/>
      <c r="C756" s="419"/>
      <c r="D756" s="419"/>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2.75">
      <c r="A757" s="415"/>
      <c r="B757" s="419"/>
      <c r="C757" s="419"/>
      <c r="D757" s="419"/>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2.75">
      <c r="A758" s="415"/>
      <c r="B758" s="419"/>
      <c r="C758" s="419"/>
      <c r="D758" s="419"/>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2.75">
      <c r="A759" s="415"/>
      <c r="B759" s="419"/>
      <c r="C759" s="419"/>
      <c r="D759" s="419"/>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2.75">
      <c r="A760" s="415"/>
      <c r="B760" s="419"/>
      <c r="C760" s="419"/>
      <c r="D760" s="419"/>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2.75">
      <c r="A761" s="415"/>
      <c r="B761" s="419"/>
      <c r="C761" s="419"/>
      <c r="D761" s="419"/>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2.75">
      <c r="A762" s="415"/>
      <c r="B762" s="419"/>
      <c r="C762" s="419"/>
      <c r="D762" s="419"/>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2.75">
      <c r="A763" s="415"/>
      <c r="B763" s="419"/>
      <c r="C763" s="419"/>
      <c r="D763" s="419"/>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2.75">
      <c r="A764" s="415"/>
      <c r="B764" s="419"/>
      <c r="C764" s="419"/>
      <c r="D764" s="419"/>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2.75">
      <c r="A765" s="415"/>
      <c r="B765" s="419"/>
      <c r="C765" s="419"/>
      <c r="D765" s="419"/>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2.75">
      <c r="A766" s="415"/>
      <c r="B766" s="419"/>
      <c r="C766" s="419"/>
      <c r="D766" s="419"/>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2.75">
      <c r="A767" s="415"/>
      <c r="B767" s="419"/>
      <c r="C767" s="419"/>
      <c r="D767" s="419"/>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2.75">
      <c r="A768" s="415"/>
      <c r="B768" s="419"/>
      <c r="C768" s="419"/>
      <c r="D768" s="419"/>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2.75">
      <c r="A769" s="415"/>
      <c r="B769" s="419"/>
      <c r="C769" s="419"/>
      <c r="D769" s="419"/>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2.75">
      <c r="A770" s="415"/>
      <c r="B770" s="419"/>
      <c r="C770" s="419"/>
      <c r="D770" s="419"/>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2.75">
      <c r="A771" s="415"/>
      <c r="B771" s="419"/>
      <c r="C771" s="419"/>
      <c r="D771" s="419"/>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2.75">
      <c r="A772" s="415"/>
      <c r="B772" s="419"/>
      <c r="C772" s="419"/>
      <c r="D772" s="419"/>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2.75">
      <c r="A773" s="415"/>
      <c r="B773" s="419"/>
      <c r="C773" s="419"/>
      <c r="D773" s="419"/>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2.75">
      <c r="A774" s="415"/>
      <c r="B774" s="419"/>
      <c r="C774" s="419"/>
      <c r="D774" s="419"/>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2.75">
      <c r="A775" s="415"/>
      <c r="B775" s="419"/>
      <c r="C775" s="419"/>
      <c r="D775" s="419"/>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2.75">
      <c r="A776" s="415"/>
      <c r="B776" s="419"/>
      <c r="C776" s="419"/>
      <c r="D776" s="419"/>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2.75">
      <c r="A777" s="415"/>
      <c r="B777" s="419"/>
      <c r="C777" s="419"/>
      <c r="D777" s="419"/>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2.75">
      <c r="A778" s="415"/>
      <c r="B778" s="419"/>
      <c r="C778" s="419"/>
      <c r="D778" s="419"/>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2.75">
      <c r="A779" s="415"/>
      <c r="B779" s="419"/>
      <c r="C779" s="419"/>
      <c r="D779" s="419"/>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2.75">
      <c r="A780" s="415"/>
      <c r="B780" s="419"/>
      <c r="C780" s="419"/>
      <c r="D780" s="419"/>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2.75">
      <c r="A781" s="415"/>
      <c r="B781" s="419"/>
      <c r="C781" s="419"/>
      <c r="D781" s="419"/>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2.75">
      <c r="A782" s="415"/>
      <c r="B782" s="419"/>
      <c r="C782" s="419"/>
      <c r="D782" s="419"/>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2.75">
      <c r="A783" s="415"/>
      <c r="B783" s="419"/>
      <c r="C783" s="419"/>
      <c r="D783" s="419"/>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2.75">
      <c r="A784" s="415"/>
      <c r="B784" s="419"/>
      <c r="C784" s="419"/>
      <c r="D784" s="419"/>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2.75">
      <c r="A785" s="415"/>
      <c r="B785" s="419"/>
      <c r="C785" s="419"/>
      <c r="D785" s="419"/>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2.75">
      <c r="A786" s="415"/>
      <c r="B786" s="419"/>
      <c r="C786" s="419"/>
      <c r="D786" s="419"/>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2.75">
      <c r="A787" s="415"/>
      <c r="B787" s="419"/>
      <c r="C787" s="419"/>
      <c r="D787" s="419"/>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2.75">
      <c r="A788" s="415"/>
      <c r="B788" s="419"/>
      <c r="C788" s="419"/>
      <c r="D788" s="419"/>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2.75">
      <c r="A789" s="415"/>
      <c r="B789" s="419"/>
      <c r="C789" s="419"/>
      <c r="D789" s="419"/>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2.75">
      <c r="A790" s="415"/>
      <c r="B790" s="419"/>
      <c r="C790" s="419"/>
      <c r="D790" s="419"/>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2.75">
      <c r="A791" s="415"/>
      <c r="B791" s="419"/>
      <c r="C791" s="419"/>
      <c r="D791" s="419"/>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2.75">
      <c r="A792" s="415"/>
      <c r="B792" s="419"/>
      <c r="C792" s="419"/>
      <c r="D792" s="419"/>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2.75">
      <c r="A793" s="415"/>
      <c r="B793" s="419"/>
      <c r="C793" s="419"/>
      <c r="D793" s="419"/>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2.75">
      <c r="A794" s="415"/>
      <c r="B794" s="419"/>
      <c r="C794" s="419"/>
      <c r="D794" s="419"/>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2.75">
      <c r="A795" s="415"/>
      <c r="B795" s="419"/>
      <c r="C795" s="419"/>
      <c r="D795" s="419"/>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2.75">
      <c r="A796" s="415"/>
      <c r="B796" s="419"/>
      <c r="C796" s="419"/>
      <c r="D796" s="419"/>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2.75">
      <c r="A797" s="415"/>
      <c r="B797" s="419"/>
      <c r="C797" s="419"/>
      <c r="D797" s="419"/>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2.75">
      <c r="A798" s="415"/>
      <c r="B798" s="419"/>
      <c r="C798" s="419"/>
      <c r="D798" s="419"/>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2.75">
      <c r="A799" s="415"/>
      <c r="B799" s="419"/>
      <c r="C799" s="419"/>
      <c r="D799" s="419"/>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2.75">
      <c r="A800" s="415"/>
      <c r="B800" s="419"/>
      <c r="C800" s="419"/>
      <c r="D800" s="419"/>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2.75">
      <c r="A801" s="415"/>
      <c r="B801" s="419"/>
      <c r="C801" s="419"/>
      <c r="D801" s="419"/>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2.75">
      <c r="A802" s="415"/>
      <c r="B802" s="419"/>
      <c r="C802" s="419"/>
      <c r="D802" s="419"/>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2.75">
      <c r="A803" s="415"/>
      <c r="B803" s="419"/>
      <c r="C803" s="419"/>
      <c r="D803" s="419"/>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2.75">
      <c r="A804" s="415"/>
      <c r="B804" s="419"/>
      <c r="C804" s="419"/>
      <c r="D804" s="419"/>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2.75">
      <c r="A805" s="415"/>
      <c r="B805" s="419"/>
      <c r="C805" s="419"/>
      <c r="D805" s="419"/>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2.75">
      <c r="A806" s="415"/>
      <c r="B806" s="419"/>
      <c r="C806" s="419"/>
      <c r="D806" s="419"/>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2.75">
      <c r="A807" s="415"/>
      <c r="B807" s="419"/>
      <c r="C807" s="419"/>
      <c r="D807" s="419"/>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2.75">
      <c r="A808" s="415"/>
      <c r="B808" s="419"/>
      <c r="C808" s="419"/>
      <c r="D808" s="419"/>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2.75">
      <c r="A809" s="415"/>
      <c r="B809" s="419"/>
      <c r="C809" s="419"/>
      <c r="D809" s="419"/>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2.75">
      <c r="A810" s="415"/>
      <c r="B810" s="419"/>
      <c r="C810" s="419"/>
      <c r="D810" s="419"/>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2.75">
      <c r="A811" s="415"/>
      <c r="B811" s="419"/>
      <c r="C811" s="419"/>
      <c r="D811" s="419"/>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2.75">
      <c r="A812" s="415"/>
      <c r="B812" s="419"/>
      <c r="C812" s="419"/>
      <c r="D812" s="419"/>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2.75">
      <c r="A813" s="415"/>
      <c r="B813" s="419"/>
      <c r="C813" s="419"/>
      <c r="D813" s="419"/>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2.75">
      <c r="A814" s="415"/>
      <c r="B814" s="419"/>
      <c r="C814" s="419"/>
      <c r="D814" s="419"/>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2.75">
      <c r="A815" s="415"/>
      <c r="B815" s="419"/>
      <c r="C815" s="419"/>
      <c r="D815" s="419"/>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2.75">
      <c r="A816" s="415"/>
      <c r="B816" s="419"/>
      <c r="C816" s="419"/>
      <c r="D816" s="419"/>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2.75">
      <c r="A817" s="415"/>
      <c r="B817" s="419"/>
      <c r="C817" s="419"/>
      <c r="D817" s="419"/>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2.75">
      <c r="A818" s="415"/>
      <c r="B818" s="419"/>
      <c r="C818" s="419"/>
      <c r="D818" s="419"/>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2.75">
      <c r="A819" s="415"/>
      <c r="B819" s="419"/>
      <c r="C819" s="419"/>
      <c r="D819" s="419"/>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2.75">
      <c r="A820" s="415"/>
      <c r="B820" s="419"/>
      <c r="C820" s="419"/>
      <c r="D820" s="419"/>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2.75">
      <c r="A821" s="415"/>
      <c r="B821" s="419"/>
      <c r="C821" s="419"/>
      <c r="D821" s="419"/>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2.75">
      <c r="A822" s="415"/>
      <c r="B822" s="419"/>
      <c r="C822" s="419"/>
      <c r="D822" s="419"/>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2.75">
      <c r="A823" s="415"/>
      <c r="B823" s="419"/>
      <c r="C823" s="419"/>
      <c r="D823" s="419"/>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2.75">
      <c r="A824" s="415"/>
      <c r="B824" s="419"/>
      <c r="C824" s="419"/>
      <c r="D824" s="419"/>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2.75">
      <c r="A825" s="415"/>
      <c r="B825" s="419"/>
      <c r="C825" s="419"/>
      <c r="D825" s="419"/>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2.75">
      <c r="A826" s="415"/>
      <c r="B826" s="419"/>
      <c r="C826" s="419"/>
      <c r="D826" s="419"/>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2.75">
      <c r="A827" s="415"/>
      <c r="B827" s="419"/>
      <c r="C827" s="419"/>
      <c r="D827" s="419"/>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2.75">
      <c r="A828" s="415"/>
      <c r="B828" s="419"/>
      <c r="C828" s="419"/>
      <c r="D828" s="419"/>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2.75">
      <c r="A829" s="415"/>
      <c r="B829" s="419"/>
      <c r="C829" s="419"/>
      <c r="D829" s="419"/>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2.75">
      <c r="A830" s="415"/>
      <c r="B830" s="419"/>
      <c r="C830" s="419"/>
      <c r="D830" s="419"/>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2.75">
      <c r="A831" s="415"/>
      <c r="B831" s="419"/>
      <c r="C831" s="419"/>
      <c r="D831" s="419"/>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2.75">
      <c r="A832" s="415"/>
      <c r="B832" s="419"/>
      <c r="C832" s="419"/>
      <c r="D832" s="419"/>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2.75">
      <c r="A833" s="415"/>
      <c r="B833" s="419"/>
      <c r="C833" s="419"/>
      <c r="D833" s="419"/>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2.75">
      <c r="A834" s="415"/>
      <c r="B834" s="419"/>
      <c r="C834" s="419"/>
      <c r="D834" s="419"/>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2.75">
      <c r="A835" s="415"/>
      <c r="B835" s="419"/>
      <c r="C835" s="419"/>
      <c r="D835" s="419"/>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2.75">
      <c r="A836" s="415"/>
      <c r="B836" s="419"/>
      <c r="C836" s="419"/>
      <c r="D836" s="419"/>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2.75">
      <c r="A837" s="415"/>
      <c r="B837" s="419"/>
      <c r="C837" s="419"/>
      <c r="D837" s="419"/>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2.75">
      <c r="A838" s="415"/>
      <c r="B838" s="419"/>
      <c r="C838" s="419"/>
      <c r="D838" s="419"/>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2.75">
      <c r="A839" s="415"/>
      <c r="B839" s="419"/>
      <c r="C839" s="419"/>
      <c r="D839" s="419"/>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2.75">
      <c r="A840" s="415"/>
      <c r="B840" s="419"/>
      <c r="C840" s="419"/>
      <c r="D840" s="419"/>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2.75">
      <c r="A841" s="415"/>
      <c r="B841" s="419"/>
      <c r="C841" s="419"/>
      <c r="D841" s="419"/>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2.75">
      <c r="A842" s="415"/>
      <c r="B842" s="419"/>
      <c r="C842" s="419"/>
      <c r="D842" s="419"/>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2.75">
      <c r="A843" s="415"/>
      <c r="B843" s="419"/>
      <c r="C843" s="419"/>
      <c r="D843" s="419"/>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2.75">
      <c r="A844" s="415"/>
      <c r="B844" s="419"/>
      <c r="C844" s="419"/>
      <c r="D844" s="419"/>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2.75">
      <c r="A845" s="415"/>
      <c r="B845" s="419"/>
      <c r="C845" s="419"/>
      <c r="D845" s="419"/>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2.75">
      <c r="A846" s="415"/>
      <c r="B846" s="419"/>
      <c r="C846" s="419"/>
      <c r="D846" s="419"/>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2.75">
      <c r="A847" s="415"/>
      <c r="B847" s="419"/>
      <c r="C847" s="419"/>
      <c r="D847" s="419"/>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2.75">
      <c r="A848" s="415"/>
      <c r="B848" s="419"/>
      <c r="C848" s="419"/>
      <c r="D848" s="419"/>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2.75">
      <c r="A849" s="415"/>
      <c r="B849" s="419"/>
      <c r="C849" s="419"/>
      <c r="D849" s="419"/>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2.75">
      <c r="A850" s="415"/>
      <c r="B850" s="419"/>
      <c r="C850" s="419"/>
      <c r="D850" s="419"/>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2.75">
      <c r="A851" s="415"/>
      <c r="B851" s="419"/>
      <c r="C851" s="419"/>
      <c r="D851" s="419"/>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2.75">
      <c r="A852" s="415"/>
      <c r="B852" s="419"/>
      <c r="C852" s="419"/>
      <c r="D852" s="419"/>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2.75">
      <c r="A853" s="415"/>
      <c r="B853" s="419"/>
      <c r="C853" s="419"/>
      <c r="D853" s="419"/>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2.75">
      <c r="A854" s="415"/>
      <c r="B854" s="419"/>
      <c r="C854" s="419"/>
      <c r="D854" s="419"/>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2.75">
      <c r="A855" s="415"/>
      <c r="B855" s="419"/>
      <c r="C855" s="419"/>
      <c r="D855" s="419"/>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2.75">
      <c r="A856" s="415"/>
      <c r="B856" s="419"/>
      <c r="C856" s="419"/>
      <c r="D856" s="419"/>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2.75">
      <c r="A857" s="415"/>
      <c r="B857" s="419"/>
      <c r="C857" s="419"/>
      <c r="D857" s="419"/>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2.75">
      <c r="A858" s="415"/>
      <c r="B858" s="419"/>
      <c r="C858" s="419"/>
      <c r="D858" s="419"/>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2.75">
      <c r="A859" s="415"/>
      <c r="B859" s="419"/>
      <c r="C859" s="419"/>
      <c r="D859" s="419"/>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2.75">
      <c r="A860" s="415"/>
      <c r="B860" s="419"/>
      <c r="C860" s="419"/>
      <c r="D860" s="419"/>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2.75">
      <c r="A861" s="415"/>
      <c r="B861" s="419"/>
      <c r="C861" s="419"/>
      <c r="D861" s="419"/>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2.75">
      <c r="A862" s="415"/>
      <c r="B862" s="419"/>
      <c r="C862" s="419"/>
      <c r="D862" s="419"/>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2.75">
      <c r="A863" s="415"/>
      <c r="B863" s="419"/>
      <c r="C863" s="419"/>
      <c r="D863" s="419"/>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2.75">
      <c r="A864" s="415"/>
      <c r="B864" s="419"/>
      <c r="C864" s="419"/>
      <c r="D864" s="419"/>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2.75">
      <c r="A865" s="415"/>
      <c r="B865" s="419"/>
      <c r="C865" s="419"/>
      <c r="D865" s="419"/>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2.75">
      <c r="A866" s="415"/>
      <c r="B866" s="419"/>
      <c r="C866" s="419"/>
      <c r="D866" s="419"/>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2.75">
      <c r="A867" s="415"/>
      <c r="B867" s="419"/>
      <c r="C867" s="419"/>
      <c r="D867" s="419"/>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2.75">
      <c r="A868" s="415"/>
      <c r="B868" s="419"/>
      <c r="C868" s="419"/>
      <c r="D868" s="419"/>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2.75">
      <c r="A869" s="415"/>
      <c r="B869" s="419"/>
      <c r="C869" s="419"/>
      <c r="D869" s="419"/>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2.75">
      <c r="A870" s="415"/>
      <c r="B870" s="419"/>
      <c r="C870" s="419"/>
      <c r="D870" s="419"/>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2.75">
      <c r="A871" s="415"/>
      <c r="B871" s="419"/>
      <c r="C871" s="419"/>
      <c r="D871" s="419"/>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2.75">
      <c r="A872" s="415"/>
      <c r="B872" s="419"/>
      <c r="C872" s="419"/>
      <c r="D872" s="419"/>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2.75">
      <c r="A873" s="415"/>
      <c r="B873" s="419"/>
      <c r="C873" s="419"/>
      <c r="D873" s="419"/>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2.75">
      <c r="A874" s="415"/>
      <c r="B874" s="419"/>
      <c r="C874" s="419"/>
      <c r="D874" s="419"/>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2.75">
      <c r="A875" s="415"/>
      <c r="B875" s="419"/>
      <c r="C875" s="419"/>
      <c r="D875" s="419"/>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2.75">
      <c r="A876" s="415"/>
      <c r="B876" s="419"/>
      <c r="C876" s="419"/>
      <c r="D876" s="419"/>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2.75">
      <c r="A877" s="415"/>
      <c r="B877" s="419"/>
      <c r="C877" s="419"/>
      <c r="D877" s="419"/>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2.75">
      <c r="A878" s="415"/>
      <c r="B878" s="419"/>
      <c r="C878" s="419"/>
      <c r="D878" s="419"/>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2.75">
      <c r="A879" s="415"/>
      <c r="B879" s="419"/>
      <c r="C879" s="419"/>
      <c r="D879" s="419"/>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2.75">
      <c r="A880" s="415"/>
      <c r="B880" s="419"/>
      <c r="C880" s="419"/>
      <c r="D880" s="419"/>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2.75">
      <c r="A881" s="415"/>
      <c r="B881" s="419"/>
      <c r="C881" s="419"/>
      <c r="D881" s="419"/>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2.75">
      <c r="A882" s="415"/>
      <c r="B882" s="419"/>
      <c r="C882" s="419"/>
      <c r="D882" s="419"/>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2.75">
      <c r="A883" s="415"/>
      <c r="B883" s="419"/>
      <c r="C883" s="419"/>
      <c r="D883" s="419"/>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2.75">
      <c r="A884" s="415"/>
      <c r="B884" s="419"/>
      <c r="C884" s="419"/>
      <c r="D884" s="419"/>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2.75">
      <c r="A885" s="415"/>
      <c r="B885" s="419"/>
      <c r="C885" s="419"/>
      <c r="D885" s="419"/>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2.75">
      <c r="A886" s="415"/>
      <c r="B886" s="419"/>
      <c r="C886" s="419"/>
      <c r="D886" s="419"/>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2.75">
      <c r="A887" s="415"/>
      <c r="B887" s="419"/>
      <c r="C887" s="419"/>
      <c r="D887" s="419"/>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2.75">
      <c r="A888" s="415"/>
      <c r="B888" s="419"/>
      <c r="C888" s="419"/>
      <c r="D888" s="419"/>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2.75">
      <c r="A889" s="415"/>
      <c r="B889" s="419"/>
      <c r="C889" s="419"/>
      <c r="D889" s="419"/>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2.75">
      <c r="A890" s="415"/>
      <c r="B890" s="419"/>
      <c r="C890" s="419"/>
      <c r="D890" s="419"/>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2.75">
      <c r="A891" s="415"/>
      <c r="B891" s="419"/>
      <c r="C891" s="419"/>
      <c r="D891" s="419"/>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2.75">
      <c r="A892" s="415"/>
      <c r="B892" s="419"/>
      <c r="C892" s="419"/>
      <c r="D892" s="419"/>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2.75">
      <c r="A893" s="415"/>
      <c r="B893" s="419"/>
      <c r="C893" s="419"/>
      <c r="D893" s="419"/>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2.75">
      <c r="A894" s="415"/>
      <c r="B894" s="419"/>
      <c r="C894" s="419"/>
      <c r="D894" s="419"/>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2.75">
      <c r="A895" s="415"/>
      <c r="B895" s="419"/>
      <c r="C895" s="419"/>
      <c r="D895" s="419"/>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2.75">
      <c r="A896" s="415"/>
      <c r="B896" s="419"/>
      <c r="C896" s="419"/>
      <c r="D896" s="419"/>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2.75">
      <c r="A897" s="415"/>
      <c r="B897" s="419"/>
      <c r="C897" s="419"/>
      <c r="D897" s="419"/>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2.75">
      <c r="A898" s="415"/>
      <c r="B898" s="419"/>
      <c r="C898" s="419"/>
      <c r="D898" s="419"/>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2.75">
      <c r="A899" s="415"/>
      <c r="B899" s="419"/>
      <c r="C899" s="419"/>
      <c r="D899" s="419"/>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2.75">
      <c r="A900" s="415"/>
      <c r="B900" s="419"/>
      <c r="C900" s="419"/>
      <c r="D900" s="419"/>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2.75">
      <c r="A901" s="415"/>
      <c r="B901" s="419"/>
      <c r="C901" s="419"/>
      <c r="D901" s="419"/>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2.75">
      <c r="A902" s="415"/>
      <c r="B902" s="419"/>
      <c r="C902" s="419"/>
      <c r="D902" s="419"/>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2.75">
      <c r="A903" s="415"/>
      <c r="B903" s="419"/>
      <c r="C903" s="419"/>
      <c r="D903" s="419"/>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2.75">
      <c r="A904" s="415"/>
      <c r="B904" s="419"/>
      <c r="C904" s="419"/>
      <c r="D904" s="419"/>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2.75">
      <c r="A905" s="415"/>
      <c r="B905" s="419"/>
      <c r="C905" s="419"/>
      <c r="D905" s="419"/>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2.75">
      <c r="A906" s="415"/>
      <c r="B906" s="419"/>
      <c r="C906" s="419"/>
      <c r="D906" s="419"/>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2.75">
      <c r="A907" s="415"/>
      <c r="B907" s="419"/>
      <c r="C907" s="419"/>
      <c r="D907" s="419"/>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2.75">
      <c r="A908" s="415"/>
      <c r="B908" s="419"/>
      <c r="C908" s="419"/>
      <c r="D908" s="419"/>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2.75">
      <c r="A909" s="415"/>
      <c r="B909" s="419"/>
      <c r="C909" s="419"/>
      <c r="D909" s="419"/>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2.75">
      <c r="A910" s="415"/>
      <c r="B910" s="419"/>
      <c r="C910" s="419"/>
      <c r="D910" s="419"/>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2.75">
      <c r="A911" s="415"/>
      <c r="B911" s="419"/>
      <c r="C911" s="419"/>
      <c r="D911" s="419"/>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2.75">
      <c r="A912" s="415"/>
      <c r="B912" s="419"/>
      <c r="C912" s="419"/>
      <c r="D912" s="419"/>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2.75">
      <c r="A913" s="415"/>
      <c r="B913" s="419"/>
      <c r="C913" s="419"/>
      <c r="D913" s="419"/>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2.75">
      <c r="A914" s="415"/>
      <c r="B914" s="419"/>
      <c r="C914" s="419"/>
      <c r="D914" s="419"/>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2.75">
      <c r="A915" s="415"/>
      <c r="B915" s="419"/>
      <c r="C915" s="419"/>
      <c r="D915" s="419"/>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2.75">
      <c r="A916" s="415"/>
      <c r="B916" s="419"/>
      <c r="C916" s="419"/>
      <c r="D916" s="419"/>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2.75">
      <c r="A917" s="415"/>
      <c r="B917" s="419"/>
      <c r="C917" s="419"/>
      <c r="D917" s="419"/>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2.75">
      <c r="A918" s="415"/>
      <c r="B918" s="419"/>
      <c r="C918" s="419"/>
      <c r="D918" s="419"/>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2.75">
      <c r="A919" s="415"/>
      <c r="B919" s="419"/>
      <c r="C919" s="419"/>
      <c r="D919" s="419"/>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2.75">
      <c r="A920" s="415"/>
      <c r="B920" s="419"/>
      <c r="C920" s="419"/>
      <c r="D920" s="419"/>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2.75">
      <c r="A921" s="415"/>
      <c r="B921" s="419"/>
      <c r="C921" s="419"/>
      <c r="D921" s="419"/>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2.75">
      <c r="A922" s="415"/>
      <c r="B922" s="419"/>
      <c r="C922" s="419"/>
      <c r="D922" s="419"/>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2.75">
      <c r="A923" s="415"/>
      <c r="B923" s="419"/>
      <c r="C923" s="419"/>
      <c r="D923" s="419"/>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2.75">
      <c r="A924" s="415"/>
      <c r="B924" s="419"/>
      <c r="C924" s="419"/>
      <c r="D924" s="419"/>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2.75">
      <c r="A925" s="415"/>
      <c r="B925" s="419"/>
      <c r="C925" s="419"/>
      <c r="D925" s="419"/>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2.75">
      <c r="A926" s="415"/>
      <c r="B926" s="419"/>
      <c r="C926" s="419"/>
      <c r="D926" s="419"/>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2.75">
      <c r="A927" s="415"/>
      <c r="B927" s="419"/>
      <c r="C927" s="419"/>
      <c r="D927" s="419"/>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2.75">
      <c r="A928" s="415"/>
      <c r="B928" s="419"/>
      <c r="C928" s="419"/>
      <c r="D928" s="419"/>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2.75">
      <c r="A929" s="415"/>
      <c r="B929" s="419"/>
      <c r="C929" s="419"/>
      <c r="D929" s="419"/>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2.75">
      <c r="A930" s="415"/>
      <c r="B930" s="419"/>
      <c r="C930" s="419"/>
      <c r="D930" s="419"/>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2.75">
      <c r="A931" s="415"/>
      <c r="B931" s="419"/>
      <c r="C931" s="419"/>
      <c r="D931" s="419"/>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2.75">
      <c r="A932" s="415"/>
      <c r="B932" s="419"/>
      <c r="C932" s="419"/>
      <c r="D932" s="419"/>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2.75">
      <c r="A933" s="415"/>
      <c r="B933" s="419"/>
      <c r="C933" s="419"/>
      <c r="D933" s="419"/>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2.75">
      <c r="A934" s="415"/>
      <c r="B934" s="419"/>
      <c r="C934" s="419"/>
      <c r="D934" s="419"/>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2.75">
      <c r="A935" s="415"/>
      <c r="B935" s="419"/>
      <c r="C935" s="419"/>
      <c r="D935" s="419"/>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2.75">
      <c r="A936" s="415"/>
      <c r="B936" s="419"/>
      <c r="C936" s="419"/>
      <c r="D936" s="419"/>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2.75">
      <c r="A937" s="415"/>
      <c r="B937" s="419"/>
      <c r="C937" s="419"/>
      <c r="D937" s="419"/>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2.75">
      <c r="A938" s="415"/>
      <c r="B938" s="419"/>
      <c r="C938" s="419"/>
      <c r="D938" s="419"/>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2.75">
      <c r="A939" s="415"/>
      <c r="B939" s="419"/>
      <c r="C939" s="419"/>
      <c r="D939" s="419"/>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2.75">
      <c r="A940" s="415"/>
      <c r="B940" s="419"/>
      <c r="C940" s="419"/>
      <c r="D940" s="419"/>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2.75">
      <c r="A941" s="415"/>
      <c r="B941" s="419"/>
      <c r="C941" s="419"/>
      <c r="D941" s="419"/>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2.75">
      <c r="A942" s="415"/>
      <c r="B942" s="419"/>
      <c r="C942" s="419"/>
      <c r="D942" s="419"/>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2.75">
      <c r="A943" s="415"/>
      <c r="B943" s="419"/>
      <c r="C943" s="419"/>
      <c r="D943" s="419"/>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2.75">
      <c r="A944" s="415"/>
      <c r="B944" s="419"/>
      <c r="C944" s="419"/>
      <c r="D944" s="419"/>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2.75">
      <c r="A945" s="415"/>
      <c r="B945" s="419"/>
      <c r="C945" s="419"/>
      <c r="D945" s="419"/>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2.75">
      <c r="A946" s="415"/>
      <c r="B946" s="419"/>
      <c r="C946" s="419"/>
      <c r="D946" s="419"/>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2.75">
      <c r="A947" s="415"/>
      <c r="B947" s="419"/>
      <c r="C947" s="419"/>
      <c r="D947" s="419"/>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2.75">
      <c r="A948" s="415"/>
      <c r="B948" s="419"/>
      <c r="C948" s="419"/>
      <c r="D948" s="419"/>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2.75">
      <c r="A949" s="415"/>
      <c r="B949" s="419"/>
      <c r="C949" s="419"/>
      <c r="D949" s="419"/>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2.75">
      <c r="A950" s="415"/>
      <c r="B950" s="419"/>
      <c r="C950" s="419"/>
      <c r="D950" s="419"/>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2.75">
      <c r="A951" s="415"/>
      <c r="B951" s="419"/>
      <c r="C951" s="419"/>
      <c r="D951" s="419"/>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2.75">
      <c r="A952" s="415"/>
      <c r="B952" s="419"/>
      <c r="C952" s="419"/>
      <c r="D952" s="419"/>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2.75">
      <c r="A953" s="415"/>
      <c r="B953" s="419"/>
      <c r="C953" s="419"/>
      <c r="D953" s="419"/>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2.75">
      <c r="A954" s="415"/>
      <c r="B954" s="419"/>
      <c r="C954" s="419"/>
      <c r="D954" s="419"/>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2.75">
      <c r="A955" s="415"/>
      <c r="B955" s="419"/>
      <c r="C955" s="419"/>
      <c r="D955" s="419"/>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2.75">
      <c r="A956" s="415"/>
      <c r="B956" s="419"/>
      <c r="C956" s="419"/>
      <c r="D956" s="419"/>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2.75">
      <c r="A957" s="415"/>
      <c r="B957" s="419"/>
      <c r="C957" s="419"/>
      <c r="D957" s="419"/>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2.75">
      <c r="A958" s="415"/>
      <c r="B958" s="419"/>
      <c r="C958" s="419"/>
      <c r="D958" s="419"/>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2.75">
      <c r="A959" s="415"/>
      <c r="B959" s="419"/>
      <c r="C959" s="419"/>
      <c r="D959" s="419"/>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2.75">
      <c r="A960" s="415"/>
      <c r="B960" s="419"/>
      <c r="C960" s="419"/>
      <c r="D960" s="419"/>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2.75">
      <c r="A961" s="415"/>
      <c r="B961" s="419"/>
      <c r="C961" s="419"/>
      <c r="D961" s="419"/>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2.75">
      <c r="A962" s="415"/>
      <c r="B962" s="419"/>
      <c r="C962" s="419"/>
      <c r="D962" s="419"/>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2.75">
      <c r="A963" s="415"/>
      <c r="B963" s="419"/>
      <c r="C963" s="419"/>
      <c r="D963" s="419"/>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2.75">
      <c r="A964" s="415"/>
      <c r="B964" s="419"/>
      <c r="C964" s="419"/>
      <c r="D964" s="419"/>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2.75">
      <c r="A965" s="415"/>
      <c r="B965" s="419"/>
      <c r="C965" s="419"/>
      <c r="D965" s="419"/>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2.75">
      <c r="A966" s="415"/>
      <c r="B966" s="419"/>
      <c r="C966" s="419"/>
      <c r="D966" s="419"/>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2.75">
      <c r="A967" s="415"/>
      <c r="B967" s="419"/>
      <c r="C967" s="419"/>
      <c r="D967" s="419"/>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2.75">
      <c r="A968" s="415"/>
      <c r="B968" s="419"/>
      <c r="C968" s="419"/>
      <c r="D968" s="419"/>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2.75">
      <c r="A969" s="415"/>
      <c r="B969" s="419"/>
      <c r="C969" s="419"/>
      <c r="D969" s="419"/>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2.75">
      <c r="A970" s="415"/>
      <c r="B970" s="419"/>
      <c r="C970" s="419"/>
      <c r="D970" s="419"/>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2.75">
      <c r="A971" s="415"/>
      <c r="B971" s="419"/>
      <c r="C971" s="419"/>
      <c r="D971" s="419"/>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2.75">
      <c r="A972" s="415"/>
      <c r="B972" s="419"/>
      <c r="C972" s="419"/>
      <c r="D972" s="419"/>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2.75">
      <c r="A973" s="415"/>
      <c r="B973" s="419"/>
      <c r="C973" s="419"/>
      <c r="D973" s="419"/>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2.75">
      <c r="A974" s="415"/>
      <c r="B974" s="419"/>
      <c r="C974" s="419"/>
      <c r="D974" s="419"/>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2.75">
      <c r="A975" s="415"/>
      <c r="B975" s="419"/>
      <c r="C975" s="419"/>
      <c r="D975" s="419"/>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2.75">
      <c r="A976" s="415"/>
      <c r="B976" s="419"/>
      <c r="C976" s="419"/>
      <c r="D976" s="419"/>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2.75">
      <c r="A977" s="415"/>
      <c r="B977" s="419"/>
      <c r="C977" s="419"/>
      <c r="D977" s="419"/>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2.75">
      <c r="A978" s="415"/>
      <c r="B978" s="419"/>
      <c r="C978" s="419"/>
      <c r="D978" s="419"/>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2.75">
      <c r="A979" s="415"/>
      <c r="B979" s="419"/>
      <c r="C979" s="419"/>
      <c r="D979" s="419"/>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2.75">
      <c r="A980" s="415"/>
      <c r="B980" s="419"/>
      <c r="C980" s="419"/>
      <c r="D980" s="419"/>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2.75">
      <c r="A981" s="415"/>
      <c r="B981" s="419"/>
      <c r="C981" s="419"/>
      <c r="D981" s="419"/>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2.75">
      <c r="A982" s="415"/>
      <c r="B982" s="419"/>
      <c r="C982" s="419"/>
      <c r="D982" s="419"/>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2.75">
      <c r="A983" s="415"/>
      <c r="B983" s="419"/>
      <c r="C983" s="419"/>
      <c r="D983" s="419"/>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2.75">
      <c r="A984" s="415"/>
      <c r="B984" s="419"/>
      <c r="C984" s="419"/>
      <c r="D984" s="419"/>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2.75">
      <c r="A985" s="415"/>
      <c r="B985" s="419"/>
      <c r="C985" s="419"/>
      <c r="D985" s="419"/>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2.75">
      <c r="A986" s="415"/>
      <c r="B986" s="419"/>
      <c r="C986" s="419"/>
      <c r="D986" s="419"/>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2.75">
      <c r="A987" s="415"/>
      <c r="B987" s="419"/>
      <c r="C987" s="419"/>
      <c r="D987" s="419"/>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2.75">
      <c r="A988" s="415"/>
      <c r="B988" s="419"/>
      <c r="C988" s="419"/>
      <c r="D988" s="419"/>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2.75">
      <c r="A989" s="415"/>
      <c r="B989" s="419"/>
      <c r="C989" s="419"/>
      <c r="D989" s="419"/>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2.75">
      <c r="A990" s="415"/>
      <c r="B990" s="419"/>
      <c r="C990" s="419"/>
      <c r="D990" s="419"/>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2.75">
      <c r="A991" s="415"/>
      <c r="B991" s="419"/>
      <c r="C991" s="419"/>
      <c r="D991" s="419"/>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2.75">
      <c r="A992" s="415"/>
      <c r="B992" s="419"/>
      <c r="C992" s="419"/>
      <c r="D992" s="419"/>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2.75">
      <c r="A993" s="415"/>
      <c r="B993" s="419"/>
      <c r="C993" s="419"/>
      <c r="D993" s="419"/>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2.75">
      <c r="A994" s="415"/>
      <c r="B994" s="419"/>
      <c r="C994" s="419"/>
      <c r="D994" s="419"/>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2.75">
      <c r="A995" s="415"/>
      <c r="B995" s="419"/>
      <c r="C995" s="419"/>
      <c r="D995" s="419"/>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2.75">
      <c r="A996" s="415"/>
      <c r="B996" s="419"/>
      <c r="C996" s="419"/>
      <c r="D996" s="419"/>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2.75">
      <c r="A997" s="415"/>
      <c r="B997" s="419"/>
      <c r="C997" s="419"/>
      <c r="D997" s="419"/>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2.75">
      <c r="A998" s="415"/>
      <c r="B998" s="419"/>
      <c r="C998" s="419"/>
      <c r="D998" s="419"/>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2.75">
      <c r="A999" s="415"/>
      <c r="B999" s="419"/>
      <c r="C999" s="419"/>
      <c r="D999" s="419"/>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2.75">
      <c r="A1000" s="415"/>
      <c r="B1000" s="419"/>
      <c r="C1000" s="419"/>
      <c r="D1000" s="419"/>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row r="1001" spans="1:26" ht="12.75">
      <c r="A1001" s="415"/>
      <c r="B1001" s="419"/>
      <c r="C1001" s="419"/>
      <c r="D1001" s="419"/>
      <c r="E1001" s="116"/>
      <c r="F1001" s="116"/>
      <c r="G1001" s="116"/>
      <c r="H1001" s="116"/>
      <c r="I1001" s="116"/>
      <c r="J1001" s="116"/>
      <c r="K1001" s="116"/>
      <c r="L1001" s="116"/>
      <c r="M1001" s="116"/>
      <c r="N1001" s="116"/>
      <c r="O1001" s="116"/>
      <c r="P1001" s="116"/>
      <c r="Q1001" s="116"/>
      <c r="R1001" s="116"/>
      <c r="S1001" s="116"/>
      <c r="T1001" s="116"/>
      <c r="U1001" s="116"/>
      <c r="V1001" s="116"/>
      <c r="W1001" s="116"/>
      <c r="X1001" s="116"/>
      <c r="Y1001" s="116"/>
      <c r="Z1001" s="116"/>
    </row>
    <row r="1002" spans="1:26" ht="12.75">
      <c r="A1002" s="415"/>
      <c r="B1002" s="419"/>
      <c r="C1002" s="419"/>
      <c r="D1002" s="419"/>
      <c r="E1002" s="116"/>
      <c r="F1002" s="116"/>
      <c r="G1002" s="116"/>
      <c r="H1002" s="116"/>
      <c r="I1002" s="116"/>
      <c r="J1002" s="116"/>
      <c r="K1002" s="116"/>
      <c r="L1002" s="116"/>
      <c r="M1002" s="116"/>
      <c r="N1002" s="116"/>
      <c r="O1002" s="116"/>
      <c r="P1002" s="116"/>
      <c r="Q1002" s="116"/>
      <c r="R1002" s="116"/>
      <c r="S1002" s="116"/>
      <c r="T1002" s="116"/>
      <c r="U1002" s="116"/>
      <c r="V1002" s="116"/>
      <c r="W1002" s="116"/>
      <c r="X1002" s="116"/>
      <c r="Y1002" s="116"/>
      <c r="Z1002" s="116"/>
    </row>
    <row r="1003" spans="1:26" ht="12.75">
      <c r="A1003" s="415"/>
      <c r="B1003" s="419"/>
      <c r="C1003" s="419"/>
      <c r="D1003" s="419"/>
      <c r="E1003" s="116"/>
      <c r="F1003" s="116"/>
      <c r="G1003" s="116"/>
      <c r="H1003" s="116"/>
      <c r="I1003" s="116"/>
      <c r="J1003" s="116"/>
      <c r="K1003" s="116"/>
      <c r="L1003" s="116"/>
      <c r="M1003" s="116"/>
      <c r="N1003" s="116"/>
      <c r="O1003" s="116"/>
      <c r="P1003" s="116"/>
      <c r="Q1003" s="116"/>
      <c r="R1003" s="116"/>
      <c r="S1003" s="116"/>
      <c r="T1003" s="116"/>
      <c r="U1003" s="116"/>
      <c r="V1003" s="116"/>
      <c r="W1003" s="116"/>
      <c r="X1003" s="116"/>
      <c r="Y1003" s="116"/>
      <c r="Z1003" s="116"/>
    </row>
    <row r="1004" spans="1:26" ht="12.75">
      <c r="A1004" s="415"/>
      <c r="B1004" s="419"/>
      <c r="C1004" s="419"/>
      <c r="D1004" s="419"/>
      <c r="E1004" s="116"/>
      <c r="F1004" s="116"/>
      <c r="G1004" s="116"/>
      <c r="H1004" s="116"/>
      <c r="I1004" s="116"/>
      <c r="J1004" s="116"/>
      <c r="K1004" s="116"/>
      <c r="L1004" s="116"/>
      <c r="M1004" s="116"/>
      <c r="N1004" s="116"/>
      <c r="O1004" s="116"/>
      <c r="P1004" s="116"/>
      <c r="Q1004" s="116"/>
      <c r="R1004" s="116"/>
      <c r="S1004" s="116"/>
      <c r="T1004" s="116"/>
      <c r="U1004" s="116"/>
      <c r="V1004" s="116"/>
      <c r="W1004" s="116"/>
      <c r="X1004" s="116"/>
      <c r="Y1004" s="116"/>
      <c r="Z1004" s="116"/>
    </row>
    <row r="1005" spans="1:26" ht="12.75">
      <c r="A1005" s="415"/>
      <c r="B1005" s="419"/>
      <c r="C1005" s="419"/>
      <c r="D1005" s="419"/>
      <c r="E1005" s="116"/>
      <c r="F1005" s="116"/>
      <c r="G1005" s="116"/>
      <c r="H1005" s="116"/>
      <c r="I1005" s="116"/>
      <c r="J1005" s="116"/>
      <c r="K1005" s="116"/>
      <c r="L1005" s="116"/>
      <c r="M1005" s="116"/>
      <c r="N1005" s="116"/>
      <c r="O1005" s="116"/>
      <c r="P1005" s="116"/>
      <c r="Q1005" s="116"/>
      <c r="R1005" s="116"/>
      <c r="S1005" s="116"/>
      <c r="T1005" s="116"/>
      <c r="U1005" s="116"/>
      <c r="V1005" s="116"/>
      <c r="W1005" s="116"/>
      <c r="X1005" s="116"/>
      <c r="Y1005" s="116"/>
      <c r="Z1005" s="116"/>
    </row>
    <row r="1006" spans="1:26" ht="12.75">
      <c r="A1006" s="415"/>
      <c r="B1006" s="419"/>
      <c r="C1006" s="419"/>
      <c r="D1006" s="419"/>
      <c r="E1006" s="116"/>
      <c r="F1006" s="116"/>
      <c r="G1006" s="116"/>
      <c r="H1006" s="116"/>
      <c r="I1006" s="116"/>
      <c r="J1006" s="116"/>
      <c r="K1006" s="116"/>
      <c r="L1006" s="116"/>
      <c r="M1006" s="116"/>
      <c r="N1006" s="116"/>
      <c r="O1006" s="116"/>
      <c r="P1006" s="116"/>
      <c r="Q1006" s="116"/>
      <c r="R1006" s="116"/>
      <c r="S1006" s="116"/>
      <c r="T1006" s="116"/>
      <c r="U1006" s="116"/>
      <c r="V1006" s="116"/>
      <c r="W1006" s="116"/>
      <c r="X1006" s="116"/>
      <c r="Y1006" s="116"/>
      <c r="Z1006" s="116"/>
    </row>
    <row r="1007" spans="1:26" ht="12.75">
      <c r="A1007" s="415"/>
      <c r="B1007" s="419"/>
      <c r="C1007" s="419"/>
      <c r="D1007" s="419"/>
      <c r="E1007" s="116"/>
      <c r="F1007" s="116"/>
      <c r="G1007" s="116"/>
      <c r="H1007" s="116"/>
      <c r="I1007" s="116"/>
      <c r="J1007" s="116"/>
      <c r="K1007" s="116"/>
      <c r="L1007" s="116"/>
      <c r="M1007" s="116"/>
      <c r="N1007" s="116"/>
      <c r="O1007" s="116"/>
      <c r="P1007" s="116"/>
      <c r="Q1007" s="116"/>
      <c r="R1007" s="116"/>
      <c r="S1007" s="116"/>
      <c r="T1007" s="116"/>
      <c r="U1007" s="116"/>
      <c r="V1007" s="116"/>
      <c r="W1007" s="116"/>
      <c r="X1007" s="116"/>
      <c r="Y1007" s="116"/>
      <c r="Z1007" s="116"/>
    </row>
    <row r="1008" spans="1:26" ht="12.75">
      <c r="A1008" s="415"/>
      <c r="B1008" s="419"/>
      <c r="C1008" s="419"/>
      <c r="D1008" s="419"/>
      <c r="E1008" s="116"/>
      <c r="F1008" s="116"/>
      <c r="G1008" s="116"/>
      <c r="H1008" s="116"/>
      <c r="I1008" s="116"/>
      <c r="J1008" s="116"/>
      <c r="K1008" s="116"/>
      <c r="L1008" s="116"/>
      <c r="M1008" s="116"/>
      <c r="N1008" s="116"/>
      <c r="O1008" s="116"/>
      <c r="P1008" s="116"/>
      <c r="Q1008" s="116"/>
      <c r="R1008" s="116"/>
      <c r="S1008" s="116"/>
      <c r="T1008" s="116"/>
      <c r="U1008" s="116"/>
      <c r="V1008" s="116"/>
      <c r="W1008" s="116"/>
      <c r="X1008" s="116"/>
      <c r="Y1008" s="116"/>
      <c r="Z1008" s="116"/>
    </row>
    <row r="1009" spans="1:26" ht="12.75">
      <c r="A1009" s="415"/>
      <c r="B1009" s="419"/>
      <c r="C1009" s="419"/>
      <c r="D1009" s="419"/>
      <c r="E1009" s="116"/>
      <c r="F1009" s="116"/>
      <c r="G1009" s="116"/>
      <c r="H1009" s="116"/>
      <c r="I1009" s="116"/>
      <c r="J1009" s="116"/>
      <c r="K1009" s="116"/>
      <c r="L1009" s="116"/>
      <c r="M1009" s="116"/>
      <c r="N1009" s="116"/>
      <c r="O1009" s="116"/>
      <c r="P1009" s="116"/>
      <c r="Q1009" s="116"/>
      <c r="R1009" s="116"/>
      <c r="S1009" s="116"/>
      <c r="T1009" s="116"/>
      <c r="U1009" s="116"/>
      <c r="V1009" s="116"/>
      <c r="W1009" s="116"/>
      <c r="X1009" s="116"/>
      <c r="Y1009" s="116"/>
      <c r="Z1009" s="116"/>
    </row>
    <row r="1010" spans="1:26" ht="12.75">
      <c r="A1010" s="415"/>
      <c r="B1010" s="419"/>
      <c r="C1010" s="419"/>
      <c r="D1010" s="419"/>
      <c r="E1010" s="116"/>
      <c r="F1010" s="116"/>
      <c r="G1010" s="116"/>
      <c r="H1010" s="116"/>
      <c r="I1010" s="116"/>
      <c r="J1010" s="116"/>
      <c r="K1010" s="116"/>
      <c r="L1010" s="116"/>
      <c r="M1010" s="116"/>
      <c r="N1010" s="116"/>
      <c r="O1010" s="116"/>
      <c r="P1010" s="116"/>
      <c r="Q1010" s="116"/>
      <c r="R1010" s="116"/>
      <c r="S1010" s="116"/>
      <c r="T1010" s="116"/>
      <c r="U1010" s="116"/>
      <c r="V1010" s="116"/>
      <c r="W1010" s="116"/>
      <c r="X1010" s="116"/>
      <c r="Y1010" s="116"/>
      <c r="Z1010" s="116"/>
    </row>
    <row r="1011" spans="1:26" ht="12.75">
      <c r="A1011" s="415"/>
      <c r="B1011" s="419"/>
      <c r="C1011" s="419"/>
      <c r="D1011" s="419"/>
      <c r="E1011" s="116"/>
      <c r="F1011" s="116"/>
      <c r="G1011" s="116"/>
      <c r="H1011" s="116"/>
      <c r="I1011" s="116"/>
      <c r="J1011" s="116"/>
      <c r="K1011" s="116"/>
      <c r="L1011" s="116"/>
      <c r="M1011" s="116"/>
      <c r="N1011" s="116"/>
      <c r="O1011" s="116"/>
      <c r="P1011" s="116"/>
      <c r="Q1011" s="116"/>
      <c r="R1011" s="116"/>
      <c r="S1011" s="116"/>
      <c r="T1011" s="116"/>
      <c r="U1011" s="116"/>
      <c r="V1011" s="116"/>
      <c r="W1011" s="116"/>
      <c r="X1011" s="116"/>
      <c r="Y1011" s="116"/>
      <c r="Z1011" s="116"/>
    </row>
    <row r="1012" spans="1:26" ht="12.75">
      <c r="A1012" s="415"/>
      <c r="B1012" s="419"/>
      <c r="C1012" s="419"/>
      <c r="D1012" s="419"/>
      <c r="E1012" s="116"/>
      <c r="F1012" s="116"/>
      <c r="G1012" s="116"/>
      <c r="H1012" s="116"/>
      <c r="I1012" s="116"/>
      <c r="J1012" s="116"/>
      <c r="K1012" s="116"/>
      <c r="L1012" s="116"/>
      <c r="M1012" s="116"/>
      <c r="N1012" s="116"/>
      <c r="O1012" s="116"/>
      <c r="P1012" s="116"/>
      <c r="Q1012" s="116"/>
      <c r="R1012" s="116"/>
      <c r="S1012" s="116"/>
      <c r="T1012" s="116"/>
      <c r="U1012" s="116"/>
      <c r="V1012" s="116"/>
      <c r="W1012" s="116"/>
      <c r="X1012" s="116"/>
      <c r="Y1012" s="116"/>
      <c r="Z1012" s="116"/>
    </row>
    <row r="1013" spans="1:26" ht="12.75">
      <c r="A1013" s="415"/>
      <c r="B1013" s="419"/>
      <c r="C1013" s="419"/>
      <c r="D1013" s="419"/>
      <c r="E1013" s="116"/>
      <c r="F1013" s="116"/>
      <c r="G1013" s="116"/>
      <c r="H1013" s="116"/>
      <c r="I1013" s="116"/>
      <c r="J1013" s="116"/>
      <c r="K1013" s="116"/>
      <c r="L1013" s="116"/>
      <c r="M1013" s="116"/>
      <c r="N1013" s="116"/>
      <c r="O1013" s="116"/>
      <c r="P1013" s="116"/>
      <c r="Q1013" s="116"/>
      <c r="R1013" s="116"/>
      <c r="S1013" s="116"/>
      <c r="T1013" s="116"/>
      <c r="U1013" s="116"/>
      <c r="V1013" s="116"/>
      <c r="W1013" s="116"/>
      <c r="X1013" s="116"/>
      <c r="Y1013" s="116"/>
      <c r="Z1013" s="116"/>
    </row>
    <row r="1014" spans="1:26" ht="12.75">
      <c r="A1014" s="415"/>
      <c r="B1014" s="419"/>
      <c r="C1014" s="419"/>
      <c r="D1014" s="419"/>
      <c r="E1014" s="116"/>
      <c r="F1014" s="116"/>
      <c r="G1014" s="116"/>
      <c r="H1014" s="116"/>
      <c r="I1014" s="116"/>
      <c r="J1014" s="116"/>
      <c r="K1014" s="116"/>
      <c r="L1014" s="116"/>
      <c r="M1014" s="116"/>
      <c r="N1014" s="116"/>
      <c r="O1014" s="116"/>
      <c r="P1014" s="116"/>
      <c r="Q1014" s="116"/>
      <c r="R1014" s="116"/>
      <c r="S1014" s="116"/>
      <c r="T1014" s="116"/>
      <c r="U1014" s="116"/>
      <c r="V1014" s="116"/>
      <c r="W1014" s="116"/>
      <c r="X1014" s="116"/>
      <c r="Y1014" s="116"/>
      <c r="Z1014" s="116"/>
    </row>
    <row r="1015" spans="1:26" ht="12.75">
      <c r="A1015" s="415"/>
      <c r="B1015" s="419"/>
      <c r="C1015" s="419"/>
      <c r="D1015" s="419"/>
      <c r="E1015" s="116"/>
      <c r="F1015" s="116"/>
      <c r="G1015" s="116"/>
      <c r="H1015" s="116"/>
      <c r="I1015" s="116"/>
      <c r="J1015" s="116"/>
      <c r="K1015" s="116"/>
      <c r="L1015" s="116"/>
      <c r="M1015" s="116"/>
      <c r="N1015" s="116"/>
      <c r="O1015" s="116"/>
      <c r="P1015" s="116"/>
      <c r="Q1015" s="116"/>
      <c r="R1015" s="116"/>
      <c r="S1015" s="116"/>
      <c r="T1015" s="116"/>
      <c r="U1015" s="116"/>
      <c r="V1015" s="116"/>
      <c r="W1015" s="116"/>
      <c r="X1015" s="116"/>
      <c r="Y1015" s="116"/>
      <c r="Z1015" s="116"/>
    </row>
    <row r="1016" spans="1:26" ht="12.75">
      <c r="A1016" s="415"/>
      <c r="B1016" s="419"/>
      <c r="C1016" s="419"/>
      <c r="D1016" s="419"/>
      <c r="E1016" s="116"/>
      <c r="F1016" s="116"/>
      <c r="G1016" s="116"/>
      <c r="H1016" s="116"/>
      <c r="I1016" s="116"/>
      <c r="J1016" s="116"/>
      <c r="K1016" s="116"/>
      <c r="L1016" s="116"/>
      <c r="M1016" s="116"/>
      <c r="N1016" s="116"/>
      <c r="O1016" s="116"/>
      <c r="P1016" s="116"/>
      <c r="Q1016" s="116"/>
      <c r="R1016" s="116"/>
      <c r="S1016" s="116"/>
      <c r="T1016" s="116"/>
      <c r="U1016" s="116"/>
      <c r="V1016" s="116"/>
      <c r="W1016" s="116"/>
      <c r="X1016" s="116"/>
      <c r="Y1016" s="116"/>
      <c r="Z1016" s="116"/>
    </row>
    <row r="1017" spans="1:26" ht="12.75">
      <c r="A1017" s="415"/>
      <c r="B1017" s="419"/>
      <c r="C1017" s="419"/>
      <c r="D1017" s="419"/>
      <c r="E1017" s="116"/>
      <c r="F1017" s="116"/>
      <c r="G1017" s="116"/>
      <c r="H1017" s="116"/>
      <c r="I1017" s="116"/>
      <c r="J1017" s="116"/>
      <c r="K1017" s="116"/>
      <c r="L1017" s="116"/>
      <c r="M1017" s="116"/>
      <c r="N1017" s="116"/>
      <c r="O1017" s="116"/>
      <c r="P1017" s="116"/>
      <c r="Q1017" s="116"/>
      <c r="R1017" s="116"/>
      <c r="S1017" s="116"/>
      <c r="T1017" s="116"/>
      <c r="U1017" s="116"/>
      <c r="V1017" s="116"/>
      <c r="W1017" s="116"/>
      <c r="X1017" s="116"/>
      <c r="Y1017" s="116"/>
      <c r="Z1017" s="116"/>
    </row>
    <row r="1018" spans="1:26" ht="12.75">
      <c r="A1018" s="415"/>
      <c r="B1018" s="419"/>
      <c r="C1018" s="419"/>
      <c r="D1018" s="419"/>
      <c r="E1018" s="116"/>
      <c r="F1018" s="116"/>
      <c r="G1018" s="116"/>
      <c r="H1018" s="116"/>
      <c r="I1018" s="116"/>
      <c r="J1018" s="116"/>
      <c r="K1018" s="116"/>
      <c r="L1018" s="116"/>
      <c r="M1018" s="116"/>
      <c r="N1018" s="116"/>
      <c r="O1018" s="116"/>
      <c r="P1018" s="116"/>
      <c r="Q1018" s="116"/>
      <c r="R1018" s="116"/>
      <c r="S1018" s="116"/>
      <c r="T1018" s="116"/>
      <c r="U1018" s="116"/>
      <c r="V1018" s="116"/>
      <c r="W1018" s="116"/>
      <c r="X1018" s="116"/>
      <c r="Y1018" s="116"/>
      <c r="Z1018" s="116"/>
    </row>
    <row r="1019" spans="1:26" ht="12.75">
      <c r="A1019" s="415"/>
      <c r="B1019" s="419"/>
      <c r="C1019" s="419"/>
      <c r="D1019" s="419"/>
      <c r="E1019" s="116"/>
      <c r="F1019" s="116"/>
      <c r="G1019" s="116"/>
      <c r="H1019" s="116"/>
      <c r="I1019" s="116"/>
      <c r="J1019" s="116"/>
      <c r="K1019" s="116"/>
      <c r="L1019" s="116"/>
      <c r="M1019" s="116"/>
      <c r="N1019" s="116"/>
      <c r="O1019" s="116"/>
      <c r="P1019" s="116"/>
      <c r="Q1019" s="116"/>
      <c r="R1019" s="116"/>
      <c r="S1019" s="116"/>
      <c r="T1019" s="116"/>
      <c r="U1019" s="116"/>
      <c r="V1019" s="116"/>
      <c r="W1019" s="116"/>
      <c r="X1019" s="116"/>
      <c r="Y1019" s="116"/>
      <c r="Z1019" s="116"/>
    </row>
    <row r="1020" spans="1:26" ht="12.75">
      <c r="A1020" s="415"/>
      <c r="B1020" s="419"/>
      <c r="C1020" s="419"/>
      <c r="D1020" s="419"/>
      <c r="E1020" s="116"/>
      <c r="F1020" s="116"/>
      <c r="G1020" s="116"/>
      <c r="H1020" s="116"/>
      <c r="I1020" s="116"/>
      <c r="J1020" s="116"/>
      <c r="K1020" s="116"/>
      <c r="L1020" s="116"/>
      <c r="M1020" s="116"/>
      <c r="N1020" s="116"/>
      <c r="O1020" s="116"/>
      <c r="P1020" s="116"/>
      <c r="Q1020" s="116"/>
      <c r="R1020" s="116"/>
      <c r="S1020" s="116"/>
      <c r="T1020" s="116"/>
      <c r="U1020" s="116"/>
      <c r="V1020" s="116"/>
      <c r="W1020" s="116"/>
      <c r="X1020" s="116"/>
      <c r="Y1020" s="116"/>
      <c r="Z1020" s="116"/>
    </row>
    <row r="1021" spans="1:26" ht="12.75">
      <c r="A1021" s="415"/>
      <c r="B1021" s="419"/>
      <c r="C1021" s="419"/>
      <c r="D1021" s="419"/>
      <c r="E1021" s="116"/>
      <c r="F1021" s="116"/>
      <c r="G1021" s="116"/>
      <c r="H1021" s="116"/>
      <c r="I1021" s="116"/>
      <c r="J1021" s="116"/>
      <c r="K1021" s="116"/>
      <c r="L1021" s="116"/>
      <c r="M1021" s="116"/>
      <c r="N1021" s="116"/>
      <c r="O1021" s="116"/>
      <c r="P1021" s="116"/>
      <c r="Q1021" s="116"/>
      <c r="R1021" s="116"/>
      <c r="S1021" s="116"/>
      <c r="T1021" s="116"/>
      <c r="U1021" s="116"/>
      <c r="V1021" s="116"/>
      <c r="W1021" s="116"/>
      <c r="X1021" s="116"/>
      <c r="Y1021" s="116"/>
      <c r="Z1021" s="116"/>
    </row>
    <row r="1022" spans="1:26" ht="12.75">
      <c r="A1022" s="415"/>
      <c r="B1022" s="419"/>
      <c r="C1022" s="419"/>
      <c r="D1022" s="419"/>
      <c r="E1022" s="116"/>
      <c r="F1022" s="116"/>
      <c r="G1022" s="116"/>
      <c r="H1022" s="116"/>
      <c r="I1022" s="116"/>
      <c r="J1022" s="116"/>
      <c r="K1022" s="116"/>
      <c r="L1022" s="116"/>
      <c r="M1022" s="116"/>
      <c r="N1022" s="116"/>
      <c r="O1022" s="116"/>
      <c r="P1022" s="116"/>
      <c r="Q1022" s="116"/>
      <c r="R1022" s="116"/>
      <c r="S1022" s="116"/>
      <c r="T1022" s="116"/>
      <c r="U1022" s="116"/>
      <c r="V1022" s="116"/>
      <c r="W1022" s="116"/>
      <c r="X1022" s="116"/>
      <c r="Y1022" s="116"/>
      <c r="Z1022" s="116"/>
    </row>
    <row r="1023" spans="1:26" ht="12.75">
      <c r="A1023" s="415"/>
      <c r="B1023" s="419"/>
      <c r="C1023" s="419"/>
      <c r="D1023" s="419"/>
      <c r="E1023" s="116"/>
      <c r="F1023" s="116"/>
      <c r="G1023" s="116"/>
      <c r="H1023" s="116"/>
      <c r="I1023" s="116"/>
      <c r="J1023" s="116"/>
      <c r="K1023" s="116"/>
      <c r="L1023" s="116"/>
      <c r="M1023" s="116"/>
      <c r="N1023" s="116"/>
      <c r="O1023" s="116"/>
      <c r="P1023" s="116"/>
      <c r="Q1023" s="116"/>
      <c r="R1023" s="116"/>
      <c r="S1023" s="116"/>
      <c r="T1023" s="116"/>
      <c r="U1023" s="116"/>
      <c r="V1023" s="116"/>
      <c r="W1023" s="116"/>
      <c r="X1023" s="116"/>
      <c r="Y1023" s="116"/>
      <c r="Z1023" s="116"/>
    </row>
    <row r="1024" spans="1:26" ht="12.75">
      <c r="A1024" s="415"/>
      <c r="B1024" s="419"/>
      <c r="C1024" s="419"/>
      <c r="D1024" s="419"/>
      <c r="E1024" s="116"/>
      <c r="F1024" s="116"/>
      <c r="G1024" s="116"/>
      <c r="H1024" s="116"/>
      <c r="I1024" s="116"/>
      <c r="J1024" s="116"/>
      <c r="K1024" s="116"/>
      <c r="L1024" s="116"/>
      <c r="M1024" s="116"/>
      <c r="N1024" s="116"/>
      <c r="O1024" s="116"/>
      <c r="P1024" s="116"/>
      <c r="Q1024" s="116"/>
      <c r="R1024" s="116"/>
      <c r="S1024" s="116"/>
      <c r="T1024" s="116"/>
      <c r="U1024" s="116"/>
      <c r="V1024" s="116"/>
      <c r="W1024" s="116"/>
      <c r="X1024" s="116"/>
      <c r="Y1024" s="116"/>
      <c r="Z1024" s="116"/>
    </row>
    <row r="1025" spans="1:26" ht="12.75">
      <c r="A1025" s="415"/>
      <c r="B1025" s="419"/>
      <c r="C1025" s="419"/>
      <c r="D1025" s="419"/>
      <c r="E1025" s="116"/>
      <c r="F1025" s="116"/>
      <c r="G1025" s="116"/>
      <c r="H1025" s="116"/>
      <c r="I1025" s="116"/>
      <c r="J1025" s="116"/>
      <c r="K1025" s="116"/>
      <c r="L1025" s="116"/>
      <c r="M1025" s="116"/>
      <c r="N1025" s="116"/>
      <c r="O1025" s="116"/>
      <c r="P1025" s="116"/>
      <c r="Q1025" s="116"/>
      <c r="R1025" s="116"/>
      <c r="S1025" s="116"/>
      <c r="T1025" s="116"/>
      <c r="U1025" s="116"/>
      <c r="V1025" s="116"/>
      <c r="W1025" s="116"/>
      <c r="X1025" s="116"/>
      <c r="Y1025" s="116"/>
      <c r="Z1025" s="116"/>
    </row>
    <row r="1026" spans="1:26" ht="12.75">
      <c r="A1026" s="415"/>
      <c r="B1026" s="419"/>
      <c r="C1026" s="419"/>
      <c r="D1026" s="419"/>
      <c r="E1026" s="116"/>
      <c r="F1026" s="116"/>
      <c r="G1026" s="116"/>
      <c r="H1026" s="116"/>
      <c r="I1026" s="116"/>
      <c r="J1026" s="116"/>
      <c r="K1026" s="116"/>
      <c r="L1026" s="116"/>
      <c r="M1026" s="116"/>
      <c r="N1026" s="116"/>
      <c r="O1026" s="116"/>
      <c r="P1026" s="116"/>
      <c r="Q1026" s="116"/>
      <c r="R1026" s="116"/>
      <c r="S1026" s="116"/>
      <c r="T1026" s="116"/>
      <c r="U1026" s="116"/>
      <c r="V1026" s="116"/>
      <c r="W1026" s="116"/>
      <c r="X1026" s="116"/>
      <c r="Y1026" s="116"/>
      <c r="Z1026" s="116"/>
    </row>
    <row r="1027" spans="1:26" ht="12.75">
      <c r="A1027" s="415"/>
      <c r="B1027" s="419"/>
      <c r="C1027" s="419"/>
      <c r="D1027" s="419"/>
      <c r="E1027" s="116"/>
      <c r="F1027" s="116"/>
      <c r="G1027" s="116"/>
      <c r="H1027" s="116"/>
      <c r="I1027" s="116"/>
      <c r="J1027" s="116"/>
      <c r="K1027" s="116"/>
      <c r="L1027" s="116"/>
      <c r="M1027" s="116"/>
      <c r="N1027" s="116"/>
      <c r="O1027" s="116"/>
      <c r="P1027" s="116"/>
      <c r="Q1027" s="116"/>
      <c r="R1027" s="116"/>
      <c r="S1027" s="116"/>
      <c r="T1027" s="116"/>
      <c r="U1027" s="116"/>
      <c r="V1027" s="116"/>
      <c r="W1027" s="116"/>
      <c r="X1027" s="116"/>
      <c r="Y1027" s="116"/>
      <c r="Z1027" s="116"/>
    </row>
    <row r="1028" spans="1:26" ht="12.75">
      <c r="A1028" s="415"/>
      <c r="B1028" s="419"/>
      <c r="C1028" s="419"/>
      <c r="D1028" s="419"/>
      <c r="E1028" s="116"/>
      <c r="F1028" s="116"/>
      <c r="G1028" s="116"/>
      <c r="H1028" s="116"/>
      <c r="I1028" s="116"/>
      <c r="J1028" s="116"/>
      <c r="K1028" s="116"/>
      <c r="L1028" s="116"/>
      <c r="M1028" s="116"/>
      <c r="N1028" s="116"/>
      <c r="O1028" s="116"/>
      <c r="P1028" s="116"/>
      <c r="Q1028" s="116"/>
      <c r="R1028" s="116"/>
      <c r="S1028" s="116"/>
      <c r="T1028" s="116"/>
      <c r="U1028" s="116"/>
      <c r="V1028" s="116"/>
      <c r="W1028" s="116"/>
      <c r="X1028" s="116"/>
      <c r="Y1028" s="116"/>
      <c r="Z1028" s="116"/>
    </row>
    <row r="1029" spans="1:26" ht="12.75">
      <c r="A1029" s="415"/>
      <c r="B1029" s="419"/>
      <c r="C1029" s="419"/>
      <c r="D1029" s="419"/>
      <c r="E1029" s="116"/>
      <c r="F1029" s="116"/>
      <c r="G1029" s="116"/>
      <c r="H1029" s="116"/>
      <c r="I1029" s="116"/>
      <c r="J1029" s="116"/>
      <c r="K1029" s="116"/>
      <c r="L1029" s="116"/>
      <c r="M1029" s="116"/>
      <c r="N1029" s="116"/>
      <c r="O1029" s="116"/>
      <c r="P1029" s="116"/>
      <c r="Q1029" s="116"/>
      <c r="R1029" s="116"/>
      <c r="S1029" s="116"/>
      <c r="T1029" s="116"/>
      <c r="U1029" s="116"/>
      <c r="V1029" s="116"/>
      <c r="W1029" s="116"/>
      <c r="X1029" s="116"/>
      <c r="Y1029" s="116"/>
      <c r="Z1029" s="116"/>
    </row>
    <row r="1030" spans="1:26" ht="12.75">
      <c r="A1030" s="415"/>
      <c r="B1030" s="419"/>
      <c r="C1030" s="419"/>
      <c r="D1030" s="419"/>
      <c r="E1030" s="116"/>
      <c r="F1030" s="116"/>
      <c r="G1030" s="116"/>
      <c r="H1030" s="116"/>
      <c r="I1030" s="116"/>
      <c r="J1030" s="116"/>
      <c r="K1030" s="116"/>
      <c r="L1030" s="116"/>
      <c r="M1030" s="116"/>
      <c r="N1030" s="116"/>
      <c r="O1030" s="116"/>
      <c r="P1030" s="116"/>
      <c r="Q1030" s="116"/>
      <c r="R1030" s="116"/>
      <c r="S1030" s="116"/>
      <c r="T1030" s="116"/>
      <c r="U1030" s="116"/>
      <c r="V1030" s="116"/>
      <c r="W1030" s="116"/>
      <c r="X1030" s="116"/>
      <c r="Y1030" s="116"/>
      <c r="Z1030" s="116"/>
    </row>
    <row r="1031" spans="1:26" ht="12.75">
      <c r="A1031" s="415"/>
      <c r="B1031" s="419"/>
      <c r="C1031" s="419"/>
      <c r="D1031" s="419"/>
      <c r="E1031" s="116"/>
      <c r="F1031" s="116"/>
      <c r="G1031" s="116"/>
      <c r="H1031" s="116"/>
      <c r="I1031" s="116"/>
      <c r="J1031" s="116"/>
      <c r="K1031" s="116"/>
      <c r="L1031" s="116"/>
      <c r="M1031" s="116"/>
      <c r="N1031" s="116"/>
      <c r="O1031" s="116"/>
      <c r="P1031" s="116"/>
      <c r="Q1031" s="116"/>
      <c r="R1031" s="116"/>
      <c r="S1031" s="116"/>
      <c r="T1031" s="116"/>
      <c r="U1031" s="116"/>
      <c r="V1031" s="116"/>
      <c r="W1031" s="116"/>
      <c r="X1031" s="116"/>
      <c r="Y1031" s="116"/>
      <c r="Z1031" s="116"/>
    </row>
    <row r="1032" spans="1:26" ht="12.75">
      <c r="A1032" s="415"/>
      <c r="B1032" s="419"/>
      <c r="C1032" s="419"/>
      <c r="D1032" s="419"/>
      <c r="E1032" s="116"/>
      <c r="F1032" s="116"/>
      <c r="G1032" s="116"/>
      <c r="H1032" s="116"/>
      <c r="I1032" s="116"/>
      <c r="J1032" s="116"/>
      <c r="K1032" s="116"/>
      <c r="L1032" s="116"/>
      <c r="M1032" s="116"/>
      <c r="N1032" s="116"/>
      <c r="O1032" s="116"/>
      <c r="P1032" s="116"/>
      <c r="Q1032" s="116"/>
      <c r="R1032" s="116"/>
      <c r="S1032" s="116"/>
      <c r="T1032" s="116"/>
      <c r="U1032" s="116"/>
      <c r="V1032" s="116"/>
      <c r="W1032" s="116"/>
      <c r="X1032" s="116"/>
      <c r="Y1032" s="116"/>
      <c r="Z1032" s="116"/>
    </row>
    <row r="1033" spans="1:26" ht="12.75">
      <c r="A1033" s="415"/>
      <c r="B1033" s="419"/>
      <c r="C1033" s="419"/>
      <c r="D1033" s="419"/>
      <c r="E1033" s="116"/>
      <c r="F1033" s="116"/>
      <c r="G1033" s="116"/>
      <c r="H1033" s="116"/>
      <c r="I1033" s="116"/>
      <c r="J1033" s="116"/>
      <c r="K1033" s="116"/>
      <c r="L1033" s="116"/>
      <c r="M1033" s="116"/>
      <c r="N1033" s="116"/>
      <c r="O1033" s="116"/>
      <c r="P1033" s="116"/>
      <c r="Q1033" s="116"/>
      <c r="R1033" s="116"/>
      <c r="S1033" s="116"/>
      <c r="T1033" s="116"/>
      <c r="U1033" s="116"/>
      <c r="V1033" s="116"/>
      <c r="W1033" s="116"/>
      <c r="X1033" s="116"/>
      <c r="Y1033" s="116"/>
      <c r="Z1033" s="116"/>
    </row>
    <row r="1034" spans="1:26" ht="12.75">
      <c r="A1034" s="415"/>
      <c r="B1034" s="419"/>
      <c r="C1034" s="419"/>
      <c r="D1034" s="419"/>
      <c r="E1034" s="116"/>
      <c r="F1034" s="116"/>
      <c r="G1034" s="116"/>
      <c r="H1034" s="116"/>
      <c r="I1034" s="116"/>
      <c r="J1034" s="116"/>
      <c r="K1034" s="116"/>
      <c r="L1034" s="116"/>
      <c r="M1034" s="116"/>
      <c r="N1034" s="116"/>
      <c r="O1034" s="116"/>
      <c r="P1034" s="116"/>
      <c r="Q1034" s="116"/>
      <c r="R1034" s="116"/>
      <c r="S1034" s="116"/>
      <c r="T1034" s="116"/>
      <c r="U1034" s="116"/>
      <c r="V1034" s="116"/>
      <c r="W1034" s="116"/>
      <c r="X1034" s="116"/>
      <c r="Y1034" s="116"/>
      <c r="Z1034" s="116"/>
    </row>
    <row r="1035" spans="1:26" ht="12.75">
      <c r="A1035" s="415"/>
      <c r="B1035" s="419"/>
      <c r="C1035" s="419"/>
      <c r="D1035" s="419"/>
      <c r="E1035" s="116"/>
      <c r="F1035" s="116"/>
      <c r="G1035" s="116"/>
      <c r="H1035" s="116"/>
      <c r="I1035" s="116"/>
      <c r="J1035" s="116"/>
      <c r="K1035" s="116"/>
      <c r="L1035" s="116"/>
      <c r="M1035" s="116"/>
      <c r="N1035" s="116"/>
      <c r="O1035" s="116"/>
      <c r="P1035" s="116"/>
      <c r="Q1035" s="116"/>
      <c r="R1035" s="116"/>
      <c r="S1035" s="116"/>
      <c r="T1035" s="116"/>
      <c r="U1035" s="116"/>
      <c r="V1035" s="116"/>
      <c r="W1035" s="116"/>
      <c r="X1035" s="116"/>
      <c r="Y1035" s="116"/>
      <c r="Z1035" s="116"/>
    </row>
    <row r="1036" spans="1:26" ht="12.75">
      <c r="A1036" s="415"/>
      <c r="B1036" s="419"/>
      <c r="C1036" s="419"/>
      <c r="D1036" s="419"/>
      <c r="E1036" s="116"/>
      <c r="F1036" s="116"/>
      <c r="G1036" s="116"/>
      <c r="H1036" s="116"/>
      <c r="I1036" s="116"/>
      <c r="J1036" s="116"/>
      <c r="K1036" s="116"/>
      <c r="L1036" s="116"/>
      <c r="M1036" s="116"/>
      <c r="N1036" s="116"/>
      <c r="O1036" s="116"/>
      <c r="P1036" s="116"/>
      <c r="Q1036" s="116"/>
      <c r="R1036" s="116"/>
      <c r="S1036" s="116"/>
      <c r="T1036" s="116"/>
      <c r="U1036" s="116"/>
      <c r="V1036" s="116"/>
      <c r="W1036" s="116"/>
      <c r="X1036" s="116"/>
      <c r="Y1036" s="116"/>
      <c r="Z1036" s="116"/>
    </row>
    <row r="1037" spans="1:26" ht="12.75">
      <c r="A1037" s="415"/>
      <c r="B1037" s="419"/>
      <c r="C1037" s="419"/>
      <c r="D1037" s="419"/>
      <c r="E1037" s="116"/>
      <c r="F1037" s="116"/>
      <c r="G1037" s="116"/>
      <c r="H1037" s="116"/>
      <c r="I1037" s="116"/>
      <c r="J1037" s="116"/>
      <c r="K1037" s="116"/>
      <c r="L1037" s="116"/>
      <c r="M1037" s="116"/>
      <c r="N1037" s="116"/>
      <c r="O1037" s="116"/>
      <c r="P1037" s="116"/>
      <c r="Q1037" s="116"/>
      <c r="R1037" s="116"/>
      <c r="S1037" s="116"/>
      <c r="T1037" s="116"/>
      <c r="U1037" s="116"/>
      <c r="V1037" s="116"/>
      <c r="W1037" s="116"/>
      <c r="X1037" s="116"/>
      <c r="Y1037" s="116"/>
      <c r="Z1037" s="116"/>
    </row>
    <row r="1038" spans="1:26" ht="12.75">
      <c r="A1038" s="415"/>
      <c r="B1038" s="419"/>
      <c r="C1038" s="419"/>
      <c r="D1038" s="419"/>
      <c r="E1038" s="116"/>
      <c r="F1038" s="116"/>
      <c r="G1038" s="116"/>
      <c r="H1038" s="116"/>
      <c r="I1038" s="116"/>
      <c r="J1038" s="116"/>
      <c r="K1038" s="116"/>
      <c r="L1038" s="116"/>
      <c r="M1038" s="116"/>
      <c r="N1038" s="116"/>
      <c r="O1038" s="116"/>
      <c r="P1038" s="116"/>
      <c r="Q1038" s="116"/>
      <c r="R1038" s="116"/>
      <c r="S1038" s="116"/>
      <c r="T1038" s="116"/>
      <c r="U1038" s="116"/>
      <c r="V1038" s="116"/>
      <c r="W1038" s="116"/>
      <c r="X1038" s="116"/>
      <c r="Y1038" s="116"/>
      <c r="Z1038" s="116"/>
    </row>
    <row r="1039" spans="1:26" ht="12.75">
      <c r="A1039" s="415"/>
      <c r="B1039" s="419"/>
      <c r="C1039" s="419"/>
      <c r="D1039" s="419"/>
      <c r="E1039" s="116"/>
      <c r="F1039" s="116"/>
      <c r="G1039" s="116"/>
      <c r="H1039" s="116"/>
      <c r="I1039" s="116"/>
      <c r="J1039" s="116"/>
      <c r="K1039" s="116"/>
      <c r="L1039" s="116"/>
      <c r="M1039" s="116"/>
      <c r="N1039" s="116"/>
      <c r="O1039" s="116"/>
      <c r="P1039" s="116"/>
      <c r="Q1039" s="116"/>
      <c r="R1039" s="116"/>
      <c r="S1039" s="116"/>
      <c r="T1039" s="116"/>
      <c r="U1039" s="116"/>
      <c r="V1039" s="116"/>
      <c r="W1039" s="116"/>
      <c r="X1039" s="116"/>
      <c r="Y1039" s="116"/>
      <c r="Z1039" s="116"/>
    </row>
    <row r="1040" spans="1:26" ht="12.75">
      <c r="A1040" s="415"/>
      <c r="B1040" s="419"/>
      <c r="C1040" s="419"/>
      <c r="D1040" s="419"/>
      <c r="E1040" s="116"/>
      <c r="F1040" s="116"/>
      <c r="G1040" s="116"/>
      <c r="H1040" s="116"/>
      <c r="I1040" s="116"/>
      <c r="J1040" s="116"/>
      <c r="K1040" s="116"/>
      <c r="L1040" s="116"/>
      <c r="M1040" s="116"/>
      <c r="N1040" s="116"/>
      <c r="O1040" s="116"/>
      <c r="P1040" s="116"/>
      <c r="Q1040" s="116"/>
      <c r="R1040" s="116"/>
      <c r="S1040" s="116"/>
      <c r="T1040" s="116"/>
      <c r="U1040" s="116"/>
      <c r="V1040" s="116"/>
      <c r="W1040" s="116"/>
      <c r="X1040" s="116"/>
      <c r="Y1040" s="116"/>
      <c r="Z1040" s="116"/>
    </row>
    <row r="1041" spans="1:26" ht="12.75">
      <c r="A1041" s="415"/>
      <c r="B1041" s="419"/>
      <c r="C1041" s="419"/>
      <c r="D1041" s="419"/>
      <c r="E1041" s="116"/>
      <c r="F1041" s="116"/>
      <c r="G1041" s="116"/>
      <c r="H1041" s="116"/>
      <c r="I1041" s="116"/>
      <c r="J1041" s="116"/>
      <c r="K1041" s="116"/>
      <c r="L1041" s="116"/>
      <c r="M1041" s="116"/>
      <c r="N1041" s="116"/>
      <c r="O1041" s="116"/>
      <c r="P1041" s="116"/>
      <c r="Q1041" s="116"/>
      <c r="R1041" s="116"/>
      <c r="S1041" s="116"/>
      <c r="T1041" s="116"/>
      <c r="U1041" s="116"/>
      <c r="V1041" s="116"/>
      <c r="W1041" s="116"/>
      <c r="X1041" s="116"/>
      <c r="Y1041" s="116"/>
      <c r="Z1041" s="116"/>
    </row>
    <row r="1042" spans="1:26" ht="12.75">
      <c r="A1042" s="415"/>
      <c r="B1042" s="419"/>
      <c r="C1042" s="419"/>
      <c r="D1042" s="419"/>
      <c r="E1042" s="116"/>
      <c r="F1042" s="116"/>
      <c r="G1042" s="116"/>
      <c r="H1042" s="116"/>
      <c r="I1042" s="116"/>
      <c r="J1042" s="116"/>
      <c r="K1042" s="116"/>
      <c r="L1042" s="116"/>
      <c r="M1042" s="116"/>
      <c r="N1042" s="116"/>
      <c r="O1042" s="116"/>
      <c r="P1042" s="116"/>
      <c r="Q1042" s="116"/>
      <c r="R1042" s="116"/>
      <c r="S1042" s="116"/>
      <c r="T1042" s="116"/>
      <c r="U1042" s="116"/>
      <c r="V1042" s="116"/>
      <c r="W1042" s="116"/>
      <c r="X1042" s="116"/>
      <c r="Y1042" s="116"/>
      <c r="Z1042" s="116"/>
    </row>
    <row r="1043" spans="1:26" ht="12.75">
      <c r="A1043" s="415"/>
      <c r="B1043" s="419"/>
      <c r="C1043" s="419"/>
      <c r="D1043" s="419"/>
      <c r="E1043" s="116"/>
      <c r="F1043" s="116"/>
      <c r="G1043" s="116"/>
      <c r="H1043" s="116"/>
      <c r="I1043" s="116"/>
      <c r="J1043" s="116"/>
      <c r="K1043" s="116"/>
      <c r="L1043" s="116"/>
      <c r="M1043" s="116"/>
      <c r="N1043" s="116"/>
      <c r="O1043" s="116"/>
      <c r="P1043" s="116"/>
      <c r="Q1043" s="116"/>
      <c r="R1043" s="116"/>
      <c r="S1043" s="116"/>
      <c r="T1043" s="116"/>
      <c r="U1043" s="116"/>
      <c r="V1043" s="116"/>
      <c r="W1043" s="116"/>
      <c r="X1043" s="116"/>
      <c r="Y1043" s="116"/>
      <c r="Z1043" s="116"/>
    </row>
    <row r="1044" spans="1:26" ht="12.75">
      <c r="A1044" s="415"/>
      <c r="B1044" s="419"/>
      <c r="C1044" s="419"/>
      <c r="D1044" s="419"/>
      <c r="E1044" s="116"/>
      <c r="F1044" s="116"/>
      <c r="G1044" s="116"/>
      <c r="H1044" s="116"/>
      <c r="I1044" s="116"/>
      <c r="J1044" s="116"/>
      <c r="K1044" s="116"/>
      <c r="L1044" s="116"/>
      <c r="M1044" s="116"/>
      <c r="N1044" s="116"/>
      <c r="O1044" s="116"/>
      <c r="P1044" s="116"/>
      <c r="Q1044" s="116"/>
      <c r="R1044" s="116"/>
      <c r="S1044" s="116"/>
      <c r="T1044" s="116"/>
      <c r="U1044" s="116"/>
      <c r="V1044" s="116"/>
      <c r="W1044" s="116"/>
      <c r="X1044" s="116"/>
      <c r="Y1044" s="116"/>
      <c r="Z1044" s="116"/>
    </row>
    <row r="1045" spans="1:26" ht="12.75">
      <c r="A1045" s="415"/>
      <c r="B1045" s="419"/>
      <c r="C1045" s="419"/>
      <c r="D1045" s="419"/>
      <c r="E1045" s="116"/>
      <c r="F1045" s="116"/>
      <c r="G1045" s="116"/>
      <c r="H1045" s="116"/>
      <c r="I1045" s="116"/>
      <c r="J1045" s="116"/>
      <c r="K1045" s="116"/>
      <c r="L1045" s="116"/>
      <c r="M1045" s="116"/>
      <c r="N1045" s="116"/>
      <c r="O1045" s="116"/>
      <c r="P1045" s="116"/>
      <c r="Q1045" s="116"/>
      <c r="R1045" s="116"/>
      <c r="S1045" s="116"/>
      <c r="T1045" s="116"/>
      <c r="U1045" s="116"/>
      <c r="V1045" s="116"/>
      <c r="W1045" s="116"/>
      <c r="X1045" s="116"/>
      <c r="Y1045" s="116"/>
      <c r="Z1045" s="116"/>
    </row>
    <row r="1046" spans="1:26" ht="12.75">
      <c r="A1046" s="415"/>
      <c r="B1046" s="419"/>
      <c r="C1046" s="419"/>
      <c r="D1046" s="419"/>
      <c r="E1046" s="116"/>
      <c r="F1046" s="116"/>
      <c r="G1046" s="116"/>
      <c r="H1046" s="116"/>
      <c r="I1046" s="116"/>
      <c r="J1046" s="116"/>
      <c r="K1046" s="116"/>
      <c r="L1046" s="116"/>
      <c r="M1046" s="116"/>
      <c r="N1046" s="116"/>
      <c r="O1046" s="116"/>
      <c r="P1046" s="116"/>
      <c r="Q1046" s="116"/>
      <c r="R1046" s="116"/>
      <c r="S1046" s="116"/>
      <c r="T1046" s="116"/>
      <c r="U1046" s="116"/>
      <c r="V1046" s="116"/>
      <c r="W1046" s="116"/>
      <c r="X1046" s="116"/>
      <c r="Y1046" s="116"/>
      <c r="Z1046" s="116"/>
    </row>
    <row r="1047" spans="1:26" ht="12.75">
      <c r="A1047" s="415"/>
      <c r="B1047" s="419"/>
      <c r="C1047" s="419"/>
      <c r="D1047" s="419"/>
      <c r="E1047" s="116"/>
      <c r="F1047" s="116"/>
      <c r="G1047" s="116"/>
      <c r="H1047" s="116"/>
      <c r="I1047" s="116"/>
      <c r="J1047" s="116"/>
      <c r="K1047" s="116"/>
      <c r="L1047" s="116"/>
      <c r="M1047" s="116"/>
      <c r="N1047" s="116"/>
      <c r="O1047" s="116"/>
      <c r="P1047" s="116"/>
      <c r="Q1047" s="116"/>
      <c r="R1047" s="116"/>
      <c r="S1047" s="116"/>
      <c r="T1047" s="116"/>
      <c r="U1047" s="116"/>
      <c r="V1047" s="116"/>
      <c r="W1047" s="116"/>
      <c r="X1047" s="116"/>
      <c r="Y1047" s="116"/>
      <c r="Z1047" s="116"/>
    </row>
    <row r="1048" spans="1:26" ht="12.75">
      <c r="A1048" s="415"/>
      <c r="B1048" s="419"/>
      <c r="C1048" s="419"/>
      <c r="D1048" s="419"/>
      <c r="E1048" s="116"/>
      <c r="F1048" s="116"/>
      <c r="G1048" s="116"/>
      <c r="H1048" s="116"/>
      <c r="I1048" s="116"/>
      <c r="J1048" s="116"/>
      <c r="K1048" s="116"/>
      <c r="L1048" s="116"/>
      <c r="M1048" s="116"/>
      <c r="N1048" s="116"/>
      <c r="O1048" s="116"/>
      <c r="P1048" s="116"/>
      <c r="Q1048" s="116"/>
      <c r="R1048" s="116"/>
      <c r="S1048" s="116"/>
      <c r="T1048" s="116"/>
      <c r="U1048" s="116"/>
      <c r="V1048" s="116"/>
      <c r="W1048" s="116"/>
      <c r="X1048" s="116"/>
      <c r="Y1048" s="116"/>
      <c r="Z1048" s="116"/>
    </row>
    <row r="1049" spans="1:26" ht="12.75">
      <c r="A1049" s="415"/>
      <c r="B1049" s="419"/>
      <c r="C1049" s="419"/>
      <c r="D1049" s="419"/>
      <c r="E1049" s="116"/>
      <c r="F1049" s="116"/>
      <c r="G1049" s="116"/>
      <c r="H1049" s="116"/>
      <c r="I1049" s="116"/>
      <c r="J1049" s="116"/>
      <c r="K1049" s="116"/>
      <c r="L1049" s="116"/>
      <c r="M1049" s="116"/>
      <c r="N1049" s="116"/>
      <c r="O1049" s="116"/>
      <c r="P1049" s="116"/>
      <c r="Q1049" s="116"/>
      <c r="R1049" s="116"/>
      <c r="S1049" s="116"/>
      <c r="T1049" s="116"/>
      <c r="U1049" s="116"/>
      <c r="V1049" s="116"/>
      <c r="W1049" s="116"/>
      <c r="X1049" s="116"/>
      <c r="Y1049" s="116"/>
      <c r="Z1049" s="116"/>
    </row>
    <row r="1050" spans="1:26" ht="12.75">
      <c r="A1050" s="415"/>
      <c r="B1050" s="419"/>
      <c r="C1050" s="419"/>
      <c r="D1050" s="419"/>
      <c r="E1050" s="116"/>
      <c r="F1050" s="116"/>
      <c r="G1050" s="116"/>
      <c r="H1050" s="116"/>
      <c r="I1050" s="116"/>
      <c r="J1050" s="116"/>
      <c r="K1050" s="116"/>
      <c r="L1050" s="116"/>
      <c r="M1050" s="116"/>
      <c r="N1050" s="116"/>
      <c r="O1050" s="116"/>
      <c r="P1050" s="116"/>
      <c r="Q1050" s="116"/>
      <c r="R1050" s="116"/>
      <c r="S1050" s="116"/>
      <c r="T1050" s="116"/>
      <c r="U1050" s="116"/>
      <c r="V1050" s="116"/>
      <c r="W1050" s="116"/>
      <c r="X1050" s="116"/>
      <c r="Y1050" s="116"/>
      <c r="Z1050" s="116"/>
    </row>
    <row r="1051" spans="1:26" ht="12.75">
      <c r="A1051" s="415"/>
      <c r="B1051" s="419"/>
      <c r="C1051" s="419"/>
      <c r="D1051" s="419"/>
      <c r="E1051" s="116"/>
      <c r="F1051" s="116"/>
      <c r="G1051" s="116"/>
      <c r="H1051" s="116"/>
      <c r="I1051" s="116"/>
      <c r="J1051" s="116"/>
      <c r="K1051" s="116"/>
      <c r="L1051" s="116"/>
      <c r="M1051" s="116"/>
      <c r="N1051" s="116"/>
      <c r="O1051" s="116"/>
      <c r="P1051" s="116"/>
      <c r="Q1051" s="116"/>
      <c r="R1051" s="116"/>
      <c r="S1051" s="116"/>
      <c r="T1051" s="116"/>
      <c r="U1051" s="116"/>
      <c r="V1051" s="116"/>
      <c r="W1051" s="116"/>
      <c r="X1051" s="116"/>
      <c r="Y1051" s="116"/>
      <c r="Z1051" s="116"/>
    </row>
    <row r="1052" spans="1:26" ht="12.75">
      <c r="A1052" s="415"/>
      <c r="B1052" s="419"/>
      <c r="C1052" s="419"/>
      <c r="D1052" s="419"/>
      <c r="E1052" s="116"/>
      <c r="F1052" s="116"/>
      <c r="G1052" s="116"/>
      <c r="H1052" s="116"/>
      <c r="I1052" s="116"/>
      <c r="J1052" s="116"/>
      <c r="K1052" s="116"/>
      <c r="L1052" s="116"/>
      <c r="M1052" s="116"/>
      <c r="N1052" s="116"/>
      <c r="O1052" s="116"/>
      <c r="P1052" s="116"/>
      <c r="Q1052" s="116"/>
      <c r="R1052" s="116"/>
      <c r="S1052" s="116"/>
      <c r="T1052" s="116"/>
      <c r="U1052" s="116"/>
      <c r="V1052" s="116"/>
      <c r="W1052" s="116"/>
      <c r="X1052" s="116"/>
      <c r="Y1052" s="116"/>
      <c r="Z1052" s="116"/>
    </row>
    <row r="1053" spans="1:26" ht="12.75">
      <c r="A1053" s="415"/>
      <c r="B1053" s="419"/>
      <c r="C1053" s="419"/>
      <c r="D1053" s="419"/>
      <c r="E1053" s="116"/>
      <c r="F1053" s="116"/>
      <c r="G1053" s="116"/>
      <c r="H1053" s="116"/>
      <c r="I1053" s="116"/>
      <c r="J1053" s="116"/>
      <c r="K1053" s="116"/>
      <c r="L1053" s="116"/>
      <c r="M1053" s="116"/>
      <c r="N1053" s="116"/>
      <c r="O1053" s="116"/>
      <c r="P1053" s="116"/>
      <c r="Q1053" s="116"/>
      <c r="R1053" s="116"/>
      <c r="S1053" s="116"/>
      <c r="T1053" s="116"/>
      <c r="U1053" s="116"/>
      <c r="V1053" s="116"/>
      <c r="W1053" s="116"/>
      <c r="X1053" s="116"/>
      <c r="Y1053" s="116"/>
      <c r="Z1053" s="116"/>
    </row>
    <row r="1054" spans="1:26" ht="12.75">
      <c r="A1054" s="415"/>
      <c r="B1054" s="419"/>
      <c r="C1054" s="419"/>
      <c r="D1054" s="419"/>
      <c r="E1054" s="116"/>
      <c r="F1054" s="116"/>
      <c r="G1054" s="116"/>
      <c r="H1054" s="116"/>
      <c r="I1054" s="116"/>
      <c r="J1054" s="116"/>
      <c r="K1054" s="116"/>
      <c r="L1054" s="116"/>
      <c r="M1054" s="116"/>
      <c r="N1054" s="116"/>
      <c r="O1054" s="116"/>
      <c r="P1054" s="116"/>
      <c r="Q1054" s="116"/>
      <c r="R1054" s="116"/>
      <c r="S1054" s="116"/>
      <c r="T1054" s="116"/>
      <c r="U1054" s="116"/>
      <c r="V1054" s="116"/>
      <c r="W1054" s="116"/>
      <c r="X1054" s="116"/>
      <c r="Y1054" s="116"/>
      <c r="Z1054" s="116"/>
    </row>
    <row r="1055" spans="1:26" ht="12.75">
      <c r="A1055" s="415"/>
      <c r="B1055" s="419"/>
      <c r="C1055" s="419"/>
      <c r="D1055" s="419"/>
      <c r="E1055" s="116"/>
      <c r="F1055" s="116"/>
      <c r="G1055" s="116"/>
      <c r="H1055" s="116"/>
      <c r="I1055" s="116"/>
      <c r="J1055" s="116"/>
      <c r="K1055" s="116"/>
      <c r="L1055" s="116"/>
      <c r="M1055" s="116"/>
      <c r="N1055" s="116"/>
      <c r="O1055" s="116"/>
      <c r="P1055" s="116"/>
      <c r="Q1055" s="116"/>
      <c r="R1055" s="116"/>
      <c r="S1055" s="116"/>
      <c r="T1055" s="116"/>
      <c r="U1055" s="116"/>
      <c r="V1055" s="116"/>
      <c r="W1055" s="116"/>
      <c r="X1055" s="116"/>
      <c r="Y1055" s="116"/>
      <c r="Z1055" s="116"/>
    </row>
    <row r="1056" spans="1:26" ht="12.75">
      <c r="A1056" s="415"/>
      <c r="B1056" s="419"/>
      <c r="C1056" s="419"/>
      <c r="D1056" s="419"/>
      <c r="E1056" s="116"/>
      <c r="F1056" s="116"/>
      <c r="G1056" s="116"/>
      <c r="H1056" s="116"/>
      <c r="I1056" s="116"/>
      <c r="J1056" s="116"/>
      <c r="K1056" s="116"/>
      <c r="L1056" s="116"/>
      <c r="M1056" s="116"/>
      <c r="N1056" s="116"/>
      <c r="O1056" s="116"/>
      <c r="P1056" s="116"/>
      <c r="Q1056" s="116"/>
      <c r="R1056" s="116"/>
      <c r="S1056" s="116"/>
      <c r="T1056" s="116"/>
      <c r="U1056" s="116"/>
      <c r="V1056" s="116"/>
      <c r="W1056" s="116"/>
      <c r="X1056" s="116"/>
      <c r="Y1056" s="116"/>
      <c r="Z1056" s="116"/>
    </row>
    <row r="1057" spans="1:26" ht="12.75">
      <c r="A1057" s="415"/>
      <c r="B1057" s="419"/>
      <c r="C1057" s="419"/>
      <c r="D1057" s="419"/>
      <c r="E1057" s="116"/>
      <c r="F1057" s="116"/>
      <c r="G1057" s="116"/>
      <c r="H1057" s="116"/>
      <c r="I1057" s="116"/>
      <c r="J1057" s="116"/>
      <c r="K1057" s="116"/>
      <c r="L1057" s="116"/>
      <c r="M1057" s="116"/>
      <c r="N1057" s="116"/>
      <c r="O1057" s="116"/>
      <c r="P1057" s="116"/>
      <c r="Q1057" s="116"/>
      <c r="R1057" s="116"/>
      <c r="S1057" s="116"/>
      <c r="T1057" s="116"/>
      <c r="U1057" s="116"/>
      <c r="V1057" s="116"/>
      <c r="W1057" s="116"/>
      <c r="X1057" s="116"/>
      <c r="Y1057" s="116"/>
      <c r="Z1057" s="116"/>
    </row>
    <row r="1058" spans="1:26" ht="12.75">
      <c r="A1058" s="415"/>
      <c r="B1058" s="419"/>
      <c r="C1058" s="419"/>
      <c r="D1058" s="419"/>
      <c r="E1058" s="116"/>
      <c r="F1058" s="116"/>
      <c r="G1058" s="116"/>
      <c r="H1058" s="116"/>
      <c r="I1058" s="116"/>
      <c r="J1058" s="116"/>
      <c r="K1058" s="116"/>
      <c r="L1058" s="116"/>
      <c r="M1058" s="116"/>
      <c r="N1058" s="116"/>
      <c r="O1058" s="116"/>
      <c r="P1058" s="116"/>
      <c r="Q1058" s="116"/>
      <c r="R1058" s="116"/>
      <c r="S1058" s="116"/>
      <c r="T1058" s="116"/>
      <c r="U1058" s="116"/>
      <c r="V1058" s="116"/>
      <c r="W1058" s="116"/>
      <c r="X1058" s="116"/>
      <c r="Y1058" s="116"/>
      <c r="Z1058" s="116"/>
    </row>
    <row r="1059" spans="1:26" ht="12.75">
      <c r="A1059" s="415"/>
      <c r="B1059" s="419"/>
      <c r="C1059" s="419"/>
      <c r="D1059" s="419"/>
      <c r="E1059" s="116"/>
      <c r="F1059" s="116"/>
      <c r="G1059" s="116"/>
      <c r="H1059" s="116"/>
      <c r="I1059" s="116"/>
      <c r="J1059" s="116"/>
      <c r="K1059" s="116"/>
      <c r="L1059" s="116"/>
      <c r="M1059" s="116"/>
      <c r="N1059" s="116"/>
      <c r="O1059" s="116"/>
      <c r="P1059" s="116"/>
      <c r="Q1059" s="116"/>
      <c r="R1059" s="116"/>
      <c r="S1059" s="116"/>
      <c r="T1059" s="116"/>
      <c r="U1059" s="116"/>
      <c r="V1059" s="116"/>
      <c r="W1059" s="116"/>
      <c r="X1059" s="116"/>
      <c r="Y1059" s="116"/>
      <c r="Z1059" s="116"/>
    </row>
    <row r="1060" spans="1:26" ht="12.75">
      <c r="A1060" s="415"/>
      <c r="B1060" s="419"/>
      <c r="C1060" s="419"/>
      <c r="D1060" s="419"/>
      <c r="E1060" s="116"/>
      <c r="F1060" s="116"/>
      <c r="G1060" s="116"/>
      <c r="H1060" s="116"/>
      <c r="I1060" s="116"/>
      <c r="J1060" s="116"/>
      <c r="K1060" s="116"/>
      <c r="L1060" s="116"/>
      <c r="M1060" s="116"/>
      <c r="N1060" s="116"/>
      <c r="O1060" s="116"/>
      <c r="P1060" s="116"/>
      <c r="Q1060" s="116"/>
      <c r="R1060" s="116"/>
      <c r="S1060" s="116"/>
      <c r="T1060" s="116"/>
      <c r="U1060" s="116"/>
      <c r="V1060" s="116"/>
      <c r="W1060" s="116"/>
      <c r="X1060" s="116"/>
      <c r="Y1060" s="116"/>
      <c r="Z1060" s="116"/>
    </row>
    <row r="1061" spans="1:26" ht="12.75">
      <c r="A1061" s="415"/>
      <c r="B1061" s="419"/>
      <c r="C1061" s="419"/>
      <c r="D1061" s="419"/>
      <c r="E1061" s="116"/>
      <c r="F1061" s="116"/>
      <c r="G1061" s="116"/>
      <c r="H1061" s="116"/>
      <c r="I1061" s="116"/>
      <c r="J1061" s="116"/>
      <c r="K1061" s="116"/>
      <c r="L1061" s="116"/>
      <c r="M1061" s="116"/>
      <c r="N1061" s="116"/>
      <c r="O1061" s="116"/>
      <c r="P1061" s="116"/>
      <c r="Q1061" s="116"/>
      <c r="R1061" s="116"/>
      <c r="S1061" s="116"/>
      <c r="T1061" s="116"/>
      <c r="U1061" s="116"/>
      <c r="V1061" s="116"/>
      <c r="W1061" s="116"/>
      <c r="X1061" s="116"/>
      <c r="Y1061" s="116"/>
      <c r="Z1061" s="116"/>
    </row>
    <row r="1062" spans="1:26" ht="12.75">
      <c r="A1062" s="415"/>
      <c r="B1062" s="419"/>
      <c r="C1062" s="419"/>
      <c r="D1062" s="419"/>
      <c r="E1062" s="116"/>
      <c r="F1062" s="116"/>
      <c r="G1062" s="116"/>
      <c r="H1062" s="116"/>
      <c r="I1062" s="116"/>
      <c r="J1062" s="116"/>
      <c r="K1062" s="116"/>
      <c r="L1062" s="116"/>
      <c r="M1062" s="116"/>
      <c r="N1062" s="116"/>
      <c r="O1062" s="116"/>
      <c r="P1062" s="116"/>
      <c r="Q1062" s="116"/>
      <c r="R1062" s="116"/>
      <c r="S1062" s="116"/>
      <c r="T1062" s="116"/>
      <c r="U1062" s="116"/>
      <c r="V1062" s="116"/>
      <c r="W1062" s="116"/>
      <c r="X1062" s="116"/>
      <c r="Y1062" s="116"/>
      <c r="Z1062" s="116"/>
    </row>
    <row r="1063" spans="1:26" ht="12.75">
      <c r="A1063" s="415"/>
      <c r="B1063" s="419"/>
      <c r="C1063" s="419"/>
      <c r="D1063" s="419"/>
      <c r="E1063" s="116"/>
      <c r="F1063" s="116"/>
      <c r="G1063" s="116"/>
      <c r="H1063" s="116"/>
      <c r="I1063" s="116"/>
      <c r="J1063" s="116"/>
      <c r="K1063" s="116"/>
      <c r="L1063" s="116"/>
      <c r="M1063" s="116"/>
      <c r="N1063" s="116"/>
      <c r="O1063" s="116"/>
      <c r="P1063" s="116"/>
      <c r="Q1063" s="116"/>
      <c r="R1063" s="116"/>
      <c r="S1063" s="116"/>
      <c r="T1063" s="116"/>
      <c r="U1063" s="116"/>
      <c r="V1063" s="116"/>
      <c r="W1063" s="116"/>
      <c r="X1063" s="116"/>
      <c r="Y1063" s="116"/>
      <c r="Z1063" s="116"/>
    </row>
    <row r="1064" spans="1:26" ht="12.75">
      <c r="A1064" s="415"/>
      <c r="B1064" s="419"/>
      <c r="C1064" s="419"/>
      <c r="D1064" s="419"/>
      <c r="E1064" s="116"/>
      <c r="F1064" s="116"/>
      <c r="G1064" s="116"/>
      <c r="H1064" s="116"/>
      <c r="I1064" s="116"/>
      <c r="J1064" s="116"/>
      <c r="K1064" s="116"/>
      <c r="L1064" s="116"/>
      <c r="M1064" s="116"/>
      <c r="N1064" s="116"/>
      <c r="O1064" s="116"/>
      <c r="P1064" s="116"/>
      <c r="Q1064" s="116"/>
      <c r="R1064" s="116"/>
      <c r="S1064" s="116"/>
      <c r="T1064" s="116"/>
      <c r="U1064" s="116"/>
      <c r="V1064" s="116"/>
      <c r="W1064" s="116"/>
      <c r="X1064" s="116"/>
      <c r="Y1064" s="116"/>
      <c r="Z1064" s="116"/>
    </row>
    <row r="1065" spans="1:26" ht="12.75">
      <c r="A1065" s="415"/>
      <c r="B1065" s="419"/>
      <c r="C1065" s="419"/>
      <c r="D1065" s="419"/>
      <c r="E1065" s="116"/>
      <c r="F1065" s="116"/>
      <c r="G1065" s="116"/>
      <c r="H1065" s="116"/>
      <c r="I1065" s="116"/>
      <c r="J1065" s="116"/>
      <c r="K1065" s="116"/>
      <c r="L1065" s="116"/>
      <c r="M1065" s="116"/>
      <c r="N1065" s="116"/>
      <c r="O1065" s="116"/>
      <c r="P1065" s="116"/>
      <c r="Q1065" s="116"/>
      <c r="R1065" s="116"/>
      <c r="S1065" s="116"/>
      <c r="T1065" s="116"/>
      <c r="U1065" s="116"/>
      <c r="V1065" s="116"/>
      <c r="W1065" s="116"/>
      <c r="X1065" s="116"/>
      <c r="Y1065" s="116"/>
      <c r="Z1065" s="116"/>
    </row>
    <row r="1066" spans="1:26" ht="12.75">
      <c r="A1066" s="415"/>
      <c r="B1066" s="419"/>
      <c r="C1066" s="419"/>
      <c r="D1066" s="419"/>
      <c r="E1066" s="116"/>
      <c r="F1066" s="116"/>
      <c r="G1066" s="116"/>
      <c r="H1066" s="116"/>
      <c r="I1066" s="116"/>
      <c r="J1066" s="116"/>
      <c r="K1066" s="116"/>
      <c r="L1066" s="116"/>
      <c r="M1066" s="116"/>
      <c r="N1066" s="116"/>
      <c r="O1066" s="116"/>
      <c r="P1066" s="116"/>
      <c r="Q1066" s="116"/>
      <c r="R1066" s="116"/>
      <c r="S1066" s="116"/>
      <c r="T1066" s="116"/>
      <c r="U1066" s="116"/>
      <c r="V1066" s="116"/>
      <c r="W1066" s="116"/>
      <c r="X1066" s="116"/>
      <c r="Y1066" s="116"/>
      <c r="Z1066" s="116"/>
    </row>
    <row r="1067" spans="1:26" ht="12.75">
      <c r="A1067" s="415"/>
      <c r="B1067" s="419"/>
      <c r="C1067" s="419"/>
      <c r="D1067" s="419"/>
      <c r="E1067" s="116"/>
      <c r="F1067" s="116"/>
      <c r="G1067" s="116"/>
      <c r="H1067" s="116"/>
      <c r="I1067" s="116"/>
      <c r="J1067" s="116"/>
      <c r="K1067" s="116"/>
      <c r="L1067" s="116"/>
      <c r="M1067" s="116"/>
      <c r="N1067" s="116"/>
      <c r="O1067" s="116"/>
      <c r="P1067" s="116"/>
      <c r="Q1067" s="116"/>
      <c r="R1067" s="116"/>
      <c r="S1067" s="116"/>
      <c r="T1067" s="116"/>
      <c r="U1067" s="116"/>
      <c r="V1067" s="116"/>
      <c r="W1067" s="116"/>
      <c r="X1067" s="116"/>
      <c r="Y1067" s="116"/>
      <c r="Z1067" s="116"/>
    </row>
    <row r="1068" spans="1:26" ht="12.75">
      <c r="A1068" s="415"/>
      <c r="B1068" s="419"/>
      <c r="C1068" s="419"/>
      <c r="D1068" s="419"/>
      <c r="E1068" s="116"/>
      <c r="F1068" s="116"/>
      <c r="G1068" s="116"/>
      <c r="H1068" s="116"/>
      <c r="I1068" s="116"/>
      <c r="J1068" s="116"/>
      <c r="K1068" s="116"/>
      <c r="L1068" s="116"/>
      <c r="M1068" s="116"/>
      <c r="N1068" s="116"/>
      <c r="O1068" s="116"/>
      <c r="P1068" s="116"/>
      <c r="Q1068" s="116"/>
      <c r="R1068" s="116"/>
      <c r="S1068" s="116"/>
      <c r="T1068" s="116"/>
      <c r="U1068" s="116"/>
      <c r="V1068" s="116"/>
      <c r="W1068" s="116"/>
      <c r="X1068" s="116"/>
      <c r="Y1068" s="116"/>
      <c r="Z1068" s="116"/>
    </row>
    <row r="1069" spans="1:26" ht="12.75">
      <c r="A1069" s="415"/>
      <c r="B1069" s="419"/>
      <c r="C1069" s="419"/>
      <c r="D1069" s="419"/>
      <c r="E1069" s="116"/>
      <c r="F1069" s="116"/>
      <c r="G1069" s="116"/>
      <c r="H1069" s="116"/>
      <c r="I1069" s="116"/>
      <c r="J1069" s="116"/>
      <c r="K1069" s="116"/>
      <c r="L1069" s="116"/>
      <c r="M1069" s="116"/>
      <c r="N1069" s="116"/>
      <c r="O1069" s="116"/>
      <c r="P1069" s="116"/>
      <c r="Q1069" s="116"/>
      <c r="R1069" s="116"/>
      <c r="S1069" s="116"/>
      <c r="T1069" s="116"/>
      <c r="U1069" s="116"/>
      <c r="V1069" s="116"/>
      <c r="W1069" s="116"/>
      <c r="X1069" s="116"/>
      <c r="Y1069" s="116"/>
      <c r="Z1069" s="116"/>
    </row>
    <row r="1070" spans="1:26" ht="12.75">
      <c r="A1070" s="415"/>
      <c r="B1070" s="419"/>
      <c r="C1070" s="419"/>
      <c r="D1070" s="419"/>
      <c r="E1070" s="116"/>
      <c r="F1070" s="116"/>
      <c r="G1070" s="116"/>
      <c r="H1070" s="116"/>
      <c r="I1070" s="116"/>
      <c r="J1070" s="116"/>
      <c r="K1070" s="116"/>
      <c r="L1070" s="116"/>
      <c r="M1070" s="116"/>
      <c r="N1070" s="116"/>
      <c r="O1070" s="116"/>
      <c r="P1070" s="116"/>
      <c r="Q1070" s="116"/>
      <c r="R1070" s="116"/>
      <c r="S1070" s="116"/>
      <c r="T1070" s="116"/>
      <c r="U1070" s="116"/>
      <c r="V1070" s="116"/>
      <c r="W1070" s="116"/>
      <c r="X1070" s="116"/>
      <c r="Y1070" s="116"/>
      <c r="Z1070" s="116"/>
    </row>
    <row r="1071" spans="1:26" ht="12.75">
      <c r="A1071" s="415"/>
      <c r="B1071" s="419"/>
      <c r="C1071" s="419"/>
      <c r="D1071" s="419"/>
      <c r="E1071" s="116"/>
      <c r="F1071" s="116"/>
      <c r="G1071" s="116"/>
      <c r="H1071" s="116"/>
      <c r="I1071" s="116"/>
      <c r="J1071" s="116"/>
      <c r="K1071" s="116"/>
      <c r="L1071" s="116"/>
      <c r="M1071" s="116"/>
      <c r="N1071" s="116"/>
      <c r="O1071" s="116"/>
      <c r="P1071" s="116"/>
      <c r="Q1071" s="116"/>
      <c r="R1071" s="116"/>
      <c r="S1071" s="116"/>
      <c r="T1071" s="116"/>
      <c r="U1071" s="116"/>
      <c r="V1071" s="116"/>
      <c r="W1071" s="116"/>
      <c r="X1071" s="116"/>
      <c r="Y1071" s="116"/>
      <c r="Z1071" s="116"/>
    </row>
    <row r="1072" spans="1:26" ht="12.75">
      <c r="A1072" s="415"/>
      <c r="B1072" s="419"/>
      <c r="C1072" s="419"/>
      <c r="D1072" s="419"/>
      <c r="E1072" s="116"/>
      <c r="F1072" s="116"/>
      <c r="G1072" s="116"/>
      <c r="H1072" s="116"/>
      <c r="I1072" s="116"/>
      <c r="J1072" s="116"/>
      <c r="K1072" s="116"/>
      <c r="L1072" s="116"/>
      <c r="M1072" s="116"/>
      <c r="N1072" s="116"/>
      <c r="O1072" s="116"/>
      <c r="P1072" s="116"/>
      <c r="Q1072" s="116"/>
      <c r="R1072" s="116"/>
      <c r="S1072" s="116"/>
      <c r="T1072" s="116"/>
      <c r="U1072" s="116"/>
      <c r="V1072" s="116"/>
      <c r="W1072" s="116"/>
      <c r="X1072" s="116"/>
      <c r="Y1072" s="116"/>
      <c r="Z1072" s="116"/>
    </row>
    <row r="1073" spans="1:26" ht="12.75">
      <c r="A1073" s="415"/>
      <c r="B1073" s="419"/>
      <c r="C1073" s="419"/>
      <c r="D1073" s="419"/>
      <c r="E1073" s="116"/>
      <c r="F1073" s="116"/>
      <c r="G1073" s="116"/>
      <c r="H1073" s="116"/>
      <c r="I1073" s="116"/>
      <c r="J1073" s="116"/>
      <c r="K1073" s="116"/>
      <c r="L1073" s="116"/>
      <c r="M1073" s="116"/>
      <c r="N1073" s="116"/>
      <c r="O1073" s="116"/>
      <c r="P1073" s="116"/>
      <c r="Q1073" s="116"/>
      <c r="R1073" s="116"/>
      <c r="S1073" s="116"/>
      <c r="T1073" s="116"/>
      <c r="U1073" s="116"/>
      <c r="V1073" s="116"/>
      <c r="W1073" s="116"/>
      <c r="X1073" s="116"/>
      <c r="Y1073" s="116"/>
      <c r="Z1073" s="116"/>
    </row>
    <row r="1074" spans="1:26" ht="12.75">
      <c r="A1074" s="415"/>
      <c r="B1074" s="419"/>
      <c r="C1074" s="419"/>
      <c r="D1074" s="419"/>
      <c r="E1074" s="116"/>
      <c r="F1074" s="116"/>
      <c r="G1074" s="116"/>
      <c r="H1074" s="116"/>
      <c r="I1074" s="116"/>
      <c r="J1074" s="116"/>
      <c r="K1074" s="116"/>
      <c r="L1074" s="116"/>
      <c r="M1074" s="116"/>
      <c r="N1074" s="116"/>
      <c r="O1074" s="116"/>
      <c r="P1074" s="116"/>
      <c r="Q1074" s="116"/>
      <c r="R1074" s="116"/>
      <c r="S1074" s="116"/>
      <c r="T1074" s="116"/>
      <c r="U1074" s="116"/>
      <c r="V1074" s="116"/>
      <c r="W1074" s="116"/>
      <c r="X1074" s="116"/>
      <c r="Y1074" s="116"/>
      <c r="Z1074" s="116"/>
    </row>
    <row r="1075" spans="1:26" ht="12.75">
      <c r="A1075" s="415"/>
      <c r="B1075" s="419"/>
      <c r="C1075" s="419"/>
      <c r="D1075" s="419"/>
      <c r="E1075" s="116"/>
      <c r="F1075" s="116"/>
      <c r="G1075" s="116"/>
      <c r="H1075" s="116"/>
      <c r="I1075" s="116"/>
      <c r="J1075" s="116"/>
      <c r="K1075" s="116"/>
      <c r="L1075" s="116"/>
      <c r="M1075" s="116"/>
      <c r="N1075" s="116"/>
      <c r="O1075" s="116"/>
      <c r="P1075" s="116"/>
      <c r="Q1075" s="116"/>
      <c r="R1075" s="116"/>
      <c r="S1075" s="116"/>
      <c r="T1075" s="116"/>
      <c r="U1075" s="116"/>
      <c r="V1075" s="116"/>
      <c r="W1075" s="116"/>
      <c r="X1075" s="116"/>
      <c r="Y1075" s="116"/>
      <c r="Z1075" s="116"/>
    </row>
    <row r="1076" spans="1:26" ht="12.75">
      <c r="A1076" s="415"/>
      <c r="B1076" s="419"/>
      <c r="C1076" s="419"/>
      <c r="D1076" s="419"/>
      <c r="E1076" s="116"/>
      <c r="F1076" s="116"/>
      <c r="G1076" s="116"/>
      <c r="H1076" s="116"/>
      <c r="I1076" s="116"/>
      <c r="J1076" s="116"/>
      <c r="K1076" s="116"/>
      <c r="L1076" s="116"/>
      <c r="M1076" s="116"/>
      <c r="N1076" s="116"/>
      <c r="O1076" s="116"/>
      <c r="P1076" s="116"/>
      <c r="Q1076" s="116"/>
      <c r="R1076" s="116"/>
      <c r="S1076" s="116"/>
      <c r="T1076" s="116"/>
      <c r="U1076" s="116"/>
      <c r="V1076" s="116"/>
      <c r="W1076" s="116"/>
      <c r="X1076" s="116"/>
      <c r="Y1076" s="116"/>
      <c r="Z1076" s="116"/>
    </row>
    <row r="1077" spans="1:26" ht="12.75">
      <c r="A1077" s="415"/>
      <c r="B1077" s="419"/>
      <c r="C1077" s="419"/>
      <c r="D1077" s="419"/>
      <c r="E1077" s="116"/>
      <c r="F1077" s="116"/>
      <c r="G1077" s="116"/>
      <c r="H1077" s="116"/>
      <c r="I1077" s="116"/>
      <c r="J1077" s="116"/>
      <c r="K1077" s="116"/>
      <c r="L1077" s="116"/>
      <c r="M1077" s="116"/>
      <c r="N1077" s="116"/>
      <c r="O1077" s="116"/>
      <c r="P1077" s="116"/>
      <c r="Q1077" s="116"/>
      <c r="R1077" s="116"/>
      <c r="S1077" s="116"/>
      <c r="T1077" s="116"/>
      <c r="U1077" s="116"/>
      <c r="V1077" s="116"/>
      <c r="W1077" s="116"/>
      <c r="X1077" s="116"/>
      <c r="Y1077" s="116"/>
      <c r="Z1077" s="116"/>
    </row>
    <row r="1078" spans="1:26" ht="12.75">
      <c r="A1078" s="116"/>
      <c r="B1078" s="116"/>
      <c r="C1078" s="116"/>
      <c r="D1078" s="116"/>
      <c r="E1078" s="116"/>
      <c r="F1078" s="116"/>
      <c r="G1078" s="116"/>
      <c r="H1078" s="116"/>
      <c r="I1078" s="116"/>
      <c r="J1078" s="116"/>
      <c r="K1078" s="116"/>
      <c r="L1078" s="116"/>
      <c r="M1078" s="116"/>
      <c r="N1078" s="116"/>
      <c r="O1078" s="116"/>
      <c r="P1078" s="116"/>
      <c r="Q1078" s="116"/>
      <c r="R1078" s="116"/>
      <c r="S1078" s="116"/>
      <c r="T1078" s="116"/>
      <c r="U1078" s="116"/>
      <c r="V1078" s="116"/>
      <c r="W1078" s="116"/>
      <c r="X1078" s="116"/>
      <c r="Y1078" s="116"/>
      <c r="Z1078" s="116"/>
    </row>
    <row r="1079" spans="1:26" ht="12.75">
      <c r="A1079" s="116"/>
      <c r="B1079" s="116"/>
      <c r="C1079" s="116"/>
      <c r="D1079" s="116"/>
      <c r="E1079" s="116"/>
      <c r="F1079" s="116"/>
      <c r="G1079" s="116"/>
      <c r="H1079" s="116"/>
      <c r="I1079" s="116"/>
      <c r="J1079" s="116"/>
      <c r="K1079" s="116"/>
      <c r="L1079" s="116"/>
      <c r="M1079" s="116"/>
      <c r="N1079" s="116"/>
      <c r="O1079" s="116"/>
      <c r="P1079" s="116"/>
      <c r="Q1079" s="116"/>
      <c r="R1079" s="116"/>
      <c r="S1079" s="116"/>
      <c r="T1079" s="116"/>
      <c r="U1079" s="116"/>
      <c r="V1079" s="116"/>
      <c r="W1079" s="116"/>
      <c r="X1079" s="116"/>
      <c r="Y1079" s="116"/>
      <c r="Z1079" s="116"/>
    </row>
    <row r="1080" spans="1:26" ht="12.75">
      <c r="A1080" s="116"/>
      <c r="B1080" s="116"/>
      <c r="C1080" s="116"/>
      <c r="D1080" s="116"/>
      <c r="E1080" s="116"/>
      <c r="F1080" s="116"/>
      <c r="G1080" s="116"/>
      <c r="H1080" s="116"/>
      <c r="I1080" s="116"/>
      <c r="J1080" s="116"/>
      <c r="K1080" s="116"/>
      <c r="L1080" s="116"/>
      <c r="M1080" s="116"/>
      <c r="N1080" s="116"/>
      <c r="O1080" s="116"/>
      <c r="P1080" s="116"/>
      <c r="Q1080" s="116"/>
      <c r="R1080" s="116"/>
      <c r="S1080" s="116"/>
      <c r="T1080" s="116"/>
      <c r="U1080" s="116"/>
      <c r="V1080" s="116"/>
      <c r="W1080" s="116"/>
      <c r="X1080" s="116"/>
      <c r="Y1080" s="116"/>
      <c r="Z1080" s="116"/>
    </row>
    <row r="1081" spans="1:26" ht="12.75">
      <c r="A1081" s="116"/>
      <c r="B1081" s="116"/>
      <c r="C1081" s="116"/>
      <c r="D1081" s="116"/>
      <c r="E1081" s="116"/>
      <c r="F1081" s="116"/>
      <c r="G1081" s="116"/>
      <c r="H1081" s="116"/>
      <c r="I1081" s="116"/>
      <c r="J1081" s="116"/>
      <c r="K1081" s="116"/>
      <c r="L1081" s="116"/>
      <c r="M1081" s="116"/>
      <c r="N1081" s="116"/>
      <c r="O1081" s="116"/>
      <c r="P1081" s="116"/>
      <c r="Q1081" s="116"/>
      <c r="R1081" s="116"/>
      <c r="S1081" s="116"/>
      <c r="T1081" s="116"/>
      <c r="U1081" s="116"/>
      <c r="V1081" s="116"/>
      <c r="W1081" s="116"/>
      <c r="X1081" s="116"/>
      <c r="Y1081" s="116"/>
      <c r="Z1081" s="116"/>
    </row>
    <row r="1082" spans="1:26" ht="12.75">
      <c r="A1082" s="116"/>
      <c r="B1082" s="116"/>
      <c r="C1082" s="116"/>
      <c r="D1082" s="116"/>
      <c r="E1082" s="116"/>
      <c r="F1082" s="116"/>
      <c r="G1082" s="116"/>
      <c r="H1082" s="116"/>
      <c r="I1082" s="116"/>
      <c r="J1082" s="116"/>
      <c r="K1082" s="116"/>
      <c r="L1082" s="116"/>
      <c r="M1082" s="116"/>
      <c r="N1082" s="116"/>
      <c r="O1082" s="116"/>
      <c r="P1082" s="116"/>
      <c r="Q1082" s="116"/>
      <c r="R1082" s="116"/>
      <c r="S1082" s="116"/>
      <c r="T1082" s="116"/>
      <c r="U1082" s="116"/>
      <c r="V1082" s="116"/>
      <c r="W1082" s="116"/>
      <c r="X1082" s="116"/>
      <c r="Y1082" s="116"/>
      <c r="Z1082" s="116"/>
    </row>
    <row r="1083" spans="1:26" ht="12.75">
      <c r="A1083" s="116"/>
      <c r="B1083" s="116"/>
      <c r="C1083" s="116"/>
      <c r="D1083" s="116"/>
      <c r="E1083" s="116"/>
      <c r="F1083" s="116"/>
      <c r="G1083" s="116"/>
      <c r="H1083" s="116"/>
      <c r="I1083" s="116"/>
      <c r="J1083" s="116"/>
      <c r="K1083" s="116"/>
      <c r="L1083" s="116"/>
      <c r="M1083" s="116"/>
      <c r="N1083" s="116"/>
      <c r="O1083" s="116"/>
      <c r="P1083" s="116"/>
      <c r="Q1083" s="116"/>
      <c r="R1083" s="116"/>
      <c r="S1083" s="116"/>
      <c r="T1083" s="116"/>
      <c r="U1083" s="116"/>
      <c r="V1083" s="116"/>
      <c r="W1083" s="116"/>
      <c r="X1083" s="116"/>
      <c r="Y1083" s="116"/>
      <c r="Z1083" s="116"/>
    </row>
    <row r="1084" spans="1:26" ht="12.75">
      <c r="A1084" s="116"/>
      <c r="B1084" s="116"/>
      <c r="C1084" s="116"/>
      <c r="D1084" s="116"/>
      <c r="E1084" s="116"/>
      <c r="F1084" s="116"/>
      <c r="G1084" s="116"/>
      <c r="H1084" s="116"/>
      <c r="I1084" s="116"/>
      <c r="J1084" s="116"/>
      <c r="K1084" s="116"/>
      <c r="L1084" s="116"/>
      <c r="M1084" s="116"/>
      <c r="N1084" s="116"/>
      <c r="O1084" s="116"/>
      <c r="P1084" s="116"/>
      <c r="Q1084" s="116"/>
      <c r="R1084" s="116"/>
      <c r="S1084" s="116"/>
      <c r="T1084" s="116"/>
      <c r="U1084" s="116"/>
      <c r="V1084" s="116"/>
      <c r="W1084" s="116"/>
      <c r="X1084" s="116"/>
      <c r="Y1084" s="116"/>
      <c r="Z1084" s="116"/>
    </row>
    <row r="1085" spans="1:26" ht="12.75">
      <c r="A1085" s="116"/>
      <c r="B1085" s="116"/>
      <c r="C1085" s="116"/>
      <c r="D1085" s="116"/>
      <c r="E1085" s="116"/>
      <c r="F1085" s="116"/>
      <c r="G1085" s="116"/>
      <c r="H1085" s="116"/>
      <c r="I1085" s="116"/>
      <c r="J1085" s="116"/>
      <c r="K1085" s="116"/>
      <c r="L1085" s="116"/>
      <c r="M1085" s="116"/>
      <c r="N1085" s="116"/>
      <c r="O1085" s="116"/>
      <c r="P1085" s="116"/>
      <c r="Q1085" s="116"/>
      <c r="R1085" s="116"/>
      <c r="S1085" s="116"/>
      <c r="T1085" s="116"/>
      <c r="U1085" s="116"/>
      <c r="V1085" s="116"/>
      <c r="W1085" s="116"/>
      <c r="X1085" s="116"/>
      <c r="Y1085" s="116"/>
      <c r="Z1085" s="116"/>
    </row>
    <row r="1086" spans="1:26" ht="12.75">
      <c r="A1086" s="116"/>
      <c r="B1086" s="116"/>
      <c r="C1086" s="116"/>
      <c r="D1086" s="116"/>
      <c r="E1086" s="116"/>
      <c r="F1086" s="116"/>
      <c r="G1086" s="116"/>
      <c r="H1086" s="116"/>
      <c r="I1086" s="116"/>
      <c r="J1086" s="116"/>
      <c r="K1086" s="116"/>
      <c r="L1086" s="116"/>
      <c r="M1086" s="116"/>
      <c r="N1086" s="116"/>
      <c r="O1086" s="116"/>
      <c r="P1086" s="116"/>
      <c r="Q1086" s="116"/>
      <c r="R1086" s="116"/>
      <c r="S1086" s="116"/>
      <c r="T1086" s="116"/>
      <c r="U1086" s="116"/>
      <c r="V1086" s="116"/>
      <c r="W1086" s="116"/>
      <c r="X1086" s="116"/>
      <c r="Y1086" s="116"/>
      <c r="Z1086" s="116"/>
    </row>
    <row r="1087" spans="1:26" ht="12.75">
      <c r="A1087" s="116"/>
      <c r="B1087" s="116"/>
      <c r="C1087" s="116"/>
      <c r="D1087" s="116"/>
      <c r="E1087" s="116"/>
      <c r="F1087" s="116"/>
      <c r="G1087" s="116"/>
      <c r="H1087" s="116"/>
      <c r="I1087" s="116"/>
      <c r="J1087" s="116"/>
      <c r="K1087" s="116"/>
      <c r="L1087" s="116"/>
      <c r="M1087" s="116"/>
      <c r="N1087" s="116"/>
      <c r="O1087" s="116"/>
      <c r="P1087" s="116"/>
      <c r="Q1087" s="116"/>
      <c r="R1087" s="116"/>
      <c r="S1087" s="116"/>
      <c r="T1087" s="116"/>
      <c r="U1087" s="116"/>
      <c r="V1087" s="116"/>
      <c r="W1087" s="116"/>
      <c r="X1087" s="116"/>
      <c r="Y1087" s="116"/>
      <c r="Z1087" s="116"/>
    </row>
    <row r="1088" spans="1:26" ht="12.75">
      <c r="A1088" s="116"/>
      <c r="B1088" s="116"/>
      <c r="C1088" s="116"/>
      <c r="D1088" s="116"/>
      <c r="E1088" s="116"/>
      <c r="F1088" s="116"/>
      <c r="G1088" s="116"/>
      <c r="H1088" s="116"/>
      <c r="I1088" s="116"/>
      <c r="J1088" s="116"/>
      <c r="K1088" s="116"/>
      <c r="L1088" s="116"/>
      <c r="M1088" s="116"/>
      <c r="N1088" s="116"/>
      <c r="O1088" s="116"/>
      <c r="P1088" s="116"/>
      <c r="Q1088" s="116"/>
      <c r="R1088" s="116"/>
      <c r="S1088" s="116"/>
      <c r="T1088" s="116"/>
      <c r="U1088" s="116"/>
      <c r="V1088" s="116"/>
      <c r="W1088" s="116"/>
      <c r="X1088" s="116"/>
      <c r="Y1088" s="116"/>
      <c r="Z1088" s="116"/>
    </row>
    <row r="1089" spans="1:26" ht="12.75">
      <c r="A1089" s="116"/>
      <c r="B1089" s="116"/>
      <c r="C1089" s="116"/>
      <c r="D1089" s="116"/>
      <c r="E1089" s="116"/>
      <c r="F1089" s="116"/>
      <c r="G1089" s="116"/>
      <c r="H1089" s="116"/>
      <c r="I1089" s="116"/>
      <c r="J1089" s="116"/>
      <c r="K1089" s="116"/>
      <c r="L1089" s="116"/>
      <c r="M1089" s="116"/>
      <c r="N1089" s="116"/>
      <c r="O1089" s="116"/>
      <c r="P1089" s="116"/>
      <c r="Q1089" s="116"/>
      <c r="R1089" s="116"/>
      <c r="S1089" s="116"/>
      <c r="T1089" s="116"/>
      <c r="U1089" s="116"/>
      <c r="V1089" s="116"/>
      <c r="W1089" s="116"/>
      <c r="X1089" s="116"/>
      <c r="Y1089" s="116"/>
      <c r="Z1089" s="116"/>
    </row>
    <row r="1090" spans="1:26" ht="12.75">
      <c r="A1090" s="116"/>
      <c r="B1090" s="116"/>
      <c r="C1090" s="116"/>
      <c r="D1090" s="116"/>
      <c r="E1090" s="116"/>
      <c r="F1090" s="116"/>
      <c r="G1090" s="116"/>
      <c r="H1090" s="116"/>
      <c r="I1090" s="116"/>
      <c r="J1090" s="116"/>
      <c r="K1090" s="116"/>
      <c r="L1090" s="116"/>
      <c r="M1090" s="116"/>
      <c r="N1090" s="116"/>
      <c r="O1090" s="116"/>
      <c r="P1090" s="116"/>
      <c r="Q1090" s="116"/>
      <c r="R1090" s="116"/>
      <c r="S1090" s="116"/>
      <c r="T1090" s="116"/>
      <c r="U1090" s="116"/>
      <c r="V1090" s="116"/>
      <c r="W1090" s="116"/>
      <c r="X1090" s="116"/>
      <c r="Y1090" s="116"/>
      <c r="Z1090" s="116"/>
    </row>
    <row r="1091" spans="1:26" ht="12.75">
      <c r="A1091" s="116"/>
      <c r="B1091" s="116"/>
      <c r="C1091" s="116"/>
      <c r="D1091" s="116"/>
      <c r="E1091" s="116"/>
      <c r="F1091" s="116"/>
      <c r="G1091" s="116"/>
      <c r="H1091" s="116"/>
      <c r="I1091" s="116"/>
      <c r="J1091" s="116"/>
      <c r="K1091" s="116"/>
      <c r="L1091" s="116"/>
      <c r="M1091" s="116"/>
      <c r="N1091" s="116"/>
      <c r="O1091" s="116"/>
      <c r="P1091" s="116"/>
      <c r="Q1091" s="116"/>
      <c r="R1091" s="116"/>
      <c r="S1091" s="116"/>
      <c r="T1091" s="116"/>
      <c r="U1091" s="116"/>
      <c r="V1091" s="116"/>
      <c r="W1091" s="116"/>
      <c r="X1091" s="116"/>
      <c r="Y1091" s="116"/>
      <c r="Z1091" s="116"/>
    </row>
    <row r="1092" spans="1:26" ht="12.75">
      <c r="A1092" s="116"/>
      <c r="B1092" s="116"/>
      <c r="C1092" s="116"/>
      <c r="D1092" s="116"/>
      <c r="E1092" s="116"/>
      <c r="F1092" s="116"/>
      <c r="G1092" s="116"/>
      <c r="H1092" s="116"/>
      <c r="I1092" s="116"/>
      <c r="J1092" s="116"/>
      <c r="K1092" s="116"/>
      <c r="L1092" s="116"/>
      <c r="M1092" s="116"/>
      <c r="N1092" s="116"/>
      <c r="O1092" s="116"/>
      <c r="P1092" s="116"/>
      <c r="Q1092" s="116"/>
      <c r="R1092" s="116"/>
      <c r="S1092" s="116"/>
      <c r="T1092" s="116"/>
      <c r="U1092" s="116"/>
      <c r="V1092" s="116"/>
      <c r="W1092" s="116"/>
      <c r="X1092" s="116"/>
      <c r="Y1092" s="116"/>
      <c r="Z1092" s="116"/>
    </row>
    <row r="1093" spans="1:26" ht="12.75">
      <c r="A1093" s="116"/>
      <c r="B1093" s="116"/>
      <c r="C1093" s="116"/>
      <c r="D1093" s="116"/>
      <c r="E1093" s="116"/>
      <c r="F1093" s="116"/>
      <c r="G1093" s="116"/>
      <c r="H1093" s="116"/>
      <c r="I1093" s="116"/>
      <c r="J1093" s="116"/>
      <c r="K1093" s="116"/>
      <c r="L1093" s="116"/>
      <c r="M1093" s="116"/>
      <c r="N1093" s="116"/>
      <c r="O1093" s="116"/>
      <c r="P1093" s="116"/>
      <c r="Q1093" s="116"/>
      <c r="R1093" s="116"/>
      <c r="S1093" s="116"/>
      <c r="T1093" s="116"/>
      <c r="U1093" s="116"/>
      <c r="V1093" s="116"/>
      <c r="W1093" s="116"/>
      <c r="X1093" s="116"/>
      <c r="Y1093" s="116"/>
      <c r="Z1093" s="116"/>
    </row>
    <row r="1094" spans="1:26" ht="12.75">
      <c r="A1094" s="116"/>
      <c r="B1094" s="116"/>
      <c r="C1094" s="116"/>
      <c r="D1094" s="116"/>
      <c r="E1094" s="116"/>
      <c r="F1094" s="116"/>
      <c r="G1094" s="116"/>
      <c r="H1094" s="116"/>
      <c r="I1094" s="116"/>
      <c r="J1094" s="116"/>
      <c r="K1094" s="116"/>
      <c r="L1094" s="116"/>
      <c r="M1094" s="116"/>
      <c r="N1094" s="116"/>
      <c r="O1094" s="116"/>
      <c r="P1094" s="116"/>
      <c r="Q1094" s="116"/>
      <c r="R1094" s="116"/>
      <c r="S1094" s="116"/>
      <c r="T1094" s="116"/>
      <c r="U1094" s="116"/>
      <c r="V1094" s="116"/>
      <c r="W1094" s="116"/>
      <c r="X1094" s="116"/>
      <c r="Y1094" s="116"/>
      <c r="Z1094" s="116"/>
    </row>
    <row r="1095" spans="1:26" ht="12.75">
      <c r="A1095" s="116"/>
      <c r="B1095" s="116"/>
      <c r="C1095" s="116"/>
      <c r="D1095" s="116"/>
      <c r="E1095" s="116"/>
      <c r="F1095" s="116"/>
      <c r="G1095" s="116"/>
      <c r="H1095" s="116"/>
      <c r="I1095" s="116"/>
      <c r="J1095" s="116"/>
      <c r="K1095" s="116"/>
      <c r="L1095" s="116"/>
      <c r="M1095" s="116"/>
      <c r="N1095" s="116"/>
      <c r="O1095" s="116"/>
      <c r="P1095" s="116"/>
      <c r="Q1095" s="116"/>
      <c r="R1095" s="116"/>
      <c r="S1095" s="116"/>
      <c r="T1095" s="116"/>
      <c r="U1095" s="116"/>
      <c r="V1095" s="116"/>
      <c r="W1095" s="116"/>
      <c r="X1095" s="116"/>
      <c r="Y1095" s="116"/>
      <c r="Z1095" s="116"/>
    </row>
    <row r="1096" spans="1:26" ht="12.75">
      <c r="A1096" s="116"/>
      <c r="B1096" s="116"/>
      <c r="C1096" s="116"/>
      <c r="D1096" s="116"/>
      <c r="E1096" s="116"/>
      <c r="F1096" s="116"/>
      <c r="G1096" s="116"/>
      <c r="H1096" s="116"/>
      <c r="I1096" s="116"/>
      <c r="J1096" s="116"/>
      <c r="K1096" s="116"/>
      <c r="L1096" s="116"/>
      <c r="M1096" s="116"/>
      <c r="N1096" s="116"/>
      <c r="O1096" s="116"/>
      <c r="P1096" s="116"/>
      <c r="Q1096" s="116"/>
      <c r="R1096" s="116"/>
      <c r="S1096" s="116"/>
      <c r="T1096" s="116"/>
      <c r="U1096" s="116"/>
      <c r="V1096" s="116"/>
      <c r="W1096" s="116"/>
      <c r="X1096" s="116"/>
      <c r="Y1096" s="116"/>
      <c r="Z1096" s="116"/>
    </row>
    <row r="1097" spans="1:26" ht="12.75">
      <c r="A1097" s="116"/>
      <c r="B1097" s="116"/>
      <c r="C1097" s="116"/>
      <c r="D1097" s="116"/>
      <c r="E1097" s="116"/>
      <c r="F1097" s="116"/>
      <c r="G1097" s="116"/>
      <c r="H1097" s="116"/>
      <c r="I1097" s="116"/>
      <c r="J1097" s="116"/>
      <c r="K1097" s="116"/>
      <c r="L1097" s="116"/>
      <c r="M1097" s="116"/>
      <c r="N1097" s="116"/>
      <c r="O1097" s="116"/>
      <c r="P1097" s="116"/>
      <c r="Q1097" s="116"/>
      <c r="R1097" s="116"/>
      <c r="S1097" s="116"/>
      <c r="T1097" s="116"/>
      <c r="U1097" s="116"/>
      <c r="V1097" s="116"/>
      <c r="W1097" s="116"/>
      <c r="X1097" s="116"/>
      <c r="Y1097" s="116"/>
      <c r="Z1097" s="116"/>
    </row>
    <row r="1098" spans="1:26" ht="12.75">
      <c r="A1098" s="116"/>
      <c r="B1098" s="116"/>
      <c r="C1098" s="116"/>
      <c r="D1098" s="116"/>
      <c r="E1098" s="116"/>
      <c r="F1098" s="116"/>
      <c r="G1098" s="116"/>
      <c r="H1098" s="116"/>
      <c r="I1098" s="116"/>
      <c r="J1098" s="116"/>
      <c r="K1098" s="116"/>
      <c r="L1098" s="116"/>
      <c r="M1098" s="116"/>
      <c r="N1098" s="116"/>
      <c r="O1098" s="116"/>
      <c r="P1098" s="116"/>
      <c r="Q1098" s="116"/>
      <c r="R1098" s="116"/>
      <c r="S1098" s="116"/>
      <c r="T1098" s="116"/>
      <c r="U1098" s="116"/>
      <c r="V1098" s="116"/>
      <c r="W1098" s="116"/>
      <c r="X1098" s="116"/>
      <c r="Y1098" s="116"/>
      <c r="Z1098" s="116"/>
    </row>
  </sheetData>
  <mergeCells count="5">
    <mergeCell ref="B41:C41"/>
    <mergeCell ref="B52:C52"/>
    <mergeCell ref="B55:C55"/>
    <mergeCell ref="B124:C124"/>
    <mergeCell ref="B127:C127"/>
  </mergeCells>
  <conditionalFormatting sqref="E1:E123 F42:F45 F50 F56:F96 F99:F100 F102:F116 E125:E126 F128:F131 E128:E1098 F133:F136">
    <cfRule type="containsText" dxfId="3" priority="1" operator="containsText" text="Навчання">
      <formula>NOT(ISERROR(SEARCH(("Навчання"),(E1))))</formula>
    </cfRule>
    <cfRule type="containsText" dxfId="2" priority="2" operator="containsText" text="Працює">
      <formula>NOT(ISERROR(SEARCH(("Працює"),(E1))))</formula>
    </cfRule>
    <cfRule type="containsText" dxfId="1" priority="3" operator="containsText" text="Звільнено">
      <formula>NOT(ISERROR(SEARCH(("Звільнено"),(E1))))</formula>
    </cfRule>
  </conditionalFormatting>
  <dataValidations count="1">
    <dataValidation type="list" allowBlank="1" sqref="E2:E5 E7:E48 E50 E52:E123 E125:E126 E128:E1098" xr:uid="{00000000-0002-0000-0900-000000000000}">
      <formula1>"Працює,Навчання,Звільнено"</formula1>
    </dataValidation>
  </dataValidations>
  <hyperlinks>
    <hyperlink ref="C30" r:id="rId1" xr:uid="{00000000-0004-0000-0900-000000000000}"/>
    <hyperlink ref="C31" r:id="rId2" xr:uid="{00000000-0004-0000-0900-000001000000}"/>
    <hyperlink ref="C33" r:id="rId3" xr:uid="{00000000-0004-0000-0900-000002000000}"/>
    <hyperlink ref="C36" r:id="rId4" xr:uid="{00000000-0004-0000-0900-000003000000}"/>
    <hyperlink ref="C37" r:id="rId5" xr:uid="{00000000-0004-0000-0900-000004000000}"/>
    <hyperlink ref="C62" r:id="rId6" xr:uid="{00000000-0004-0000-0900-000005000000}"/>
    <hyperlink ref="C64" r:id="rId7" xr:uid="{00000000-0004-0000-0900-000006000000}"/>
    <hyperlink ref="C69" r:id="rId8" xr:uid="{00000000-0004-0000-0900-000007000000}"/>
    <hyperlink ref="C70" r:id="rId9" xr:uid="{00000000-0004-0000-0900-000008000000}"/>
    <hyperlink ref="C78" r:id="rId10" xr:uid="{00000000-0004-0000-0900-000009000000}"/>
    <hyperlink ref="C90" r:id="rId11" xr:uid="{00000000-0004-0000-0900-00000A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2.5703125" defaultRowHeight="15.75" customHeight="1"/>
  <cols>
    <col min="1" max="1" width="12.85546875" customWidth="1"/>
    <col min="4" max="4" width="20.7109375" customWidth="1"/>
    <col min="5" max="5" width="19.28515625" customWidth="1"/>
    <col min="6" max="6" width="23.140625" customWidth="1"/>
    <col min="7" max="7" width="24.28515625" customWidth="1"/>
    <col min="8" max="8" width="15.42578125" customWidth="1"/>
    <col min="9" max="9" width="34.42578125" customWidth="1"/>
  </cols>
  <sheetData>
    <row r="1" spans="1:28">
      <c r="A1" s="593" t="s">
        <v>9690</v>
      </c>
      <c r="B1" s="593" t="s">
        <v>9691</v>
      </c>
      <c r="C1" s="593" t="s">
        <v>3371</v>
      </c>
      <c r="D1" s="593" t="s">
        <v>9692</v>
      </c>
      <c r="E1" s="593" t="s">
        <v>9693</v>
      </c>
      <c r="F1" s="593" t="s">
        <v>9694</v>
      </c>
      <c r="G1" s="593" t="s">
        <v>9695</v>
      </c>
      <c r="H1" s="593" t="s">
        <v>9696</v>
      </c>
      <c r="I1" s="593" t="s">
        <v>5889</v>
      </c>
      <c r="J1" s="593"/>
      <c r="K1" s="593"/>
      <c r="L1" s="593"/>
      <c r="M1" s="593"/>
      <c r="N1" s="593"/>
      <c r="O1" s="593"/>
      <c r="P1" s="593"/>
      <c r="Q1" s="593"/>
      <c r="R1" s="593"/>
      <c r="S1" s="593"/>
      <c r="T1" s="593"/>
      <c r="U1" s="593"/>
      <c r="V1" s="593"/>
      <c r="W1" s="593"/>
      <c r="X1" s="593"/>
      <c r="Y1" s="593"/>
      <c r="Z1" s="593"/>
      <c r="AA1" s="593"/>
      <c r="AB1" s="593"/>
    </row>
    <row r="2" spans="1:28">
      <c r="A2" s="594">
        <v>44992</v>
      </c>
      <c r="B2" s="595">
        <v>0.66666666666666663</v>
      </c>
      <c r="C2" s="36" t="s">
        <v>9697</v>
      </c>
      <c r="D2" s="36" t="s">
        <v>9698</v>
      </c>
      <c r="E2" s="36" t="s">
        <v>9699</v>
      </c>
      <c r="F2" s="36" t="s">
        <v>825</v>
      </c>
      <c r="G2" s="36" t="s">
        <v>825</v>
      </c>
      <c r="H2" s="36" t="s">
        <v>5895</v>
      </c>
      <c r="I2" s="36" t="s">
        <v>9700</v>
      </c>
    </row>
    <row r="3" spans="1:28">
      <c r="A3" s="594">
        <v>44996</v>
      </c>
      <c r="B3" s="595">
        <v>0.5</v>
      </c>
      <c r="C3" s="36" t="s">
        <v>9697</v>
      </c>
      <c r="D3" s="36" t="s">
        <v>9701</v>
      </c>
      <c r="E3" s="36" t="s">
        <v>9702</v>
      </c>
      <c r="F3" s="36" t="s">
        <v>680</v>
      </c>
      <c r="G3" s="36" t="s">
        <v>83</v>
      </c>
      <c r="H3" s="36" t="s">
        <v>5895</v>
      </c>
      <c r="I3" s="36" t="s">
        <v>9703</v>
      </c>
    </row>
    <row r="4" spans="1:28">
      <c r="A4" s="594">
        <v>44993</v>
      </c>
      <c r="B4" s="595">
        <v>0.77083333333333337</v>
      </c>
      <c r="C4" s="36" t="s">
        <v>9697</v>
      </c>
      <c r="D4" s="36" t="s">
        <v>9704</v>
      </c>
      <c r="E4" s="36" t="s">
        <v>9705</v>
      </c>
      <c r="F4" s="36" t="s">
        <v>6880</v>
      </c>
      <c r="G4" s="36" t="s">
        <v>83</v>
      </c>
      <c r="H4" s="36" t="s">
        <v>5895</v>
      </c>
      <c r="I4" s="36" t="s">
        <v>9706</v>
      </c>
    </row>
    <row r="5" spans="1:28">
      <c r="A5" s="594">
        <v>44994</v>
      </c>
      <c r="B5" s="595">
        <v>0.6875</v>
      </c>
      <c r="C5" s="36" t="s">
        <v>9707</v>
      </c>
      <c r="E5" s="36" t="s">
        <v>9708</v>
      </c>
      <c r="F5" s="36" t="s">
        <v>9536</v>
      </c>
      <c r="G5" s="36" t="s">
        <v>6121</v>
      </c>
      <c r="H5" s="36" t="s">
        <v>5895</v>
      </c>
      <c r="I5" s="36" t="s">
        <v>9709</v>
      </c>
    </row>
    <row r="6" spans="1:28">
      <c r="A6" s="594">
        <v>44995</v>
      </c>
      <c r="B6" s="595">
        <v>0.70833333333333337</v>
      </c>
      <c r="C6" s="36" t="s">
        <v>9697</v>
      </c>
      <c r="E6" s="36" t="s">
        <v>9710</v>
      </c>
      <c r="F6" s="36" t="s">
        <v>3445</v>
      </c>
      <c r="G6" s="36" t="s">
        <v>9711</v>
      </c>
      <c r="H6" s="36" t="s">
        <v>5895</v>
      </c>
      <c r="I6" s="36" t="s">
        <v>9709</v>
      </c>
    </row>
    <row r="7" spans="1:28">
      <c r="A7" s="594">
        <v>44996</v>
      </c>
      <c r="B7" s="595">
        <v>0.77083333333333337</v>
      </c>
      <c r="C7" s="36" t="s">
        <v>9697</v>
      </c>
      <c r="E7" s="36" t="s">
        <v>9712</v>
      </c>
      <c r="F7" s="36" t="s">
        <v>3445</v>
      </c>
      <c r="G7" s="36" t="s">
        <v>9713</v>
      </c>
      <c r="H7" s="36" t="s">
        <v>5895</v>
      </c>
      <c r="I7" s="36" t="s">
        <v>9709</v>
      </c>
    </row>
    <row r="8" spans="1:28">
      <c r="A8" s="594">
        <v>44997</v>
      </c>
      <c r="B8" s="595">
        <v>0.79166666666666663</v>
      </c>
      <c r="C8" s="36" t="s">
        <v>9697</v>
      </c>
      <c r="F8" s="36" t="s">
        <v>778</v>
      </c>
      <c r="G8" s="36" t="s">
        <v>9714</v>
      </c>
      <c r="H8" s="36" t="s">
        <v>5895</v>
      </c>
      <c r="I8" s="36" t="s">
        <v>9709</v>
      </c>
    </row>
    <row r="9" spans="1:28">
      <c r="A9" s="594">
        <v>44995</v>
      </c>
      <c r="B9" s="595">
        <v>0.75</v>
      </c>
      <c r="C9" s="36" t="s">
        <v>9707</v>
      </c>
      <c r="D9" s="36" t="s">
        <v>9715</v>
      </c>
      <c r="E9" s="36" t="s">
        <v>9716</v>
      </c>
      <c r="F9" s="36" t="s">
        <v>9536</v>
      </c>
      <c r="G9" s="36" t="s">
        <v>6121</v>
      </c>
      <c r="H9" s="36" t="s">
        <v>5895</v>
      </c>
      <c r="I9" s="36" t="s">
        <v>9717</v>
      </c>
    </row>
    <row r="10" spans="1:28" ht="15.75" customHeight="1">
      <c r="A10" s="594">
        <v>44995</v>
      </c>
      <c r="B10" s="36" t="s">
        <v>9718</v>
      </c>
      <c r="C10" s="36" t="s">
        <v>20</v>
      </c>
      <c r="D10" s="130" t="s">
        <v>9719</v>
      </c>
      <c r="E10" s="36" t="s">
        <v>9720</v>
      </c>
      <c r="F10" s="36" t="s">
        <v>3605</v>
      </c>
      <c r="G10" s="36" t="s">
        <v>9721</v>
      </c>
      <c r="H10" s="36" t="s">
        <v>5895</v>
      </c>
      <c r="I10" s="36" t="s">
        <v>9722</v>
      </c>
    </row>
    <row r="11" spans="1:28" ht="15.75" customHeight="1">
      <c r="A11" s="594">
        <v>44999</v>
      </c>
      <c r="B11" s="36" t="s">
        <v>9723</v>
      </c>
      <c r="C11" s="36" t="s">
        <v>20</v>
      </c>
      <c r="E11" s="130" t="s">
        <v>9724</v>
      </c>
      <c r="F11" s="36" t="s">
        <v>9725</v>
      </c>
      <c r="G11" s="36" t="s">
        <v>9726</v>
      </c>
      <c r="H11" s="36" t="s">
        <v>5895</v>
      </c>
      <c r="I11" s="36" t="s">
        <v>9727</v>
      </c>
    </row>
    <row r="12" spans="1:28">
      <c r="A12" s="594">
        <v>44994</v>
      </c>
      <c r="B12" s="525">
        <v>45218</v>
      </c>
      <c r="C12" s="36" t="s">
        <v>20</v>
      </c>
      <c r="D12" s="36" t="s">
        <v>9728</v>
      </c>
      <c r="E12" s="36" t="s">
        <v>9729</v>
      </c>
      <c r="F12" s="36" t="s">
        <v>3605</v>
      </c>
      <c r="G12" s="36" t="s">
        <v>9725</v>
      </c>
      <c r="H12" s="36" t="s">
        <v>5895</v>
      </c>
      <c r="I12" s="36" t="s">
        <v>9727</v>
      </c>
    </row>
    <row r="13" spans="1:28">
      <c r="A13" s="594">
        <v>45002</v>
      </c>
      <c r="B13" s="595">
        <v>0.77083333333333337</v>
      </c>
      <c r="C13" s="36" t="s">
        <v>9697</v>
      </c>
      <c r="D13" s="36" t="s">
        <v>9730</v>
      </c>
      <c r="E13" s="36" t="s">
        <v>9731</v>
      </c>
      <c r="F13" s="36" t="s">
        <v>6880</v>
      </c>
      <c r="G13" s="36" t="s">
        <v>6089</v>
      </c>
      <c r="H13" s="36" t="s">
        <v>5895</v>
      </c>
      <c r="I13" s="36" t="s">
        <v>9732</v>
      </c>
    </row>
    <row r="14" spans="1:28">
      <c r="A14" s="594">
        <v>45001</v>
      </c>
      <c r="B14" s="595">
        <v>0.66666666666666663</v>
      </c>
      <c r="C14" s="36" t="s">
        <v>11</v>
      </c>
      <c r="E14" s="596" t="s">
        <v>9733</v>
      </c>
      <c r="F14" s="36" t="s">
        <v>9734</v>
      </c>
      <c r="G14" s="36" t="s">
        <v>811</v>
      </c>
      <c r="H14" s="36" t="s">
        <v>5895</v>
      </c>
      <c r="I14" s="36" t="s">
        <v>9735</v>
      </c>
    </row>
    <row r="15" spans="1:28">
      <c r="A15" s="594">
        <v>45003</v>
      </c>
      <c r="B15" s="595">
        <v>0.41666666666666669</v>
      </c>
      <c r="C15" s="36" t="s">
        <v>11</v>
      </c>
      <c r="D15" s="597" t="s">
        <v>6446</v>
      </c>
      <c r="E15" s="36" t="s">
        <v>9736</v>
      </c>
      <c r="F15" s="596" t="s">
        <v>6448</v>
      </c>
      <c r="G15" s="597" t="s">
        <v>9737</v>
      </c>
      <c r="H15" s="36" t="s">
        <v>5895</v>
      </c>
      <c r="I15" s="36" t="s">
        <v>9738</v>
      </c>
    </row>
    <row r="16" spans="1:28">
      <c r="A16" s="594">
        <v>45002</v>
      </c>
      <c r="B16" s="595">
        <v>0.79166666666666663</v>
      </c>
      <c r="C16" s="36" t="s">
        <v>9697</v>
      </c>
      <c r="D16" s="36" t="s">
        <v>6130</v>
      </c>
      <c r="E16" s="36" t="s">
        <v>9739</v>
      </c>
      <c r="F16" s="36" t="s">
        <v>9740</v>
      </c>
      <c r="G16" s="36" t="s">
        <v>6350</v>
      </c>
      <c r="H16" s="36" t="s">
        <v>5895</v>
      </c>
      <c r="I16" s="36" t="s">
        <v>9741</v>
      </c>
    </row>
    <row r="17" spans="1:9">
      <c r="A17" s="594">
        <v>45003</v>
      </c>
      <c r="B17" s="595">
        <v>0.45833333333333331</v>
      </c>
      <c r="C17" s="36" t="s">
        <v>9707</v>
      </c>
      <c r="D17" s="36" t="s">
        <v>9742</v>
      </c>
      <c r="E17" s="36" t="s">
        <v>9743</v>
      </c>
      <c r="F17" s="36" t="s">
        <v>1058</v>
      </c>
      <c r="G17" s="36" t="s">
        <v>6350</v>
      </c>
      <c r="H17" s="36" t="s">
        <v>5895</v>
      </c>
      <c r="I17" s="36" t="s">
        <v>9744</v>
      </c>
    </row>
    <row r="18" spans="1:9">
      <c r="A18" s="594">
        <v>45003</v>
      </c>
      <c r="B18" s="595">
        <v>0.41666666666666669</v>
      </c>
      <c r="C18" s="36" t="s">
        <v>3388</v>
      </c>
      <c r="D18" s="36" t="s">
        <v>9745</v>
      </c>
      <c r="E18" s="36" t="s">
        <v>9746</v>
      </c>
      <c r="F18" s="36" t="s">
        <v>1972</v>
      </c>
      <c r="G18" s="36" t="s">
        <v>6154</v>
      </c>
      <c r="H18" s="36" t="s">
        <v>5895</v>
      </c>
      <c r="I18" s="36" t="s">
        <v>9747</v>
      </c>
    </row>
    <row r="19" spans="1:9">
      <c r="A19" s="594">
        <v>45003</v>
      </c>
      <c r="B19" s="595">
        <v>0.41666666666666669</v>
      </c>
      <c r="C19" s="36" t="s">
        <v>3388</v>
      </c>
      <c r="D19" s="36" t="s">
        <v>9748</v>
      </c>
      <c r="E19" s="36" t="s">
        <v>9749</v>
      </c>
      <c r="F19" s="36" t="s">
        <v>1972</v>
      </c>
      <c r="G19" s="36" t="s">
        <v>5477</v>
      </c>
      <c r="H19" s="36" t="s">
        <v>5895</v>
      </c>
      <c r="I19" s="36" t="s">
        <v>9747</v>
      </c>
    </row>
    <row r="20" spans="1:9">
      <c r="A20" s="594">
        <v>45001</v>
      </c>
      <c r="B20" s="595">
        <v>0.70833333333333337</v>
      </c>
      <c r="C20" s="36" t="s">
        <v>3388</v>
      </c>
      <c r="D20" s="36" t="s">
        <v>9750</v>
      </c>
      <c r="E20" s="36" t="s">
        <v>9751</v>
      </c>
      <c r="F20" s="36" t="s">
        <v>5941</v>
      </c>
      <c r="G20" s="36" t="s">
        <v>6006</v>
      </c>
      <c r="H20" s="36" t="s">
        <v>5895</v>
      </c>
      <c r="I20" s="36" t="s">
        <v>7196</v>
      </c>
    </row>
    <row r="21" spans="1:9">
      <c r="A21" s="598">
        <v>44999</v>
      </c>
      <c r="C21" s="36" t="s">
        <v>3388</v>
      </c>
      <c r="D21" s="36" t="s">
        <v>9752</v>
      </c>
      <c r="F21" s="36" t="s">
        <v>6594</v>
      </c>
      <c r="H21" s="36" t="s">
        <v>5942</v>
      </c>
      <c r="I21" s="36" t="s">
        <v>9753</v>
      </c>
    </row>
    <row r="22" spans="1:9">
      <c r="A22" s="598">
        <v>45006</v>
      </c>
      <c r="C22" s="36" t="s">
        <v>3388</v>
      </c>
      <c r="D22" s="36" t="s">
        <v>9752</v>
      </c>
      <c r="F22" s="36" t="s">
        <v>6594</v>
      </c>
      <c r="H22" s="36" t="s">
        <v>5942</v>
      </c>
      <c r="I22" s="36" t="s">
        <v>9753</v>
      </c>
    </row>
    <row r="23" spans="1:9">
      <c r="A23" s="598">
        <v>44994</v>
      </c>
      <c r="C23" s="36" t="s">
        <v>3388</v>
      </c>
      <c r="D23" s="597" t="s">
        <v>9754</v>
      </c>
      <c r="F23" s="36" t="s">
        <v>6594</v>
      </c>
      <c r="H23" s="36" t="s">
        <v>5942</v>
      </c>
      <c r="I23" s="36" t="s">
        <v>9753</v>
      </c>
    </row>
    <row r="24" spans="1:9">
      <c r="A24" s="598">
        <v>44999</v>
      </c>
      <c r="C24" s="36" t="s">
        <v>3388</v>
      </c>
      <c r="D24" s="36" t="s">
        <v>9755</v>
      </c>
      <c r="F24" s="36" t="s">
        <v>6594</v>
      </c>
      <c r="H24" s="36" t="s">
        <v>5942</v>
      </c>
      <c r="I24" s="36" t="s">
        <v>9753</v>
      </c>
    </row>
    <row r="25" spans="1:9">
      <c r="A25" s="594">
        <v>45004</v>
      </c>
      <c r="C25" s="36" t="s">
        <v>9697</v>
      </c>
      <c r="E25" s="36" t="s">
        <v>9756</v>
      </c>
      <c r="F25" s="36" t="s">
        <v>9757</v>
      </c>
      <c r="G25" s="36" t="s">
        <v>9758</v>
      </c>
      <c r="H25" s="36" t="s">
        <v>5895</v>
      </c>
      <c r="I25" s="36" t="s">
        <v>9759</v>
      </c>
    </row>
    <row r="26" spans="1:9">
      <c r="A26" s="594">
        <v>45006</v>
      </c>
      <c r="B26" s="36" t="s">
        <v>9723</v>
      </c>
      <c r="C26" s="36" t="s">
        <v>20</v>
      </c>
      <c r="D26" s="599" t="s">
        <v>9760</v>
      </c>
      <c r="E26" s="36" t="s">
        <v>9761</v>
      </c>
      <c r="F26" s="36" t="s">
        <v>6182</v>
      </c>
      <c r="G26" s="36" t="s">
        <v>9762</v>
      </c>
      <c r="H26" s="36" t="s">
        <v>5895</v>
      </c>
      <c r="I26" s="36" t="s">
        <v>9763</v>
      </c>
    </row>
    <row r="27" spans="1:9" ht="15.75" customHeight="1">
      <c r="A27" s="594">
        <v>45006</v>
      </c>
      <c r="B27" s="36" t="s">
        <v>9764</v>
      </c>
      <c r="C27" s="36" t="s">
        <v>20</v>
      </c>
      <c r="D27" s="130" t="s">
        <v>9765</v>
      </c>
      <c r="E27" s="36" t="s">
        <v>9766</v>
      </c>
      <c r="F27" s="36" t="s">
        <v>9767</v>
      </c>
      <c r="G27" s="36" t="s">
        <v>9758</v>
      </c>
      <c r="H27" s="36" t="s">
        <v>5895</v>
      </c>
      <c r="I27" s="36" t="s">
        <v>9768</v>
      </c>
    </row>
    <row r="28" spans="1:9">
      <c r="C28" s="36"/>
      <c r="H28" s="36"/>
    </row>
    <row r="29" spans="1:9">
      <c r="C29" s="36"/>
      <c r="H29" s="36"/>
    </row>
    <row r="30" spans="1:9">
      <c r="C30" s="36"/>
      <c r="H30" s="36"/>
    </row>
    <row r="31" spans="1:9">
      <c r="C31" s="36"/>
      <c r="H31" s="36"/>
    </row>
    <row r="32" spans="1:9">
      <c r="C32" s="36"/>
      <c r="H32" s="36"/>
    </row>
    <row r="33" spans="3:8">
      <c r="C33" s="36"/>
      <c r="H33" s="36"/>
    </row>
    <row r="34" spans="3:8">
      <c r="C34" s="36"/>
      <c r="H34" s="36"/>
    </row>
    <row r="35" spans="3:8">
      <c r="C35" s="36"/>
      <c r="H35" s="36"/>
    </row>
    <row r="36" spans="3:8">
      <c r="C36" s="36"/>
      <c r="H36" s="36"/>
    </row>
    <row r="37" spans="3:8">
      <c r="C37" s="36"/>
      <c r="H37" s="36"/>
    </row>
    <row r="38" spans="3:8">
      <c r="C38" s="36"/>
      <c r="H38" s="36"/>
    </row>
    <row r="39" spans="3:8">
      <c r="C39" s="36"/>
      <c r="H39" s="36"/>
    </row>
    <row r="40" spans="3:8" ht="12.75">
      <c r="C40" s="36"/>
      <c r="H40" s="36"/>
    </row>
    <row r="41" spans="3:8" ht="12.75">
      <c r="C41" s="36"/>
      <c r="H41" s="36"/>
    </row>
    <row r="42" spans="3:8" ht="12.75">
      <c r="C42" s="36"/>
      <c r="H42" s="36"/>
    </row>
    <row r="43" spans="3:8" ht="12.75">
      <c r="C43" s="36"/>
      <c r="H43" s="36"/>
    </row>
    <row r="44" spans="3:8" ht="12.75">
      <c r="C44" s="36"/>
      <c r="H44" s="36"/>
    </row>
    <row r="45" spans="3:8" ht="12.75">
      <c r="C45" s="36"/>
      <c r="H45" s="36"/>
    </row>
    <row r="46" spans="3:8" ht="12.75">
      <c r="C46" s="36"/>
      <c r="H46" s="36"/>
    </row>
    <row r="47" spans="3:8" ht="12.75">
      <c r="C47" s="36"/>
      <c r="H47" s="36"/>
    </row>
    <row r="48" spans="3:8" ht="12.75">
      <c r="C48" s="36"/>
      <c r="H48" s="36"/>
    </row>
    <row r="49" spans="3:8" ht="12.75">
      <c r="C49" s="36"/>
      <c r="H49" s="36"/>
    </row>
    <row r="50" spans="3:8" ht="12.75">
      <c r="C50" s="36"/>
      <c r="H50" s="36"/>
    </row>
    <row r="51" spans="3:8" ht="12.75">
      <c r="C51" s="36"/>
      <c r="H51" s="36"/>
    </row>
    <row r="52" spans="3:8" ht="12.75">
      <c r="C52" s="36"/>
      <c r="H52" s="36"/>
    </row>
    <row r="53" spans="3:8" ht="12.75">
      <c r="C53" s="36"/>
      <c r="H53" s="36"/>
    </row>
    <row r="54" spans="3:8" ht="12.75">
      <c r="C54" s="36"/>
      <c r="H54" s="36"/>
    </row>
    <row r="55" spans="3:8" ht="12.75">
      <c r="C55" s="36"/>
      <c r="H55" s="36"/>
    </row>
    <row r="56" spans="3:8" ht="12.75">
      <c r="C56" s="36"/>
      <c r="H56" s="36"/>
    </row>
    <row r="57" spans="3:8" ht="12.75">
      <c r="C57" s="36"/>
      <c r="H57" s="36"/>
    </row>
    <row r="58" spans="3:8" ht="12.75">
      <c r="C58" s="36"/>
      <c r="H58" s="36"/>
    </row>
    <row r="59" spans="3:8" ht="12.75">
      <c r="C59" s="36"/>
      <c r="H59" s="36"/>
    </row>
    <row r="60" spans="3:8" ht="12.75">
      <c r="C60" s="36"/>
      <c r="H60" s="36"/>
    </row>
    <row r="61" spans="3:8" ht="12.75">
      <c r="C61" s="36"/>
      <c r="H61" s="36"/>
    </row>
    <row r="62" spans="3:8" ht="12.75">
      <c r="C62" s="36"/>
      <c r="H62" s="36"/>
    </row>
    <row r="63" spans="3:8" ht="12.75">
      <c r="C63" s="36"/>
      <c r="H63" s="36"/>
    </row>
    <row r="64" spans="3:8" ht="12.75">
      <c r="C64" s="36"/>
      <c r="H64" s="36"/>
    </row>
    <row r="65" spans="3:8" ht="12.75">
      <c r="C65" s="36"/>
      <c r="H65" s="36"/>
    </row>
    <row r="66" spans="3:8" ht="12.75">
      <c r="C66" s="36"/>
      <c r="H66" s="36"/>
    </row>
    <row r="67" spans="3:8" ht="12.75">
      <c r="C67" s="36"/>
      <c r="H67" s="36"/>
    </row>
    <row r="68" spans="3:8" ht="12.75">
      <c r="C68" s="36"/>
      <c r="H68" s="36"/>
    </row>
    <row r="69" spans="3:8" ht="12.75">
      <c r="C69" s="36"/>
      <c r="H69" s="36"/>
    </row>
    <row r="70" spans="3:8" ht="12.75">
      <c r="C70" s="36"/>
      <c r="H70" s="36"/>
    </row>
    <row r="71" spans="3:8" ht="12.75">
      <c r="C71" s="36"/>
      <c r="H71" s="36"/>
    </row>
    <row r="72" spans="3:8" ht="12.75">
      <c r="C72" s="36"/>
      <c r="H72" s="36"/>
    </row>
    <row r="73" spans="3:8" ht="12.75">
      <c r="C73" s="36"/>
      <c r="H73" s="36"/>
    </row>
    <row r="74" spans="3:8" ht="12.75">
      <c r="C74" s="36"/>
      <c r="H74" s="36"/>
    </row>
    <row r="75" spans="3:8" ht="12.75">
      <c r="C75" s="36"/>
      <c r="H75" s="36"/>
    </row>
    <row r="76" spans="3:8" ht="12.75">
      <c r="C76" s="36"/>
      <c r="H76" s="36"/>
    </row>
    <row r="77" spans="3:8" ht="12.75">
      <c r="C77" s="36"/>
      <c r="H77" s="36"/>
    </row>
    <row r="78" spans="3:8" ht="12.75">
      <c r="C78" s="36"/>
      <c r="H78" s="36"/>
    </row>
    <row r="79" spans="3:8" ht="12.75">
      <c r="C79" s="36"/>
      <c r="H79" s="36"/>
    </row>
    <row r="80" spans="3:8" ht="12.75">
      <c r="C80" s="36"/>
      <c r="H80" s="36"/>
    </row>
    <row r="81" spans="3:8" ht="12.75">
      <c r="C81" s="36"/>
      <c r="H81" s="36"/>
    </row>
    <row r="82" spans="3:8" ht="12.75">
      <c r="C82" s="36"/>
      <c r="H82" s="36"/>
    </row>
    <row r="83" spans="3:8" ht="12.75">
      <c r="C83" s="36"/>
      <c r="H83" s="36"/>
    </row>
    <row r="84" spans="3:8" ht="12.75">
      <c r="C84" s="36"/>
      <c r="H84" s="36"/>
    </row>
    <row r="85" spans="3:8" ht="12.75">
      <c r="C85" s="36"/>
      <c r="H85" s="36"/>
    </row>
    <row r="86" spans="3:8" ht="12.75">
      <c r="C86" s="36"/>
      <c r="H86" s="36"/>
    </row>
    <row r="87" spans="3:8" ht="12.75">
      <c r="C87" s="36"/>
      <c r="H87" s="36"/>
    </row>
    <row r="88" spans="3:8" ht="12.75">
      <c r="C88" s="36"/>
      <c r="H88" s="36"/>
    </row>
    <row r="89" spans="3:8" ht="12.75">
      <c r="C89" s="36"/>
      <c r="H89" s="36"/>
    </row>
    <row r="90" spans="3:8" ht="12.75">
      <c r="C90" s="36"/>
      <c r="H90" s="36"/>
    </row>
    <row r="91" spans="3:8" ht="12.75">
      <c r="C91" s="36"/>
      <c r="H91" s="36"/>
    </row>
    <row r="92" spans="3:8" ht="12.75">
      <c r="C92" s="36"/>
      <c r="H92" s="36"/>
    </row>
    <row r="93" spans="3:8" ht="12.75">
      <c r="C93" s="36"/>
      <c r="H93" s="36"/>
    </row>
    <row r="94" spans="3:8" ht="12.75">
      <c r="C94" s="36"/>
      <c r="H94" s="36"/>
    </row>
    <row r="95" spans="3:8" ht="12.75">
      <c r="C95" s="36"/>
      <c r="H95" s="36"/>
    </row>
    <row r="96" spans="3:8" ht="12.75">
      <c r="C96" s="36"/>
      <c r="H96" s="36"/>
    </row>
    <row r="97" spans="3:8" ht="12.75">
      <c r="C97" s="36"/>
      <c r="H97" s="36"/>
    </row>
    <row r="98" spans="3:8" ht="12.75">
      <c r="C98" s="36"/>
      <c r="H98" s="36"/>
    </row>
    <row r="99" spans="3:8" ht="12.75">
      <c r="C99" s="36"/>
      <c r="H99" s="36"/>
    </row>
    <row r="100" spans="3:8" ht="12.75">
      <c r="C100" s="36"/>
      <c r="H100" s="36"/>
    </row>
    <row r="101" spans="3:8" ht="12.75">
      <c r="C101" s="36"/>
      <c r="H101" s="36"/>
    </row>
    <row r="102" spans="3:8" ht="12.75">
      <c r="C102" s="36"/>
      <c r="H102" s="36"/>
    </row>
    <row r="103" spans="3:8" ht="12.75">
      <c r="C103" s="36"/>
      <c r="H103" s="36"/>
    </row>
    <row r="104" spans="3:8" ht="12.75">
      <c r="C104" s="36"/>
      <c r="H104" s="36"/>
    </row>
    <row r="105" spans="3:8" ht="12.75">
      <c r="C105" s="36"/>
      <c r="H105" s="36"/>
    </row>
    <row r="106" spans="3:8" ht="12.75">
      <c r="C106" s="36"/>
      <c r="H106" s="36"/>
    </row>
    <row r="107" spans="3:8" ht="12.75">
      <c r="C107" s="36"/>
      <c r="H107" s="36"/>
    </row>
    <row r="108" spans="3:8" ht="12.75">
      <c r="C108" s="36"/>
      <c r="H108" s="36"/>
    </row>
    <row r="109" spans="3:8" ht="12.75">
      <c r="C109" s="36"/>
      <c r="H109" s="36"/>
    </row>
    <row r="110" spans="3:8" ht="12.75">
      <c r="C110" s="36"/>
      <c r="H110" s="36"/>
    </row>
    <row r="111" spans="3:8" ht="12.75">
      <c r="C111" s="36"/>
      <c r="H111" s="36"/>
    </row>
    <row r="112" spans="3:8" ht="12.75">
      <c r="C112" s="36"/>
      <c r="H112" s="36"/>
    </row>
    <row r="113" spans="3:8" ht="12.75">
      <c r="C113" s="36"/>
      <c r="H113" s="36"/>
    </row>
    <row r="114" spans="3:8" ht="12.75">
      <c r="C114" s="36"/>
      <c r="H114" s="36"/>
    </row>
    <row r="115" spans="3:8" ht="12.75">
      <c r="C115" s="36"/>
      <c r="H115" s="36"/>
    </row>
    <row r="116" spans="3:8" ht="12.75">
      <c r="C116" s="36"/>
      <c r="H116" s="36"/>
    </row>
    <row r="117" spans="3:8" ht="12.75">
      <c r="C117" s="36"/>
      <c r="H117" s="36"/>
    </row>
    <row r="118" spans="3:8" ht="12.75">
      <c r="C118" s="36"/>
      <c r="H118" s="36"/>
    </row>
    <row r="119" spans="3:8" ht="12.75">
      <c r="C119" s="36"/>
      <c r="H119" s="36"/>
    </row>
    <row r="120" spans="3:8" ht="12.75">
      <c r="C120" s="36"/>
      <c r="H120" s="36"/>
    </row>
    <row r="121" spans="3:8" ht="12.75">
      <c r="C121" s="36"/>
      <c r="H121" s="36"/>
    </row>
    <row r="122" spans="3:8" ht="12.75">
      <c r="C122" s="36"/>
      <c r="H122" s="36"/>
    </row>
    <row r="123" spans="3:8" ht="12.75">
      <c r="C123" s="36"/>
      <c r="H123" s="36"/>
    </row>
    <row r="124" spans="3:8" ht="12.75">
      <c r="C124" s="36"/>
      <c r="H124" s="36"/>
    </row>
    <row r="125" spans="3:8" ht="12.75">
      <c r="C125" s="36"/>
      <c r="H125" s="36"/>
    </row>
    <row r="126" spans="3:8" ht="12.75">
      <c r="C126" s="36"/>
      <c r="H126" s="36"/>
    </row>
    <row r="127" spans="3:8" ht="12.75">
      <c r="C127" s="36"/>
      <c r="H127" s="36"/>
    </row>
    <row r="128" spans="3:8" ht="12.75">
      <c r="C128" s="36"/>
      <c r="H128" s="36"/>
    </row>
    <row r="129" spans="3:8" ht="12.75">
      <c r="C129" s="36"/>
      <c r="H129" s="36"/>
    </row>
    <row r="130" spans="3:8" ht="12.75">
      <c r="C130" s="36"/>
      <c r="H130" s="36"/>
    </row>
    <row r="131" spans="3:8" ht="12.75">
      <c r="C131" s="36"/>
      <c r="H131" s="36"/>
    </row>
    <row r="132" spans="3:8" ht="12.75">
      <c r="C132" s="36"/>
      <c r="H132" s="36"/>
    </row>
    <row r="133" spans="3:8" ht="12.75">
      <c r="C133" s="36"/>
      <c r="H133" s="36"/>
    </row>
    <row r="134" spans="3:8" ht="12.75">
      <c r="C134" s="36"/>
      <c r="H134" s="36"/>
    </row>
    <row r="135" spans="3:8" ht="12.75">
      <c r="C135" s="36"/>
      <c r="H135" s="36"/>
    </row>
    <row r="136" spans="3:8" ht="12.75">
      <c r="C136" s="36"/>
      <c r="H136" s="36"/>
    </row>
    <row r="137" spans="3:8" ht="12.75">
      <c r="C137" s="36"/>
      <c r="H137" s="36"/>
    </row>
    <row r="138" spans="3:8" ht="12.75">
      <c r="C138" s="36"/>
      <c r="H138" s="36"/>
    </row>
    <row r="139" spans="3:8" ht="12.75">
      <c r="C139" s="36"/>
      <c r="H139" s="36"/>
    </row>
    <row r="140" spans="3:8" ht="12.75">
      <c r="C140" s="36"/>
      <c r="H140" s="36"/>
    </row>
    <row r="141" spans="3:8" ht="12.75">
      <c r="C141" s="36"/>
      <c r="H141" s="36"/>
    </row>
    <row r="142" spans="3:8" ht="12.75">
      <c r="C142" s="36"/>
      <c r="H142" s="36"/>
    </row>
    <row r="143" spans="3:8" ht="12.75">
      <c r="C143" s="36"/>
      <c r="H143" s="36"/>
    </row>
    <row r="144" spans="3:8" ht="12.75">
      <c r="C144" s="36"/>
      <c r="H144" s="36"/>
    </row>
    <row r="145" spans="3:8" ht="12.75">
      <c r="C145" s="36"/>
      <c r="H145" s="36"/>
    </row>
    <row r="146" spans="3:8" ht="12.75">
      <c r="C146" s="36"/>
      <c r="H146" s="36"/>
    </row>
    <row r="147" spans="3:8" ht="12.75">
      <c r="C147" s="36"/>
      <c r="H147" s="36"/>
    </row>
    <row r="148" spans="3:8" ht="12.75">
      <c r="C148" s="36"/>
      <c r="H148" s="36"/>
    </row>
    <row r="149" spans="3:8" ht="12.75">
      <c r="C149" s="36"/>
      <c r="H149" s="36"/>
    </row>
    <row r="150" spans="3:8" ht="12.75">
      <c r="C150" s="36"/>
      <c r="H150" s="36"/>
    </row>
    <row r="151" spans="3:8" ht="12.75">
      <c r="C151" s="36"/>
      <c r="H151" s="36"/>
    </row>
    <row r="152" spans="3:8" ht="12.75">
      <c r="C152" s="36"/>
      <c r="H152" s="36"/>
    </row>
    <row r="153" spans="3:8" ht="12.75">
      <c r="C153" s="36"/>
      <c r="H153" s="36"/>
    </row>
    <row r="154" spans="3:8" ht="12.75">
      <c r="C154" s="36"/>
      <c r="H154" s="36"/>
    </row>
    <row r="155" spans="3:8" ht="12.75">
      <c r="C155" s="36"/>
      <c r="H155" s="36"/>
    </row>
    <row r="156" spans="3:8" ht="12.75">
      <c r="C156" s="36"/>
      <c r="H156" s="36"/>
    </row>
    <row r="157" spans="3:8" ht="12.75">
      <c r="C157" s="36"/>
      <c r="H157" s="36"/>
    </row>
    <row r="158" spans="3:8" ht="12.75">
      <c r="C158" s="36"/>
      <c r="H158" s="36"/>
    </row>
    <row r="159" spans="3:8" ht="12.75">
      <c r="C159" s="36"/>
      <c r="H159" s="36"/>
    </row>
    <row r="160" spans="3:8" ht="12.75">
      <c r="C160" s="36"/>
      <c r="H160" s="36"/>
    </row>
    <row r="161" spans="3:8" ht="12.75">
      <c r="C161" s="36"/>
      <c r="H161" s="36"/>
    </row>
    <row r="162" spans="3:8" ht="12.75">
      <c r="C162" s="36"/>
      <c r="H162" s="36"/>
    </row>
    <row r="163" spans="3:8" ht="12.75">
      <c r="C163" s="36"/>
      <c r="H163" s="36"/>
    </row>
    <row r="164" spans="3:8" ht="12.75">
      <c r="C164" s="36"/>
      <c r="H164" s="36"/>
    </row>
    <row r="165" spans="3:8" ht="12.75">
      <c r="C165" s="36"/>
      <c r="H165" s="36"/>
    </row>
    <row r="166" spans="3:8" ht="12.75">
      <c r="C166" s="36"/>
      <c r="H166" s="36"/>
    </row>
    <row r="167" spans="3:8" ht="12.75">
      <c r="C167" s="36"/>
      <c r="H167" s="36"/>
    </row>
    <row r="168" spans="3:8" ht="12.75">
      <c r="C168" s="36"/>
      <c r="H168" s="36"/>
    </row>
    <row r="169" spans="3:8" ht="12.75">
      <c r="C169" s="36"/>
      <c r="H169" s="36"/>
    </row>
    <row r="170" spans="3:8" ht="12.75">
      <c r="C170" s="36"/>
      <c r="H170" s="36"/>
    </row>
    <row r="171" spans="3:8" ht="12.75">
      <c r="C171" s="36"/>
      <c r="H171" s="36"/>
    </row>
    <row r="172" spans="3:8" ht="12.75">
      <c r="C172" s="36"/>
      <c r="H172" s="36"/>
    </row>
    <row r="173" spans="3:8" ht="12.75">
      <c r="C173" s="36"/>
      <c r="H173" s="36"/>
    </row>
    <row r="174" spans="3:8" ht="12.75">
      <c r="C174" s="36"/>
      <c r="H174" s="36"/>
    </row>
    <row r="175" spans="3:8" ht="12.75">
      <c r="C175" s="36"/>
      <c r="H175" s="36"/>
    </row>
    <row r="176" spans="3:8" ht="12.75">
      <c r="C176" s="36"/>
      <c r="H176" s="36"/>
    </row>
    <row r="177" spans="3:8" ht="12.75">
      <c r="C177" s="36"/>
      <c r="H177" s="36"/>
    </row>
    <row r="178" spans="3:8" ht="12.75">
      <c r="C178" s="36"/>
      <c r="H178" s="36"/>
    </row>
    <row r="179" spans="3:8" ht="12.75">
      <c r="C179" s="36"/>
      <c r="H179" s="36"/>
    </row>
    <row r="180" spans="3:8" ht="12.75">
      <c r="C180" s="36"/>
      <c r="H180" s="36"/>
    </row>
    <row r="181" spans="3:8" ht="12.75">
      <c r="C181" s="36"/>
      <c r="H181" s="36"/>
    </row>
    <row r="182" spans="3:8" ht="12.75">
      <c r="C182" s="36"/>
      <c r="H182" s="36"/>
    </row>
    <row r="183" spans="3:8" ht="12.75">
      <c r="C183" s="36"/>
      <c r="H183" s="36"/>
    </row>
    <row r="184" spans="3:8" ht="12.75">
      <c r="C184" s="36"/>
      <c r="H184" s="36"/>
    </row>
    <row r="185" spans="3:8" ht="12.75">
      <c r="C185" s="36"/>
      <c r="H185" s="36"/>
    </row>
    <row r="186" spans="3:8" ht="12.75">
      <c r="C186" s="36"/>
      <c r="H186" s="36"/>
    </row>
    <row r="187" spans="3:8" ht="12.75">
      <c r="C187" s="36"/>
      <c r="H187" s="36"/>
    </row>
    <row r="188" spans="3:8" ht="12.75">
      <c r="C188" s="36"/>
      <c r="H188" s="36"/>
    </row>
    <row r="189" spans="3:8" ht="12.75">
      <c r="C189" s="36"/>
      <c r="H189" s="36"/>
    </row>
    <row r="190" spans="3:8" ht="12.75">
      <c r="C190" s="36"/>
      <c r="H190" s="36"/>
    </row>
    <row r="191" spans="3:8" ht="12.75">
      <c r="C191" s="36"/>
      <c r="H191" s="36"/>
    </row>
    <row r="192" spans="3:8" ht="12.75">
      <c r="C192" s="36"/>
      <c r="H192" s="36"/>
    </row>
    <row r="193" spans="3:8" ht="12.75">
      <c r="C193" s="36"/>
      <c r="H193" s="36"/>
    </row>
    <row r="194" spans="3:8" ht="12.75">
      <c r="C194" s="36"/>
      <c r="H194" s="36"/>
    </row>
    <row r="195" spans="3:8" ht="12.75">
      <c r="C195" s="36"/>
      <c r="H195" s="36"/>
    </row>
    <row r="196" spans="3:8" ht="12.75">
      <c r="C196" s="36"/>
      <c r="H196" s="36"/>
    </row>
    <row r="197" spans="3:8" ht="12.75">
      <c r="C197" s="36"/>
      <c r="H197" s="36"/>
    </row>
    <row r="198" spans="3:8" ht="12.75">
      <c r="C198" s="36"/>
      <c r="H198" s="36"/>
    </row>
    <row r="199" spans="3:8" ht="12.75">
      <c r="C199" s="36"/>
      <c r="H199" s="36"/>
    </row>
    <row r="200" spans="3:8" ht="12.75">
      <c r="C200" s="36"/>
      <c r="H200" s="36"/>
    </row>
    <row r="201" spans="3:8" ht="12.75">
      <c r="C201" s="36"/>
      <c r="H201" s="36"/>
    </row>
    <row r="202" spans="3:8" ht="12.75">
      <c r="C202" s="36"/>
      <c r="H202" s="36"/>
    </row>
    <row r="203" spans="3:8" ht="12.75">
      <c r="C203" s="36"/>
      <c r="H203" s="36"/>
    </row>
    <row r="204" spans="3:8" ht="12.75">
      <c r="C204" s="36"/>
      <c r="H204" s="36"/>
    </row>
    <row r="205" spans="3:8" ht="12.75">
      <c r="C205" s="36"/>
      <c r="H205" s="36"/>
    </row>
    <row r="206" spans="3:8" ht="12.75">
      <c r="C206" s="36"/>
      <c r="H206" s="36"/>
    </row>
    <row r="207" spans="3:8" ht="12.75">
      <c r="C207" s="36"/>
      <c r="H207" s="36"/>
    </row>
    <row r="208" spans="3:8" ht="12.75">
      <c r="C208" s="36"/>
      <c r="H208" s="36"/>
    </row>
    <row r="209" spans="3:8" ht="12.75">
      <c r="C209" s="36"/>
      <c r="H209" s="36"/>
    </row>
    <row r="210" spans="3:8" ht="12.75">
      <c r="C210" s="36"/>
      <c r="H210" s="36"/>
    </row>
    <row r="211" spans="3:8" ht="12.75">
      <c r="C211" s="36"/>
      <c r="H211" s="36"/>
    </row>
    <row r="212" spans="3:8" ht="12.75">
      <c r="C212" s="36"/>
      <c r="H212" s="36"/>
    </row>
    <row r="213" spans="3:8" ht="12.75">
      <c r="C213" s="36"/>
      <c r="H213" s="36"/>
    </row>
    <row r="214" spans="3:8" ht="12.75">
      <c r="C214" s="36"/>
      <c r="H214" s="36"/>
    </row>
    <row r="215" spans="3:8" ht="12.75">
      <c r="C215" s="36"/>
      <c r="H215" s="36"/>
    </row>
    <row r="216" spans="3:8" ht="12.75">
      <c r="C216" s="36"/>
      <c r="H216" s="36"/>
    </row>
    <row r="217" spans="3:8" ht="12.75">
      <c r="C217" s="36"/>
      <c r="H217" s="36"/>
    </row>
    <row r="218" spans="3:8" ht="12.75">
      <c r="C218" s="36"/>
      <c r="H218" s="36"/>
    </row>
    <row r="219" spans="3:8" ht="12.75">
      <c r="C219" s="36"/>
      <c r="H219" s="36"/>
    </row>
    <row r="220" spans="3:8" ht="12.75">
      <c r="C220" s="36"/>
      <c r="H220" s="36"/>
    </row>
    <row r="221" spans="3:8" ht="12.75">
      <c r="C221" s="36"/>
      <c r="H221" s="36"/>
    </row>
    <row r="222" spans="3:8" ht="12.75">
      <c r="C222" s="36"/>
      <c r="H222" s="36"/>
    </row>
    <row r="223" spans="3:8" ht="12.75">
      <c r="C223" s="36"/>
      <c r="H223" s="36"/>
    </row>
    <row r="224" spans="3:8" ht="12.75">
      <c r="C224" s="36"/>
      <c r="H224" s="36"/>
    </row>
    <row r="225" spans="3:8" ht="12.75">
      <c r="C225" s="36"/>
      <c r="H225" s="36"/>
    </row>
    <row r="226" spans="3:8" ht="12.75">
      <c r="C226" s="36"/>
      <c r="H226" s="36"/>
    </row>
    <row r="227" spans="3:8" ht="12.75">
      <c r="C227" s="36"/>
      <c r="H227" s="36"/>
    </row>
    <row r="228" spans="3:8" ht="12.75">
      <c r="C228" s="36"/>
      <c r="H228" s="36"/>
    </row>
    <row r="229" spans="3:8" ht="12.75">
      <c r="C229" s="36"/>
      <c r="H229" s="36"/>
    </row>
    <row r="230" spans="3:8" ht="12.75">
      <c r="C230" s="36"/>
      <c r="H230" s="36"/>
    </row>
    <row r="231" spans="3:8" ht="12.75">
      <c r="C231" s="36"/>
      <c r="H231" s="36"/>
    </row>
    <row r="232" spans="3:8" ht="12.75">
      <c r="C232" s="36"/>
      <c r="H232" s="36"/>
    </row>
    <row r="233" spans="3:8" ht="12.75">
      <c r="C233" s="36"/>
      <c r="H233" s="36"/>
    </row>
    <row r="234" spans="3:8" ht="12.75">
      <c r="C234" s="36"/>
      <c r="H234" s="36"/>
    </row>
    <row r="235" spans="3:8" ht="12.75">
      <c r="C235" s="36"/>
      <c r="H235" s="36"/>
    </row>
    <row r="236" spans="3:8" ht="12.75">
      <c r="C236" s="36"/>
      <c r="H236" s="36"/>
    </row>
    <row r="237" spans="3:8" ht="12.75">
      <c r="C237" s="36"/>
      <c r="H237" s="36"/>
    </row>
    <row r="238" spans="3:8" ht="12.75">
      <c r="C238" s="36"/>
      <c r="H238" s="36"/>
    </row>
    <row r="239" spans="3:8" ht="12.75">
      <c r="C239" s="36"/>
      <c r="H239" s="36"/>
    </row>
    <row r="240" spans="3:8" ht="12.75">
      <c r="C240" s="36"/>
      <c r="H240" s="36"/>
    </row>
    <row r="241" spans="3:8" ht="12.75">
      <c r="C241" s="36"/>
      <c r="H241" s="36"/>
    </row>
    <row r="242" spans="3:8" ht="12.75">
      <c r="C242" s="36"/>
      <c r="H242" s="36"/>
    </row>
    <row r="243" spans="3:8" ht="12.75">
      <c r="C243" s="36"/>
      <c r="H243" s="36"/>
    </row>
    <row r="244" spans="3:8" ht="12.75">
      <c r="C244" s="36"/>
      <c r="H244" s="36"/>
    </row>
    <row r="245" spans="3:8" ht="12.75">
      <c r="C245" s="36"/>
      <c r="H245" s="36"/>
    </row>
    <row r="246" spans="3:8" ht="12.75">
      <c r="C246" s="36"/>
      <c r="H246" s="36"/>
    </row>
    <row r="247" spans="3:8" ht="12.75">
      <c r="C247" s="36"/>
      <c r="H247" s="36"/>
    </row>
    <row r="248" spans="3:8" ht="12.75">
      <c r="C248" s="36"/>
      <c r="H248" s="36"/>
    </row>
    <row r="249" spans="3:8" ht="12.75">
      <c r="C249" s="36"/>
      <c r="H249" s="36"/>
    </row>
    <row r="250" spans="3:8" ht="12.75">
      <c r="C250" s="36"/>
      <c r="H250" s="36"/>
    </row>
    <row r="251" spans="3:8" ht="12.75">
      <c r="C251" s="36"/>
      <c r="H251" s="36"/>
    </row>
    <row r="252" spans="3:8" ht="12.75">
      <c r="C252" s="36"/>
      <c r="H252" s="36"/>
    </row>
    <row r="253" spans="3:8" ht="12.75">
      <c r="C253" s="36"/>
      <c r="H253" s="36"/>
    </row>
    <row r="254" spans="3:8" ht="12.75">
      <c r="C254" s="36"/>
      <c r="H254" s="36"/>
    </row>
    <row r="255" spans="3:8" ht="12.75">
      <c r="C255" s="36"/>
      <c r="H255" s="36"/>
    </row>
    <row r="256" spans="3:8" ht="12.75">
      <c r="C256" s="36"/>
      <c r="H256" s="36"/>
    </row>
    <row r="257" spans="3:8" ht="12.75">
      <c r="C257" s="36"/>
      <c r="H257" s="36"/>
    </row>
    <row r="258" spans="3:8" ht="12.75">
      <c r="C258" s="36"/>
      <c r="H258" s="36"/>
    </row>
    <row r="259" spans="3:8" ht="12.75">
      <c r="C259" s="36"/>
      <c r="H259" s="36"/>
    </row>
    <row r="260" spans="3:8" ht="12.75">
      <c r="C260" s="36"/>
      <c r="H260" s="36"/>
    </row>
    <row r="261" spans="3:8" ht="12.75">
      <c r="C261" s="36"/>
      <c r="H261" s="36"/>
    </row>
    <row r="262" spans="3:8" ht="12.75">
      <c r="C262" s="36"/>
      <c r="H262" s="36"/>
    </row>
    <row r="263" spans="3:8" ht="12.75">
      <c r="C263" s="36"/>
      <c r="H263" s="36"/>
    </row>
    <row r="264" spans="3:8" ht="12.75">
      <c r="C264" s="36"/>
      <c r="H264" s="36"/>
    </row>
    <row r="265" spans="3:8" ht="12.75">
      <c r="C265" s="36"/>
      <c r="H265" s="36"/>
    </row>
    <row r="266" spans="3:8" ht="12.75">
      <c r="C266" s="36"/>
      <c r="H266" s="36"/>
    </row>
    <row r="267" spans="3:8" ht="12.75">
      <c r="C267" s="36"/>
      <c r="H267" s="36"/>
    </row>
    <row r="268" spans="3:8" ht="12.75">
      <c r="C268" s="36"/>
      <c r="H268" s="36"/>
    </row>
    <row r="269" spans="3:8" ht="12.75">
      <c r="C269" s="36"/>
      <c r="H269" s="36"/>
    </row>
    <row r="270" spans="3:8" ht="12.75">
      <c r="C270" s="36"/>
      <c r="H270" s="36"/>
    </row>
    <row r="271" spans="3:8" ht="12.75">
      <c r="C271" s="36"/>
      <c r="H271" s="36"/>
    </row>
    <row r="272" spans="3:8" ht="12.75">
      <c r="C272" s="36"/>
      <c r="H272" s="36"/>
    </row>
    <row r="273" spans="3:8" ht="12.75">
      <c r="C273" s="36"/>
      <c r="H273" s="36"/>
    </row>
    <row r="274" spans="3:8" ht="12.75">
      <c r="C274" s="36"/>
      <c r="H274" s="36"/>
    </row>
    <row r="275" spans="3:8" ht="12.75">
      <c r="C275" s="36"/>
      <c r="H275" s="36"/>
    </row>
    <row r="276" spans="3:8" ht="12.75">
      <c r="C276" s="36"/>
      <c r="H276" s="36"/>
    </row>
    <row r="277" spans="3:8" ht="12.75">
      <c r="C277" s="36"/>
      <c r="H277" s="36"/>
    </row>
    <row r="278" spans="3:8" ht="12.75">
      <c r="C278" s="36"/>
      <c r="H278" s="36"/>
    </row>
    <row r="279" spans="3:8" ht="12.75">
      <c r="C279" s="36"/>
      <c r="H279" s="36"/>
    </row>
    <row r="280" spans="3:8" ht="12.75">
      <c r="C280" s="36"/>
      <c r="H280" s="36"/>
    </row>
    <row r="281" spans="3:8" ht="12.75">
      <c r="C281" s="36"/>
      <c r="H281" s="36"/>
    </row>
    <row r="282" spans="3:8" ht="12.75">
      <c r="C282" s="36"/>
      <c r="H282" s="36"/>
    </row>
    <row r="283" spans="3:8" ht="12.75">
      <c r="C283" s="36"/>
      <c r="H283" s="36"/>
    </row>
    <row r="284" spans="3:8" ht="12.75">
      <c r="C284" s="36"/>
      <c r="H284" s="36"/>
    </row>
    <row r="285" spans="3:8" ht="12.75">
      <c r="C285" s="36"/>
      <c r="H285" s="36"/>
    </row>
    <row r="286" spans="3:8" ht="12.75">
      <c r="C286" s="36"/>
      <c r="H286" s="36"/>
    </row>
    <row r="287" spans="3:8" ht="12.75">
      <c r="C287" s="36"/>
      <c r="H287" s="36"/>
    </row>
    <row r="288" spans="3:8" ht="12.75">
      <c r="C288" s="36"/>
      <c r="H288" s="36"/>
    </row>
    <row r="289" spans="3:8" ht="12.75">
      <c r="C289" s="36"/>
      <c r="H289" s="36"/>
    </row>
    <row r="290" spans="3:8" ht="12.75">
      <c r="C290" s="36"/>
      <c r="H290" s="36"/>
    </row>
    <row r="291" spans="3:8" ht="12.75">
      <c r="C291" s="36"/>
      <c r="H291" s="36"/>
    </row>
    <row r="292" spans="3:8" ht="12.75">
      <c r="C292" s="36"/>
      <c r="H292" s="36"/>
    </row>
    <row r="293" spans="3:8" ht="12.75">
      <c r="C293" s="36"/>
      <c r="H293" s="36"/>
    </row>
    <row r="294" spans="3:8" ht="12.75">
      <c r="C294" s="36"/>
      <c r="H294" s="36"/>
    </row>
    <row r="295" spans="3:8" ht="12.75">
      <c r="C295" s="36"/>
      <c r="H295" s="36"/>
    </row>
    <row r="296" spans="3:8" ht="12.75">
      <c r="C296" s="36"/>
      <c r="H296" s="36"/>
    </row>
    <row r="297" spans="3:8" ht="12.75">
      <c r="C297" s="36"/>
      <c r="H297" s="36"/>
    </row>
    <row r="298" spans="3:8" ht="12.75">
      <c r="C298" s="36"/>
      <c r="H298" s="36"/>
    </row>
    <row r="299" spans="3:8" ht="12.75">
      <c r="C299" s="36"/>
      <c r="H299" s="36"/>
    </row>
    <row r="300" spans="3:8" ht="12.75">
      <c r="C300" s="36"/>
      <c r="H300" s="36"/>
    </row>
    <row r="301" spans="3:8" ht="12.75">
      <c r="C301" s="36"/>
      <c r="H301" s="36"/>
    </row>
    <row r="302" spans="3:8" ht="12.75">
      <c r="C302" s="36"/>
      <c r="H302" s="36"/>
    </row>
    <row r="303" spans="3:8" ht="12.75">
      <c r="C303" s="36"/>
      <c r="H303" s="36"/>
    </row>
    <row r="304" spans="3:8" ht="12.75">
      <c r="C304" s="36"/>
      <c r="H304" s="36"/>
    </row>
    <row r="305" spans="3:8" ht="12.75">
      <c r="C305" s="36"/>
      <c r="H305" s="36"/>
    </row>
    <row r="306" spans="3:8" ht="12.75">
      <c r="C306" s="36"/>
      <c r="H306" s="36"/>
    </row>
    <row r="307" spans="3:8" ht="12.75">
      <c r="C307" s="36"/>
      <c r="H307" s="36"/>
    </row>
    <row r="308" spans="3:8" ht="12.75">
      <c r="C308" s="36"/>
      <c r="H308" s="36"/>
    </row>
    <row r="309" spans="3:8" ht="12.75">
      <c r="C309" s="36"/>
      <c r="H309" s="36"/>
    </row>
    <row r="310" spans="3:8" ht="12.75">
      <c r="C310" s="36"/>
      <c r="H310" s="36"/>
    </row>
    <row r="311" spans="3:8" ht="12.75">
      <c r="C311" s="36"/>
      <c r="H311" s="36"/>
    </row>
    <row r="312" spans="3:8" ht="12.75">
      <c r="C312" s="36"/>
      <c r="H312" s="36"/>
    </row>
    <row r="313" spans="3:8" ht="12.75">
      <c r="C313" s="36"/>
      <c r="H313" s="36"/>
    </row>
    <row r="314" spans="3:8" ht="12.75">
      <c r="C314" s="36"/>
      <c r="H314" s="36"/>
    </row>
    <row r="315" spans="3:8" ht="12.75">
      <c r="C315" s="36"/>
      <c r="H315" s="36"/>
    </row>
    <row r="316" spans="3:8" ht="12.75">
      <c r="C316" s="36"/>
      <c r="H316" s="36"/>
    </row>
    <row r="317" spans="3:8" ht="12.75">
      <c r="C317" s="36"/>
      <c r="H317" s="36"/>
    </row>
    <row r="318" spans="3:8" ht="12.75">
      <c r="C318" s="36"/>
      <c r="H318" s="36"/>
    </row>
    <row r="319" spans="3:8" ht="12.75">
      <c r="C319" s="36"/>
      <c r="H319" s="36"/>
    </row>
    <row r="320" spans="3:8" ht="12.75">
      <c r="C320" s="36"/>
      <c r="H320" s="36"/>
    </row>
    <row r="321" spans="3:8" ht="12.75">
      <c r="C321" s="36"/>
      <c r="H321" s="36"/>
    </row>
    <row r="322" spans="3:8" ht="12.75">
      <c r="C322" s="36"/>
      <c r="H322" s="36"/>
    </row>
    <row r="323" spans="3:8" ht="12.75">
      <c r="C323" s="36"/>
      <c r="H323" s="36"/>
    </row>
    <row r="324" spans="3:8" ht="12.75">
      <c r="C324" s="36"/>
      <c r="H324" s="36"/>
    </row>
    <row r="325" spans="3:8" ht="12.75">
      <c r="C325" s="36"/>
      <c r="H325" s="36"/>
    </row>
    <row r="326" spans="3:8" ht="12.75">
      <c r="C326" s="36"/>
      <c r="H326" s="36"/>
    </row>
    <row r="327" spans="3:8" ht="12.75">
      <c r="C327" s="36"/>
      <c r="H327" s="36"/>
    </row>
    <row r="328" spans="3:8" ht="12.75">
      <c r="C328" s="36"/>
      <c r="H328" s="36"/>
    </row>
    <row r="329" spans="3:8" ht="12.75">
      <c r="C329" s="36"/>
      <c r="H329" s="36"/>
    </row>
    <row r="330" spans="3:8" ht="12.75">
      <c r="C330" s="36"/>
      <c r="H330" s="36"/>
    </row>
    <row r="331" spans="3:8" ht="12.75">
      <c r="C331" s="36"/>
      <c r="H331" s="36"/>
    </row>
    <row r="332" spans="3:8" ht="12.75">
      <c r="C332" s="36"/>
      <c r="H332" s="36"/>
    </row>
    <row r="333" spans="3:8" ht="12.75">
      <c r="C333" s="36"/>
      <c r="H333" s="36"/>
    </row>
    <row r="334" spans="3:8" ht="12.75">
      <c r="C334" s="36"/>
      <c r="H334" s="36"/>
    </row>
    <row r="335" spans="3:8" ht="12.75">
      <c r="C335" s="36"/>
      <c r="H335" s="36"/>
    </row>
    <row r="336" spans="3:8" ht="12.75">
      <c r="C336" s="36"/>
      <c r="H336" s="36"/>
    </row>
    <row r="337" spans="3:8" ht="12.75">
      <c r="C337" s="36"/>
      <c r="H337" s="36"/>
    </row>
    <row r="338" spans="3:8" ht="12.75">
      <c r="C338" s="36"/>
      <c r="H338" s="36"/>
    </row>
    <row r="339" spans="3:8" ht="12.75">
      <c r="C339" s="36"/>
      <c r="H339" s="36"/>
    </row>
    <row r="340" spans="3:8" ht="12.75">
      <c r="C340" s="36"/>
      <c r="H340" s="36"/>
    </row>
    <row r="341" spans="3:8" ht="12.75">
      <c r="C341" s="36"/>
      <c r="H341" s="36"/>
    </row>
    <row r="342" spans="3:8" ht="12.75">
      <c r="C342" s="36"/>
      <c r="H342" s="36"/>
    </row>
    <row r="343" spans="3:8" ht="12.75">
      <c r="C343" s="36"/>
      <c r="H343" s="36"/>
    </row>
    <row r="344" spans="3:8" ht="12.75">
      <c r="C344" s="36"/>
      <c r="H344" s="36"/>
    </row>
    <row r="345" spans="3:8" ht="12.75">
      <c r="C345" s="36"/>
      <c r="H345" s="36"/>
    </row>
    <row r="346" spans="3:8" ht="12.75">
      <c r="C346" s="36"/>
      <c r="H346" s="36"/>
    </row>
    <row r="347" spans="3:8" ht="12.75">
      <c r="C347" s="36"/>
      <c r="H347" s="36"/>
    </row>
    <row r="348" spans="3:8" ht="12.75">
      <c r="C348" s="36"/>
      <c r="H348" s="36"/>
    </row>
    <row r="349" spans="3:8" ht="12.75">
      <c r="C349" s="36"/>
      <c r="H349" s="36"/>
    </row>
    <row r="350" spans="3:8" ht="12.75">
      <c r="C350" s="36"/>
      <c r="H350" s="36"/>
    </row>
    <row r="351" spans="3:8" ht="12.75">
      <c r="C351" s="36"/>
      <c r="H351" s="36"/>
    </row>
    <row r="352" spans="3:8" ht="12.75">
      <c r="C352" s="36"/>
      <c r="H352" s="36"/>
    </row>
    <row r="353" spans="3:8" ht="12.75">
      <c r="C353" s="36"/>
      <c r="H353" s="36"/>
    </row>
    <row r="354" spans="3:8" ht="12.75">
      <c r="C354" s="36"/>
      <c r="H354" s="36"/>
    </row>
    <row r="355" spans="3:8" ht="12.75">
      <c r="C355" s="36"/>
      <c r="H355" s="36"/>
    </row>
    <row r="356" spans="3:8" ht="12.75">
      <c r="C356" s="36"/>
      <c r="H356" s="36"/>
    </row>
    <row r="357" spans="3:8" ht="12.75">
      <c r="C357" s="36"/>
      <c r="H357" s="36"/>
    </row>
    <row r="358" spans="3:8" ht="12.75">
      <c r="C358" s="36"/>
      <c r="H358" s="36"/>
    </row>
    <row r="359" spans="3:8" ht="12.75">
      <c r="C359" s="36"/>
      <c r="H359" s="36"/>
    </row>
    <row r="360" spans="3:8" ht="12.75">
      <c r="C360" s="36"/>
      <c r="H360" s="36"/>
    </row>
    <row r="361" spans="3:8" ht="12.75">
      <c r="C361" s="36"/>
      <c r="H361" s="36"/>
    </row>
    <row r="362" spans="3:8" ht="12.75">
      <c r="C362" s="36"/>
      <c r="H362" s="36"/>
    </row>
    <row r="363" spans="3:8" ht="12.75">
      <c r="C363" s="36"/>
      <c r="H363" s="36"/>
    </row>
    <row r="364" spans="3:8" ht="12.75">
      <c r="C364" s="36"/>
      <c r="H364" s="36"/>
    </row>
    <row r="365" spans="3:8" ht="12.75">
      <c r="C365" s="36"/>
      <c r="H365" s="36"/>
    </row>
    <row r="366" spans="3:8" ht="12.75">
      <c r="C366" s="36"/>
      <c r="H366" s="36"/>
    </row>
    <row r="367" spans="3:8" ht="12.75">
      <c r="C367" s="36"/>
      <c r="H367" s="36"/>
    </row>
    <row r="368" spans="3:8" ht="12.75">
      <c r="C368" s="36"/>
      <c r="H368" s="36"/>
    </row>
    <row r="369" spans="3:8" ht="12.75">
      <c r="C369" s="36"/>
      <c r="H369" s="36"/>
    </row>
    <row r="370" spans="3:8" ht="12.75">
      <c r="C370" s="36"/>
      <c r="H370" s="36"/>
    </row>
    <row r="371" spans="3:8" ht="12.75">
      <c r="C371" s="36"/>
      <c r="H371" s="36"/>
    </row>
    <row r="372" spans="3:8" ht="12.75">
      <c r="C372" s="36"/>
      <c r="H372" s="36"/>
    </row>
    <row r="373" spans="3:8" ht="12.75">
      <c r="C373" s="36"/>
      <c r="H373" s="36"/>
    </row>
    <row r="374" spans="3:8" ht="12.75">
      <c r="C374" s="36"/>
      <c r="H374" s="36"/>
    </row>
    <row r="375" spans="3:8" ht="12.75">
      <c r="C375" s="36"/>
      <c r="H375" s="36"/>
    </row>
    <row r="376" spans="3:8" ht="12.75">
      <c r="C376" s="36"/>
      <c r="H376" s="36"/>
    </row>
    <row r="377" spans="3:8" ht="12.75">
      <c r="C377" s="36"/>
      <c r="H377" s="36"/>
    </row>
    <row r="378" spans="3:8" ht="12.75">
      <c r="C378" s="36"/>
      <c r="H378" s="36"/>
    </row>
    <row r="379" spans="3:8" ht="12.75">
      <c r="C379" s="36"/>
      <c r="H379" s="36"/>
    </row>
    <row r="380" spans="3:8" ht="12.75">
      <c r="C380" s="36"/>
      <c r="H380" s="36"/>
    </row>
    <row r="381" spans="3:8" ht="12.75">
      <c r="C381" s="36"/>
      <c r="H381" s="36"/>
    </row>
    <row r="382" spans="3:8" ht="12.75">
      <c r="C382" s="36"/>
      <c r="H382" s="36"/>
    </row>
    <row r="383" spans="3:8" ht="12.75">
      <c r="C383" s="36"/>
      <c r="H383" s="36"/>
    </row>
    <row r="384" spans="3:8" ht="12.75">
      <c r="C384" s="36"/>
      <c r="H384" s="36"/>
    </row>
    <row r="385" spans="3:8" ht="12.75">
      <c r="C385" s="36"/>
      <c r="H385" s="36"/>
    </row>
    <row r="386" spans="3:8" ht="12.75">
      <c r="C386" s="36"/>
      <c r="H386" s="36"/>
    </row>
    <row r="387" spans="3:8" ht="12.75">
      <c r="C387" s="36"/>
      <c r="H387" s="36"/>
    </row>
    <row r="388" spans="3:8" ht="12.75">
      <c r="C388" s="36"/>
      <c r="H388" s="36"/>
    </row>
    <row r="389" spans="3:8" ht="12.75">
      <c r="C389" s="36"/>
      <c r="H389" s="36"/>
    </row>
    <row r="390" spans="3:8" ht="12.75">
      <c r="C390" s="36"/>
      <c r="H390" s="36"/>
    </row>
    <row r="391" spans="3:8" ht="12.75">
      <c r="C391" s="36"/>
      <c r="H391" s="36"/>
    </row>
    <row r="392" spans="3:8" ht="12.75">
      <c r="C392" s="36"/>
      <c r="H392" s="36"/>
    </row>
    <row r="393" spans="3:8" ht="12.75">
      <c r="C393" s="36"/>
      <c r="H393" s="36"/>
    </row>
    <row r="394" spans="3:8" ht="12.75">
      <c r="C394" s="36"/>
      <c r="H394" s="36"/>
    </row>
    <row r="395" spans="3:8" ht="12.75">
      <c r="C395" s="36"/>
      <c r="H395" s="36"/>
    </row>
    <row r="396" spans="3:8" ht="12.75">
      <c r="C396" s="36"/>
      <c r="H396" s="36"/>
    </row>
    <row r="397" spans="3:8" ht="12.75">
      <c r="C397" s="36"/>
      <c r="H397" s="36"/>
    </row>
    <row r="398" spans="3:8" ht="12.75">
      <c r="C398" s="36"/>
      <c r="H398" s="36"/>
    </row>
    <row r="399" spans="3:8" ht="12.75">
      <c r="C399" s="36"/>
      <c r="H399" s="36"/>
    </row>
    <row r="400" spans="3:8" ht="12.75">
      <c r="C400" s="36"/>
      <c r="H400" s="36"/>
    </row>
    <row r="401" spans="3:8" ht="12.75">
      <c r="C401" s="36"/>
      <c r="H401" s="36"/>
    </row>
    <row r="402" spans="3:8" ht="12.75">
      <c r="C402" s="36"/>
      <c r="H402" s="36"/>
    </row>
    <row r="403" spans="3:8" ht="12.75">
      <c r="C403" s="36"/>
      <c r="H403" s="36"/>
    </row>
    <row r="404" spans="3:8" ht="12.75">
      <c r="C404" s="36"/>
      <c r="H404" s="36"/>
    </row>
    <row r="405" spans="3:8" ht="12.75">
      <c r="C405" s="36"/>
      <c r="H405" s="36"/>
    </row>
    <row r="406" spans="3:8" ht="12.75">
      <c r="C406" s="36"/>
      <c r="H406" s="36"/>
    </row>
    <row r="407" spans="3:8" ht="12.75">
      <c r="C407" s="36"/>
      <c r="H407" s="36"/>
    </row>
    <row r="408" spans="3:8" ht="12.75">
      <c r="C408" s="36"/>
      <c r="H408" s="36"/>
    </row>
    <row r="409" spans="3:8" ht="12.75">
      <c r="C409" s="36"/>
      <c r="H409" s="36"/>
    </row>
    <row r="410" spans="3:8" ht="12.75">
      <c r="C410" s="36"/>
      <c r="H410" s="36"/>
    </row>
    <row r="411" spans="3:8" ht="12.75">
      <c r="C411" s="36"/>
      <c r="H411" s="36"/>
    </row>
    <row r="412" spans="3:8" ht="12.75">
      <c r="C412" s="36"/>
      <c r="H412" s="36"/>
    </row>
    <row r="413" spans="3:8" ht="12.75">
      <c r="C413" s="36"/>
      <c r="H413" s="36"/>
    </row>
    <row r="414" spans="3:8" ht="12.75">
      <c r="C414" s="36"/>
      <c r="H414" s="36"/>
    </row>
    <row r="415" spans="3:8" ht="12.75">
      <c r="C415" s="36"/>
      <c r="H415" s="36"/>
    </row>
    <row r="416" spans="3:8" ht="12.75">
      <c r="C416" s="36"/>
      <c r="H416" s="36"/>
    </row>
    <row r="417" spans="3:8" ht="12.75">
      <c r="C417" s="36"/>
      <c r="H417" s="36"/>
    </row>
    <row r="418" spans="3:8" ht="12.75">
      <c r="C418" s="36"/>
      <c r="H418" s="36"/>
    </row>
    <row r="419" spans="3:8" ht="12.75">
      <c r="C419" s="36"/>
      <c r="H419" s="36"/>
    </row>
    <row r="420" spans="3:8" ht="12.75">
      <c r="C420" s="36"/>
      <c r="H420" s="36"/>
    </row>
    <row r="421" spans="3:8" ht="12.75">
      <c r="C421" s="36"/>
      <c r="H421" s="36"/>
    </row>
    <row r="422" spans="3:8" ht="12.75">
      <c r="C422" s="36"/>
      <c r="H422" s="36"/>
    </row>
    <row r="423" spans="3:8" ht="12.75">
      <c r="C423" s="36"/>
      <c r="H423" s="36"/>
    </row>
    <row r="424" spans="3:8" ht="12.75">
      <c r="C424" s="36"/>
      <c r="H424" s="36"/>
    </row>
    <row r="425" spans="3:8" ht="12.75">
      <c r="C425" s="36"/>
      <c r="H425" s="36"/>
    </row>
    <row r="426" spans="3:8" ht="12.75">
      <c r="C426" s="36"/>
      <c r="H426" s="36"/>
    </row>
    <row r="427" spans="3:8" ht="12.75">
      <c r="C427" s="36"/>
      <c r="H427" s="36"/>
    </row>
    <row r="428" spans="3:8" ht="12.75">
      <c r="C428" s="36"/>
      <c r="H428" s="36"/>
    </row>
    <row r="429" spans="3:8" ht="12.75">
      <c r="C429" s="36"/>
      <c r="H429" s="36"/>
    </row>
    <row r="430" spans="3:8" ht="12.75">
      <c r="C430" s="36"/>
      <c r="H430" s="36"/>
    </row>
    <row r="431" spans="3:8" ht="12.75">
      <c r="C431" s="36"/>
      <c r="H431" s="36"/>
    </row>
    <row r="432" spans="3:8" ht="12.75">
      <c r="C432" s="36"/>
      <c r="H432" s="36"/>
    </row>
    <row r="433" spans="3:8" ht="12.75">
      <c r="C433" s="36"/>
      <c r="H433" s="36"/>
    </row>
    <row r="434" spans="3:8" ht="12.75">
      <c r="C434" s="36"/>
      <c r="H434" s="36"/>
    </row>
    <row r="435" spans="3:8" ht="12.75">
      <c r="C435" s="36"/>
      <c r="H435" s="36"/>
    </row>
    <row r="436" spans="3:8" ht="12.75">
      <c r="C436" s="36"/>
      <c r="H436" s="36"/>
    </row>
    <row r="437" spans="3:8" ht="12.75">
      <c r="C437" s="36"/>
      <c r="H437" s="36"/>
    </row>
    <row r="438" spans="3:8" ht="12.75">
      <c r="C438" s="36"/>
      <c r="H438" s="36"/>
    </row>
    <row r="439" spans="3:8" ht="12.75">
      <c r="C439" s="36"/>
      <c r="H439" s="36"/>
    </row>
    <row r="440" spans="3:8" ht="12.75">
      <c r="C440" s="36"/>
      <c r="H440" s="36"/>
    </row>
    <row r="441" spans="3:8" ht="12.75">
      <c r="C441" s="36"/>
      <c r="H441" s="36"/>
    </row>
    <row r="442" spans="3:8" ht="12.75">
      <c r="C442" s="36"/>
      <c r="H442" s="36"/>
    </row>
    <row r="443" spans="3:8" ht="12.75">
      <c r="C443" s="36"/>
      <c r="H443" s="36"/>
    </row>
    <row r="444" spans="3:8" ht="12.75">
      <c r="C444" s="36"/>
      <c r="H444" s="36"/>
    </row>
    <row r="445" spans="3:8" ht="12.75">
      <c r="C445" s="36"/>
      <c r="H445" s="36"/>
    </row>
    <row r="446" spans="3:8" ht="12.75">
      <c r="C446" s="36"/>
      <c r="H446" s="36"/>
    </row>
    <row r="447" spans="3:8" ht="12.75">
      <c r="C447" s="36"/>
      <c r="H447" s="36"/>
    </row>
    <row r="448" spans="3:8" ht="12.75">
      <c r="C448" s="36"/>
      <c r="H448" s="36"/>
    </row>
    <row r="449" spans="3:8" ht="12.75">
      <c r="C449" s="36"/>
      <c r="H449" s="36"/>
    </row>
    <row r="450" spans="3:8" ht="12.75">
      <c r="C450" s="36"/>
      <c r="H450" s="36"/>
    </row>
    <row r="451" spans="3:8" ht="12.75">
      <c r="C451" s="36"/>
      <c r="H451" s="36"/>
    </row>
    <row r="452" spans="3:8" ht="12.75">
      <c r="C452" s="36"/>
      <c r="H452" s="36"/>
    </row>
    <row r="453" spans="3:8" ht="12.75">
      <c r="C453" s="36"/>
      <c r="H453" s="36"/>
    </row>
    <row r="454" spans="3:8" ht="12.75">
      <c r="C454" s="36"/>
      <c r="H454" s="36"/>
    </row>
    <row r="455" spans="3:8" ht="12.75">
      <c r="C455" s="36"/>
      <c r="H455" s="36"/>
    </row>
    <row r="456" spans="3:8" ht="12.75">
      <c r="C456" s="36"/>
      <c r="H456" s="36"/>
    </row>
    <row r="457" spans="3:8" ht="12.75">
      <c r="C457" s="36"/>
      <c r="H457" s="36"/>
    </row>
    <row r="458" spans="3:8" ht="12.75">
      <c r="C458" s="36"/>
      <c r="H458" s="36"/>
    </row>
    <row r="459" spans="3:8" ht="12.75">
      <c r="C459" s="36"/>
      <c r="H459" s="36"/>
    </row>
    <row r="460" spans="3:8" ht="12.75">
      <c r="C460" s="36"/>
      <c r="H460" s="36"/>
    </row>
    <row r="461" spans="3:8" ht="12.75">
      <c r="C461" s="36"/>
      <c r="H461" s="36"/>
    </row>
    <row r="462" spans="3:8" ht="12.75">
      <c r="C462" s="36"/>
      <c r="H462" s="36"/>
    </row>
    <row r="463" spans="3:8" ht="12.75">
      <c r="C463" s="36"/>
      <c r="H463" s="36"/>
    </row>
    <row r="464" spans="3:8" ht="12.75">
      <c r="C464" s="36"/>
      <c r="H464" s="36"/>
    </row>
    <row r="465" spans="3:8" ht="12.75">
      <c r="C465" s="36"/>
      <c r="H465" s="36"/>
    </row>
    <row r="466" spans="3:8" ht="12.75">
      <c r="C466" s="36"/>
      <c r="H466" s="36"/>
    </row>
    <row r="467" spans="3:8" ht="12.75">
      <c r="C467" s="36"/>
      <c r="H467" s="36"/>
    </row>
    <row r="468" spans="3:8" ht="12.75">
      <c r="C468" s="36"/>
      <c r="H468" s="36"/>
    </row>
    <row r="469" spans="3:8" ht="12.75">
      <c r="C469" s="36"/>
      <c r="H469" s="36"/>
    </row>
    <row r="470" spans="3:8" ht="12.75">
      <c r="C470" s="36"/>
      <c r="H470" s="36"/>
    </row>
    <row r="471" spans="3:8" ht="12.75">
      <c r="C471" s="36"/>
      <c r="H471" s="36"/>
    </row>
    <row r="472" spans="3:8" ht="12.75">
      <c r="C472" s="36"/>
      <c r="H472" s="36"/>
    </row>
    <row r="473" spans="3:8" ht="12.75">
      <c r="C473" s="36"/>
      <c r="H473" s="36"/>
    </row>
    <row r="474" spans="3:8" ht="12.75">
      <c r="C474" s="36"/>
      <c r="H474" s="36"/>
    </row>
    <row r="475" spans="3:8" ht="12.75">
      <c r="C475" s="36"/>
      <c r="H475" s="36"/>
    </row>
    <row r="476" spans="3:8" ht="12.75">
      <c r="C476" s="36"/>
      <c r="H476" s="36"/>
    </row>
    <row r="477" spans="3:8" ht="12.75">
      <c r="C477" s="36"/>
      <c r="H477" s="36"/>
    </row>
    <row r="478" spans="3:8" ht="12.75">
      <c r="C478" s="36"/>
      <c r="H478" s="36"/>
    </row>
    <row r="479" spans="3:8" ht="12.75">
      <c r="C479" s="36"/>
      <c r="H479" s="36"/>
    </row>
    <row r="480" spans="3:8" ht="12.75">
      <c r="C480" s="36"/>
      <c r="H480" s="36"/>
    </row>
    <row r="481" spans="3:8" ht="12.75">
      <c r="C481" s="36"/>
      <c r="H481" s="36"/>
    </row>
    <row r="482" spans="3:8" ht="12.75">
      <c r="C482" s="36"/>
      <c r="H482" s="36"/>
    </row>
    <row r="483" spans="3:8" ht="12.75">
      <c r="C483" s="36"/>
      <c r="H483" s="36"/>
    </row>
    <row r="484" spans="3:8" ht="12.75">
      <c r="C484" s="36"/>
      <c r="H484" s="36"/>
    </row>
    <row r="485" spans="3:8" ht="12.75">
      <c r="C485" s="36"/>
      <c r="H485" s="36"/>
    </row>
    <row r="486" spans="3:8" ht="12.75">
      <c r="C486" s="36"/>
      <c r="H486" s="36"/>
    </row>
    <row r="487" spans="3:8" ht="12.75">
      <c r="C487" s="36"/>
      <c r="H487" s="36"/>
    </row>
    <row r="488" spans="3:8" ht="12.75">
      <c r="C488" s="36"/>
      <c r="H488" s="36"/>
    </row>
    <row r="489" spans="3:8" ht="12.75">
      <c r="C489" s="36"/>
      <c r="H489" s="36"/>
    </row>
    <row r="490" spans="3:8" ht="12.75">
      <c r="C490" s="36"/>
      <c r="H490" s="36"/>
    </row>
    <row r="491" spans="3:8" ht="12.75">
      <c r="C491" s="36"/>
      <c r="H491" s="36"/>
    </row>
    <row r="492" spans="3:8" ht="12.75">
      <c r="C492" s="36"/>
      <c r="H492" s="36"/>
    </row>
    <row r="493" spans="3:8" ht="12.75">
      <c r="C493" s="36"/>
      <c r="H493" s="36"/>
    </row>
    <row r="494" spans="3:8" ht="12.75">
      <c r="C494" s="36"/>
      <c r="H494" s="36"/>
    </row>
    <row r="495" spans="3:8" ht="12.75">
      <c r="C495" s="36"/>
      <c r="H495" s="36"/>
    </row>
    <row r="496" spans="3:8" ht="12.75">
      <c r="C496" s="36"/>
      <c r="H496" s="36"/>
    </row>
    <row r="497" spans="3:8" ht="12.75">
      <c r="C497" s="36"/>
      <c r="H497" s="36"/>
    </row>
    <row r="498" spans="3:8" ht="12.75">
      <c r="C498" s="36"/>
      <c r="H498" s="36"/>
    </row>
    <row r="499" spans="3:8" ht="12.75">
      <c r="C499" s="36"/>
      <c r="H499" s="36"/>
    </row>
    <row r="500" spans="3:8" ht="12.75">
      <c r="C500" s="36"/>
      <c r="H500" s="36"/>
    </row>
    <row r="501" spans="3:8" ht="12.75">
      <c r="C501" s="36"/>
      <c r="H501" s="36"/>
    </row>
    <row r="502" spans="3:8" ht="12.75">
      <c r="C502" s="36"/>
      <c r="H502" s="36"/>
    </row>
    <row r="503" spans="3:8" ht="12.75">
      <c r="C503" s="36"/>
      <c r="H503" s="36"/>
    </row>
    <row r="504" spans="3:8" ht="12.75">
      <c r="C504" s="36"/>
      <c r="H504" s="36"/>
    </row>
    <row r="505" spans="3:8" ht="12.75">
      <c r="C505" s="36"/>
      <c r="H505" s="36"/>
    </row>
    <row r="506" spans="3:8" ht="12.75">
      <c r="C506" s="36"/>
      <c r="H506" s="36"/>
    </row>
    <row r="507" spans="3:8" ht="12.75">
      <c r="C507" s="36"/>
      <c r="H507" s="36"/>
    </row>
    <row r="508" spans="3:8" ht="12.75">
      <c r="C508" s="36"/>
      <c r="H508" s="36"/>
    </row>
    <row r="509" spans="3:8" ht="12.75">
      <c r="C509" s="36"/>
      <c r="H509" s="36"/>
    </row>
    <row r="510" spans="3:8" ht="12.75">
      <c r="C510" s="36"/>
      <c r="H510" s="36"/>
    </row>
    <row r="511" spans="3:8" ht="12.75">
      <c r="C511" s="36"/>
      <c r="H511" s="36"/>
    </row>
    <row r="512" spans="3:8" ht="12.75">
      <c r="C512" s="36"/>
      <c r="H512" s="36"/>
    </row>
    <row r="513" spans="3:8" ht="12.75">
      <c r="C513" s="36"/>
      <c r="H513" s="36"/>
    </row>
    <row r="514" spans="3:8" ht="12.75">
      <c r="C514" s="36"/>
      <c r="H514" s="36"/>
    </row>
    <row r="515" spans="3:8" ht="12.75">
      <c r="C515" s="36"/>
      <c r="H515" s="36"/>
    </row>
    <row r="516" spans="3:8" ht="12.75">
      <c r="C516" s="36"/>
      <c r="H516" s="36"/>
    </row>
    <row r="517" spans="3:8" ht="12.75">
      <c r="C517" s="36"/>
      <c r="H517" s="36"/>
    </row>
    <row r="518" spans="3:8" ht="12.75">
      <c r="C518" s="36"/>
      <c r="H518" s="36"/>
    </row>
    <row r="519" spans="3:8" ht="12.75">
      <c r="C519" s="36"/>
      <c r="H519" s="36"/>
    </row>
    <row r="520" spans="3:8" ht="12.75">
      <c r="C520" s="36"/>
      <c r="H520" s="36"/>
    </row>
    <row r="521" spans="3:8" ht="12.75">
      <c r="C521" s="36"/>
      <c r="H521" s="36"/>
    </row>
    <row r="522" spans="3:8" ht="12.75">
      <c r="C522" s="36"/>
      <c r="H522" s="36"/>
    </row>
    <row r="523" spans="3:8" ht="12.75">
      <c r="C523" s="36"/>
      <c r="H523" s="36"/>
    </row>
    <row r="524" spans="3:8" ht="12.75">
      <c r="C524" s="36"/>
      <c r="H524" s="36"/>
    </row>
    <row r="525" spans="3:8" ht="12.75">
      <c r="C525" s="36"/>
      <c r="H525" s="36"/>
    </row>
    <row r="526" spans="3:8" ht="12.75">
      <c r="C526" s="36"/>
      <c r="H526" s="36"/>
    </row>
    <row r="527" spans="3:8" ht="12.75">
      <c r="C527" s="36"/>
      <c r="H527" s="36"/>
    </row>
    <row r="528" spans="3:8" ht="12.75">
      <c r="C528" s="36"/>
      <c r="H528" s="36"/>
    </row>
    <row r="529" spans="3:8" ht="12.75">
      <c r="C529" s="36"/>
      <c r="H529" s="36"/>
    </row>
    <row r="530" spans="3:8" ht="12.75">
      <c r="C530" s="36"/>
      <c r="H530" s="36"/>
    </row>
    <row r="531" spans="3:8" ht="12.75">
      <c r="C531" s="36"/>
      <c r="H531" s="36"/>
    </row>
    <row r="532" spans="3:8" ht="12.75">
      <c r="C532" s="36"/>
      <c r="H532" s="36"/>
    </row>
    <row r="533" spans="3:8" ht="12.75">
      <c r="C533" s="36"/>
      <c r="H533" s="36"/>
    </row>
    <row r="534" spans="3:8" ht="12.75">
      <c r="C534" s="36"/>
      <c r="H534" s="36"/>
    </row>
    <row r="535" spans="3:8" ht="12.75">
      <c r="C535" s="36"/>
      <c r="H535" s="36"/>
    </row>
    <row r="536" spans="3:8" ht="12.75">
      <c r="C536" s="36"/>
      <c r="H536" s="36"/>
    </row>
    <row r="537" spans="3:8" ht="12.75">
      <c r="C537" s="36"/>
      <c r="H537" s="36"/>
    </row>
    <row r="538" spans="3:8" ht="12.75">
      <c r="C538" s="36"/>
      <c r="H538" s="36"/>
    </row>
    <row r="539" spans="3:8" ht="12.75">
      <c r="C539" s="36"/>
      <c r="H539" s="36"/>
    </row>
    <row r="540" spans="3:8" ht="12.75">
      <c r="C540" s="36"/>
      <c r="H540" s="36"/>
    </row>
    <row r="541" spans="3:8" ht="12.75">
      <c r="C541" s="36"/>
      <c r="H541" s="36"/>
    </row>
    <row r="542" spans="3:8" ht="12.75">
      <c r="C542" s="36"/>
      <c r="H542" s="36"/>
    </row>
    <row r="543" spans="3:8" ht="12.75">
      <c r="C543" s="36"/>
      <c r="H543" s="36"/>
    </row>
    <row r="544" spans="3:8" ht="12.75">
      <c r="C544" s="36"/>
      <c r="H544" s="36"/>
    </row>
    <row r="545" spans="3:8" ht="12.75">
      <c r="C545" s="36"/>
      <c r="H545" s="36"/>
    </row>
    <row r="546" spans="3:8" ht="12.75">
      <c r="C546" s="36"/>
      <c r="H546" s="36"/>
    </row>
    <row r="547" spans="3:8" ht="12.75">
      <c r="C547" s="36"/>
      <c r="H547" s="36"/>
    </row>
    <row r="548" spans="3:8" ht="12.75">
      <c r="C548" s="36"/>
      <c r="H548" s="36"/>
    </row>
    <row r="549" spans="3:8" ht="12.75">
      <c r="C549" s="36"/>
      <c r="H549" s="36"/>
    </row>
    <row r="550" spans="3:8" ht="12.75">
      <c r="C550" s="36"/>
      <c r="H550" s="36"/>
    </row>
    <row r="551" spans="3:8" ht="12.75">
      <c r="C551" s="36"/>
      <c r="H551" s="36"/>
    </row>
    <row r="552" spans="3:8" ht="12.75">
      <c r="C552" s="36"/>
      <c r="H552" s="36"/>
    </row>
    <row r="553" spans="3:8" ht="12.75">
      <c r="C553" s="36"/>
      <c r="H553" s="36"/>
    </row>
    <row r="554" spans="3:8" ht="12.75">
      <c r="C554" s="36"/>
      <c r="H554" s="36"/>
    </row>
    <row r="555" spans="3:8" ht="12.75">
      <c r="C555" s="36"/>
      <c r="H555" s="36"/>
    </row>
    <row r="556" spans="3:8" ht="12.75">
      <c r="C556" s="36"/>
      <c r="H556" s="36"/>
    </row>
    <row r="557" spans="3:8" ht="12.75">
      <c r="C557" s="36"/>
      <c r="H557" s="36"/>
    </row>
    <row r="558" spans="3:8" ht="12.75">
      <c r="C558" s="36"/>
      <c r="H558" s="36"/>
    </row>
    <row r="559" spans="3:8" ht="12.75">
      <c r="C559" s="36"/>
      <c r="H559" s="36"/>
    </row>
    <row r="560" spans="3:8" ht="12.75">
      <c r="C560" s="36"/>
      <c r="H560" s="36"/>
    </row>
    <row r="561" spans="3:8" ht="12.75">
      <c r="C561" s="36"/>
      <c r="H561" s="36"/>
    </row>
    <row r="562" spans="3:8" ht="12.75">
      <c r="C562" s="36"/>
      <c r="H562" s="36"/>
    </row>
    <row r="563" spans="3:8" ht="12.75">
      <c r="C563" s="36"/>
      <c r="H563" s="36"/>
    </row>
    <row r="564" spans="3:8" ht="12.75">
      <c r="C564" s="36"/>
      <c r="H564" s="36"/>
    </row>
    <row r="565" spans="3:8" ht="12.75">
      <c r="C565" s="36"/>
      <c r="H565" s="36"/>
    </row>
    <row r="566" spans="3:8" ht="12.75">
      <c r="C566" s="36"/>
      <c r="H566" s="36"/>
    </row>
    <row r="567" spans="3:8" ht="12.75">
      <c r="C567" s="36"/>
      <c r="H567" s="36"/>
    </row>
    <row r="568" spans="3:8" ht="12.75">
      <c r="C568" s="36"/>
      <c r="H568" s="36"/>
    </row>
    <row r="569" spans="3:8" ht="12.75">
      <c r="C569" s="36"/>
      <c r="H569" s="36"/>
    </row>
    <row r="570" spans="3:8" ht="12.75">
      <c r="C570" s="36"/>
      <c r="H570" s="36"/>
    </row>
    <row r="571" spans="3:8" ht="12.75">
      <c r="C571" s="36"/>
      <c r="H571" s="36"/>
    </row>
    <row r="572" spans="3:8" ht="12.75">
      <c r="C572" s="36"/>
      <c r="H572" s="36"/>
    </row>
    <row r="573" spans="3:8" ht="12.75">
      <c r="C573" s="36"/>
      <c r="H573" s="36"/>
    </row>
    <row r="574" spans="3:8" ht="12.75">
      <c r="C574" s="36"/>
      <c r="H574" s="36"/>
    </row>
    <row r="575" spans="3:8" ht="12.75">
      <c r="C575" s="36"/>
      <c r="H575" s="36"/>
    </row>
    <row r="576" spans="3:8" ht="12.75">
      <c r="C576" s="36"/>
      <c r="H576" s="36"/>
    </row>
    <row r="577" spans="3:8" ht="12.75">
      <c r="C577" s="36"/>
      <c r="H577" s="36"/>
    </row>
    <row r="578" spans="3:8" ht="12.75">
      <c r="C578" s="36"/>
      <c r="H578" s="36"/>
    </row>
    <row r="579" spans="3:8" ht="12.75">
      <c r="C579" s="36"/>
      <c r="H579" s="36"/>
    </row>
    <row r="580" spans="3:8" ht="12.75">
      <c r="C580" s="36"/>
      <c r="H580" s="36"/>
    </row>
    <row r="581" spans="3:8" ht="12.75">
      <c r="C581" s="36"/>
      <c r="H581" s="36"/>
    </row>
    <row r="582" spans="3:8" ht="12.75">
      <c r="C582" s="36"/>
      <c r="H582" s="36"/>
    </row>
    <row r="583" spans="3:8" ht="12.75">
      <c r="C583" s="36"/>
      <c r="H583" s="36"/>
    </row>
    <row r="584" spans="3:8" ht="12.75">
      <c r="C584" s="36"/>
      <c r="H584" s="36"/>
    </row>
    <row r="585" spans="3:8" ht="12.75">
      <c r="C585" s="36"/>
      <c r="H585" s="36"/>
    </row>
    <row r="586" spans="3:8" ht="12.75">
      <c r="C586" s="36"/>
      <c r="H586" s="36"/>
    </row>
    <row r="587" spans="3:8" ht="12.75">
      <c r="C587" s="36"/>
      <c r="H587" s="36"/>
    </row>
    <row r="588" spans="3:8" ht="12.75">
      <c r="C588" s="36"/>
      <c r="H588" s="36"/>
    </row>
    <row r="589" spans="3:8" ht="12.75">
      <c r="C589" s="36"/>
      <c r="H589" s="36"/>
    </row>
    <row r="590" spans="3:8" ht="12.75">
      <c r="C590" s="36"/>
      <c r="H590" s="36"/>
    </row>
    <row r="591" spans="3:8" ht="12.75">
      <c r="C591" s="36"/>
      <c r="H591" s="36"/>
    </row>
    <row r="592" spans="3:8" ht="12.75">
      <c r="C592" s="36"/>
      <c r="H592" s="36"/>
    </row>
    <row r="593" spans="3:8" ht="12.75">
      <c r="C593" s="36"/>
      <c r="H593" s="36"/>
    </row>
    <row r="594" spans="3:8" ht="12.75">
      <c r="C594" s="36"/>
      <c r="H594" s="36"/>
    </row>
    <row r="595" spans="3:8" ht="12.75">
      <c r="C595" s="36"/>
      <c r="H595" s="36"/>
    </row>
    <row r="596" spans="3:8" ht="12.75">
      <c r="C596" s="36"/>
      <c r="H596" s="36"/>
    </row>
    <row r="597" spans="3:8" ht="12.75">
      <c r="C597" s="36"/>
      <c r="H597" s="36"/>
    </row>
    <row r="598" spans="3:8" ht="12.75">
      <c r="C598" s="36"/>
      <c r="H598" s="36"/>
    </row>
    <row r="599" spans="3:8" ht="12.75">
      <c r="C599" s="36"/>
      <c r="H599" s="36"/>
    </row>
    <row r="600" spans="3:8" ht="12.75">
      <c r="C600" s="36"/>
      <c r="H600" s="36"/>
    </row>
    <row r="601" spans="3:8" ht="12.75">
      <c r="C601" s="36"/>
      <c r="H601" s="36"/>
    </row>
    <row r="602" spans="3:8" ht="12.75">
      <c r="C602" s="36"/>
      <c r="H602" s="36"/>
    </row>
    <row r="603" spans="3:8" ht="12.75">
      <c r="C603" s="36"/>
      <c r="H603" s="36"/>
    </row>
    <row r="604" spans="3:8" ht="12.75">
      <c r="C604" s="36"/>
      <c r="H604" s="36"/>
    </row>
    <row r="605" spans="3:8" ht="12.75">
      <c r="C605" s="36"/>
      <c r="H605" s="36"/>
    </row>
    <row r="606" spans="3:8" ht="12.75">
      <c r="C606" s="36"/>
      <c r="H606" s="36"/>
    </row>
    <row r="607" spans="3:8" ht="12.75">
      <c r="C607" s="36"/>
      <c r="H607" s="36"/>
    </row>
    <row r="608" spans="3:8" ht="12.75">
      <c r="C608" s="36"/>
      <c r="H608" s="36"/>
    </row>
    <row r="609" spans="3:8" ht="12.75">
      <c r="C609" s="36"/>
      <c r="H609" s="36"/>
    </row>
    <row r="610" spans="3:8" ht="12.75">
      <c r="C610" s="36"/>
      <c r="H610" s="36"/>
    </row>
    <row r="611" spans="3:8" ht="12.75">
      <c r="C611" s="36"/>
      <c r="H611" s="36"/>
    </row>
    <row r="612" spans="3:8" ht="12.75">
      <c r="C612" s="36"/>
      <c r="H612" s="36"/>
    </row>
    <row r="613" spans="3:8" ht="12.75">
      <c r="C613" s="36"/>
      <c r="H613" s="36"/>
    </row>
    <row r="614" spans="3:8" ht="12.75">
      <c r="C614" s="36"/>
      <c r="H614" s="36"/>
    </row>
    <row r="615" spans="3:8" ht="12.75">
      <c r="C615" s="36"/>
      <c r="H615" s="36"/>
    </row>
    <row r="616" spans="3:8" ht="12.75">
      <c r="C616" s="36"/>
      <c r="H616" s="36"/>
    </row>
    <row r="617" spans="3:8" ht="12.75">
      <c r="C617" s="36"/>
      <c r="H617" s="36"/>
    </row>
    <row r="618" spans="3:8" ht="12.75">
      <c r="C618" s="36"/>
      <c r="H618" s="36"/>
    </row>
    <row r="619" spans="3:8" ht="12.75">
      <c r="C619" s="36"/>
      <c r="H619" s="36"/>
    </row>
    <row r="620" spans="3:8" ht="12.75">
      <c r="C620" s="36"/>
      <c r="H620" s="36"/>
    </row>
    <row r="621" spans="3:8" ht="12.75">
      <c r="C621" s="36"/>
      <c r="H621" s="36"/>
    </row>
    <row r="622" spans="3:8" ht="12.75">
      <c r="C622" s="36"/>
      <c r="H622" s="36"/>
    </row>
    <row r="623" spans="3:8" ht="12.75">
      <c r="C623" s="36"/>
      <c r="H623" s="36"/>
    </row>
    <row r="624" spans="3:8" ht="12.75">
      <c r="C624" s="36"/>
      <c r="H624" s="36"/>
    </row>
    <row r="625" spans="3:8" ht="12.75">
      <c r="C625" s="36"/>
      <c r="H625" s="36"/>
    </row>
    <row r="626" spans="3:8" ht="12.75">
      <c r="C626" s="36"/>
      <c r="H626" s="36"/>
    </row>
    <row r="627" spans="3:8" ht="12.75">
      <c r="C627" s="36"/>
      <c r="H627" s="36"/>
    </row>
    <row r="628" spans="3:8" ht="12.75">
      <c r="C628" s="36"/>
      <c r="H628" s="36"/>
    </row>
    <row r="629" spans="3:8" ht="12.75">
      <c r="C629" s="36"/>
      <c r="H629" s="36"/>
    </row>
    <row r="630" spans="3:8" ht="12.75">
      <c r="C630" s="36"/>
      <c r="H630" s="36"/>
    </row>
    <row r="631" spans="3:8" ht="12.75">
      <c r="C631" s="36"/>
      <c r="H631" s="36"/>
    </row>
    <row r="632" spans="3:8" ht="12.75">
      <c r="C632" s="36"/>
      <c r="H632" s="36"/>
    </row>
    <row r="633" spans="3:8" ht="12.75">
      <c r="C633" s="36"/>
      <c r="H633" s="36"/>
    </row>
    <row r="634" spans="3:8" ht="12.75">
      <c r="C634" s="36"/>
      <c r="H634" s="36"/>
    </row>
    <row r="635" spans="3:8" ht="12.75">
      <c r="C635" s="36"/>
      <c r="H635" s="36"/>
    </row>
    <row r="636" spans="3:8" ht="12.75">
      <c r="C636" s="36"/>
      <c r="H636" s="36"/>
    </row>
    <row r="637" spans="3:8" ht="12.75">
      <c r="C637" s="36"/>
      <c r="H637" s="36"/>
    </row>
    <row r="638" spans="3:8" ht="12.75">
      <c r="C638" s="36"/>
      <c r="H638" s="36"/>
    </row>
    <row r="639" spans="3:8" ht="12.75">
      <c r="C639" s="36"/>
      <c r="H639" s="36"/>
    </row>
    <row r="640" spans="3:8" ht="12.75">
      <c r="C640" s="36"/>
      <c r="H640" s="36"/>
    </row>
    <row r="641" spans="3:8" ht="12.75">
      <c r="C641" s="36"/>
      <c r="H641" s="36"/>
    </row>
    <row r="642" spans="3:8" ht="12.75">
      <c r="C642" s="36"/>
      <c r="H642" s="36"/>
    </row>
    <row r="643" spans="3:8" ht="12.75">
      <c r="C643" s="36"/>
      <c r="H643" s="36"/>
    </row>
    <row r="644" spans="3:8" ht="12.75">
      <c r="C644" s="36"/>
      <c r="H644" s="36"/>
    </row>
    <row r="645" spans="3:8" ht="12.75">
      <c r="C645" s="36"/>
      <c r="H645" s="36"/>
    </row>
    <row r="646" spans="3:8" ht="12.75">
      <c r="C646" s="36"/>
      <c r="H646" s="36"/>
    </row>
    <row r="647" spans="3:8" ht="12.75">
      <c r="C647" s="36"/>
      <c r="H647" s="36"/>
    </row>
    <row r="648" spans="3:8" ht="12.75">
      <c r="C648" s="36"/>
      <c r="H648" s="36"/>
    </row>
    <row r="649" spans="3:8" ht="12.75">
      <c r="C649" s="36"/>
      <c r="H649" s="36"/>
    </row>
    <row r="650" spans="3:8" ht="12.75">
      <c r="C650" s="36"/>
      <c r="H650" s="36"/>
    </row>
    <row r="651" spans="3:8" ht="12.75">
      <c r="C651" s="36"/>
      <c r="H651" s="36"/>
    </row>
    <row r="652" spans="3:8" ht="12.75">
      <c r="C652" s="36"/>
      <c r="H652" s="36"/>
    </row>
    <row r="653" spans="3:8" ht="12.75">
      <c r="C653" s="36"/>
      <c r="H653" s="36"/>
    </row>
    <row r="654" spans="3:8" ht="12.75">
      <c r="C654" s="36"/>
      <c r="H654" s="36"/>
    </row>
    <row r="655" spans="3:8" ht="12.75">
      <c r="C655" s="36"/>
      <c r="H655" s="36"/>
    </row>
    <row r="656" spans="3:8" ht="12.75">
      <c r="C656" s="36"/>
      <c r="H656" s="36"/>
    </row>
    <row r="657" spans="3:8" ht="12.75">
      <c r="C657" s="36"/>
      <c r="H657" s="36"/>
    </row>
    <row r="658" spans="3:8" ht="12.75">
      <c r="C658" s="36"/>
      <c r="H658" s="36"/>
    </row>
    <row r="659" spans="3:8" ht="12.75">
      <c r="C659" s="36"/>
      <c r="H659" s="36"/>
    </row>
    <row r="660" spans="3:8" ht="12.75">
      <c r="C660" s="36"/>
      <c r="H660" s="36"/>
    </row>
    <row r="661" spans="3:8" ht="12.75">
      <c r="C661" s="36"/>
      <c r="H661" s="36"/>
    </row>
    <row r="662" spans="3:8" ht="12.75">
      <c r="C662" s="36"/>
      <c r="H662" s="36"/>
    </row>
    <row r="663" spans="3:8" ht="12.75">
      <c r="C663" s="36"/>
      <c r="H663" s="36"/>
    </row>
    <row r="664" spans="3:8" ht="12.75">
      <c r="C664" s="36"/>
      <c r="H664" s="36"/>
    </row>
    <row r="665" spans="3:8" ht="12.75">
      <c r="C665" s="36"/>
      <c r="H665" s="36"/>
    </row>
    <row r="666" spans="3:8" ht="12.75">
      <c r="C666" s="36"/>
      <c r="H666" s="36"/>
    </row>
    <row r="667" spans="3:8" ht="12.75">
      <c r="C667" s="36"/>
      <c r="H667" s="36"/>
    </row>
    <row r="668" spans="3:8" ht="12.75">
      <c r="C668" s="36"/>
      <c r="H668" s="36"/>
    </row>
    <row r="669" spans="3:8" ht="12.75">
      <c r="C669" s="36"/>
      <c r="H669" s="36"/>
    </row>
    <row r="670" spans="3:8" ht="12.75">
      <c r="C670" s="36"/>
      <c r="H670" s="36"/>
    </row>
    <row r="671" spans="3:8" ht="12.75">
      <c r="C671" s="36"/>
      <c r="H671" s="36"/>
    </row>
    <row r="672" spans="3:8" ht="12.75">
      <c r="C672" s="36"/>
      <c r="H672" s="36"/>
    </row>
    <row r="673" spans="3:8" ht="12.75">
      <c r="C673" s="36"/>
      <c r="H673" s="36"/>
    </row>
    <row r="674" spans="3:8" ht="12.75">
      <c r="C674" s="36"/>
      <c r="H674" s="36"/>
    </row>
    <row r="675" spans="3:8" ht="12.75">
      <c r="C675" s="36"/>
      <c r="H675" s="36"/>
    </row>
    <row r="676" spans="3:8" ht="12.75">
      <c r="C676" s="36"/>
      <c r="H676" s="36"/>
    </row>
    <row r="677" spans="3:8" ht="12.75">
      <c r="C677" s="36"/>
      <c r="H677" s="36"/>
    </row>
    <row r="678" spans="3:8" ht="12.75">
      <c r="C678" s="36"/>
      <c r="H678" s="36"/>
    </row>
    <row r="679" spans="3:8" ht="12.75">
      <c r="C679" s="36"/>
      <c r="H679" s="36"/>
    </row>
    <row r="680" spans="3:8" ht="12.75">
      <c r="C680" s="36"/>
      <c r="H680" s="36"/>
    </row>
    <row r="681" spans="3:8" ht="12.75">
      <c r="C681" s="36"/>
      <c r="H681" s="36"/>
    </row>
    <row r="682" spans="3:8" ht="12.75">
      <c r="C682" s="36"/>
      <c r="H682" s="36"/>
    </row>
    <row r="683" spans="3:8" ht="12.75">
      <c r="C683" s="36"/>
      <c r="H683" s="36"/>
    </row>
    <row r="684" spans="3:8" ht="12.75">
      <c r="C684" s="36"/>
      <c r="H684" s="36"/>
    </row>
    <row r="685" spans="3:8" ht="12.75">
      <c r="C685" s="36"/>
      <c r="H685" s="36"/>
    </row>
    <row r="686" spans="3:8" ht="12.75">
      <c r="C686" s="36"/>
      <c r="H686" s="36"/>
    </row>
    <row r="687" spans="3:8" ht="12.75">
      <c r="C687" s="36"/>
      <c r="H687" s="36"/>
    </row>
    <row r="688" spans="3:8" ht="12.75">
      <c r="C688" s="36"/>
      <c r="H688" s="36"/>
    </row>
    <row r="689" spans="3:8" ht="12.75">
      <c r="C689" s="36"/>
      <c r="H689" s="36"/>
    </row>
    <row r="690" spans="3:8" ht="12.75">
      <c r="C690" s="36"/>
      <c r="H690" s="36"/>
    </row>
    <row r="691" spans="3:8" ht="12.75">
      <c r="C691" s="36"/>
      <c r="H691" s="36"/>
    </row>
    <row r="692" spans="3:8" ht="12.75">
      <c r="C692" s="36"/>
      <c r="H692" s="36"/>
    </row>
    <row r="693" spans="3:8" ht="12.75">
      <c r="C693" s="36"/>
      <c r="H693" s="36"/>
    </row>
    <row r="694" spans="3:8" ht="12.75">
      <c r="C694" s="36"/>
      <c r="H694" s="36"/>
    </row>
    <row r="695" spans="3:8" ht="12.75">
      <c r="C695" s="36"/>
      <c r="H695" s="36"/>
    </row>
    <row r="696" spans="3:8" ht="12.75">
      <c r="C696" s="36"/>
      <c r="H696" s="36"/>
    </row>
    <row r="697" spans="3:8" ht="12.75">
      <c r="C697" s="36"/>
      <c r="H697" s="36"/>
    </row>
    <row r="698" spans="3:8" ht="12.75">
      <c r="C698" s="36"/>
      <c r="H698" s="36"/>
    </row>
    <row r="699" spans="3:8" ht="12.75">
      <c r="C699" s="36"/>
      <c r="H699" s="36"/>
    </row>
    <row r="700" spans="3:8" ht="12.75">
      <c r="C700" s="36"/>
      <c r="H700" s="36"/>
    </row>
    <row r="701" spans="3:8" ht="12.75">
      <c r="C701" s="36"/>
      <c r="H701" s="36"/>
    </row>
    <row r="702" spans="3:8" ht="12.75">
      <c r="C702" s="36"/>
      <c r="H702" s="36"/>
    </row>
    <row r="703" spans="3:8" ht="12.75">
      <c r="C703" s="36"/>
      <c r="H703" s="36"/>
    </row>
    <row r="704" spans="3:8" ht="12.75">
      <c r="C704" s="36"/>
      <c r="H704" s="36"/>
    </row>
    <row r="705" spans="3:8" ht="12.75">
      <c r="C705" s="36"/>
      <c r="H705" s="36"/>
    </row>
    <row r="706" spans="3:8" ht="12.75">
      <c r="C706" s="36"/>
      <c r="H706" s="36"/>
    </row>
    <row r="707" spans="3:8" ht="12.75">
      <c r="C707" s="36"/>
      <c r="H707" s="36"/>
    </row>
    <row r="708" spans="3:8" ht="12.75">
      <c r="C708" s="36"/>
      <c r="H708" s="36"/>
    </row>
    <row r="709" spans="3:8" ht="12.75">
      <c r="C709" s="36"/>
      <c r="H709" s="36"/>
    </row>
    <row r="710" spans="3:8" ht="12.75">
      <c r="C710" s="36"/>
      <c r="H710" s="36"/>
    </row>
    <row r="711" spans="3:8" ht="12.75">
      <c r="C711" s="36"/>
      <c r="H711" s="36"/>
    </row>
    <row r="712" spans="3:8" ht="12.75">
      <c r="C712" s="36"/>
      <c r="H712" s="36"/>
    </row>
    <row r="713" spans="3:8" ht="12.75">
      <c r="C713" s="36"/>
      <c r="H713" s="36"/>
    </row>
    <row r="714" spans="3:8" ht="12.75">
      <c r="C714" s="36"/>
      <c r="H714" s="36"/>
    </row>
    <row r="715" spans="3:8" ht="12.75">
      <c r="C715" s="36"/>
      <c r="H715" s="36"/>
    </row>
    <row r="716" spans="3:8" ht="12.75">
      <c r="C716" s="36"/>
      <c r="H716" s="36"/>
    </row>
    <row r="717" spans="3:8" ht="12.75">
      <c r="C717" s="36"/>
      <c r="H717" s="36"/>
    </row>
    <row r="718" spans="3:8" ht="12.75">
      <c r="C718" s="36"/>
      <c r="H718" s="36"/>
    </row>
    <row r="719" spans="3:8" ht="12.75">
      <c r="C719" s="36"/>
      <c r="H719" s="36"/>
    </row>
    <row r="720" spans="3:8" ht="12.75">
      <c r="C720" s="36"/>
      <c r="H720" s="36"/>
    </row>
    <row r="721" spans="3:8" ht="12.75">
      <c r="C721" s="36"/>
      <c r="H721" s="36"/>
    </row>
    <row r="722" spans="3:8" ht="12.75">
      <c r="C722" s="36"/>
      <c r="H722" s="36"/>
    </row>
    <row r="723" spans="3:8" ht="12.75">
      <c r="C723" s="36"/>
      <c r="H723" s="36"/>
    </row>
    <row r="724" spans="3:8" ht="12.75">
      <c r="C724" s="36"/>
      <c r="H724" s="36"/>
    </row>
    <row r="725" spans="3:8" ht="12.75">
      <c r="C725" s="36"/>
      <c r="H725" s="36"/>
    </row>
    <row r="726" spans="3:8" ht="12.75">
      <c r="C726" s="36"/>
      <c r="H726" s="36"/>
    </row>
    <row r="727" spans="3:8" ht="12.75">
      <c r="C727" s="36"/>
      <c r="H727" s="36"/>
    </row>
    <row r="728" spans="3:8" ht="12.75">
      <c r="C728" s="36"/>
      <c r="H728" s="36"/>
    </row>
    <row r="729" spans="3:8" ht="12.75">
      <c r="C729" s="36"/>
      <c r="H729" s="36"/>
    </row>
    <row r="730" spans="3:8" ht="12.75">
      <c r="C730" s="36"/>
      <c r="H730" s="36"/>
    </row>
    <row r="731" spans="3:8" ht="12.75">
      <c r="C731" s="36"/>
      <c r="H731" s="36"/>
    </row>
    <row r="732" spans="3:8" ht="12.75">
      <c r="C732" s="36"/>
      <c r="H732" s="36"/>
    </row>
    <row r="733" spans="3:8" ht="12.75">
      <c r="C733" s="36"/>
      <c r="H733" s="36"/>
    </row>
    <row r="734" spans="3:8" ht="12.75">
      <c r="C734" s="36"/>
      <c r="H734" s="36"/>
    </row>
    <row r="735" spans="3:8" ht="12.75">
      <c r="C735" s="36"/>
      <c r="H735" s="36"/>
    </row>
    <row r="736" spans="3:8" ht="12.75">
      <c r="C736" s="36"/>
      <c r="H736" s="36"/>
    </row>
    <row r="737" spans="3:8" ht="12.75">
      <c r="C737" s="36"/>
      <c r="H737" s="36"/>
    </row>
    <row r="738" spans="3:8" ht="12.75">
      <c r="C738" s="36"/>
      <c r="H738" s="36"/>
    </row>
    <row r="739" spans="3:8" ht="12.75">
      <c r="C739" s="36"/>
      <c r="H739" s="36"/>
    </row>
    <row r="740" spans="3:8" ht="12.75">
      <c r="C740" s="36"/>
      <c r="H740" s="36"/>
    </row>
    <row r="741" spans="3:8" ht="12.75">
      <c r="C741" s="36"/>
      <c r="H741" s="36"/>
    </row>
    <row r="742" spans="3:8" ht="12.75">
      <c r="C742" s="36"/>
      <c r="H742" s="36"/>
    </row>
    <row r="743" spans="3:8" ht="12.75">
      <c r="C743" s="36"/>
      <c r="H743" s="36"/>
    </row>
    <row r="744" spans="3:8" ht="12.75">
      <c r="C744" s="36"/>
      <c r="H744" s="36"/>
    </row>
    <row r="745" spans="3:8" ht="12.75">
      <c r="C745" s="36"/>
      <c r="H745" s="36"/>
    </row>
    <row r="746" spans="3:8" ht="12.75">
      <c r="C746" s="36"/>
      <c r="H746" s="36"/>
    </row>
    <row r="747" spans="3:8" ht="12.75">
      <c r="C747" s="36"/>
      <c r="H747" s="36"/>
    </row>
    <row r="748" spans="3:8" ht="12.75">
      <c r="C748" s="36"/>
      <c r="H748" s="36"/>
    </row>
    <row r="749" spans="3:8" ht="12.75">
      <c r="C749" s="36"/>
      <c r="H749" s="36"/>
    </row>
    <row r="750" spans="3:8" ht="12.75">
      <c r="C750" s="36"/>
      <c r="H750" s="36"/>
    </row>
    <row r="751" spans="3:8" ht="12.75">
      <c r="C751" s="36"/>
      <c r="H751" s="36"/>
    </row>
    <row r="752" spans="3:8" ht="12.75">
      <c r="C752" s="36"/>
      <c r="H752" s="36"/>
    </row>
    <row r="753" spans="3:8" ht="12.75">
      <c r="C753" s="36"/>
      <c r="H753" s="36"/>
    </row>
    <row r="754" spans="3:8" ht="12.75">
      <c r="C754" s="36"/>
      <c r="H754" s="36"/>
    </row>
    <row r="755" spans="3:8" ht="12.75">
      <c r="C755" s="36"/>
      <c r="H755" s="36"/>
    </row>
    <row r="756" spans="3:8" ht="12.75">
      <c r="C756" s="36"/>
      <c r="H756" s="36"/>
    </row>
    <row r="757" spans="3:8" ht="12.75">
      <c r="C757" s="36"/>
      <c r="H757" s="36"/>
    </row>
    <row r="758" spans="3:8" ht="12.75">
      <c r="C758" s="36"/>
      <c r="H758" s="36"/>
    </row>
    <row r="759" spans="3:8" ht="12.75">
      <c r="C759" s="36"/>
      <c r="H759" s="36"/>
    </row>
    <row r="760" spans="3:8" ht="12.75">
      <c r="C760" s="36"/>
      <c r="H760" s="36"/>
    </row>
    <row r="761" spans="3:8" ht="12.75">
      <c r="C761" s="36"/>
      <c r="H761" s="36"/>
    </row>
    <row r="762" spans="3:8" ht="12.75">
      <c r="C762" s="36"/>
      <c r="H762" s="36"/>
    </row>
    <row r="763" spans="3:8" ht="12.75">
      <c r="C763" s="36"/>
      <c r="H763" s="36"/>
    </row>
    <row r="764" spans="3:8" ht="12.75">
      <c r="C764" s="36"/>
      <c r="H764" s="36"/>
    </row>
    <row r="765" spans="3:8" ht="12.75">
      <c r="C765" s="36"/>
      <c r="H765" s="36"/>
    </row>
    <row r="766" spans="3:8" ht="12.75">
      <c r="C766" s="36"/>
      <c r="H766" s="36"/>
    </row>
    <row r="767" spans="3:8" ht="12.75">
      <c r="C767" s="36"/>
      <c r="H767" s="36"/>
    </row>
    <row r="768" spans="3:8" ht="12.75">
      <c r="C768" s="36"/>
      <c r="H768" s="36"/>
    </row>
    <row r="769" spans="3:8" ht="12.75">
      <c r="C769" s="36"/>
      <c r="H769" s="36"/>
    </row>
    <row r="770" spans="3:8" ht="12.75">
      <c r="C770" s="36"/>
      <c r="H770" s="36"/>
    </row>
    <row r="771" spans="3:8" ht="12.75">
      <c r="C771" s="36"/>
      <c r="H771" s="36"/>
    </row>
    <row r="772" spans="3:8" ht="12.75">
      <c r="C772" s="36"/>
      <c r="H772" s="36"/>
    </row>
    <row r="773" spans="3:8" ht="12.75">
      <c r="C773" s="36"/>
      <c r="H773" s="36"/>
    </row>
    <row r="774" spans="3:8" ht="12.75">
      <c r="C774" s="36"/>
      <c r="H774" s="36"/>
    </row>
    <row r="775" spans="3:8" ht="12.75">
      <c r="C775" s="36"/>
      <c r="H775" s="36"/>
    </row>
    <row r="776" spans="3:8" ht="12.75">
      <c r="C776" s="36"/>
      <c r="H776" s="36"/>
    </row>
    <row r="777" spans="3:8" ht="12.75">
      <c r="C777" s="36"/>
      <c r="H777" s="36"/>
    </row>
    <row r="778" spans="3:8" ht="12.75">
      <c r="C778" s="36"/>
      <c r="H778" s="36"/>
    </row>
    <row r="779" spans="3:8" ht="12.75">
      <c r="C779" s="36"/>
      <c r="H779" s="36"/>
    </row>
    <row r="780" spans="3:8" ht="12.75">
      <c r="C780" s="36"/>
      <c r="H780" s="36"/>
    </row>
    <row r="781" spans="3:8" ht="12.75">
      <c r="C781" s="36"/>
      <c r="H781" s="36"/>
    </row>
    <row r="782" spans="3:8" ht="12.75">
      <c r="C782" s="36"/>
      <c r="H782" s="36"/>
    </row>
    <row r="783" spans="3:8" ht="12.75">
      <c r="C783" s="36"/>
      <c r="H783" s="36"/>
    </row>
    <row r="784" spans="3:8" ht="12.75">
      <c r="C784" s="36"/>
      <c r="H784" s="36"/>
    </row>
    <row r="785" spans="3:8" ht="12.75">
      <c r="C785" s="36"/>
      <c r="H785" s="36"/>
    </row>
    <row r="786" spans="3:8" ht="12.75">
      <c r="C786" s="36"/>
      <c r="H786" s="36"/>
    </row>
    <row r="787" spans="3:8" ht="12.75">
      <c r="C787" s="36"/>
      <c r="H787" s="36"/>
    </row>
    <row r="788" spans="3:8" ht="12.75">
      <c r="C788" s="36"/>
      <c r="H788" s="36"/>
    </row>
    <row r="789" spans="3:8" ht="12.75">
      <c r="C789" s="36"/>
      <c r="H789" s="36"/>
    </row>
    <row r="790" spans="3:8" ht="12.75">
      <c r="C790" s="36"/>
      <c r="H790" s="36"/>
    </row>
    <row r="791" spans="3:8" ht="12.75">
      <c r="C791" s="36"/>
      <c r="H791" s="36"/>
    </row>
    <row r="792" spans="3:8" ht="12.75">
      <c r="C792" s="36"/>
      <c r="H792" s="36"/>
    </row>
    <row r="793" spans="3:8" ht="12.75">
      <c r="C793" s="36"/>
      <c r="H793" s="36"/>
    </row>
    <row r="794" spans="3:8" ht="12.75">
      <c r="C794" s="36"/>
      <c r="H794" s="36"/>
    </row>
    <row r="795" spans="3:8" ht="12.75">
      <c r="C795" s="36"/>
      <c r="H795" s="36"/>
    </row>
    <row r="796" spans="3:8" ht="12.75">
      <c r="C796" s="36"/>
      <c r="H796" s="36"/>
    </row>
    <row r="797" spans="3:8" ht="12.75">
      <c r="C797" s="36"/>
      <c r="H797" s="36"/>
    </row>
    <row r="798" spans="3:8" ht="12.75">
      <c r="C798" s="36"/>
      <c r="H798" s="36"/>
    </row>
    <row r="799" spans="3:8" ht="12.75">
      <c r="C799" s="36"/>
      <c r="H799" s="36"/>
    </row>
    <row r="800" spans="3:8" ht="12.75">
      <c r="C800" s="36"/>
      <c r="H800" s="36"/>
    </row>
    <row r="801" spans="3:8" ht="12.75">
      <c r="C801" s="36"/>
      <c r="H801" s="36"/>
    </row>
    <row r="802" spans="3:8" ht="12.75">
      <c r="C802" s="36"/>
      <c r="H802" s="36"/>
    </row>
    <row r="803" spans="3:8" ht="12.75">
      <c r="C803" s="36"/>
      <c r="H803" s="36"/>
    </row>
    <row r="804" spans="3:8" ht="12.75">
      <c r="C804" s="36"/>
      <c r="H804" s="36"/>
    </row>
    <row r="805" spans="3:8" ht="12.75">
      <c r="C805" s="36"/>
      <c r="H805" s="36"/>
    </row>
    <row r="806" spans="3:8" ht="12.75">
      <c r="C806" s="36"/>
      <c r="H806" s="36"/>
    </row>
    <row r="807" spans="3:8" ht="12.75">
      <c r="C807" s="36"/>
      <c r="H807" s="36"/>
    </row>
    <row r="808" spans="3:8" ht="12.75">
      <c r="C808" s="36"/>
      <c r="H808" s="36"/>
    </row>
    <row r="809" spans="3:8" ht="12.75">
      <c r="C809" s="36"/>
      <c r="H809" s="36"/>
    </row>
    <row r="810" spans="3:8" ht="12.75">
      <c r="C810" s="36"/>
      <c r="H810" s="36"/>
    </row>
    <row r="811" spans="3:8" ht="12.75">
      <c r="C811" s="36"/>
      <c r="H811" s="36"/>
    </row>
    <row r="812" spans="3:8" ht="12.75">
      <c r="C812" s="36"/>
      <c r="H812" s="36"/>
    </row>
    <row r="813" spans="3:8" ht="12.75">
      <c r="C813" s="36"/>
      <c r="H813" s="36"/>
    </row>
    <row r="814" spans="3:8" ht="12.75">
      <c r="C814" s="36"/>
      <c r="H814" s="36"/>
    </row>
    <row r="815" spans="3:8" ht="12.75">
      <c r="C815" s="36"/>
      <c r="H815" s="36"/>
    </row>
    <row r="816" spans="3:8" ht="12.75">
      <c r="C816" s="36"/>
      <c r="H816" s="36"/>
    </row>
    <row r="817" spans="3:8" ht="12.75">
      <c r="C817" s="36"/>
      <c r="H817" s="36"/>
    </row>
    <row r="818" spans="3:8" ht="12.75">
      <c r="C818" s="36"/>
      <c r="H818" s="36"/>
    </row>
    <row r="819" spans="3:8" ht="12.75">
      <c r="C819" s="36"/>
      <c r="H819" s="36"/>
    </row>
    <row r="820" spans="3:8" ht="12.75">
      <c r="C820" s="36"/>
      <c r="H820" s="36"/>
    </row>
    <row r="821" spans="3:8" ht="12.75">
      <c r="C821" s="36"/>
      <c r="H821" s="36"/>
    </row>
    <row r="822" spans="3:8" ht="12.75">
      <c r="C822" s="36"/>
      <c r="H822" s="36"/>
    </row>
    <row r="823" spans="3:8" ht="12.75">
      <c r="C823" s="36"/>
      <c r="H823" s="36"/>
    </row>
    <row r="824" spans="3:8" ht="12.75">
      <c r="C824" s="36"/>
      <c r="H824" s="36"/>
    </row>
    <row r="825" spans="3:8" ht="12.75">
      <c r="C825" s="36"/>
      <c r="H825" s="36"/>
    </row>
    <row r="826" spans="3:8" ht="12.75">
      <c r="C826" s="36"/>
      <c r="H826" s="36"/>
    </row>
    <row r="827" spans="3:8" ht="12.75">
      <c r="C827" s="36"/>
      <c r="H827" s="36"/>
    </row>
    <row r="828" spans="3:8" ht="12.75">
      <c r="C828" s="36"/>
      <c r="H828" s="36"/>
    </row>
    <row r="829" spans="3:8" ht="12.75">
      <c r="C829" s="36"/>
      <c r="H829" s="36"/>
    </row>
    <row r="830" spans="3:8" ht="12.75">
      <c r="C830" s="36"/>
      <c r="H830" s="36"/>
    </row>
    <row r="831" spans="3:8" ht="12.75">
      <c r="C831" s="36"/>
      <c r="H831" s="36"/>
    </row>
    <row r="832" spans="3:8" ht="12.75">
      <c r="C832" s="36"/>
      <c r="H832" s="36"/>
    </row>
    <row r="833" spans="3:8" ht="12.75">
      <c r="C833" s="36"/>
      <c r="H833" s="36"/>
    </row>
    <row r="834" spans="3:8" ht="12.75">
      <c r="C834" s="36"/>
      <c r="H834" s="36"/>
    </row>
    <row r="835" spans="3:8" ht="12.75">
      <c r="C835" s="36"/>
      <c r="H835" s="36"/>
    </row>
    <row r="836" spans="3:8" ht="12.75">
      <c r="C836" s="36"/>
      <c r="H836" s="36"/>
    </row>
    <row r="837" spans="3:8" ht="12.75">
      <c r="C837" s="36"/>
      <c r="H837" s="36"/>
    </row>
    <row r="838" spans="3:8" ht="12.75">
      <c r="C838" s="36"/>
      <c r="H838" s="36"/>
    </row>
    <row r="839" spans="3:8" ht="12.75">
      <c r="C839" s="36"/>
      <c r="H839" s="36"/>
    </row>
    <row r="840" spans="3:8" ht="12.75">
      <c r="C840" s="36"/>
      <c r="H840" s="36"/>
    </row>
    <row r="841" spans="3:8" ht="12.75">
      <c r="C841" s="36"/>
      <c r="H841" s="36"/>
    </row>
    <row r="842" spans="3:8" ht="12.75">
      <c r="C842" s="36"/>
      <c r="H842" s="36"/>
    </row>
    <row r="843" spans="3:8" ht="12.75">
      <c r="C843" s="36"/>
      <c r="H843" s="36"/>
    </row>
    <row r="844" spans="3:8" ht="12.75">
      <c r="C844" s="36"/>
      <c r="H844" s="36"/>
    </row>
    <row r="845" spans="3:8" ht="12.75">
      <c r="C845" s="36"/>
      <c r="H845" s="36"/>
    </row>
    <row r="846" spans="3:8" ht="12.75">
      <c r="C846" s="36"/>
      <c r="H846" s="36"/>
    </row>
    <row r="847" spans="3:8" ht="12.75">
      <c r="C847" s="36"/>
      <c r="H847" s="36"/>
    </row>
    <row r="848" spans="3:8" ht="12.75">
      <c r="C848" s="36"/>
      <c r="H848" s="36"/>
    </row>
    <row r="849" spans="3:8" ht="12.75">
      <c r="C849" s="36"/>
      <c r="H849" s="36"/>
    </row>
    <row r="850" spans="3:8" ht="12.75">
      <c r="C850" s="36"/>
      <c r="H850" s="36"/>
    </row>
    <row r="851" spans="3:8" ht="12.75">
      <c r="C851" s="36"/>
      <c r="H851" s="36"/>
    </row>
    <row r="852" spans="3:8" ht="12.75">
      <c r="C852" s="36"/>
      <c r="H852" s="36"/>
    </row>
    <row r="853" spans="3:8" ht="12.75">
      <c r="C853" s="36"/>
      <c r="H853" s="36"/>
    </row>
    <row r="854" spans="3:8" ht="12.75">
      <c r="C854" s="36"/>
      <c r="H854" s="36"/>
    </row>
    <row r="855" spans="3:8" ht="12.75">
      <c r="C855" s="36"/>
      <c r="H855" s="36"/>
    </row>
    <row r="856" spans="3:8" ht="12.75">
      <c r="C856" s="36"/>
      <c r="H856" s="36"/>
    </row>
    <row r="857" spans="3:8" ht="12.75">
      <c r="C857" s="36"/>
      <c r="H857" s="36"/>
    </row>
    <row r="858" spans="3:8" ht="12.75">
      <c r="C858" s="36"/>
      <c r="H858" s="36"/>
    </row>
    <row r="859" spans="3:8" ht="12.75">
      <c r="C859" s="36"/>
      <c r="H859" s="36"/>
    </row>
    <row r="860" spans="3:8" ht="12.75">
      <c r="C860" s="36"/>
      <c r="H860" s="36"/>
    </row>
    <row r="861" spans="3:8" ht="12.75">
      <c r="C861" s="36"/>
      <c r="H861" s="36"/>
    </row>
    <row r="862" spans="3:8" ht="12.75">
      <c r="C862" s="36"/>
      <c r="H862" s="36"/>
    </row>
    <row r="863" spans="3:8" ht="12.75">
      <c r="C863" s="36"/>
      <c r="H863" s="36"/>
    </row>
    <row r="864" spans="3:8" ht="12.75">
      <c r="C864" s="36"/>
      <c r="H864" s="36"/>
    </row>
    <row r="865" spans="3:8" ht="12.75">
      <c r="C865" s="36"/>
      <c r="H865" s="36"/>
    </row>
    <row r="866" spans="3:8" ht="12.75">
      <c r="C866" s="36"/>
      <c r="H866" s="36"/>
    </row>
    <row r="867" spans="3:8" ht="12.75">
      <c r="C867" s="36"/>
      <c r="H867" s="36"/>
    </row>
    <row r="868" spans="3:8" ht="12.75">
      <c r="C868" s="36"/>
      <c r="H868" s="36"/>
    </row>
    <row r="869" spans="3:8" ht="12.75">
      <c r="C869" s="36"/>
      <c r="H869" s="36"/>
    </row>
    <row r="870" spans="3:8" ht="12.75">
      <c r="C870" s="36"/>
      <c r="H870" s="36"/>
    </row>
    <row r="871" spans="3:8" ht="12.75">
      <c r="C871" s="36"/>
      <c r="H871" s="36"/>
    </row>
    <row r="872" spans="3:8" ht="12.75">
      <c r="C872" s="36"/>
      <c r="H872" s="36"/>
    </row>
    <row r="873" spans="3:8" ht="12.75">
      <c r="C873" s="36"/>
      <c r="H873" s="36"/>
    </row>
    <row r="874" spans="3:8" ht="12.75">
      <c r="C874" s="36"/>
      <c r="H874" s="36"/>
    </row>
    <row r="875" spans="3:8" ht="12.75">
      <c r="C875" s="36"/>
      <c r="H875" s="36"/>
    </row>
    <row r="876" spans="3:8" ht="12.75">
      <c r="C876" s="36"/>
      <c r="H876" s="36"/>
    </row>
    <row r="877" spans="3:8" ht="12.75">
      <c r="C877" s="36"/>
      <c r="H877" s="36"/>
    </row>
    <row r="878" spans="3:8" ht="12.75">
      <c r="C878" s="36"/>
      <c r="H878" s="36"/>
    </row>
    <row r="879" spans="3:8" ht="12.75">
      <c r="C879" s="36"/>
      <c r="H879" s="36"/>
    </row>
    <row r="880" spans="3:8" ht="12.75">
      <c r="C880" s="36"/>
      <c r="H880" s="36"/>
    </row>
    <row r="881" spans="3:8" ht="12.75">
      <c r="C881" s="36"/>
      <c r="H881" s="36"/>
    </row>
    <row r="882" spans="3:8" ht="12.75">
      <c r="C882" s="36"/>
      <c r="H882" s="36"/>
    </row>
    <row r="883" spans="3:8" ht="12.75">
      <c r="C883" s="36"/>
      <c r="H883" s="36"/>
    </row>
    <row r="884" spans="3:8" ht="12.75">
      <c r="C884" s="36"/>
      <c r="H884" s="36"/>
    </row>
    <row r="885" spans="3:8" ht="12.75">
      <c r="C885" s="36"/>
      <c r="H885" s="36"/>
    </row>
    <row r="886" spans="3:8" ht="12.75">
      <c r="C886" s="36"/>
      <c r="H886" s="36"/>
    </row>
    <row r="887" spans="3:8" ht="12.75">
      <c r="C887" s="36"/>
      <c r="H887" s="36"/>
    </row>
    <row r="888" spans="3:8" ht="12.75">
      <c r="C888" s="36"/>
      <c r="H888" s="36"/>
    </row>
    <row r="889" spans="3:8" ht="12.75">
      <c r="C889" s="36"/>
      <c r="H889" s="36"/>
    </row>
    <row r="890" spans="3:8" ht="12.75">
      <c r="C890" s="36"/>
      <c r="H890" s="36"/>
    </row>
    <row r="891" spans="3:8" ht="12.75">
      <c r="C891" s="36"/>
      <c r="H891" s="36"/>
    </row>
    <row r="892" spans="3:8" ht="12.75">
      <c r="C892" s="36"/>
      <c r="H892" s="36"/>
    </row>
    <row r="893" spans="3:8" ht="12.75">
      <c r="C893" s="36"/>
      <c r="H893" s="36"/>
    </row>
    <row r="894" spans="3:8" ht="12.75">
      <c r="C894" s="36"/>
      <c r="H894" s="36"/>
    </row>
    <row r="895" spans="3:8" ht="12.75">
      <c r="C895" s="36"/>
      <c r="H895" s="36"/>
    </row>
    <row r="896" spans="3:8" ht="12.75">
      <c r="C896" s="36"/>
      <c r="H896" s="36"/>
    </row>
    <row r="897" spans="3:8" ht="12.75">
      <c r="C897" s="36"/>
      <c r="H897" s="36"/>
    </row>
    <row r="898" spans="3:8" ht="12.75">
      <c r="C898" s="36"/>
      <c r="H898" s="36"/>
    </row>
    <row r="899" spans="3:8" ht="12.75">
      <c r="C899" s="36"/>
      <c r="H899" s="36"/>
    </row>
    <row r="900" spans="3:8" ht="12.75">
      <c r="C900" s="36"/>
      <c r="H900" s="36"/>
    </row>
    <row r="901" spans="3:8" ht="12.75">
      <c r="C901" s="36"/>
      <c r="H901" s="36"/>
    </row>
    <row r="902" spans="3:8" ht="12.75">
      <c r="C902" s="36"/>
      <c r="H902" s="36"/>
    </row>
    <row r="903" spans="3:8" ht="12.75">
      <c r="C903" s="36"/>
      <c r="H903" s="36"/>
    </row>
    <row r="904" spans="3:8" ht="12.75">
      <c r="C904" s="36"/>
      <c r="H904" s="36"/>
    </row>
    <row r="905" spans="3:8" ht="12.75">
      <c r="C905" s="36"/>
      <c r="H905" s="36"/>
    </row>
    <row r="906" spans="3:8" ht="12.75">
      <c r="C906" s="36"/>
      <c r="H906" s="36"/>
    </row>
    <row r="907" spans="3:8" ht="12.75">
      <c r="C907" s="36"/>
      <c r="H907" s="36"/>
    </row>
    <row r="908" spans="3:8" ht="12.75">
      <c r="C908" s="36"/>
      <c r="H908" s="36"/>
    </row>
    <row r="909" spans="3:8" ht="12.75">
      <c r="C909" s="36"/>
      <c r="H909" s="36"/>
    </row>
    <row r="910" spans="3:8" ht="12.75">
      <c r="C910" s="36"/>
      <c r="H910" s="36"/>
    </row>
    <row r="911" spans="3:8" ht="12.75">
      <c r="C911" s="36"/>
      <c r="H911" s="36"/>
    </row>
    <row r="912" spans="3:8" ht="12.75">
      <c r="C912" s="36"/>
      <c r="H912" s="36"/>
    </row>
    <row r="913" spans="3:8" ht="12.75">
      <c r="C913" s="36"/>
      <c r="H913" s="36"/>
    </row>
    <row r="914" spans="3:8" ht="12.75">
      <c r="C914" s="36"/>
      <c r="H914" s="36"/>
    </row>
    <row r="915" spans="3:8" ht="12.75">
      <c r="C915" s="36"/>
      <c r="H915" s="36"/>
    </row>
    <row r="916" spans="3:8" ht="12.75">
      <c r="C916" s="36"/>
      <c r="H916" s="36"/>
    </row>
    <row r="917" spans="3:8" ht="12.75">
      <c r="C917" s="36"/>
      <c r="H917" s="36"/>
    </row>
    <row r="918" spans="3:8" ht="12.75">
      <c r="C918" s="36"/>
      <c r="H918" s="36"/>
    </row>
    <row r="919" spans="3:8" ht="12.75">
      <c r="C919" s="36"/>
      <c r="H919" s="36"/>
    </row>
    <row r="920" spans="3:8" ht="12.75">
      <c r="C920" s="36"/>
      <c r="H920" s="36"/>
    </row>
    <row r="921" spans="3:8" ht="12.75">
      <c r="C921" s="36"/>
      <c r="H921" s="36"/>
    </row>
    <row r="922" spans="3:8" ht="12.75">
      <c r="C922" s="36"/>
      <c r="H922" s="36"/>
    </row>
    <row r="923" spans="3:8" ht="12.75">
      <c r="C923" s="36"/>
      <c r="H923" s="36"/>
    </row>
    <row r="924" spans="3:8" ht="12.75">
      <c r="C924" s="36"/>
      <c r="H924" s="36"/>
    </row>
    <row r="925" spans="3:8" ht="12.75">
      <c r="C925" s="36"/>
      <c r="H925" s="36"/>
    </row>
    <row r="926" spans="3:8" ht="12.75">
      <c r="C926" s="36"/>
      <c r="H926" s="36"/>
    </row>
    <row r="927" spans="3:8" ht="12.75">
      <c r="C927" s="36"/>
      <c r="H927" s="36"/>
    </row>
    <row r="928" spans="3:8" ht="12.75">
      <c r="C928" s="36"/>
      <c r="H928" s="36"/>
    </row>
    <row r="929" spans="3:8" ht="12.75">
      <c r="C929" s="36"/>
      <c r="H929" s="36"/>
    </row>
    <row r="930" spans="3:8" ht="12.75">
      <c r="C930" s="36"/>
      <c r="H930" s="36"/>
    </row>
    <row r="931" spans="3:8" ht="12.75">
      <c r="C931" s="36"/>
      <c r="H931" s="36"/>
    </row>
    <row r="932" spans="3:8" ht="12.75">
      <c r="C932" s="36"/>
      <c r="H932" s="36"/>
    </row>
    <row r="933" spans="3:8" ht="12.75">
      <c r="C933" s="36"/>
      <c r="H933" s="36"/>
    </row>
    <row r="934" spans="3:8" ht="12.75">
      <c r="C934" s="36"/>
      <c r="H934" s="36"/>
    </row>
    <row r="935" spans="3:8" ht="12.75">
      <c r="C935" s="36"/>
      <c r="H935" s="36"/>
    </row>
    <row r="936" spans="3:8" ht="12.75">
      <c r="C936" s="36"/>
      <c r="H936" s="36"/>
    </row>
    <row r="937" spans="3:8" ht="12.75">
      <c r="C937" s="36"/>
      <c r="H937" s="36"/>
    </row>
    <row r="938" spans="3:8" ht="12.75">
      <c r="C938" s="36"/>
      <c r="H938" s="36"/>
    </row>
    <row r="939" spans="3:8" ht="12.75">
      <c r="C939" s="36"/>
      <c r="H939" s="36"/>
    </row>
    <row r="940" spans="3:8" ht="12.75">
      <c r="C940" s="36"/>
      <c r="H940" s="36"/>
    </row>
    <row r="941" spans="3:8" ht="12.75">
      <c r="C941" s="36"/>
      <c r="H941" s="36"/>
    </row>
    <row r="942" spans="3:8" ht="12.75">
      <c r="C942" s="36"/>
      <c r="H942" s="36"/>
    </row>
    <row r="943" spans="3:8" ht="12.75">
      <c r="C943" s="36"/>
      <c r="H943" s="36"/>
    </row>
    <row r="944" spans="3:8" ht="12.75">
      <c r="C944" s="36"/>
      <c r="H944" s="36"/>
    </row>
    <row r="945" spans="3:8" ht="12.75">
      <c r="C945" s="36"/>
      <c r="H945" s="36"/>
    </row>
    <row r="946" spans="3:8" ht="12.75">
      <c r="C946" s="36"/>
      <c r="H946" s="36"/>
    </row>
    <row r="947" spans="3:8" ht="12.75">
      <c r="C947" s="36"/>
      <c r="H947" s="36"/>
    </row>
    <row r="948" spans="3:8" ht="12.75">
      <c r="C948" s="36"/>
      <c r="H948" s="36"/>
    </row>
    <row r="949" spans="3:8" ht="12.75">
      <c r="C949" s="36"/>
      <c r="H949" s="36"/>
    </row>
    <row r="950" spans="3:8" ht="12.75">
      <c r="C950" s="36"/>
      <c r="H950" s="36"/>
    </row>
    <row r="951" spans="3:8" ht="12.75">
      <c r="C951" s="36"/>
      <c r="H951" s="36"/>
    </row>
    <row r="952" spans="3:8" ht="12.75">
      <c r="C952" s="36"/>
      <c r="H952" s="36"/>
    </row>
    <row r="953" spans="3:8" ht="12.75">
      <c r="C953" s="36"/>
      <c r="H953" s="36"/>
    </row>
    <row r="954" spans="3:8" ht="12.75">
      <c r="C954" s="36"/>
      <c r="H954" s="36"/>
    </row>
    <row r="955" spans="3:8" ht="12.75">
      <c r="C955" s="36"/>
      <c r="H955" s="36"/>
    </row>
    <row r="956" spans="3:8" ht="12.75">
      <c r="C956" s="36"/>
      <c r="H956" s="36"/>
    </row>
    <row r="957" spans="3:8" ht="12.75">
      <c r="C957" s="36"/>
      <c r="H957" s="36"/>
    </row>
    <row r="958" spans="3:8" ht="12.75">
      <c r="C958" s="36"/>
      <c r="H958" s="36"/>
    </row>
    <row r="959" spans="3:8" ht="12.75">
      <c r="C959" s="36"/>
      <c r="H959" s="36"/>
    </row>
    <row r="960" spans="3:8" ht="12.75">
      <c r="C960" s="36"/>
      <c r="H960" s="36"/>
    </row>
    <row r="961" spans="3:8" ht="12.75">
      <c r="C961" s="36"/>
      <c r="H961" s="36"/>
    </row>
    <row r="962" spans="3:8" ht="12.75">
      <c r="C962" s="36"/>
      <c r="H962" s="36"/>
    </row>
    <row r="963" spans="3:8" ht="12.75">
      <c r="C963" s="36"/>
      <c r="H963" s="36"/>
    </row>
    <row r="964" spans="3:8" ht="12.75">
      <c r="C964" s="36"/>
      <c r="H964" s="36"/>
    </row>
    <row r="965" spans="3:8" ht="12.75">
      <c r="C965" s="36"/>
      <c r="H965" s="36"/>
    </row>
    <row r="966" spans="3:8" ht="12.75">
      <c r="C966" s="36"/>
      <c r="H966" s="36"/>
    </row>
    <row r="967" spans="3:8" ht="12.75">
      <c r="C967" s="36"/>
      <c r="H967" s="36"/>
    </row>
    <row r="968" spans="3:8" ht="12.75">
      <c r="C968" s="36"/>
      <c r="H968" s="36"/>
    </row>
    <row r="969" spans="3:8" ht="12.75">
      <c r="C969" s="36"/>
      <c r="H969" s="36"/>
    </row>
    <row r="970" spans="3:8" ht="12.75">
      <c r="C970" s="36"/>
      <c r="H970" s="36"/>
    </row>
    <row r="971" spans="3:8" ht="12.75">
      <c r="C971" s="36"/>
      <c r="H971" s="36"/>
    </row>
    <row r="972" spans="3:8" ht="12.75">
      <c r="C972" s="36"/>
      <c r="H972" s="36"/>
    </row>
    <row r="973" spans="3:8" ht="12.75">
      <c r="C973" s="36"/>
      <c r="H973" s="36"/>
    </row>
    <row r="974" spans="3:8" ht="12.75">
      <c r="C974" s="36"/>
      <c r="H974" s="36"/>
    </row>
    <row r="975" spans="3:8" ht="12.75">
      <c r="C975" s="36"/>
      <c r="H975" s="36"/>
    </row>
    <row r="976" spans="3:8" ht="12.75">
      <c r="C976" s="36"/>
      <c r="H976" s="36"/>
    </row>
    <row r="977" spans="3:8" ht="12.75">
      <c r="C977" s="36"/>
      <c r="H977" s="36"/>
    </row>
    <row r="978" spans="3:8" ht="12.75">
      <c r="C978" s="36"/>
      <c r="H978" s="36"/>
    </row>
    <row r="979" spans="3:8" ht="12.75">
      <c r="C979" s="36"/>
      <c r="H979" s="36"/>
    </row>
    <row r="980" spans="3:8" ht="12.75">
      <c r="C980" s="36"/>
      <c r="H980" s="36"/>
    </row>
    <row r="981" spans="3:8" ht="12.75">
      <c r="C981" s="36"/>
      <c r="H981" s="36"/>
    </row>
    <row r="982" spans="3:8" ht="12.75">
      <c r="C982" s="36"/>
      <c r="H982" s="36"/>
    </row>
    <row r="983" spans="3:8" ht="12.75">
      <c r="C983" s="36"/>
      <c r="H983" s="36"/>
    </row>
    <row r="984" spans="3:8" ht="12.75">
      <c r="C984" s="36"/>
      <c r="H984" s="36"/>
    </row>
    <row r="985" spans="3:8" ht="12.75">
      <c r="C985" s="36"/>
      <c r="H985" s="36"/>
    </row>
    <row r="986" spans="3:8" ht="12.75">
      <c r="C986" s="36"/>
      <c r="H986" s="36"/>
    </row>
    <row r="987" spans="3:8" ht="12.75">
      <c r="C987" s="36"/>
      <c r="H987" s="36"/>
    </row>
    <row r="988" spans="3:8" ht="12.75">
      <c r="C988" s="36"/>
      <c r="H988" s="36"/>
    </row>
    <row r="989" spans="3:8" ht="12.75">
      <c r="C989" s="36"/>
      <c r="H989" s="36"/>
    </row>
    <row r="990" spans="3:8" ht="12.75">
      <c r="C990" s="36"/>
      <c r="H990" s="36"/>
    </row>
    <row r="991" spans="3:8" ht="12.75">
      <c r="C991" s="36"/>
      <c r="H991" s="36"/>
    </row>
    <row r="992" spans="3:8" ht="12.75">
      <c r="C992" s="36"/>
      <c r="H992" s="36"/>
    </row>
    <row r="993" spans="3:8" ht="12.75">
      <c r="C993" s="36"/>
      <c r="H993" s="36"/>
    </row>
    <row r="994" spans="3:8" ht="12.75">
      <c r="C994" s="36"/>
      <c r="H994" s="36"/>
    </row>
    <row r="995" spans="3:8" ht="12.75">
      <c r="C995" s="36"/>
      <c r="H995" s="36"/>
    </row>
    <row r="996" spans="3:8" ht="12.75">
      <c r="C996" s="36"/>
      <c r="H996" s="36"/>
    </row>
    <row r="997" spans="3:8" ht="12.75">
      <c r="C997" s="36"/>
      <c r="H997" s="36"/>
    </row>
    <row r="998" spans="3:8" ht="12.75">
      <c r="C998" s="36"/>
      <c r="H998" s="36"/>
    </row>
    <row r="999" spans="3:8" ht="12.75">
      <c r="C999" s="36"/>
      <c r="H999" s="36"/>
    </row>
    <row r="1000" spans="3:8" ht="12.75">
      <c r="C1000" s="36"/>
      <c r="H1000" s="36"/>
    </row>
  </sheetData>
  <autoFilter ref="C1:C1000" xr:uid="{00000000-0009-0000-0000-00000A000000}"/>
  <customSheetViews>
    <customSheetView guid="{E4B6CD70-6F71-4930-8D93-E959514A309A}" filter="1" showAutoFilter="1">
      <pageMargins left="0.7" right="0.7" top="0.75" bottom="0.75" header="0.3" footer="0.3"/>
      <autoFilter ref="C1:C1000" xr:uid="{E1A52DB6-DA74-470C-90B2-20A0AA4DBD09}">
        <filterColumn colId="0">
          <filters>
            <filter val="Soft Skills"/>
          </filters>
        </filterColumn>
      </autoFilter>
    </customSheetView>
  </customSheetViews>
  <dataValidations count="2">
    <dataValidation type="list" allowBlank="1" sqref="H2:H1000" xr:uid="{00000000-0002-0000-0A00-000000000000}">
      <formula1>"Разова,Регулярна"</formula1>
    </dataValidation>
    <dataValidation type="list" allowBlank="1" sqref="C2:C1000" xr:uid="{00000000-0002-0000-0A00-000001000000}">
      <formula1>"Scratch,Minecraft Kids,Minecraft Junior,Design Junior,FrontEnd Junior,Roblox,Digital Design,Python,FrontEnd,GameDev,Soft Skills"</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I24"/>
  <sheetViews>
    <sheetView workbookViewId="0"/>
  </sheetViews>
  <sheetFormatPr defaultColWidth="12.5703125" defaultRowHeight="15.75" customHeight="1"/>
  <cols>
    <col min="3" max="9" width="5.140625" customWidth="1"/>
  </cols>
  <sheetData>
    <row r="1" spans="1:9">
      <c r="A1" s="600" t="s">
        <v>9769</v>
      </c>
      <c r="B1" s="600" t="s">
        <v>9770</v>
      </c>
      <c r="C1" s="601" t="s">
        <v>9771</v>
      </c>
      <c r="D1" s="601" t="s">
        <v>9772</v>
      </c>
      <c r="E1" s="601" t="s">
        <v>9773</v>
      </c>
      <c r="F1" s="601" t="s">
        <v>9774</v>
      </c>
      <c r="G1" s="601" t="s">
        <v>9775</v>
      </c>
      <c r="H1" s="601" t="s">
        <v>9776</v>
      </c>
      <c r="I1" s="601" t="s">
        <v>9777</v>
      </c>
    </row>
    <row r="2" spans="1:9">
      <c r="A2" s="591" t="s">
        <v>3413</v>
      </c>
      <c r="B2" s="602" t="s">
        <v>9778</v>
      </c>
      <c r="C2" s="603" t="e">
        <f t="shared" ref="C2:I2" si="0">COUNTIFS(#REF!,"*"&amp;$B2&amp;"*",#REF!,"*"&amp;$A$2&amp;"*")</f>
        <v>#REF!</v>
      </c>
      <c r="D2" s="603" t="e">
        <f t="shared" si="0"/>
        <v>#REF!</v>
      </c>
      <c r="E2" s="603" t="e">
        <f t="shared" si="0"/>
        <v>#REF!</v>
      </c>
      <c r="F2" s="603" t="e">
        <f t="shared" si="0"/>
        <v>#REF!</v>
      </c>
      <c r="G2" s="603" t="e">
        <f t="shared" si="0"/>
        <v>#REF!</v>
      </c>
      <c r="H2" s="603" t="e">
        <f t="shared" si="0"/>
        <v>#REF!</v>
      </c>
      <c r="I2" s="603" t="e">
        <f t="shared" si="0"/>
        <v>#REF!</v>
      </c>
    </row>
    <row r="3" spans="1:9">
      <c r="A3" s="116"/>
      <c r="B3" s="602" t="s">
        <v>9779</v>
      </c>
      <c r="C3" s="603" t="e">
        <f t="shared" ref="C3:I3" si="1">COUNTIFS(#REF!,"*"&amp;$B3&amp;"*",#REF!,"*"&amp;$A$2&amp;"*")</f>
        <v>#REF!</v>
      </c>
      <c r="D3" s="603" t="e">
        <f t="shared" si="1"/>
        <v>#REF!</v>
      </c>
      <c r="E3" s="603" t="e">
        <f t="shared" si="1"/>
        <v>#REF!</v>
      </c>
      <c r="F3" s="603" t="e">
        <f t="shared" si="1"/>
        <v>#REF!</v>
      </c>
      <c r="G3" s="603" t="e">
        <f t="shared" si="1"/>
        <v>#REF!</v>
      </c>
      <c r="H3" s="603" t="e">
        <f t="shared" si="1"/>
        <v>#REF!</v>
      </c>
      <c r="I3" s="603" t="e">
        <f t="shared" si="1"/>
        <v>#REF!</v>
      </c>
    </row>
    <row r="4" spans="1:9">
      <c r="A4" s="116"/>
      <c r="B4" s="602" t="s">
        <v>9780</v>
      </c>
      <c r="C4" s="603" t="e">
        <f t="shared" ref="C4:I4" si="2">COUNTIFS(#REF!,"*"&amp;$B4&amp;"*",#REF!,"*"&amp;$A$2&amp;"*")</f>
        <v>#REF!</v>
      </c>
      <c r="D4" s="603" t="e">
        <f t="shared" si="2"/>
        <v>#REF!</v>
      </c>
      <c r="E4" s="603" t="e">
        <f t="shared" si="2"/>
        <v>#REF!</v>
      </c>
      <c r="F4" s="603" t="e">
        <f t="shared" si="2"/>
        <v>#REF!</v>
      </c>
      <c r="G4" s="603" t="e">
        <f t="shared" si="2"/>
        <v>#REF!</v>
      </c>
      <c r="H4" s="603" t="e">
        <f t="shared" si="2"/>
        <v>#REF!</v>
      </c>
      <c r="I4" s="603" t="e">
        <f t="shared" si="2"/>
        <v>#REF!</v>
      </c>
    </row>
    <row r="5" spans="1:9">
      <c r="A5" s="116"/>
      <c r="B5" s="602" t="s">
        <v>9781</v>
      </c>
      <c r="C5" s="603" t="e">
        <f t="shared" ref="C5:I5" si="3">COUNTIFS(#REF!,"*"&amp;$B5&amp;"*",#REF!,"*"&amp;$A$2&amp;"*")</f>
        <v>#REF!</v>
      </c>
      <c r="D5" s="603" t="e">
        <f t="shared" si="3"/>
        <v>#REF!</v>
      </c>
      <c r="E5" s="603" t="e">
        <f t="shared" si="3"/>
        <v>#REF!</v>
      </c>
      <c r="F5" s="603" t="e">
        <f t="shared" si="3"/>
        <v>#REF!</v>
      </c>
      <c r="G5" s="603" t="e">
        <f t="shared" si="3"/>
        <v>#REF!</v>
      </c>
      <c r="H5" s="603" t="e">
        <f t="shared" si="3"/>
        <v>#REF!</v>
      </c>
      <c r="I5" s="603" t="e">
        <f t="shared" si="3"/>
        <v>#REF!</v>
      </c>
    </row>
    <row r="6" spans="1:9">
      <c r="A6" s="116"/>
      <c r="B6" s="602" t="s">
        <v>9782</v>
      </c>
      <c r="C6" s="603" t="e">
        <f t="shared" ref="C6:I6" si="4">COUNTIFS(#REF!,"*"&amp;$B6&amp;"*",#REF!,"*"&amp;$A$2&amp;"*")</f>
        <v>#REF!</v>
      </c>
      <c r="D6" s="603" t="e">
        <f t="shared" si="4"/>
        <v>#REF!</v>
      </c>
      <c r="E6" s="603" t="e">
        <f t="shared" si="4"/>
        <v>#REF!</v>
      </c>
      <c r="F6" s="603" t="e">
        <f t="shared" si="4"/>
        <v>#REF!</v>
      </c>
      <c r="G6" s="603" t="e">
        <f t="shared" si="4"/>
        <v>#REF!</v>
      </c>
      <c r="H6" s="603" t="e">
        <f t="shared" si="4"/>
        <v>#REF!</v>
      </c>
      <c r="I6" s="603" t="e">
        <f t="shared" si="4"/>
        <v>#REF!</v>
      </c>
    </row>
    <row r="7" spans="1:9">
      <c r="A7" s="116"/>
      <c r="B7" s="602" t="s">
        <v>9783</v>
      </c>
      <c r="C7" s="603" t="e">
        <f t="shared" ref="C7:I7" si="5">COUNTIFS(#REF!,"*"&amp;$B7&amp;"*",#REF!,"*"&amp;$A$2&amp;"*")</f>
        <v>#REF!</v>
      </c>
      <c r="D7" s="603" t="e">
        <f t="shared" si="5"/>
        <v>#REF!</v>
      </c>
      <c r="E7" s="603" t="e">
        <f t="shared" si="5"/>
        <v>#REF!</v>
      </c>
      <c r="F7" s="603" t="e">
        <f t="shared" si="5"/>
        <v>#REF!</v>
      </c>
      <c r="G7" s="603" t="e">
        <f t="shared" si="5"/>
        <v>#REF!</v>
      </c>
      <c r="H7" s="603" t="e">
        <f t="shared" si="5"/>
        <v>#REF!</v>
      </c>
      <c r="I7" s="603" t="e">
        <f t="shared" si="5"/>
        <v>#REF!</v>
      </c>
    </row>
    <row r="8" spans="1:9">
      <c r="A8" s="116"/>
      <c r="B8" s="602" t="s">
        <v>9784</v>
      </c>
      <c r="C8" s="603" t="e">
        <f t="shared" ref="C8:I8" si="6">COUNTIFS(#REF!,"*"&amp;$B8&amp;"*",#REF!,"*"&amp;$A$2&amp;"*")</f>
        <v>#REF!</v>
      </c>
      <c r="D8" s="603" t="e">
        <f t="shared" si="6"/>
        <v>#REF!</v>
      </c>
      <c r="E8" s="603" t="e">
        <f t="shared" si="6"/>
        <v>#REF!</v>
      </c>
      <c r="F8" s="603" t="e">
        <f t="shared" si="6"/>
        <v>#REF!</v>
      </c>
      <c r="G8" s="603" t="e">
        <f t="shared" si="6"/>
        <v>#REF!</v>
      </c>
      <c r="H8" s="603" t="e">
        <f t="shared" si="6"/>
        <v>#REF!</v>
      </c>
      <c r="I8" s="603" t="e">
        <f t="shared" si="6"/>
        <v>#REF!</v>
      </c>
    </row>
    <row r="9" spans="1:9">
      <c r="A9" s="116"/>
      <c r="B9" s="602" t="s">
        <v>9785</v>
      </c>
      <c r="C9" s="603" t="e">
        <f t="shared" ref="C9:I9" si="7">COUNTIFS(#REF!,"*"&amp;$B9&amp;"*",#REF!,"*"&amp;$A$2&amp;"*")</f>
        <v>#REF!</v>
      </c>
      <c r="D9" s="603" t="e">
        <f t="shared" si="7"/>
        <v>#REF!</v>
      </c>
      <c r="E9" s="603" t="e">
        <f t="shared" si="7"/>
        <v>#REF!</v>
      </c>
      <c r="F9" s="603" t="e">
        <f t="shared" si="7"/>
        <v>#REF!</v>
      </c>
      <c r="G9" s="603" t="e">
        <f t="shared" si="7"/>
        <v>#REF!</v>
      </c>
      <c r="H9" s="603" t="e">
        <f t="shared" si="7"/>
        <v>#REF!</v>
      </c>
      <c r="I9" s="603" t="e">
        <f t="shared" si="7"/>
        <v>#REF!</v>
      </c>
    </row>
    <row r="10" spans="1:9">
      <c r="A10" s="116"/>
      <c r="B10" s="602" t="s">
        <v>9786</v>
      </c>
      <c r="C10" s="603" t="e">
        <f t="shared" ref="C10:I10" si="8">COUNTIFS(#REF!,"*"&amp;$B10&amp;"*",#REF!,"*"&amp;$A$2&amp;"*")</f>
        <v>#REF!</v>
      </c>
      <c r="D10" s="603" t="e">
        <f t="shared" si="8"/>
        <v>#REF!</v>
      </c>
      <c r="E10" s="603" t="e">
        <f t="shared" si="8"/>
        <v>#REF!</v>
      </c>
      <c r="F10" s="603" t="e">
        <f t="shared" si="8"/>
        <v>#REF!</v>
      </c>
      <c r="G10" s="603" t="e">
        <f t="shared" si="8"/>
        <v>#REF!</v>
      </c>
      <c r="H10" s="603" t="e">
        <f t="shared" si="8"/>
        <v>#REF!</v>
      </c>
      <c r="I10" s="603" t="e">
        <f t="shared" si="8"/>
        <v>#REF!</v>
      </c>
    </row>
    <row r="11" spans="1:9">
      <c r="A11" s="116"/>
      <c r="B11" s="602" t="s">
        <v>9787</v>
      </c>
      <c r="C11" s="603" t="e">
        <f t="shared" ref="C11:I11" si="9">COUNTIFS(#REF!,"*"&amp;$B11&amp;"*",#REF!,"*"&amp;$A$2&amp;"*")</f>
        <v>#REF!</v>
      </c>
      <c r="D11" s="603" t="e">
        <f t="shared" si="9"/>
        <v>#REF!</v>
      </c>
      <c r="E11" s="603" t="e">
        <f t="shared" si="9"/>
        <v>#REF!</v>
      </c>
      <c r="F11" s="603" t="e">
        <f t="shared" si="9"/>
        <v>#REF!</v>
      </c>
      <c r="G11" s="603" t="e">
        <f t="shared" si="9"/>
        <v>#REF!</v>
      </c>
      <c r="H11" s="603" t="e">
        <f t="shared" si="9"/>
        <v>#REF!</v>
      </c>
      <c r="I11" s="603" t="e">
        <f t="shared" si="9"/>
        <v>#REF!</v>
      </c>
    </row>
    <row r="12" spans="1:9">
      <c r="A12" s="116"/>
      <c r="B12" s="602" t="s">
        <v>9788</v>
      </c>
      <c r="C12" s="603" t="e">
        <f t="shared" ref="C12:I12" si="10">COUNTIFS(#REF!,"*"&amp;$B12&amp;"*",#REF!,"*"&amp;$A$2&amp;"*")</f>
        <v>#REF!</v>
      </c>
      <c r="D12" s="603" t="e">
        <f t="shared" si="10"/>
        <v>#REF!</v>
      </c>
      <c r="E12" s="603" t="e">
        <f t="shared" si="10"/>
        <v>#REF!</v>
      </c>
      <c r="F12" s="603" t="e">
        <f t="shared" si="10"/>
        <v>#REF!</v>
      </c>
      <c r="G12" s="603" t="e">
        <f t="shared" si="10"/>
        <v>#REF!</v>
      </c>
      <c r="H12" s="603" t="e">
        <f t="shared" si="10"/>
        <v>#REF!</v>
      </c>
      <c r="I12" s="603" t="e">
        <f t="shared" si="10"/>
        <v>#REF!</v>
      </c>
    </row>
    <row r="13" spans="1:9">
      <c r="A13" s="116"/>
      <c r="B13" s="602" t="s">
        <v>9789</v>
      </c>
      <c r="C13" s="603" t="e">
        <f t="shared" ref="C13:I13" si="11">COUNTIFS(#REF!,"*"&amp;$B13&amp;"*",#REF!,"*"&amp;$A$2&amp;"*")</f>
        <v>#REF!</v>
      </c>
      <c r="D13" s="603" t="e">
        <f t="shared" si="11"/>
        <v>#REF!</v>
      </c>
      <c r="E13" s="603" t="e">
        <f t="shared" si="11"/>
        <v>#REF!</v>
      </c>
      <c r="F13" s="603" t="e">
        <f t="shared" si="11"/>
        <v>#REF!</v>
      </c>
      <c r="G13" s="603" t="e">
        <f t="shared" si="11"/>
        <v>#REF!</v>
      </c>
      <c r="H13" s="603" t="e">
        <f t="shared" si="11"/>
        <v>#REF!</v>
      </c>
      <c r="I13" s="603" t="e">
        <f t="shared" si="11"/>
        <v>#REF!</v>
      </c>
    </row>
    <row r="14" spans="1:9">
      <c r="A14" s="116"/>
      <c r="B14" s="115" t="s">
        <v>9790</v>
      </c>
      <c r="C14" s="603" t="e">
        <f t="shared" ref="C14:I14" si="12">COUNTIFS(#REF!,"*"&amp;$B14&amp;"*",#REF!,"*"&amp;$A$2&amp;"*")</f>
        <v>#REF!</v>
      </c>
      <c r="D14" s="603" t="e">
        <f t="shared" si="12"/>
        <v>#REF!</v>
      </c>
      <c r="E14" s="603" t="e">
        <f t="shared" si="12"/>
        <v>#REF!</v>
      </c>
      <c r="F14" s="603" t="e">
        <f t="shared" si="12"/>
        <v>#REF!</v>
      </c>
      <c r="G14" s="603" t="e">
        <f t="shared" si="12"/>
        <v>#REF!</v>
      </c>
      <c r="H14" s="603" t="e">
        <f t="shared" si="12"/>
        <v>#REF!</v>
      </c>
      <c r="I14" s="603" t="e">
        <f t="shared" si="12"/>
        <v>#REF!</v>
      </c>
    </row>
    <row r="15" spans="1:9">
      <c r="A15" s="116"/>
      <c r="B15" s="115" t="s">
        <v>9791</v>
      </c>
      <c r="C15" s="603" t="e">
        <f t="shared" ref="C15:I15" si="13">COUNTIFS(#REF!,"*"&amp;$B15&amp;"*",#REF!,"*"&amp;$A$2&amp;"*")</f>
        <v>#REF!</v>
      </c>
      <c r="D15" s="603" t="e">
        <f t="shared" si="13"/>
        <v>#REF!</v>
      </c>
      <c r="E15" s="603" t="e">
        <f t="shared" si="13"/>
        <v>#REF!</v>
      </c>
      <c r="F15" s="603" t="e">
        <f t="shared" si="13"/>
        <v>#REF!</v>
      </c>
      <c r="G15" s="603" t="e">
        <f t="shared" si="13"/>
        <v>#REF!</v>
      </c>
      <c r="H15" s="603" t="e">
        <f t="shared" si="13"/>
        <v>#REF!</v>
      </c>
      <c r="I15" s="603" t="e">
        <f t="shared" si="13"/>
        <v>#REF!</v>
      </c>
    </row>
    <row r="16" spans="1:9">
      <c r="A16" s="116"/>
      <c r="B16" s="604" t="s">
        <v>9792</v>
      </c>
      <c r="C16" s="603" t="e">
        <f t="shared" ref="C16:I16" si="14">COUNTIFS(#REF!,"*"&amp;$B16&amp;"*",#REF!,"*"&amp;$A$2&amp;"*")</f>
        <v>#REF!</v>
      </c>
      <c r="D16" s="603" t="e">
        <f t="shared" si="14"/>
        <v>#REF!</v>
      </c>
      <c r="E16" s="603" t="e">
        <f t="shared" si="14"/>
        <v>#REF!</v>
      </c>
      <c r="F16" s="603" t="e">
        <f t="shared" si="14"/>
        <v>#REF!</v>
      </c>
      <c r="G16" s="603" t="e">
        <f t="shared" si="14"/>
        <v>#REF!</v>
      </c>
      <c r="H16" s="603" t="e">
        <f t="shared" si="14"/>
        <v>#REF!</v>
      </c>
      <c r="I16" s="603" t="e">
        <f t="shared" si="14"/>
        <v>#REF!</v>
      </c>
    </row>
    <row r="17" spans="1:9">
      <c r="A17" s="116"/>
      <c r="B17" s="604" t="s">
        <v>9793</v>
      </c>
      <c r="C17" s="603" t="e">
        <f t="shared" ref="C17:I17" si="15">COUNTIFS(#REF!,"*"&amp;$B17&amp;"*",#REF!,"*"&amp;$A$2&amp;"*")</f>
        <v>#REF!</v>
      </c>
      <c r="D17" s="603" t="e">
        <f t="shared" si="15"/>
        <v>#REF!</v>
      </c>
      <c r="E17" s="603" t="e">
        <f t="shared" si="15"/>
        <v>#REF!</v>
      </c>
      <c r="F17" s="603" t="e">
        <f t="shared" si="15"/>
        <v>#REF!</v>
      </c>
      <c r="G17" s="603" t="e">
        <f t="shared" si="15"/>
        <v>#REF!</v>
      </c>
      <c r="H17" s="603" t="e">
        <f t="shared" si="15"/>
        <v>#REF!</v>
      </c>
      <c r="I17" s="603" t="e">
        <f t="shared" si="15"/>
        <v>#REF!</v>
      </c>
    </row>
    <row r="18" spans="1:9">
      <c r="A18" s="116"/>
      <c r="B18" s="604" t="s">
        <v>9794</v>
      </c>
      <c r="C18" s="603" t="e">
        <f t="shared" ref="C18:I18" si="16">COUNTIFS(#REF!,"*"&amp;$B18&amp;"*",#REF!,"*"&amp;$A$2&amp;"*")</f>
        <v>#REF!</v>
      </c>
      <c r="D18" s="603" t="e">
        <f t="shared" si="16"/>
        <v>#REF!</v>
      </c>
      <c r="E18" s="603" t="e">
        <f t="shared" si="16"/>
        <v>#REF!</v>
      </c>
      <c r="F18" s="603" t="e">
        <f t="shared" si="16"/>
        <v>#REF!</v>
      </c>
      <c r="G18" s="603" t="e">
        <f t="shared" si="16"/>
        <v>#REF!</v>
      </c>
      <c r="H18" s="603" t="e">
        <f t="shared" si="16"/>
        <v>#REF!</v>
      </c>
      <c r="I18" s="603" t="e">
        <f t="shared" si="16"/>
        <v>#REF!</v>
      </c>
    </row>
    <row r="19" spans="1:9">
      <c r="A19" s="116"/>
      <c r="B19" s="604" t="s">
        <v>9795</v>
      </c>
      <c r="C19" s="603" t="e">
        <f t="shared" ref="C19:I19" si="17">COUNTIFS(#REF!,"*"&amp;$B19&amp;"*",#REF!,"*"&amp;$A$2&amp;"*")</f>
        <v>#REF!</v>
      </c>
      <c r="D19" s="603" t="e">
        <f t="shared" si="17"/>
        <v>#REF!</v>
      </c>
      <c r="E19" s="603" t="e">
        <f t="shared" si="17"/>
        <v>#REF!</v>
      </c>
      <c r="F19" s="603" t="e">
        <f t="shared" si="17"/>
        <v>#REF!</v>
      </c>
      <c r="G19" s="603" t="e">
        <f t="shared" si="17"/>
        <v>#REF!</v>
      </c>
      <c r="H19" s="603" t="e">
        <f t="shared" si="17"/>
        <v>#REF!</v>
      </c>
      <c r="I19" s="603" t="e">
        <f t="shared" si="17"/>
        <v>#REF!</v>
      </c>
    </row>
    <row r="20" spans="1:9">
      <c r="A20" s="116"/>
      <c r="B20" s="604" t="s">
        <v>9796</v>
      </c>
      <c r="C20" s="603" t="e">
        <f t="shared" ref="C20:I20" si="18">COUNTIFS(#REF!,"*"&amp;$B20&amp;"*",#REF!,"*"&amp;$A$2&amp;"*")</f>
        <v>#REF!</v>
      </c>
      <c r="D20" s="603" t="e">
        <f t="shared" si="18"/>
        <v>#REF!</v>
      </c>
      <c r="E20" s="603" t="e">
        <f t="shared" si="18"/>
        <v>#REF!</v>
      </c>
      <c r="F20" s="603" t="e">
        <f t="shared" si="18"/>
        <v>#REF!</v>
      </c>
      <c r="G20" s="603" t="e">
        <f t="shared" si="18"/>
        <v>#REF!</v>
      </c>
      <c r="H20" s="603" t="e">
        <f t="shared" si="18"/>
        <v>#REF!</v>
      </c>
      <c r="I20" s="603" t="e">
        <f t="shared" si="18"/>
        <v>#REF!</v>
      </c>
    </row>
    <row r="21" spans="1:9">
      <c r="A21" s="116"/>
      <c r="B21" s="604" t="s">
        <v>9797</v>
      </c>
      <c r="C21" s="603" t="e">
        <f t="shared" ref="C21:I21" si="19">COUNTIFS(#REF!,"*"&amp;$B21&amp;"*",#REF!,"*"&amp;$A$2&amp;"*")</f>
        <v>#REF!</v>
      </c>
      <c r="D21" s="603" t="e">
        <f t="shared" si="19"/>
        <v>#REF!</v>
      </c>
      <c r="E21" s="603" t="e">
        <f t="shared" si="19"/>
        <v>#REF!</v>
      </c>
      <c r="F21" s="603" t="e">
        <f t="shared" si="19"/>
        <v>#REF!</v>
      </c>
      <c r="G21" s="603" t="e">
        <f t="shared" si="19"/>
        <v>#REF!</v>
      </c>
      <c r="H21" s="603" t="e">
        <f t="shared" si="19"/>
        <v>#REF!</v>
      </c>
      <c r="I21" s="603" t="e">
        <f t="shared" si="19"/>
        <v>#REF!</v>
      </c>
    </row>
    <row r="22" spans="1:9">
      <c r="A22" s="116"/>
      <c r="B22" s="604" t="s">
        <v>9798</v>
      </c>
      <c r="C22" s="603" t="e">
        <f t="shared" ref="C22:I22" si="20">COUNTIFS(#REF!,"*"&amp;$B22&amp;"*",#REF!,"*"&amp;$A$2&amp;"*")</f>
        <v>#REF!</v>
      </c>
      <c r="D22" s="603" t="e">
        <f t="shared" si="20"/>
        <v>#REF!</v>
      </c>
      <c r="E22" s="603" t="e">
        <f t="shared" si="20"/>
        <v>#REF!</v>
      </c>
      <c r="F22" s="603" t="e">
        <f t="shared" si="20"/>
        <v>#REF!</v>
      </c>
      <c r="G22" s="603" t="e">
        <f t="shared" si="20"/>
        <v>#REF!</v>
      </c>
      <c r="H22" s="603" t="e">
        <f t="shared" si="20"/>
        <v>#REF!</v>
      </c>
      <c r="I22" s="603" t="e">
        <f t="shared" si="20"/>
        <v>#REF!</v>
      </c>
    </row>
    <row r="23" spans="1:9">
      <c r="A23" s="116"/>
      <c r="B23" s="604" t="s">
        <v>9799</v>
      </c>
      <c r="C23" s="603" t="e">
        <f t="shared" ref="C23:I23" si="21">COUNTIFS(#REF!,"*"&amp;$B23&amp;"*",#REF!,"*"&amp;$A$2&amp;"*")</f>
        <v>#REF!</v>
      </c>
      <c r="D23" s="603" t="e">
        <f t="shared" si="21"/>
        <v>#REF!</v>
      </c>
      <c r="E23" s="603" t="e">
        <f t="shared" si="21"/>
        <v>#REF!</v>
      </c>
      <c r="F23" s="603" t="e">
        <f t="shared" si="21"/>
        <v>#REF!</v>
      </c>
      <c r="G23" s="603" t="e">
        <f t="shared" si="21"/>
        <v>#REF!</v>
      </c>
      <c r="H23" s="603" t="e">
        <f t="shared" si="21"/>
        <v>#REF!</v>
      </c>
      <c r="I23" s="603" t="e">
        <f t="shared" si="21"/>
        <v>#REF!</v>
      </c>
    </row>
    <row r="24" spans="1:9" ht="15.75" customHeight="1">
      <c r="A24" s="116"/>
      <c r="B24" s="605" t="s">
        <v>9800</v>
      </c>
      <c r="C24" s="606" t="e">
        <f t="shared" ref="C24:G24" si="22">SUM(C16:C23)</f>
        <v>#REF!</v>
      </c>
      <c r="D24" s="606" t="e">
        <f t="shared" si="22"/>
        <v>#REF!</v>
      </c>
      <c r="E24" s="606" t="e">
        <f t="shared" si="22"/>
        <v>#REF!</v>
      </c>
      <c r="F24" s="606" t="e">
        <f t="shared" si="22"/>
        <v>#REF!</v>
      </c>
      <c r="G24" s="606" t="e">
        <f t="shared" si="22"/>
        <v>#REF!</v>
      </c>
      <c r="H24" s="606" t="e">
        <f t="shared" ref="H24:I24" si="23">SUM(H2:H13)</f>
        <v>#REF!</v>
      </c>
      <c r="I24" s="606" t="e">
        <f t="shared" si="23"/>
        <v>#REF!</v>
      </c>
    </row>
  </sheetData>
  <conditionalFormatting sqref="C16:G23 H2:I13">
    <cfRule type="colorScale" priority="1">
      <colorScale>
        <cfvo type="formula" val="0"/>
        <cfvo type="formula" val="3"/>
        <cfvo type="formula" val="5"/>
        <color rgb="FFFFFFFF"/>
        <color rgb="FF93C47D"/>
        <color rgb="FF38761D"/>
      </colorScale>
    </cfRule>
  </conditionalFormatting>
  <dataValidations count="1">
    <dataValidation type="list" allowBlank="1" sqref="A2" xr:uid="{00000000-0002-0000-0B00-000000000000}">
      <formula1>"Scratch,Minecraft,Design Junior,FrontEnd Junior,Roblox,FrontEnd,Python,Digital Art,GameDev,Soft Skills"</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21"/>
  <sheetViews>
    <sheetView showGridLines="0" workbookViewId="0"/>
  </sheetViews>
  <sheetFormatPr defaultColWidth="12.5703125" defaultRowHeight="15.75" customHeight="1"/>
  <sheetData>
    <row r="1" spans="1:2">
      <c r="A1" s="36"/>
      <c r="B1" s="36" t="s">
        <v>9801</v>
      </c>
    </row>
    <row r="2" spans="1:2">
      <c r="A2" s="607" t="s">
        <v>9802</v>
      </c>
      <c r="B2" s="36">
        <v>5</v>
      </c>
    </row>
    <row r="3" spans="1:2">
      <c r="A3" s="608" t="s">
        <v>439</v>
      </c>
      <c r="B3" s="36">
        <v>28</v>
      </c>
    </row>
    <row r="4" spans="1:2">
      <c r="A4" s="609" t="s">
        <v>1247</v>
      </c>
      <c r="B4" s="36">
        <v>26</v>
      </c>
    </row>
    <row r="5" spans="1:2">
      <c r="A5" s="610" t="s">
        <v>9803</v>
      </c>
      <c r="B5" s="36">
        <v>15</v>
      </c>
    </row>
    <row r="6" spans="1:2">
      <c r="A6" s="611" t="s">
        <v>64</v>
      </c>
      <c r="B6" s="36">
        <v>106</v>
      </c>
    </row>
    <row r="7" spans="1:2">
      <c r="A7" s="446" t="s">
        <v>9804</v>
      </c>
      <c r="B7" s="36">
        <v>180</v>
      </c>
    </row>
    <row r="15" spans="1:2">
      <c r="A15" s="117"/>
      <c r="B15" s="612"/>
    </row>
    <row r="16" spans="1:2">
      <c r="A16" s="117"/>
      <c r="B16" s="612"/>
    </row>
    <row r="17" spans="1:2">
      <c r="A17" s="117"/>
      <c r="B17" s="612"/>
    </row>
    <row r="18" spans="1:2">
      <c r="A18" s="117"/>
      <c r="B18" s="612"/>
    </row>
    <row r="19" spans="1:2">
      <c r="A19" s="117"/>
      <c r="B19" s="612"/>
    </row>
    <row r="20" spans="1:2">
      <c r="A20" s="144"/>
      <c r="B20" s="144"/>
    </row>
    <row r="21" spans="1:2">
      <c r="A21" s="144"/>
      <c r="B21" s="144"/>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1000"/>
  <sheetViews>
    <sheetView workbookViewId="0"/>
  </sheetViews>
  <sheetFormatPr defaultColWidth="12.5703125" defaultRowHeight="15.75" customHeight="1"/>
  <cols>
    <col min="7" max="7" width="21.7109375" customWidth="1"/>
    <col min="11" max="11" width="5.28515625" customWidth="1"/>
    <col min="12" max="12" width="5.42578125" customWidth="1"/>
    <col min="13" max="13" width="4.42578125" customWidth="1"/>
    <col min="14" max="14" width="4.5703125" customWidth="1"/>
    <col min="15" max="16" width="4.85546875" customWidth="1"/>
    <col min="17" max="17" width="5.140625" customWidth="1"/>
  </cols>
  <sheetData>
    <row r="1" spans="1:25" ht="19.5" customHeight="1">
      <c r="A1" s="613" t="str">
        <f ca="1">IFERROR(__xludf.DUMMYFUNCTION("IMPORTRANGE(""https://docs.google.com/spreadsheets/d/1rpdL_klBCQsGNSwBwyM7Vtq-rWGfjuVNCiJhXXL7lUM/edit#gid=1357424"",""'Звіт березня 2024'!U:AD"")"),"По викладачах Tech")</f>
        <v>По викладачах Tech</v>
      </c>
      <c r="B1" s="614"/>
      <c r="C1" s="615"/>
      <c r="D1" s="615"/>
      <c r="E1" s="615"/>
      <c r="F1" s="615"/>
      <c r="G1" s="613" t="str">
        <f ca="1">IFERROR(__xludf.DUMMYFUNCTION("""COMPUTED_VALUE"""),"По викладачах Soft")</f>
        <v>По викладачах Soft</v>
      </c>
      <c r="H1" s="615"/>
      <c r="I1" s="615"/>
      <c r="J1" s="615"/>
      <c r="K1" s="615"/>
      <c r="L1" s="615"/>
      <c r="M1" s="615"/>
      <c r="N1" s="615"/>
      <c r="O1" s="615"/>
      <c r="P1" s="615"/>
      <c r="Q1" s="615"/>
      <c r="R1" s="117" t="s">
        <v>23</v>
      </c>
      <c r="S1" s="116"/>
      <c r="T1" s="116"/>
      <c r="U1" s="616">
        <v>89</v>
      </c>
      <c r="V1" s="116" t="s">
        <v>9805</v>
      </c>
      <c r="W1" s="617" t="s">
        <v>9805</v>
      </c>
      <c r="X1" s="116" t="s">
        <v>9805</v>
      </c>
      <c r="Y1" s="116" t="s">
        <v>9805</v>
      </c>
    </row>
    <row r="2" spans="1:25" ht="16.5" customHeight="1">
      <c r="A2" s="36"/>
      <c r="B2" s="114" t="str">
        <f ca="1">IFERROR(__xludf.DUMMYFUNCTION("""COMPUTED_VALUE"""),"AVERAGE з ")</f>
        <v xml:space="preserve">AVERAGE з </v>
      </c>
      <c r="C2" s="114" t="str">
        <f ca="1">IFERROR(__xludf.DUMMYFUNCTION("""COMPUTED_VALUE"""),"AVERAGE з ")</f>
        <v xml:space="preserve">AVERAGE з </v>
      </c>
      <c r="D2" s="36" t="str">
        <f ca="1">IFERROR(__xludf.DUMMYFUNCTION("""COMPUTED_VALUE"""),"for BD")</f>
        <v>for BD</v>
      </c>
      <c r="E2" s="36"/>
      <c r="F2" s="36"/>
      <c r="G2" s="36"/>
      <c r="H2" s="114" t="str">
        <f ca="1">IFERROR(__xludf.DUMMYFUNCTION("""COMPUTED_VALUE"""),"AVERAGE з ")</f>
        <v xml:space="preserve">AVERAGE з </v>
      </c>
      <c r="I2" s="114" t="str">
        <f ca="1">IFERROR(__xludf.DUMMYFUNCTION("""COMPUTED_VALUE"""),"AVERAGE з ")</f>
        <v xml:space="preserve">AVERAGE з </v>
      </c>
      <c r="J2" s="36" t="str">
        <f ca="1">IFERROR(__xludf.DUMMYFUNCTION("""COMPUTED_VALUE"""),"for BD")</f>
        <v>for BD</v>
      </c>
      <c r="R2" s="117" t="s">
        <v>39</v>
      </c>
      <c r="S2" s="116"/>
      <c r="T2" s="116"/>
      <c r="U2" s="616">
        <v>75</v>
      </c>
      <c r="V2" s="618">
        <v>0.28570000000000001</v>
      </c>
      <c r="W2" s="619">
        <v>29</v>
      </c>
      <c r="X2" s="618">
        <v>3.8899999999999997E-2</v>
      </c>
      <c r="Y2" s="620">
        <v>96</v>
      </c>
    </row>
    <row r="3" spans="1:25" ht="16.5" customHeight="1">
      <c r="A3" s="36"/>
      <c r="B3" s="114" t="str">
        <f ca="1">IFERROR(__xludf.DUMMYFUNCTION("""COMPUTED_VALUE"""),"#DIV/0!")</f>
        <v>#DIV/0!</v>
      </c>
      <c r="C3" s="114" t="str">
        <f ca="1">IFERROR(__xludf.DUMMYFUNCTION("""COMPUTED_VALUE"""),"#DIV/0!")</f>
        <v>#DIV/0!</v>
      </c>
      <c r="D3" s="114" t="str">
        <f ca="1">IFERROR(__xludf.DUMMYFUNCTION("""COMPUTED_VALUE"""),"#DIV/0!")</f>
        <v>#DIV/0!</v>
      </c>
      <c r="E3" s="36"/>
      <c r="F3" s="36"/>
      <c r="G3" s="36"/>
      <c r="H3" s="114">
        <f ca="1">IFERROR(__xludf.DUMMYFUNCTION("""COMPUTED_VALUE"""),0.123392857142857)</f>
        <v>0.123392857142857</v>
      </c>
      <c r="I3" s="114" t="str">
        <f ca="1">IFERROR(__xludf.DUMMYFUNCTION("""COMPUTED_VALUE"""),"#DIV/0!")</f>
        <v>#DIV/0!</v>
      </c>
      <c r="J3" s="114">
        <f ca="1">IFERROR(__xludf.DUMMYFUNCTION("""COMPUTED_VALUE"""),0.0370178571428571)</f>
        <v>3.7017857142857102E-2</v>
      </c>
      <c r="R3" s="117" t="s">
        <v>134</v>
      </c>
      <c r="S3" s="116"/>
      <c r="T3" s="116"/>
      <c r="U3" s="616">
        <v>90</v>
      </c>
      <c r="V3" s="618">
        <v>0.55510000000000004</v>
      </c>
      <c r="W3" s="619">
        <v>56</v>
      </c>
      <c r="X3" s="618">
        <v>0.1633</v>
      </c>
      <c r="Y3" s="620">
        <v>84</v>
      </c>
    </row>
    <row r="4" spans="1:25" ht="16.5" customHeight="1">
      <c r="A4" s="36" t="str">
        <f ca="1">IFERROR(__xludf.DUMMYFUNCTION("""COMPUTED_VALUE"""),"Абрамович Олександр")</f>
        <v>Абрамович Олександр</v>
      </c>
      <c r="B4" s="114">
        <f ca="1">IFERROR(__xludf.DUMMYFUNCTION("""COMPUTED_VALUE"""),0.015625)</f>
        <v>1.5625E-2</v>
      </c>
      <c r="C4" s="114">
        <f ca="1">IFERROR(__xludf.DUMMYFUNCTION("""COMPUTED_VALUE"""),0.952272727272727)</f>
        <v>0.95227272727272705</v>
      </c>
      <c r="D4" s="114">
        <f ca="1">IFERROR(__xludf.DUMMYFUNCTION("""COMPUTED_VALUE"""),0.0109375)</f>
        <v>1.0937499999999999E-2</v>
      </c>
      <c r="E4" s="36"/>
      <c r="F4" s="36"/>
      <c r="G4" s="36" t="str">
        <f ca="1">IFERROR(__xludf.DUMMYFUNCTION("""COMPUTED_VALUE"""),"-")</f>
        <v>-</v>
      </c>
      <c r="H4" s="114">
        <f ca="1">IFERROR(__xludf.DUMMYFUNCTION("""COMPUTED_VALUE"""),0.078930174763508)</f>
        <v>7.8930174763507999E-2</v>
      </c>
      <c r="I4" s="114">
        <f ca="1">IFERROR(__xludf.DUMMYFUNCTION("""COMPUTED_VALUE"""),0)</f>
        <v>0</v>
      </c>
      <c r="J4" s="114">
        <f ca="1">IFERROR(__xludf.DUMMYFUNCTION("""COMPUTED_VALUE"""),0.0236790524290524)</f>
        <v>2.36790524290524E-2</v>
      </c>
      <c r="R4" s="117" t="s">
        <v>145</v>
      </c>
      <c r="S4" s="116"/>
      <c r="T4" s="116"/>
      <c r="U4" s="156"/>
      <c r="V4" s="116"/>
      <c r="W4" s="617"/>
      <c r="X4" s="116"/>
      <c r="Y4" s="116"/>
    </row>
    <row r="5" spans="1:25" ht="16.5" customHeight="1">
      <c r="A5" s="36" t="str">
        <f ca="1">IFERROR(__xludf.DUMMYFUNCTION("""COMPUTED_VALUE"""),"Айвазян Маріам")</f>
        <v>Айвазян Маріам</v>
      </c>
      <c r="B5" s="114">
        <f ca="1">IFERROR(__xludf.DUMMYFUNCTION("""COMPUTED_VALUE"""),0.166666666666666)</f>
        <v>0.16666666666666599</v>
      </c>
      <c r="C5" s="114">
        <f ca="1">IFERROR(__xludf.DUMMYFUNCTION("""COMPUTED_VALUE"""),1.4)</f>
        <v>1.4</v>
      </c>
      <c r="D5" s="114">
        <f ca="1">IFERROR(__xludf.DUMMYFUNCTION("""COMPUTED_VALUE"""),0.116666666666666)</f>
        <v>0.116666666666666</v>
      </c>
      <c r="E5" s="36"/>
      <c r="F5" s="36"/>
      <c r="G5" s="36" t="str">
        <f ca="1">IFERROR(__xludf.DUMMYFUNCTION("""COMPUTED_VALUE"""),"Авдашкова Альона")</f>
        <v>Авдашкова Альона</v>
      </c>
      <c r="H5" s="114">
        <f ca="1">IFERROR(__xludf.DUMMYFUNCTION("""COMPUTED_VALUE"""),0)</f>
        <v>0</v>
      </c>
      <c r="I5" s="114" t="str">
        <f ca="1">IFERROR(__xludf.DUMMYFUNCTION("""COMPUTED_VALUE"""),"#DIV/0!")</f>
        <v>#DIV/0!</v>
      </c>
      <c r="J5" s="114">
        <f ca="1">IFERROR(__xludf.DUMMYFUNCTION("""COMPUTED_VALUE"""),0)</f>
        <v>0</v>
      </c>
      <c r="R5" s="621" t="s">
        <v>148</v>
      </c>
      <c r="S5" s="116"/>
      <c r="T5" s="116"/>
      <c r="U5" s="616">
        <v>89</v>
      </c>
      <c r="V5" s="618">
        <v>0.61480000000000001</v>
      </c>
      <c r="W5" s="619">
        <v>61</v>
      </c>
      <c r="X5" s="618">
        <v>0</v>
      </c>
      <c r="Y5" s="620">
        <v>100</v>
      </c>
    </row>
    <row r="6" spans="1:25" ht="16.5" customHeight="1">
      <c r="A6" s="36" t="str">
        <f ca="1">IFERROR(__xludf.DUMMYFUNCTION("""COMPUTED_VALUE"""),"Акритова Аліна")</f>
        <v>Акритова Аліна</v>
      </c>
      <c r="B6" s="114">
        <f ca="1">IFERROR(__xludf.DUMMYFUNCTION("""COMPUTED_VALUE"""),0.111904761904761)</f>
        <v>0.11190476190476099</v>
      </c>
      <c r="C6" s="114">
        <f ca="1">IFERROR(__xludf.DUMMYFUNCTION("""COMPUTED_VALUE"""),0.826598465473145)</f>
        <v>0.82659846547314497</v>
      </c>
      <c r="D6" s="114">
        <f ca="1">IFERROR(__xludf.DUMMYFUNCTION("""COMPUTED_VALUE"""),0.0783333333333333)</f>
        <v>7.8333333333333297E-2</v>
      </c>
      <c r="E6" s="36"/>
      <c r="F6" s="36"/>
      <c r="G6" s="36" t="str">
        <f ca="1">IFERROR(__xludf.DUMMYFUNCTION("""COMPUTED_VALUE"""),"Аверчук Юлія")</f>
        <v>Аверчук Юлія</v>
      </c>
      <c r="H6" s="114">
        <f ca="1">IFERROR(__xludf.DUMMYFUNCTION("""COMPUTED_VALUE"""),0.231481481481481)</f>
        <v>0.23148148148148101</v>
      </c>
      <c r="I6" s="114">
        <f ca="1">IFERROR(__xludf.DUMMYFUNCTION("""COMPUTED_VALUE"""),0.434900793650793)</f>
        <v>0.43490079365079298</v>
      </c>
      <c r="J6" s="114">
        <f ca="1">IFERROR(__xludf.DUMMYFUNCTION("""COMPUTED_VALUE"""),0.0694444444444444)</f>
        <v>6.9444444444444406E-2</v>
      </c>
      <c r="R6" s="621" t="s">
        <v>151</v>
      </c>
      <c r="S6" s="116"/>
      <c r="T6" s="116"/>
      <c r="U6" s="156"/>
      <c r="V6" s="116"/>
      <c r="W6" s="617"/>
      <c r="X6" s="116"/>
      <c r="Y6" s="116"/>
    </row>
    <row r="7" spans="1:25" ht="16.5" customHeight="1">
      <c r="A7" s="36" t="str">
        <f ca="1">IFERROR(__xludf.DUMMYFUNCTION("""COMPUTED_VALUE"""),"Андреєв Артур")</f>
        <v>Андреєв Артур</v>
      </c>
      <c r="B7" s="114">
        <f ca="1">IFERROR(__xludf.DUMMYFUNCTION("""COMPUTED_VALUE"""),0.118571428571428)</f>
        <v>0.11857142857142799</v>
      </c>
      <c r="C7" s="114">
        <f ca="1">IFERROR(__xludf.DUMMYFUNCTION("""COMPUTED_VALUE"""),0.898544973544973)</f>
        <v>0.89854497354497298</v>
      </c>
      <c r="D7" s="114">
        <f ca="1">IFERROR(__xludf.DUMMYFUNCTION("""COMPUTED_VALUE"""),0.083)</f>
        <v>8.3000000000000004E-2</v>
      </c>
      <c r="E7" s="36"/>
      <c r="F7" s="36"/>
      <c r="G7" s="36" t="str">
        <f ca="1">IFERROR(__xludf.DUMMYFUNCTION("""COMPUTED_VALUE"""),"Анастасія Малюк")</f>
        <v>Анастасія Малюк</v>
      </c>
      <c r="H7" s="114">
        <f ca="1">IFERROR(__xludf.DUMMYFUNCTION("""COMPUTED_VALUE"""),0)</f>
        <v>0</v>
      </c>
      <c r="I7" s="114">
        <f ca="1">IFERROR(__xludf.DUMMYFUNCTION("""COMPUTED_VALUE"""),0.25)</f>
        <v>0.25</v>
      </c>
      <c r="J7" s="114">
        <f ca="1">IFERROR(__xludf.DUMMYFUNCTION("""COMPUTED_VALUE"""),0)</f>
        <v>0</v>
      </c>
      <c r="R7" s="621" t="s">
        <v>155</v>
      </c>
      <c r="S7" s="116"/>
      <c r="T7" s="116"/>
      <c r="U7" s="616">
        <v>86</v>
      </c>
      <c r="V7" s="618">
        <v>0.875</v>
      </c>
      <c r="W7" s="619">
        <v>88</v>
      </c>
      <c r="X7" s="618">
        <v>0</v>
      </c>
      <c r="Y7" s="620">
        <v>100</v>
      </c>
    </row>
    <row r="8" spans="1:25" ht="16.5" customHeight="1">
      <c r="A8" s="36" t="str">
        <f ca="1">IFERROR(__xludf.DUMMYFUNCTION("""COMPUTED_VALUE"""),"Андрощук Анна")</f>
        <v>Андрощук Анна</v>
      </c>
      <c r="B8" s="114">
        <f ca="1">IFERROR(__xludf.DUMMYFUNCTION("""COMPUTED_VALUE"""),0.0333333333333333)</f>
        <v>3.3333333333333298E-2</v>
      </c>
      <c r="C8" s="114">
        <f ca="1">IFERROR(__xludf.DUMMYFUNCTION("""COMPUTED_VALUE"""),0.70534188034188)</f>
        <v>0.70534188034187995</v>
      </c>
      <c r="D8" s="114">
        <f ca="1">IFERROR(__xludf.DUMMYFUNCTION("""COMPUTED_VALUE"""),0.0233333333333333)</f>
        <v>2.33333333333333E-2</v>
      </c>
      <c r="E8" s="36"/>
      <c r="F8" s="36"/>
      <c r="G8" s="36" t="str">
        <f ca="1">IFERROR(__xludf.DUMMYFUNCTION("""COMPUTED_VALUE"""),"Бабінський Олександр")</f>
        <v>Бабінський Олександр</v>
      </c>
      <c r="H8" s="114">
        <f ca="1">IFERROR(__xludf.DUMMYFUNCTION("""COMPUTED_VALUE"""),0.0349537037037037)</f>
        <v>3.4953703703703702E-2</v>
      </c>
      <c r="I8" s="114">
        <f ca="1">IFERROR(__xludf.DUMMYFUNCTION("""COMPUTED_VALUE"""),0.722501514593188)</f>
        <v>0.72250151459318801</v>
      </c>
      <c r="J8" s="114">
        <f ca="1">IFERROR(__xludf.DUMMYFUNCTION("""COMPUTED_VALUE"""),0.0104861111111111)</f>
        <v>1.0486111111111101E-2</v>
      </c>
      <c r="R8" s="621" t="s">
        <v>164</v>
      </c>
      <c r="S8" s="116"/>
      <c r="T8" s="116"/>
      <c r="U8" s="616">
        <v>100</v>
      </c>
      <c r="V8" s="618">
        <v>1.7059</v>
      </c>
      <c r="W8" s="619">
        <v>171</v>
      </c>
      <c r="X8" s="618">
        <v>7.7799999999999994E-2</v>
      </c>
      <c r="Y8" s="620">
        <v>92</v>
      </c>
    </row>
    <row r="9" spans="1:25" ht="66" customHeight="1">
      <c r="A9" s="36" t="str">
        <f ca="1">IFERROR(__xludf.DUMMYFUNCTION("""COMPUTED_VALUE"""),"Андрухів Віта")</f>
        <v>Андрухів Віта</v>
      </c>
      <c r="B9" s="114">
        <f ca="1">IFERROR(__xludf.DUMMYFUNCTION("""COMPUTED_VALUE"""),0.177777777777777)</f>
        <v>0.17777777777777701</v>
      </c>
      <c r="C9" s="114">
        <f ca="1">IFERROR(__xludf.DUMMYFUNCTION("""COMPUTED_VALUE"""),1.06767676767676)</f>
        <v>1.06767676767676</v>
      </c>
      <c r="D9" s="114">
        <f ca="1">IFERROR(__xludf.DUMMYFUNCTION("""COMPUTED_VALUE"""),0.124444444444444)</f>
        <v>0.124444444444444</v>
      </c>
      <c r="E9" s="36"/>
      <c r="F9" s="36"/>
      <c r="G9" s="36" t="str">
        <f ca="1">IFERROR(__xludf.DUMMYFUNCTION("""COMPUTED_VALUE"""),"Бачуріна Вікторія")</f>
        <v>Бачуріна Вікторія</v>
      </c>
      <c r="H9" s="114">
        <f ca="1">IFERROR(__xludf.DUMMYFUNCTION("""COMPUTED_VALUE"""),0.16060606060606)</f>
        <v>0.16060606060606</v>
      </c>
      <c r="I9" s="114">
        <f ca="1">IFERROR(__xludf.DUMMYFUNCTION("""COMPUTED_VALUE"""),0.412878787878787)</f>
        <v>0.41287878787878701</v>
      </c>
      <c r="J9" s="114">
        <f ca="1">IFERROR(__xludf.DUMMYFUNCTION("""COMPUTED_VALUE"""),0.0481818181818181)</f>
        <v>4.8181818181818097E-2</v>
      </c>
      <c r="R9" s="621" t="s">
        <v>167</v>
      </c>
      <c r="S9" s="116"/>
      <c r="T9" s="116"/>
      <c r="U9" s="616">
        <v>87</v>
      </c>
      <c r="V9" s="618">
        <v>0.6</v>
      </c>
      <c r="W9" s="619">
        <v>60</v>
      </c>
      <c r="X9" s="618">
        <v>0.05</v>
      </c>
      <c r="Y9" s="620">
        <v>95</v>
      </c>
    </row>
    <row r="10" spans="1:25" ht="16.5" customHeight="1">
      <c r="A10" s="36" t="str">
        <f ca="1">IFERROR(__xludf.DUMMYFUNCTION("""COMPUTED_VALUE"""),"Ахметова Вікторія")</f>
        <v>Ахметова Вікторія</v>
      </c>
      <c r="B10" s="114">
        <f ca="1">IFERROR(__xludf.DUMMYFUNCTION("""COMPUTED_VALUE"""),0)</f>
        <v>0</v>
      </c>
      <c r="C10" s="114">
        <f ca="1">IFERROR(__xludf.DUMMYFUNCTION("""COMPUTED_VALUE"""),0.799999999999999)</f>
        <v>0.79999999999999905</v>
      </c>
      <c r="D10" s="114">
        <f ca="1">IFERROR(__xludf.DUMMYFUNCTION("""COMPUTED_VALUE"""),0)</f>
        <v>0</v>
      </c>
      <c r="E10" s="36"/>
      <c r="F10" s="36"/>
      <c r="G10" s="36" t="str">
        <f ca="1">IFERROR(__xludf.DUMMYFUNCTION("""COMPUTED_VALUE"""),"Безматірних Надія")</f>
        <v>Безматірних Надія</v>
      </c>
      <c r="H10" s="114">
        <f ca="1">IFERROR(__xludf.DUMMYFUNCTION("""COMPUTED_VALUE"""),0)</f>
        <v>0</v>
      </c>
      <c r="I10" s="114">
        <f ca="1">IFERROR(__xludf.DUMMYFUNCTION("""COMPUTED_VALUE"""),0.415384615384615)</f>
        <v>0.41538461538461502</v>
      </c>
      <c r="J10" s="114">
        <f ca="1">IFERROR(__xludf.DUMMYFUNCTION("""COMPUTED_VALUE"""),0)</f>
        <v>0</v>
      </c>
      <c r="R10" s="117" t="s">
        <v>171</v>
      </c>
      <c r="S10" s="116"/>
      <c r="T10" s="116"/>
      <c r="U10" s="616">
        <v>96</v>
      </c>
      <c r="V10" s="618">
        <v>1.7908999999999999</v>
      </c>
      <c r="W10" s="619">
        <v>179</v>
      </c>
      <c r="X10" s="618">
        <v>5.8299999999999998E-2</v>
      </c>
      <c r="Y10" s="620">
        <v>94</v>
      </c>
    </row>
    <row r="11" spans="1:25" ht="16.5" customHeight="1">
      <c r="A11" s="36" t="str">
        <f ca="1">IFERROR(__xludf.DUMMYFUNCTION("""COMPUTED_VALUE"""),"Бабак Андрій")</f>
        <v>Бабак Андрій</v>
      </c>
      <c r="B11" s="114">
        <f ca="1">IFERROR(__xludf.DUMMYFUNCTION("""COMPUTED_VALUE"""),0.142857142857142)</f>
        <v>0.14285714285714199</v>
      </c>
      <c r="C11" s="114">
        <f ca="1">IFERROR(__xludf.DUMMYFUNCTION("""COMPUTED_VALUE"""),0.23076923076923)</f>
        <v>0.23076923076923</v>
      </c>
      <c r="D11" s="114">
        <f ca="1">IFERROR(__xludf.DUMMYFUNCTION("""COMPUTED_VALUE"""),0.0999999999999999)</f>
        <v>9.9999999999999895E-2</v>
      </c>
      <c r="E11" s="36"/>
      <c r="F11" s="36"/>
      <c r="G11" s="36" t="str">
        <f ca="1">IFERROR(__xludf.DUMMYFUNCTION("""COMPUTED_VALUE"""),"Белікова Катерина")</f>
        <v>Белікова Катерина</v>
      </c>
      <c r="H11" s="114">
        <f ca="1">IFERROR(__xludf.DUMMYFUNCTION("""COMPUTED_VALUE"""),0.0606060606060606)</f>
        <v>6.0606060606060601E-2</v>
      </c>
      <c r="I11" s="114">
        <f ca="1">IFERROR(__xludf.DUMMYFUNCTION("""COMPUTED_VALUE"""),0.336347438197767)</f>
        <v>0.33634743819776702</v>
      </c>
      <c r="J11" s="114">
        <f ca="1">IFERROR(__xludf.DUMMYFUNCTION("""COMPUTED_VALUE"""),0.0181818181818181)</f>
        <v>1.8181818181818101E-2</v>
      </c>
      <c r="R11" s="117" t="s">
        <v>179</v>
      </c>
      <c r="S11" s="116"/>
      <c r="T11" s="116"/>
      <c r="U11" s="616">
        <v>90</v>
      </c>
      <c r="V11" s="618">
        <v>0.90480000000000005</v>
      </c>
      <c r="W11" s="619">
        <v>90</v>
      </c>
      <c r="X11" s="618">
        <v>0.1167</v>
      </c>
      <c r="Y11" s="620">
        <v>88</v>
      </c>
    </row>
    <row r="12" spans="1:25" ht="16.5" customHeight="1">
      <c r="A12" s="36" t="str">
        <f ca="1">IFERROR(__xludf.DUMMYFUNCTION("""COMPUTED_VALUE"""),"Бабич Оксана")</f>
        <v>Бабич Оксана</v>
      </c>
      <c r="B12" s="114">
        <f ca="1">IFERROR(__xludf.DUMMYFUNCTION("""COMPUTED_VALUE"""),0)</f>
        <v>0</v>
      </c>
      <c r="C12" s="114">
        <f ca="1">IFERROR(__xludf.DUMMYFUNCTION("""COMPUTED_VALUE"""),0.75)</f>
        <v>0.75</v>
      </c>
      <c r="D12" s="114">
        <f ca="1">IFERROR(__xludf.DUMMYFUNCTION("""COMPUTED_VALUE"""),0)</f>
        <v>0</v>
      </c>
      <c r="E12" s="36"/>
      <c r="F12" s="36"/>
      <c r="G12" s="36" t="str">
        <f ca="1">IFERROR(__xludf.DUMMYFUNCTION("""COMPUTED_VALUE"""),"Билень Оксана")</f>
        <v>Билень Оксана</v>
      </c>
      <c r="H12" s="114">
        <f ca="1">IFERROR(__xludf.DUMMYFUNCTION("""COMPUTED_VALUE"""),0.222222222222222)</f>
        <v>0.22222222222222199</v>
      </c>
      <c r="I12" s="114">
        <f ca="1">IFERROR(__xludf.DUMMYFUNCTION("""COMPUTED_VALUE"""),0.444444444444444)</f>
        <v>0.44444444444444398</v>
      </c>
      <c r="J12" s="114">
        <f ca="1">IFERROR(__xludf.DUMMYFUNCTION("""COMPUTED_VALUE"""),0.0666666666666666)</f>
        <v>6.6666666666666596E-2</v>
      </c>
      <c r="R12" s="117" t="s">
        <v>189</v>
      </c>
      <c r="S12" s="116"/>
      <c r="T12" s="116"/>
      <c r="U12" s="616">
        <v>94</v>
      </c>
      <c r="V12" s="618">
        <v>0.96779999999999999</v>
      </c>
      <c r="W12" s="619">
        <v>97</v>
      </c>
      <c r="X12" s="618">
        <v>1.5599999999999999E-2</v>
      </c>
      <c r="Y12" s="620">
        <v>98</v>
      </c>
    </row>
    <row r="13" spans="1:25" ht="16.5" customHeight="1">
      <c r="A13" s="36" t="str">
        <f ca="1">IFERROR(__xludf.DUMMYFUNCTION("""COMPUTED_VALUE"""),"Бабій Юлія")</f>
        <v>Бабій Юлія</v>
      </c>
      <c r="B13" s="114">
        <f ca="1">IFERROR(__xludf.DUMMYFUNCTION("""COMPUTED_VALUE"""),0)</f>
        <v>0</v>
      </c>
      <c r="C13" s="114">
        <f ca="1">IFERROR(__xludf.DUMMYFUNCTION("""COMPUTED_VALUE"""),0.866666666666666)</f>
        <v>0.86666666666666603</v>
      </c>
      <c r="D13" s="114">
        <f ca="1">IFERROR(__xludf.DUMMYFUNCTION("""COMPUTED_VALUE"""),0)</f>
        <v>0</v>
      </c>
      <c r="E13" s="36"/>
      <c r="F13" s="36"/>
      <c r="G13" s="36" t="str">
        <f ca="1">IFERROR(__xludf.DUMMYFUNCTION("""COMPUTED_VALUE"""),"Бігоцька Олександра")</f>
        <v>Бігоцька Олександра</v>
      </c>
      <c r="H13" s="114">
        <f ca="1">IFERROR(__xludf.DUMMYFUNCTION("""COMPUTED_VALUE"""),0.140151515151515)</f>
        <v>0.140151515151515</v>
      </c>
      <c r="I13" s="114">
        <f ca="1">IFERROR(__xludf.DUMMYFUNCTION("""COMPUTED_VALUE"""),0.665692189048996)</f>
        <v>0.66569218904899596</v>
      </c>
      <c r="J13" s="114">
        <f ca="1">IFERROR(__xludf.DUMMYFUNCTION("""COMPUTED_VALUE"""),0.0420454545454545)</f>
        <v>4.2045454545454497E-2</v>
      </c>
      <c r="R13" s="117" t="s">
        <v>193</v>
      </c>
      <c r="S13" s="116"/>
      <c r="T13" s="116"/>
      <c r="U13" s="616">
        <v>86</v>
      </c>
      <c r="V13" s="618">
        <v>0.57379999999999998</v>
      </c>
      <c r="W13" s="619">
        <v>57</v>
      </c>
      <c r="X13" s="618">
        <v>0.28000000000000003</v>
      </c>
      <c r="Y13" s="620">
        <v>72</v>
      </c>
    </row>
    <row r="14" spans="1:25" ht="16.5" customHeight="1">
      <c r="A14" s="36" t="str">
        <f ca="1">IFERROR(__xludf.DUMMYFUNCTION("""COMPUTED_VALUE"""),"Бакулевська Юлія")</f>
        <v>Бакулевська Юлія</v>
      </c>
      <c r="B14" s="114">
        <f ca="1">IFERROR(__xludf.DUMMYFUNCTION("""COMPUTED_VALUE"""),0)</f>
        <v>0</v>
      </c>
      <c r="C14" s="114">
        <f ca="1">IFERROR(__xludf.DUMMYFUNCTION("""COMPUTED_VALUE"""),1.08571428571428)</f>
        <v>1.0857142857142801</v>
      </c>
      <c r="D14" s="114">
        <f ca="1">IFERROR(__xludf.DUMMYFUNCTION("""COMPUTED_VALUE"""),0)</f>
        <v>0</v>
      </c>
      <c r="E14" s="36"/>
      <c r="F14" s="36"/>
      <c r="G14" s="36" t="str">
        <f ca="1">IFERROR(__xludf.DUMMYFUNCTION("""COMPUTED_VALUE"""),"Білецька Ірина")</f>
        <v>Білецька Ірина</v>
      </c>
      <c r="H14" s="114">
        <f ca="1">IFERROR(__xludf.DUMMYFUNCTION("""COMPUTED_VALUE"""),0.0208333333333333)</f>
        <v>2.0833333333333301E-2</v>
      </c>
      <c r="I14" s="114">
        <f ca="1">IFERROR(__xludf.DUMMYFUNCTION("""COMPUTED_VALUE"""),0.842120621237)</f>
        <v>0.84212062123700004</v>
      </c>
      <c r="J14" s="114">
        <f ca="1">IFERROR(__xludf.DUMMYFUNCTION("""COMPUTED_VALUE"""),0.00624999999999999)</f>
        <v>6.2499999999999899E-3</v>
      </c>
      <c r="R14" s="117" t="s">
        <v>196</v>
      </c>
      <c r="S14" s="116"/>
      <c r="T14" s="116"/>
      <c r="U14" s="616">
        <v>93</v>
      </c>
      <c r="V14" s="618">
        <v>1.1553</v>
      </c>
      <c r="W14" s="619">
        <v>116</v>
      </c>
      <c r="X14" s="618">
        <v>1.11E-2</v>
      </c>
      <c r="Y14" s="620">
        <v>99</v>
      </c>
    </row>
    <row r="15" spans="1:25" ht="16.5" customHeight="1">
      <c r="A15" s="36" t="str">
        <f ca="1">IFERROR(__xludf.DUMMYFUNCTION("""COMPUTED_VALUE"""),"Балясова Анна")</f>
        <v>Балясова Анна</v>
      </c>
      <c r="B15" s="114">
        <f ca="1">IFERROR(__xludf.DUMMYFUNCTION("""COMPUTED_VALUE"""),0)</f>
        <v>0</v>
      </c>
      <c r="C15" s="114" t="str">
        <f ca="1">IFERROR(__xludf.DUMMYFUNCTION("""COMPUTED_VALUE"""),"#DIV/0!")</f>
        <v>#DIV/0!</v>
      </c>
      <c r="D15" s="114">
        <f ca="1">IFERROR(__xludf.DUMMYFUNCTION("""COMPUTED_VALUE"""),0)</f>
        <v>0</v>
      </c>
      <c r="E15" s="36"/>
      <c r="F15" s="36"/>
      <c r="G15" s="36" t="str">
        <f ca="1">IFERROR(__xludf.DUMMYFUNCTION("""COMPUTED_VALUE"""),"Білик Марія-Катерина")</f>
        <v>Білик Марія-Катерина</v>
      </c>
      <c r="H15" s="114">
        <f ca="1">IFERROR(__xludf.DUMMYFUNCTION("""COMPUTED_VALUE"""),0.272727272727272)</f>
        <v>0.27272727272727199</v>
      </c>
      <c r="I15" s="114">
        <f ca="1">IFERROR(__xludf.DUMMYFUNCTION("""COMPUTED_VALUE"""),0.736842105263157)</f>
        <v>0.73684210526315697</v>
      </c>
      <c r="J15" s="114">
        <f ca="1">IFERROR(__xludf.DUMMYFUNCTION("""COMPUTED_VALUE"""),0.0818181818181818)</f>
        <v>8.1818181818181804E-2</v>
      </c>
      <c r="R15" s="117" t="s">
        <v>199</v>
      </c>
      <c r="S15" s="116"/>
      <c r="T15" s="116"/>
      <c r="U15" s="616">
        <v>77</v>
      </c>
      <c r="V15" s="618">
        <v>0.76819999999999999</v>
      </c>
      <c r="W15" s="619">
        <v>77</v>
      </c>
      <c r="X15" s="618">
        <v>3.6499999999999998E-2</v>
      </c>
      <c r="Y15" s="620">
        <v>96</v>
      </c>
    </row>
    <row r="16" spans="1:25" ht="16.5" customHeight="1">
      <c r="A16" s="36" t="str">
        <f ca="1">IFERROR(__xludf.DUMMYFUNCTION("""COMPUTED_VALUE"""),"Баннікова Софія")</f>
        <v>Баннікова Софія</v>
      </c>
      <c r="B16" s="114">
        <f ca="1">IFERROR(__xludf.DUMMYFUNCTION("""COMPUTED_VALUE"""),0.0227272727272727)</f>
        <v>2.27272727272727E-2</v>
      </c>
      <c r="C16" s="114">
        <f ca="1">IFERROR(__xludf.DUMMYFUNCTION("""COMPUTED_VALUE"""),0.64892026578073)</f>
        <v>0.64892026578073003</v>
      </c>
      <c r="D16" s="114">
        <f ca="1">IFERROR(__xludf.DUMMYFUNCTION("""COMPUTED_VALUE"""),0.0159090909090909)</f>
        <v>1.5909090909090901E-2</v>
      </c>
      <c r="E16" s="36"/>
      <c r="F16" s="36"/>
      <c r="G16" s="36" t="str">
        <f ca="1">IFERROR(__xludf.DUMMYFUNCTION("""COMPUTED_VALUE"""),"Блізнякова Олена")</f>
        <v>Блізнякова Олена</v>
      </c>
      <c r="H16" s="114">
        <f ca="1">IFERROR(__xludf.DUMMYFUNCTION("""COMPUTED_VALUE"""),0.0703703703703703)</f>
        <v>7.0370370370370305E-2</v>
      </c>
      <c r="I16" s="114">
        <f ca="1">IFERROR(__xludf.DUMMYFUNCTION("""COMPUTED_VALUE"""),0.764681571815718)</f>
        <v>0.76468157181571805</v>
      </c>
      <c r="J16" s="114">
        <f ca="1">IFERROR(__xludf.DUMMYFUNCTION("""COMPUTED_VALUE"""),0.0211111111111111)</f>
        <v>2.1111111111111101E-2</v>
      </c>
      <c r="R16" s="117" t="s">
        <v>202</v>
      </c>
      <c r="S16" s="116"/>
      <c r="T16" s="116"/>
      <c r="U16" s="616">
        <v>90</v>
      </c>
      <c r="V16" s="618">
        <v>0.58899999999999997</v>
      </c>
      <c r="W16" s="619">
        <v>59</v>
      </c>
      <c r="X16" s="618">
        <v>0.1343</v>
      </c>
      <c r="Y16" s="620">
        <v>87</v>
      </c>
    </row>
    <row r="17" spans="1:25" ht="16.5" customHeight="1">
      <c r="A17" s="36" t="str">
        <f ca="1">IFERROR(__xludf.DUMMYFUNCTION("""COMPUTED_VALUE"""),"Барабан Сергій")</f>
        <v>Барабан Сергій</v>
      </c>
      <c r="B17" s="114">
        <f ca="1">IFERROR(__xludf.DUMMYFUNCTION("""COMPUTED_VALUE"""),0)</f>
        <v>0</v>
      </c>
      <c r="C17" s="114">
        <f ca="1">IFERROR(__xludf.DUMMYFUNCTION("""COMPUTED_VALUE"""),0.925)</f>
        <v>0.92500000000000004</v>
      </c>
      <c r="D17" s="114">
        <f ca="1">IFERROR(__xludf.DUMMYFUNCTION("""COMPUTED_VALUE"""),0)</f>
        <v>0</v>
      </c>
      <c r="E17" s="36"/>
      <c r="F17" s="36"/>
      <c r="G17" s="36" t="str">
        <f ca="1">IFERROR(__xludf.DUMMYFUNCTION("""COMPUTED_VALUE"""),"Блінова Карина")</f>
        <v>Блінова Карина</v>
      </c>
      <c r="H17" s="114">
        <f ca="1">IFERROR(__xludf.DUMMYFUNCTION("""COMPUTED_VALUE"""),0.0451659451659451)</f>
        <v>4.5165945165945097E-2</v>
      </c>
      <c r="I17" s="114">
        <f ca="1">IFERROR(__xludf.DUMMYFUNCTION("""COMPUTED_VALUE"""),0.774955897252517)</f>
        <v>0.77495589725251701</v>
      </c>
      <c r="J17" s="114">
        <f ca="1">IFERROR(__xludf.DUMMYFUNCTION("""COMPUTED_VALUE"""),0.0135497835497835)</f>
        <v>1.3549783549783499E-2</v>
      </c>
      <c r="R17" s="117" t="s">
        <v>206</v>
      </c>
      <c r="S17" s="116"/>
      <c r="T17" s="116"/>
      <c r="U17" s="616">
        <v>99</v>
      </c>
      <c r="V17" s="618">
        <v>0.82389999999999997</v>
      </c>
      <c r="W17" s="619">
        <v>82</v>
      </c>
      <c r="X17" s="618">
        <v>0.1089</v>
      </c>
      <c r="Y17" s="620">
        <v>89</v>
      </c>
    </row>
    <row r="18" spans="1:25" ht="12.75">
      <c r="A18" s="36" t="str">
        <f ca="1">IFERROR(__xludf.DUMMYFUNCTION("""COMPUTED_VALUE"""),"Бараненко Владислав")</f>
        <v>Бараненко Владислав</v>
      </c>
      <c r="B18" s="114">
        <f ca="1">IFERROR(__xludf.DUMMYFUNCTION("""COMPUTED_VALUE"""),0.0666666666666666)</f>
        <v>6.6666666666666596E-2</v>
      </c>
      <c r="C18" s="114">
        <f ca="1">IFERROR(__xludf.DUMMYFUNCTION("""COMPUTED_VALUE"""),0.830508474576271)</f>
        <v>0.83050847457627097</v>
      </c>
      <c r="D18" s="114">
        <f ca="1">IFERROR(__xludf.DUMMYFUNCTION("""COMPUTED_VALUE"""),0.0466666666666666)</f>
        <v>4.6666666666666599E-2</v>
      </c>
      <c r="E18" s="36"/>
      <c r="F18" s="36"/>
      <c r="G18" s="36" t="str">
        <f ca="1">IFERROR(__xludf.DUMMYFUNCTION("""COMPUTED_VALUE"""),"Бондар Юлія")</f>
        <v>Бондар Юлія</v>
      </c>
      <c r="H18" s="114">
        <f ca="1">IFERROR(__xludf.DUMMYFUNCTION("""COMPUTED_VALUE"""),0.0109890109890109)</f>
        <v>1.09890109890109E-2</v>
      </c>
      <c r="I18" s="114">
        <f ca="1">IFERROR(__xludf.DUMMYFUNCTION("""COMPUTED_VALUE"""),0.691131430270591)</f>
        <v>0.69113143027059099</v>
      </c>
      <c r="J18" s="114">
        <f ca="1">IFERROR(__xludf.DUMMYFUNCTION("""COMPUTED_VALUE"""),0.00329670329670329)</f>
        <v>3.2967032967032902E-3</v>
      </c>
      <c r="R18" s="117" t="s">
        <v>211</v>
      </c>
      <c r="S18" s="116"/>
      <c r="T18" s="116"/>
      <c r="U18" s="616">
        <v>82</v>
      </c>
      <c r="V18" s="618">
        <v>1.1215999999999999</v>
      </c>
      <c r="W18" s="619">
        <v>112</v>
      </c>
      <c r="X18" s="618">
        <v>3.5000000000000003E-2</v>
      </c>
      <c r="Y18" s="620">
        <v>97</v>
      </c>
    </row>
    <row r="19" spans="1:25" ht="12.75">
      <c r="A19" s="36" t="str">
        <f ca="1">IFERROR(__xludf.DUMMYFUNCTION("""COMPUTED_VALUE"""),"Бегма Андрій")</f>
        <v>Бегма Андрій</v>
      </c>
      <c r="B19" s="114">
        <f ca="1">IFERROR(__xludf.DUMMYFUNCTION("""COMPUTED_VALUE"""),0)</f>
        <v>0</v>
      </c>
      <c r="C19" s="114">
        <f ca="1">IFERROR(__xludf.DUMMYFUNCTION("""COMPUTED_VALUE"""),1.04259259259259)</f>
        <v>1.0425925925925901</v>
      </c>
      <c r="D19" s="114">
        <f ca="1">IFERROR(__xludf.DUMMYFUNCTION("""COMPUTED_VALUE"""),0)</f>
        <v>0</v>
      </c>
      <c r="E19" s="36"/>
      <c r="F19" s="36"/>
      <c r="G19" s="36" t="str">
        <f ca="1">IFERROR(__xludf.DUMMYFUNCTION("""COMPUTED_VALUE"""),"Бондаренко Ілля")</f>
        <v>Бондаренко Ілля</v>
      </c>
      <c r="H19" s="114">
        <f ca="1">IFERROR(__xludf.DUMMYFUNCTION("""COMPUTED_VALUE"""),0.0952380952380952)</f>
        <v>9.5238095238095205E-2</v>
      </c>
      <c r="I19" s="114">
        <f ca="1">IFERROR(__xludf.DUMMYFUNCTION("""COMPUTED_VALUE"""),0.579797979797979)</f>
        <v>0.57979797979797898</v>
      </c>
      <c r="J19" s="114">
        <f ca="1">IFERROR(__xludf.DUMMYFUNCTION("""COMPUTED_VALUE"""),0.0285714285714285)</f>
        <v>2.8571428571428501E-2</v>
      </c>
      <c r="R19" s="117" t="s">
        <v>214</v>
      </c>
      <c r="S19" s="116"/>
      <c r="T19" s="116"/>
      <c r="U19" s="616">
        <v>100</v>
      </c>
      <c r="V19" s="618">
        <v>0.7</v>
      </c>
      <c r="W19" s="619">
        <v>70</v>
      </c>
      <c r="X19" s="618">
        <v>0</v>
      </c>
      <c r="Y19" s="620">
        <v>100</v>
      </c>
    </row>
    <row r="20" spans="1:25" ht="12.75">
      <c r="A20" s="36" t="str">
        <f ca="1">IFERROR(__xludf.DUMMYFUNCTION("""COMPUTED_VALUE"""),"Безвух Сергій")</f>
        <v>Безвух Сергій</v>
      </c>
      <c r="B20" s="114">
        <f ca="1">IFERROR(__xludf.DUMMYFUNCTION("""COMPUTED_VALUE"""),0.412698412698412)</f>
        <v>0.41269841269841201</v>
      </c>
      <c r="C20" s="114">
        <f ca="1">IFERROR(__xludf.DUMMYFUNCTION("""COMPUTED_VALUE"""),0.325882352941176)</f>
        <v>0.32588235294117601</v>
      </c>
      <c r="D20" s="114">
        <f ca="1">IFERROR(__xludf.DUMMYFUNCTION("""COMPUTED_VALUE"""),0.288888888888888)</f>
        <v>0.28888888888888797</v>
      </c>
      <c r="E20" s="36"/>
      <c r="F20" s="36"/>
      <c r="G20" s="36" t="str">
        <f ca="1">IFERROR(__xludf.DUMMYFUNCTION("""COMPUTED_VALUE"""),"Борецька Софія")</f>
        <v>Борецька Софія</v>
      </c>
      <c r="H20" s="114">
        <f ca="1">IFERROR(__xludf.DUMMYFUNCTION("""COMPUTED_VALUE"""),0.128888888888888)</f>
        <v>0.128888888888888</v>
      </c>
      <c r="I20" s="114">
        <f ca="1">IFERROR(__xludf.DUMMYFUNCTION("""COMPUTED_VALUE"""),0.743240950226244)</f>
        <v>0.74324095022624403</v>
      </c>
      <c r="J20" s="114">
        <f ca="1">IFERROR(__xludf.DUMMYFUNCTION("""COMPUTED_VALUE"""),0.0386666666666666)</f>
        <v>3.8666666666666599E-2</v>
      </c>
      <c r="R20" s="117" t="s">
        <v>217</v>
      </c>
      <c r="S20" s="116"/>
      <c r="T20" s="116"/>
      <c r="U20" s="616">
        <v>77</v>
      </c>
      <c r="V20" s="618">
        <v>0.72970000000000002</v>
      </c>
      <c r="W20" s="619">
        <v>73</v>
      </c>
      <c r="X20" s="618">
        <v>0.15559999999999999</v>
      </c>
      <c r="Y20" s="620">
        <v>84</v>
      </c>
    </row>
    <row r="21" spans="1:25" ht="12.75">
      <c r="A21" s="36" t="str">
        <f ca="1">IFERROR(__xludf.DUMMYFUNCTION("""COMPUTED_VALUE"""),"Безноскович Дмитро")</f>
        <v>Безноскович Дмитро</v>
      </c>
      <c r="B21" s="114" t="str">
        <f ca="1">IFERROR(__xludf.DUMMYFUNCTION("""COMPUTED_VALUE"""),"#DIV/0!")</f>
        <v>#DIV/0!</v>
      </c>
      <c r="C21" s="114" t="str">
        <f ca="1">IFERROR(__xludf.DUMMYFUNCTION("""COMPUTED_VALUE"""),"#DIV/0!")</f>
        <v>#DIV/0!</v>
      </c>
      <c r="D21" s="114" t="str">
        <f ca="1">IFERROR(__xludf.DUMMYFUNCTION("""COMPUTED_VALUE"""),"#DIV/0!")</f>
        <v>#DIV/0!</v>
      </c>
      <c r="E21" s="36"/>
      <c r="F21" s="36"/>
      <c r="G21" s="36" t="str">
        <f ca="1">IFERROR(__xludf.DUMMYFUNCTION("""COMPUTED_VALUE"""),"Брикайло Ольга")</f>
        <v>Брикайло Ольга</v>
      </c>
      <c r="H21" s="114">
        <f ca="1">IFERROR(__xludf.DUMMYFUNCTION("""COMPUTED_VALUE"""),0.277777777777777)</f>
        <v>0.27777777777777701</v>
      </c>
      <c r="I21" s="114">
        <f ca="1">IFERROR(__xludf.DUMMYFUNCTION("""COMPUTED_VALUE"""),0.585218702865761)</f>
        <v>0.58521870286576105</v>
      </c>
      <c r="J21" s="114">
        <f ca="1">IFERROR(__xludf.DUMMYFUNCTION("""COMPUTED_VALUE"""),0.0833333333333333)</f>
        <v>8.3333333333333301E-2</v>
      </c>
      <c r="R21" s="117" t="s">
        <v>220</v>
      </c>
      <c r="S21" s="116"/>
      <c r="T21" s="116"/>
      <c r="U21" s="616">
        <v>97</v>
      </c>
      <c r="V21" s="618">
        <v>1.0645</v>
      </c>
      <c r="W21" s="619">
        <v>106</v>
      </c>
      <c r="X21" s="618">
        <v>0.15559999999999999</v>
      </c>
      <c r="Y21" s="620">
        <v>84</v>
      </c>
    </row>
    <row r="22" spans="1:25" ht="12.75">
      <c r="A22" s="36" t="str">
        <f ca="1">IFERROR(__xludf.DUMMYFUNCTION("""COMPUTED_VALUE"""),"Безуглий Сергій")</f>
        <v>Безуглий Сергій</v>
      </c>
      <c r="B22" s="114">
        <f ca="1">IFERROR(__xludf.DUMMYFUNCTION("""COMPUTED_VALUE"""),0.166666666666666)</f>
        <v>0.16666666666666599</v>
      </c>
      <c r="C22" s="114">
        <f ca="1">IFERROR(__xludf.DUMMYFUNCTION("""COMPUTED_VALUE"""),1.22222222222222)</f>
        <v>1.2222222222222201</v>
      </c>
      <c r="D22" s="114">
        <f ca="1">IFERROR(__xludf.DUMMYFUNCTION("""COMPUTED_VALUE"""),0.116666666666666)</f>
        <v>0.116666666666666</v>
      </c>
      <c r="E22" s="36"/>
      <c r="F22" s="36"/>
      <c r="G22" s="36" t="str">
        <f ca="1">IFERROR(__xludf.DUMMYFUNCTION("""COMPUTED_VALUE"""),"Брусова Оксана")</f>
        <v>Брусова Оксана</v>
      </c>
      <c r="H22" s="114">
        <f ca="1">IFERROR(__xludf.DUMMYFUNCTION("""COMPUTED_VALUE"""),0.037037037037037)</f>
        <v>3.7037037037037E-2</v>
      </c>
      <c r="I22" s="114">
        <f ca="1">IFERROR(__xludf.DUMMYFUNCTION("""COMPUTED_VALUE"""),0.755698005698005)</f>
        <v>0.75569800569800505</v>
      </c>
      <c r="J22" s="114">
        <f ca="1">IFERROR(__xludf.DUMMYFUNCTION("""COMPUTED_VALUE"""),0.0111111111111111)</f>
        <v>1.1111111111111099E-2</v>
      </c>
      <c r="R22" s="117" t="s">
        <v>223</v>
      </c>
      <c r="S22" s="116"/>
      <c r="T22" s="116"/>
      <c r="U22" s="616">
        <v>92</v>
      </c>
      <c r="V22" s="618">
        <v>1.0951</v>
      </c>
      <c r="W22" s="619">
        <v>110</v>
      </c>
      <c r="X22" s="618">
        <v>2.92E-2</v>
      </c>
      <c r="Y22" s="620">
        <v>97</v>
      </c>
    </row>
    <row r="23" spans="1:25" ht="12.75">
      <c r="A23" s="36" t="str">
        <f ca="1">IFERROR(__xludf.DUMMYFUNCTION("""COMPUTED_VALUE"""),"Берестень Дмитро")</f>
        <v>Берестень Дмитро</v>
      </c>
      <c r="B23" s="114">
        <f ca="1">IFERROR(__xludf.DUMMYFUNCTION("""COMPUTED_VALUE"""),0.0636363636363636)</f>
        <v>6.3636363636363602E-2</v>
      </c>
      <c r="C23" s="114">
        <f ca="1">IFERROR(__xludf.DUMMYFUNCTION("""COMPUTED_VALUE"""),1.29405162738496)</f>
        <v>1.29405162738496</v>
      </c>
      <c r="D23" s="114">
        <f ca="1">IFERROR(__xludf.DUMMYFUNCTION("""COMPUTED_VALUE"""),0.0445454545454545)</f>
        <v>4.4545454545454499E-2</v>
      </c>
      <c r="E23" s="36"/>
      <c r="F23" s="36"/>
      <c r="G23" s="36" t="str">
        <f ca="1">IFERROR(__xludf.DUMMYFUNCTION("""COMPUTED_VALUE"""),"Брух Анна")</f>
        <v>Брух Анна</v>
      </c>
      <c r="H23" s="114">
        <f ca="1">IFERROR(__xludf.DUMMYFUNCTION("""COMPUTED_VALUE"""),0)</f>
        <v>0</v>
      </c>
      <c r="I23" s="114">
        <f ca="1">IFERROR(__xludf.DUMMYFUNCTION("""COMPUTED_VALUE"""),0.669444444444444)</f>
        <v>0.66944444444444395</v>
      </c>
      <c r="J23" s="114">
        <f ca="1">IFERROR(__xludf.DUMMYFUNCTION("""COMPUTED_VALUE"""),0)</f>
        <v>0</v>
      </c>
      <c r="R23" s="117" t="s">
        <v>231</v>
      </c>
      <c r="S23" s="116"/>
      <c r="T23" s="116"/>
      <c r="U23" s="616">
        <v>85</v>
      </c>
      <c r="V23" s="618">
        <v>1.1397999999999999</v>
      </c>
      <c r="W23" s="619">
        <v>114</v>
      </c>
      <c r="X23" s="618">
        <v>8.5199999999999998E-2</v>
      </c>
      <c r="Y23" s="620">
        <v>91</v>
      </c>
    </row>
    <row r="24" spans="1:25" ht="12.75">
      <c r="A24" s="36" t="str">
        <f ca="1">IFERROR(__xludf.DUMMYFUNCTION("""COMPUTED_VALUE"""),"Бєлашов Іван")</f>
        <v>Бєлашов Іван</v>
      </c>
      <c r="B24" s="114">
        <f ca="1">IFERROR(__xludf.DUMMYFUNCTION("""COMPUTED_VALUE"""),0)</f>
        <v>0</v>
      </c>
      <c r="C24" s="114">
        <f ca="1">IFERROR(__xludf.DUMMYFUNCTION("""COMPUTED_VALUE"""),1)</f>
        <v>1</v>
      </c>
      <c r="D24" s="114">
        <f ca="1">IFERROR(__xludf.DUMMYFUNCTION("""COMPUTED_VALUE"""),0)</f>
        <v>0</v>
      </c>
      <c r="E24" s="36"/>
      <c r="F24" s="36"/>
      <c r="G24" s="36" t="str">
        <f ca="1">IFERROR(__xludf.DUMMYFUNCTION("""COMPUTED_VALUE"""),"Бутовська Марина")</f>
        <v>Бутовська Марина</v>
      </c>
      <c r="H24" s="114">
        <f ca="1">IFERROR(__xludf.DUMMYFUNCTION("""COMPUTED_VALUE"""),0.0693602693602693)</f>
        <v>6.9360269360269303E-2</v>
      </c>
      <c r="I24" s="114">
        <f ca="1">IFERROR(__xludf.DUMMYFUNCTION("""COMPUTED_VALUE"""),0.894777958666847)</f>
        <v>0.89477795866684695</v>
      </c>
      <c r="J24" s="114">
        <f ca="1">IFERROR(__xludf.DUMMYFUNCTION("""COMPUTED_VALUE"""),0.0208080808080808)</f>
        <v>2.08080808080808E-2</v>
      </c>
      <c r="R24" s="117" t="s">
        <v>237</v>
      </c>
      <c r="S24" s="116"/>
      <c r="T24" s="116"/>
      <c r="U24" s="616">
        <v>100</v>
      </c>
      <c r="V24" s="618">
        <v>1.2213000000000001</v>
      </c>
      <c r="W24" s="619">
        <v>122</v>
      </c>
      <c r="X24" s="618">
        <v>0</v>
      </c>
      <c r="Y24" s="620">
        <v>100</v>
      </c>
    </row>
    <row r="25" spans="1:25" ht="12.75">
      <c r="A25" s="36" t="str">
        <f ca="1">IFERROR(__xludf.DUMMYFUNCTION("""COMPUTED_VALUE"""),"Бєловенцева Марина")</f>
        <v>Бєловенцева Марина</v>
      </c>
      <c r="B25" s="114">
        <f ca="1">IFERROR(__xludf.DUMMYFUNCTION("""COMPUTED_VALUE"""),-0.05)</f>
        <v>-0.05</v>
      </c>
      <c r="C25" s="114">
        <f ca="1">IFERROR(__xludf.DUMMYFUNCTION("""COMPUTED_VALUE"""),0.494318181818181)</f>
        <v>0.49431818181818099</v>
      </c>
      <c r="D25" s="114">
        <f ca="1">IFERROR(__xludf.DUMMYFUNCTION("""COMPUTED_VALUE"""),-0.0349999999999999)</f>
        <v>-3.4999999999999899E-2</v>
      </c>
      <c r="E25" s="36"/>
      <c r="F25" s="36"/>
      <c r="G25" s="36" t="str">
        <f ca="1">IFERROR(__xludf.DUMMYFUNCTION("""COMPUTED_VALUE"""),"Василега Поліна")</f>
        <v>Василега Поліна</v>
      </c>
      <c r="H25" s="114">
        <f ca="1">IFERROR(__xludf.DUMMYFUNCTION("""COMPUTED_VALUE"""),0.1)</f>
        <v>0.1</v>
      </c>
      <c r="I25" s="114">
        <f ca="1">IFERROR(__xludf.DUMMYFUNCTION("""COMPUTED_VALUE"""),0.534848484848484)</f>
        <v>0.53484848484848402</v>
      </c>
      <c r="J25" s="114">
        <f ca="1">IFERROR(__xludf.DUMMYFUNCTION("""COMPUTED_VALUE"""),0.03)</f>
        <v>0.03</v>
      </c>
      <c r="R25" s="117" t="s">
        <v>241</v>
      </c>
      <c r="S25" s="116"/>
      <c r="T25" s="116"/>
      <c r="U25" s="616">
        <v>97</v>
      </c>
      <c r="V25" s="618">
        <v>0.97709999999999997</v>
      </c>
      <c r="W25" s="619">
        <v>98</v>
      </c>
      <c r="X25" s="618">
        <v>6.5600000000000006E-2</v>
      </c>
      <c r="Y25" s="620">
        <v>93</v>
      </c>
    </row>
    <row r="26" spans="1:25" ht="12.75">
      <c r="A26" s="36" t="str">
        <f ca="1">IFERROR(__xludf.DUMMYFUNCTION("""COMPUTED_VALUE"""),"Бистрова Юлія")</f>
        <v>Бистрова Юлія</v>
      </c>
      <c r="B26" s="114">
        <f ca="1">IFERROR(__xludf.DUMMYFUNCTION("""COMPUTED_VALUE"""),0.0489795918367346)</f>
        <v>4.8979591836734601E-2</v>
      </c>
      <c r="C26" s="114">
        <f ca="1">IFERROR(__xludf.DUMMYFUNCTION("""COMPUTED_VALUE"""),1.00293010752688)</f>
        <v>1.0029301075268799</v>
      </c>
      <c r="D26" s="114">
        <f ca="1">IFERROR(__xludf.DUMMYFUNCTION("""COMPUTED_VALUE"""),0.0342857142857142)</f>
        <v>3.4285714285714197E-2</v>
      </c>
      <c r="E26" s="36"/>
      <c r="F26" s="36"/>
      <c r="G26" s="36" t="str">
        <f ca="1">IFERROR(__xludf.DUMMYFUNCTION("""COMPUTED_VALUE"""),"Васильєва Ганна")</f>
        <v>Васильєва Ганна</v>
      </c>
      <c r="H26" s="114">
        <f ca="1">IFERROR(__xludf.DUMMYFUNCTION("""COMPUTED_VALUE"""),0)</f>
        <v>0</v>
      </c>
      <c r="I26" s="114">
        <f ca="1">IFERROR(__xludf.DUMMYFUNCTION("""COMPUTED_VALUE"""),0.777777777777777)</f>
        <v>0.77777777777777701</v>
      </c>
      <c r="J26" s="114">
        <f ca="1">IFERROR(__xludf.DUMMYFUNCTION("""COMPUTED_VALUE"""),0)</f>
        <v>0</v>
      </c>
      <c r="R26" s="117" t="s">
        <v>251</v>
      </c>
      <c r="S26" s="116"/>
      <c r="T26" s="116"/>
      <c r="U26" s="616">
        <v>88</v>
      </c>
      <c r="V26" s="618">
        <v>0.59060000000000001</v>
      </c>
      <c r="W26" s="619">
        <v>59</v>
      </c>
      <c r="X26" s="618">
        <v>5.8700000000000002E-2</v>
      </c>
      <c r="Y26" s="620">
        <v>94</v>
      </c>
    </row>
    <row r="27" spans="1:25" ht="12.75">
      <c r="A27" s="36" t="str">
        <f ca="1">IFERROR(__xludf.DUMMYFUNCTION("""COMPUTED_VALUE"""),"Бібікова Єлизавета")</f>
        <v>Бібікова Єлизавета</v>
      </c>
      <c r="B27" s="114">
        <f ca="1">IFERROR(__xludf.DUMMYFUNCTION("""COMPUTED_VALUE"""),0.2)</f>
        <v>0.2</v>
      </c>
      <c r="C27" s="114">
        <f ca="1">IFERROR(__xludf.DUMMYFUNCTION("""COMPUTED_VALUE"""),0.6875)</f>
        <v>0.6875</v>
      </c>
      <c r="D27" s="114">
        <f ca="1">IFERROR(__xludf.DUMMYFUNCTION("""COMPUTED_VALUE"""),0.139999999999999)</f>
        <v>0.13999999999999899</v>
      </c>
      <c r="E27" s="36"/>
      <c r="F27" s="36"/>
      <c r="G27" s="36" t="str">
        <f ca="1">IFERROR(__xludf.DUMMYFUNCTION("""COMPUTED_VALUE"""),"Васильчук Софія")</f>
        <v>Васильчук Софія</v>
      </c>
      <c r="H27" s="114">
        <f ca="1">IFERROR(__xludf.DUMMYFUNCTION("""COMPUTED_VALUE"""),0.111742424242424)</f>
        <v>0.111742424242424</v>
      </c>
      <c r="I27" s="114">
        <f ca="1">IFERROR(__xludf.DUMMYFUNCTION("""COMPUTED_VALUE"""),0.531640456452486)</f>
        <v>0.53164045645248603</v>
      </c>
      <c r="J27" s="114">
        <f ca="1">IFERROR(__xludf.DUMMYFUNCTION("""COMPUTED_VALUE"""),0.0335227272727272)</f>
        <v>3.3522727272727197E-2</v>
      </c>
      <c r="R27" s="117" t="s">
        <v>257</v>
      </c>
      <c r="S27" s="116"/>
      <c r="T27" s="116"/>
      <c r="U27" s="616">
        <v>79</v>
      </c>
      <c r="V27" s="618">
        <v>0.98429999999999995</v>
      </c>
      <c r="W27" s="619">
        <v>98</v>
      </c>
      <c r="X27" s="618">
        <v>0.15840000000000001</v>
      </c>
      <c r="Y27" s="620">
        <v>84</v>
      </c>
    </row>
    <row r="28" spans="1:25" ht="12.75">
      <c r="A28" s="36" t="str">
        <f ca="1">IFERROR(__xludf.DUMMYFUNCTION("""COMPUTED_VALUE"""),"Бігун Дар’я")</f>
        <v>Бігун Дар’я</v>
      </c>
      <c r="B28" s="114">
        <f ca="1">IFERROR(__xludf.DUMMYFUNCTION("""COMPUTED_VALUE"""),0.0142857142857142)</f>
        <v>1.42857142857142E-2</v>
      </c>
      <c r="C28" s="114">
        <f ca="1">IFERROR(__xludf.DUMMYFUNCTION("""COMPUTED_VALUE"""),1.19038461538461)</f>
        <v>1.19038461538461</v>
      </c>
      <c r="D28" s="114">
        <f ca="1">IFERROR(__xludf.DUMMYFUNCTION("""COMPUTED_VALUE"""),0.01)</f>
        <v>0.01</v>
      </c>
      <c r="E28" s="36"/>
      <c r="F28" s="36"/>
      <c r="G28" s="36" t="str">
        <f ca="1">IFERROR(__xludf.DUMMYFUNCTION("""COMPUTED_VALUE"""),"Ващик Лілія")</f>
        <v>Ващик Лілія</v>
      </c>
      <c r="H28" s="114">
        <f ca="1">IFERROR(__xludf.DUMMYFUNCTION("""COMPUTED_VALUE"""),0.020825)</f>
        <v>2.0825E-2</v>
      </c>
      <c r="I28" s="114">
        <f ca="1">IFERROR(__xludf.DUMMYFUNCTION("""COMPUTED_VALUE"""),0.580034722222222)</f>
        <v>0.58003472222222197</v>
      </c>
      <c r="J28" s="114">
        <f ca="1">IFERROR(__xludf.DUMMYFUNCTION("""COMPUTED_VALUE"""),0.0062475)</f>
        <v>6.2474999999999996E-3</v>
      </c>
      <c r="R28" s="117" t="s">
        <v>263</v>
      </c>
      <c r="S28" s="116"/>
      <c r="T28" s="116"/>
      <c r="U28" s="616">
        <v>72</v>
      </c>
      <c r="V28" s="618">
        <v>0.6</v>
      </c>
      <c r="W28" s="619">
        <v>60</v>
      </c>
      <c r="X28" s="618">
        <v>0</v>
      </c>
      <c r="Y28" s="620">
        <v>100</v>
      </c>
    </row>
    <row r="29" spans="1:25" ht="12.75">
      <c r="A29" s="36" t="str">
        <f ca="1">IFERROR(__xludf.DUMMYFUNCTION("""COMPUTED_VALUE"""),"Біднюк Неля")</f>
        <v>Біднюк Неля</v>
      </c>
      <c r="B29" s="114">
        <f ca="1">IFERROR(__xludf.DUMMYFUNCTION("""COMPUTED_VALUE"""),-0.0343915343915343)</f>
        <v>-3.4391534391534299E-2</v>
      </c>
      <c r="C29" s="114">
        <f ca="1">IFERROR(__xludf.DUMMYFUNCTION("""COMPUTED_VALUE"""),0.413187134502924)</f>
        <v>0.41318713450292399</v>
      </c>
      <c r="D29" s="114">
        <f ca="1">IFERROR(__xludf.DUMMYFUNCTION("""COMPUTED_VALUE"""),-0.024074074074074)</f>
        <v>-2.4074074074074001E-2</v>
      </c>
      <c r="E29" s="36"/>
      <c r="F29" s="36"/>
      <c r="G29" s="36" t="str">
        <f ca="1">IFERROR(__xludf.DUMMYFUNCTION("""COMPUTED_VALUE"""),"Верзун Катерина")</f>
        <v>Верзун Катерина</v>
      </c>
      <c r="H29" s="114">
        <f ca="1">IFERROR(__xludf.DUMMYFUNCTION("""COMPUTED_VALUE"""),0.109983766233766)</f>
        <v>0.109983766233766</v>
      </c>
      <c r="I29" s="114">
        <f ca="1">IFERROR(__xludf.DUMMYFUNCTION("""COMPUTED_VALUE"""),0.403038194444444)</f>
        <v>0.403038194444444</v>
      </c>
      <c r="J29" s="114">
        <f ca="1">IFERROR(__xludf.DUMMYFUNCTION("""COMPUTED_VALUE"""),0.0329951298701298)</f>
        <v>3.29951298701298E-2</v>
      </c>
      <c r="R29" s="117" t="s">
        <v>269</v>
      </c>
      <c r="S29" s="116"/>
      <c r="T29" s="116"/>
      <c r="U29" s="616">
        <v>76</v>
      </c>
      <c r="V29" s="618">
        <v>0.91020000000000001</v>
      </c>
      <c r="W29" s="619">
        <v>91</v>
      </c>
      <c r="X29" s="618">
        <v>3.5900000000000001E-2</v>
      </c>
      <c r="Y29" s="620">
        <v>96</v>
      </c>
    </row>
    <row r="30" spans="1:25" ht="12.75">
      <c r="A30" s="36" t="str">
        <f ca="1">IFERROR(__xludf.DUMMYFUNCTION("""COMPUTED_VALUE"""),"Білик Інеса")</f>
        <v>Білик Інеса</v>
      </c>
      <c r="B30" s="114">
        <f ca="1">IFERROR(__xludf.DUMMYFUNCTION("""COMPUTED_VALUE"""),0.0625)</f>
        <v>6.25E-2</v>
      </c>
      <c r="C30" s="114">
        <f ca="1">IFERROR(__xludf.DUMMYFUNCTION("""COMPUTED_VALUE"""),0.888149688149688)</f>
        <v>0.88814968814968798</v>
      </c>
      <c r="D30" s="114">
        <f ca="1">IFERROR(__xludf.DUMMYFUNCTION("""COMPUTED_VALUE"""),0.04375)</f>
        <v>4.3749999999999997E-2</v>
      </c>
      <c r="E30" s="36"/>
      <c r="F30" s="36"/>
      <c r="G30" s="36" t="str">
        <f ca="1">IFERROR(__xludf.DUMMYFUNCTION("""COMPUTED_VALUE"""),"Викладач soft")</f>
        <v>Викладач soft</v>
      </c>
      <c r="H30" s="114" t="str">
        <f ca="1">IFERROR(__xludf.DUMMYFUNCTION("""COMPUTED_VALUE"""),"#DIV/0!")</f>
        <v>#DIV/0!</v>
      </c>
      <c r="I30" s="114" t="str">
        <f ca="1">IFERROR(__xludf.DUMMYFUNCTION("""COMPUTED_VALUE"""),"#DIV/0!")</f>
        <v>#DIV/0!</v>
      </c>
      <c r="J30" s="114" t="str">
        <f ca="1">IFERROR(__xludf.DUMMYFUNCTION("""COMPUTED_VALUE"""),"#DIV/0!")</f>
        <v>#DIV/0!</v>
      </c>
      <c r="R30" s="117" t="s">
        <v>273</v>
      </c>
      <c r="S30" s="116"/>
      <c r="T30" s="116"/>
      <c r="U30" s="616">
        <v>90</v>
      </c>
      <c r="V30" s="618">
        <v>0.78039999999999998</v>
      </c>
      <c r="W30" s="619">
        <v>78</v>
      </c>
      <c r="X30" s="618">
        <v>-7.3000000000000001E-3</v>
      </c>
      <c r="Y30" s="620">
        <v>101</v>
      </c>
    </row>
    <row r="31" spans="1:25" ht="12.75">
      <c r="A31" s="36" t="str">
        <f ca="1">IFERROR(__xludf.DUMMYFUNCTION("""COMPUTED_VALUE"""),"Білоус Андрій")</f>
        <v>Білоус Андрій</v>
      </c>
      <c r="B31" s="114">
        <f ca="1">IFERROR(__xludf.DUMMYFUNCTION("""COMPUTED_VALUE"""),0.111111111111111)</f>
        <v>0.11111111111111099</v>
      </c>
      <c r="C31" s="114">
        <f ca="1">IFERROR(__xludf.DUMMYFUNCTION("""COMPUTED_VALUE"""),0.228571428571428)</f>
        <v>0.22857142857142801</v>
      </c>
      <c r="D31" s="114">
        <f ca="1">IFERROR(__xludf.DUMMYFUNCTION("""COMPUTED_VALUE"""),0.0777777777777777)</f>
        <v>7.7777777777777696E-2</v>
      </c>
      <c r="E31" s="36"/>
      <c r="F31" s="36"/>
      <c r="G31" s="36" t="str">
        <f ca="1">IFERROR(__xludf.DUMMYFUNCTION("""COMPUTED_VALUE"""),"Вікторія Ніколаєва")</f>
        <v>Вікторія Ніколаєва</v>
      </c>
      <c r="H31" s="114">
        <f ca="1">IFERROR(__xludf.DUMMYFUNCTION("""COMPUTED_VALUE"""),0)</f>
        <v>0</v>
      </c>
      <c r="I31" s="114">
        <f ca="1">IFERROR(__xludf.DUMMYFUNCTION("""COMPUTED_VALUE"""),0.5)</f>
        <v>0.5</v>
      </c>
      <c r="J31" s="114">
        <f ca="1">IFERROR(__xludf.DUMMYFUNCTION("""COMPUTED_VALUE"""),0)</f>
        <v>0</v>
      </c>
      <c r="R31" s="117" t="s">
        <v>283</v>
      </c>
      <c r="S31" s="116"/>
      <c r="T31" s="116"/>
      <c r="U31" s="616">
        <v>95</v>
      </c>
      <c r="V31" s="618">
        <v>1.4167000000000001</v>
      </c>
      <c r="W31" s="619">
        <v>142</v>
      </c>
      <c r="X31" s="618">
        <v>0</v>
      </c>
      <c r="Y31" s="620">
        <v>100</v>
      </c>
    </row>
    <row r="32" spans="1:25" ht="12.75">
      <c r="A32" s="36" t="str">
        <f ca="1">IFERROR(__xludf.DUMMYFUNCTION("""COMPUTED_VALUE"""),"Білоус Поліна")</f>
        <v>Білоус Поліна</v>
      </c>
      <c r="B32" s="114">
        <f ca="1">IFERROR(__xludf.DUMMYFUNCTION("""COMPUTED_VALUE"""),0)</f>
        <v>0</v>
      </c>
      <c r="C32" s="114">
        <f ca="1">IFERROR(__xludf.DUMMYFUNCTION("""COMPUTED_VALUE"""),1.04278513824884)</f>
        <v>1.04278513824884</v>
      </c>
      <c r="D32" s="114">
        <f ca="1">IFERROR(__xludf.DUMMYFUNCTION("""COMPUTED_VALUE"""),0)</f>
        <v>0</v>
      </c>
      <c r="E32" s="36"/>
      <c r="F32" s="36"/>
      <c r="G32" s="36" t="str">
        <f ca="1">IFERROR(__xludf.DUMMYFUNCTION("""COMPUTED_VALUE"""),"Віолета Пижик")</f>
        <v>Віолета Пижик</v>
      </c>
      <c r="H32" s="114">
        <f ca="1">IFERROR(__xludf.DUMMYFUNCTION("""COMPUTED_VALUE"""),0)</f>
        <v>0</v>
      </c>
      <c r="I32" s="114">
        <f ca="1">IFERROR(__xludf.DUMMYFUNCTION("""COMPUTED_VALUE"""),0.388888888888888)</f>
        <v>0.38888888888888801</v>
      </c>
      <c r="J32" s="114">
        <f ca="1">IFERROR(__xludf.DUMMYFUNCTION("""COMPUTED_VALUE"""),0)</f>
        <v>0</v>
      </c>
      <c r="R32" s="117" t="s">
        <v>26</v>
      </c>
      <c r="S32" s="116"/>
      <c r="T32" s="116"/>
      <c r="U32" s="616">
        <v>95</v>
      </c>
      <c r="V32" s="116" t="s">
        <v>9805</v>
      </c>
      <c r="W32" s="617" t="s">
        <v>9805</v>
      </c>
      <c r="X32" s="116" t="s">
        <v>9805</v>
      </c>
      <c r="Y32" s="116" t="s">
        <v>9805</v>
      </c>
    </row>
    <row r="33" spans="1:25" ht="12.75">
      <c r="A33" s="36" t="str">
        <f ca="1">IFERROR(__xludf.DUMMYFUNCTION("""COMPUTED_VALUE"""),"Біляшевич Ірина")</f>
        <v>Біляшевич Ірина</v>
      </c>
      <c r="B33" s="114">
        <f ca="1">IFERROR(__xludf.DUMMYFUNCTION("""COMPUTED_VALUE"""),0)</f>
        <v>0</v>
      </c>
      <c r="C33" s="114">
        <f ca="1">IFERROR(__xludf.DUMMYFUNCTION("""COMPUTED_VALUE"""),0.454545454545454)</f>
        <v>0.45454545454545398</v>
      </c>
      <c r="D33" s="114">
        <f ca="1">IFERROR(__xludf.DUMMYFUNCTION("""COMPUTED_VALUE"""),0)</f>
        <v>0</v>
      </c>
      <c r="E33" s="36"/>
      <c r="F33" s="36"/>
      <c r="G33" s="36" t="str">
        <f ca="1">IFERROR(__xludf.DUMMYFUNCTION("""COMPUTED_VALUE"""),"Войтенко Юлія")</f>
        <v>Войтенко Юлія</v>
      </c>
      <c r="H33" s="114">
        <f ca="1">IFERROR(__xludf.DUMMYFUNCTION("""COMPUTED_VALUE"""),0.166666666666666)</f>
        <v>0.16666666666666599</v>
      </c>
      <c r="I33" s="114">
        <f ca="1">IFERROR(__xludf.DUMMYFUNCTION("""COMPUTED_VALUE"""),0.333333333333333)</f>
        <v>0.33333333333333298</v>
      </c>
      <c r="J33" s="114">
        <f ca="1">IFERROR(__xludf.DUMMYFUNCTION("""COMPUTED_VALUE"""),0.0499999999999999)</f>
        <v>4.9999999999999899E-2</v>
      </c>
      <c r="R33" s="117" t="s">
        <v>289</v>
      </c>
      <c r="S33" s="116"/>
      <c r="T33" s="116"/>
      <c r="U33" s="616">
        <v>95</v>
      </c>
      <c r="V33" s="618">
        <v>0.90900000000000003</v>
      </c>
      <c r="W33" s="619">
        <v>91</v>
      </c>
      <c r="X33" s="618">
        <v>1.7500000000000002E-2</v>
      </c>
      <c r="Y33" s="620">
        <v>98</v>
      </c>
    </row>
    <row r="34" spans="1:25" ht="12.75">
      <c r="A34" s="36" t="str">
        <f ca="1">IFERROR(__xludf.DUMMYFUNCTION("""COMPUTED_VALUE"""),"Бобров Кирил")</f>
        <v>Бобров Кирил</v>
      </c>
      <c r="B34" s="114">
        <f ca="1">IFERROR(__xludf.DUMMYFUNCTION("""COMPUTED_VALUE"""),0.153846153846153)</f>
        <v>0.15384615384615299</v>
      </c>
      <c r="C34" s="114">
        <f ca="1">IFERROR(__xludf.DUMMYFUNCTION("""COMPUTED_VALUE"""),0.257142857142857)</f>
        <v>0.25714285714285701</v>
      </c>
      <c r="D34" s="114">
        <f ca="1">IFERROR(__xludf.DUMMYFUNCTION("""COMPUTED_VALUE"""),0.107692307692307)</f>
        <v>0.107692307692307</v>
      </c>
      <c r="E34" s="36"/>
      <c r="F34" s="36"/>
      <c r="G34" s="36" t="str">
        <f ca="1">IFERROR(__xludf.DUMMYFUNCTION("""COMPUTED_VALUE"""),"Волдаєва Анна")</f>
        <v>Волдаєва Анна</v>
      </c>
      <c r="H34" s="114">
        <f ca="1">IFERROR(__xludf.DUMMYFUNCTION("""COMPUTED_VALUE"""),-0.0714285714285714)</f>
        <v>-7.1428571428571397E-2</v>
      </c>
      <c r="I34" s="114">
        <f ca="1">IFERROR(__xludf.DUMMYFUNCTION("""COMPUTED_VALUE"""),0.515625)</f>
        <v>0.515625</v>
      </c>
      <c r="J34" s="114">
        <f ca="1">IFERROR(__xludf.DUMMYFUNCTION("""COMPUTED_VALUE"""),-0.0214285714285714)</f>
        <v>-2.1428571428571401E-2</v>
      </c>
      <c r="R34" s="117" t="s">
        <v>292</v>
      </c>
      <c r="S34" s="116"/>
      <c r="T34" s="116"/>
      <c r="U34" s="616">
        <v>91</v>
      </c>
      <c r="V34" s="618">
        <v>0.74939999999999996</v>
      </c>
      <c r="W34" s="619">
        <v>75</v>
      </c>
      <c r="X34" s="618">
        <v>6.3299999999999995E-2</v>
      </c>
      <c r="Y34" s="620">
        <v>94</v>
      </c>
    </row>
    <row r="35" spans="1:25" ht="12.75">
      <c r="A35" s="36" t="str">
        <f ca="1">IFERROR(__xludf.DUMMYFUNCTION("""COMPUTED_VALUE"""),"Богданова Ольга")</f>
        <v>Богданова Ольга</v>
      </c>
      <c r="B35" s="114">
        <f ca="1">IFERROR(__xludf.DUMMYFUNCTION("""COMPUTED_VALUE"""),0.114285714285714)</f>
        <v>0.114285714285714</v>
      </c>
      <c r="C35" s="114">
        <f ca="1">IFERROR(__xludf.DUMMYFUNCTION("""COMPUTED_VALUE"""),0.815856481481481)</f>
        <v>0.81585648148148104</v>
      </c>
      <c r="D35" s="114">
        <f ca="1">IFERROR(__xludf.DUMMYFUNCTION("""COMPUTED_VALUE"""),0.0799999999999999)</f>
        <v>7.9999999999999905E-2</v>
      </c>
      <c r="E35" s="36"/>
      <c r="F35" s="36"/>
      <c r="G35" s="36" t="str">
        <f ca="1">IFERROR(__xludf.DUMMYFUNCTION("""COMPUTED_VALUE"""),"Гайченя Олена")</f>
        <v>Гайченя Олена</v>
      </c>
      <c r="H35" s="114">
        <f ca="1">IFERROR(__xludf.DUMMYFUNCTION("""COMPUTED_VALUE"""),0.0719047619047619)</f>
        <v>7.1904761904761902E-2</v>
      </c>
      <c r="I35" s="114">
        <f ca="1">IFERROR(__xludf.DUMMYFUNCTION("""COMPUTED_VALUE"""),0.865585027998821)</f>
        <v>0.86558502799882098</v>
      </c>
      <c r="J35" s="114">
        <f ca="1">IFERROR(__xludf.DUMMYFUNCTION("""COMPUTED_VALUE"""),0.0215714285714285)</f>
        <v>2.1571428571428498E-2</v>
      </c>
      <c r="R35" s="117" t="s">
        <v>295</v>
      </c>
      <c r="S35" s="116"/>
      <c r="T35" s="116"/>
      <c r="U35" s="616">
        <v>82</v>
      </c>
      <c r="V35" s="618">
        <v>0.66669999999999996</v>
      </c>
      <c r="W35" s="619">
        <v>67</v>
      </c>
      <c r="X35" s="618">
        <v>0</v>
      </c>
      <c r="Y35" s="620">
        <v>100</v>
      </c>
    </row>
    <row r="36" spans="1:25" ht="12.75">
      <c r="A36" s="36" t="str">
        <f ca="1">IFERROR(__xludf.DUMMYFUNCTION("""COMPUTED_VALUE"""),"Богданюк Вадим")</f>
        <v>Богданюк Вадим</v>
      </c>
      <c r="B36" s="114">
        <f ca="1">IFERROR(__xludf.DUMMYFUNCTION("""COMPUTED_VALUE"""),0.041005291005291)</f>
        <v>4.1005291005291003E-2</v>
      </c>
      <c r="C36" s="114">
        <f ca="1">IFERROR(__xludf.DUMMYFUNCTION("""COMPUTED_VALUE"""),0.682124935995903)</f>
        <v>0.68212493599590296</v>
      </c>
      <c r="D36" s="114">
        <f ca="1">IFERROR(__xludf.DUMMYFUNCTION("""COMPUTED_VALUE"""),0.0287037037037037)</f>
        <v>2.87037037037037E-2</v>
      </c>
      <c r="E36" s="36"/>
      <c r="F36" s="36"/>
      <c r="G36" s="36" t="str">
        <f ca="1">IFERROR(__xludf.DUMMYFUNCTION("""COMPUTED_VALUE"""),"Гапак Наталія")</f>
        <v>Гапак Наталія</v>
      </c>
      <c r="H36" s="114">
        <f ca="1">IFERROR(__xludf.DUMMYFUNCTION("""COMPUTED_VALUE"""),-0.1)</f>
        <v>-0.1</v>
      </c>
      <c r="I36" s="114">
        <f ca="1">IFERROR(__xludf.DUMMYFUNCTION("""COMPUTED_VALUE"""),0.166666666666666)</f>
        <v>0.16666666666666599</v>
      </c>
      <c r="J36" s="114">
        <f ca="1">IFERROR(__xludf.DUMMYFUNCTION("""COMPUTED_VALUE"""),-0.03)</f>
        <v>-0.03</v>
      </c>
      <c r="R36" s="117" t="s">
        <v>178</v>
      </c>
      <c r="S36" s="116"/>
      <c r="T36" s="116"/>
      <c r="U36" s="156"/>
      <c r="V36" s="116" t="s">
        <v>9805</v>
      </c>
      <c r="W36" s="617" t="s">
        <v>9805</v>
      </c>
      <c r="X36" s="116" t="s">
        <v>9805</v>
      </c>
      <c r="Y36" s="116" t="s">
        <v>9805</v>
      </c>
    </row>
    <row r="37" spans="1:25" ht="12.75">
      <c r="A37" s="36" t="str">
        <f ca="1">IFERROR(__xludf.DUMMYFUNCTION("""COMPUTED_VALUE"""),"Бойчук Вікторія")</f>
        <v>Бойчук Вікторія</v>
      </c>
      <c r="B37" s="114">
        <f ca="1">IFERROR(__xludf.DUMMYFUNCTION("""COMPUTED_VALUE"""),0.0416666666666666)</f>
        <v>4.1666666666666602E-2</v>
      </c>
      <c r="C37" s="114">
        <f ca="1">IFERROR(__xludf.DUMMYFUNCTION("""COMPUTED_VALUE"""),0.937576312576312)</f>
        <v>0.93757631257631202</v>
      </c>
      <c r="D37" s="114">
        <f ca="1">IFERROR(__xludf.DUMMYFUNCTION("""COMPUTED_VALUE"""),0.0291666666666666)</f>
        <v>2.9166666666666601E-2</v>
      </c>
      <c r="E37" s="36"/>
      <c r="F37" s="36"/>
      <c r="G37" s="36" t="str">
        <f ca="1">IFERROR(__xludf.DUMMYFUNCTION("""COMPUTED_VALUE"""),"Гвоздецька Лариса")</f>
        <v>Гвоздецька Лариса</v>
      </c>
      <c r="H37" s="114">
        <f ca="1">IFERROR(__xludf.DUMMYFUNCTION("""COMPUTED_VALUE"""),0)</f>
        <v>0</v>
      </c>
      <c r="I37" s="114">
        <f ca="1">IFERROR(__xludf.DUMMYFUNCTION("""COMPUTED_VALUE"""),0.466666666666666)</f>
        <v>0.46666666666666601</v>
      </c>
      <c r="J37" s="114">
        <f ca="1">IFERROR(__xludf.DUMMYFUNCTION("""COMPUTED_VALUE"""),0)</f>
        <v>0</v>
      </c>
      <c r="R37" s="117" t="s">
        <v>301</v>
      </c>
      <c r="S37" s="116"/>
      <c r="T37" s="116"/>
      <c r="U37" s="616">
        <v>95</v>
      </c>
      <c r="V37" s="618">
        <v>1.125</v>
      </c>
      <c r="W37" s="619">
        <v>113</v>
      </c>
      <c r="X37" s="618">
        <v>-4.3799999999999999E-2</v>
      </c>
      <c r="Y37" s="620">
        <v>104</v>
      </c>
    </row>
    <row r="38" spans="1:25" ht="12.75">
      <c r="A38" s="36" t="str">
        <f ca="1">IFERROR(__xludf.DUMMYFUNCTION("""COMPUTED_VALUE"""),"Большунова Олена")</f>
        <v>Большунова Олена</v>
      </c>
      <c r="B38" s="114">
        <f ca="1">IFERROR(__xludf.DUMMYFUNCTION("""COMPUTED_VALUE"""),0.0474386724386724)</f>
        <v>4.7438672438672398E-2</v>
      </c>
      <c r="C38" s="114">
        <f ca="1">IFERROR(__xludf.DUMMYFUNCTION("""COMPUTED_VALUE"""),0.469123750235804)</f>
        <v>0.46912375023580399</v>
      </c>
      <c r="D38" s="114">
        <f ca="1">IFERROR(__xludf.DUMMYFUNCTION("""COMPUTED_VALUE"""),0.0332070707070707)</f>
        <v>3.3207070707070699E-2</v>
      </c>
      <c r="E38" s="36"/>
      <c r="F38" s="36"/>
      <c r="G38" s="36" t="str">
        <f ca="1">IFERROR(__xludf.DUMMYFUNCTION("""COMPUTED_VALUE"""),"Гензерська Марія")</f>
        <v>Гензерська Марія</v>
      </c>
      <c r="H38" s="114">
        <f ca="1">IFERROR(__xludf.DUMMYFUNCTION("""COMPUTED_VALUE"""),0.209656084656084)</f>
        <v>0.20965608465608401</v>
      </c>
      <c r="I38" s="114">
        <f ca="1">IFERROR(__xludf.DUMMYFUNCTION("""COMPUTED_VALUE"""),0.782003449527959)</f>
        <v>0.78200344952795897</v>
      </c>
      <c r="J38" s="114">
        <f ca="1">IFERROR(__xludf.DUMMYFUNCTION("""COMPUTED_VALUE"""),0.0628968253968254)</f>
        <v>6.2896825396825395E-2</v>
      </c>
      <c r="R38" s="117" t="s">
        <v>304</v>
      </c>
      <c r="S38" s="116"/>
      <c r="T38" s="116"/>
      <c r="U38" s="616">
        <v>100</v>
      </c>
      <c r="V38" s="618">
        <v>1.0244</v>
      </c>
      <c r="W38" s="619">
        <v>102</v>
      </c>
      <c r="X38" s="618">
        <v>4.2299999999999997E-2</v>
      </c>
      <c r="Y38" s="620">
        <v>96</v>
      </c>
    </row>
    <row r="39" spans="1:25" ht="12.75">
      <c r="A39" s="36" t="str">
        <f ca="1">IFERROR(__xludf.DUMMYFUNCTION("""COMPUTED_VALUE"""),"Бондар Марина")</f>
        <v>Бондар Марина</v>
      </c>
      <c r="B39" s="114" t="str">
        <f ca="1">IFERROR(__xludf.DUMMYFUNCTION("""COMPUTED_VALUE"""),"#DIV/0!")</f>
        <v>#DIV/0!</v>
      </c>
      <c r="C39" s="114" t="str">
        <f ca="1">IFERROR(__xludf.DUMMYFUNCTION("""COMPUTED_VALUE"""),"#DIV/0!")</f>
        <v>#DIV/0!</v>
      </c>
      <c r="D39" s="114" t="str">
        <f ca="1">IFERROR(__xludf.DUMMYFUNCTION("""COMPUTED_VALUE"""),"#DIV/0!")</f>
        <v>#DIV/0!</v>
      </c>
      <c r="E39" s="36"/>
      <c r="F39" s="36"/>
      <c r="G39" s="36" t="str">
        <f ca="1">IFERROR(__xludf.DUMMYFUNCTION("""COMPUTED_VALUE"""),"Гєєнко Наталія")</f>
        <v>Гєєнко Наталія</v>
      </c>
      <c r="H39" s="114">
        <f ca="1">IFERROR(__xludf.DUMMYFUNCTION("""COMPUTED_VALUE"""),0.120726495726495)</f>
        <v>0.12072649572649501</v>
      </c>
      <c r="I39" s="114">
        <f ca="1">IFERROR(__xludf.DUMMYFUNCTION("""COMPUTED_VALUE"""),0.772360248447205)</f>
        <v>0.77236024844720497</v>
      </c>
      <c r="J39" s="114">
        <f ca="1">IFERROR(__xludf.DUMMYFUNCTION("""COMPUTED_VALUE"""),0.0362179487179487)</f>
        <v>3.62179487179487E-2</v>
      </c>
      <c r="R39" s="117" t="s">
        <v>327</v>
      </c>
      <c r="S39" s="116"/>
      <c r="T39" s="116"/>
      <c r="U39" s="616">
        <v>93</v>
      </c>
      <c r="V39" s="618">
        <v>0.7772</v>
      </c>
      <c r="W39" s="619">
        <v>78</v>
      </c>
      <c r="X39" s="618">
        <v>1.0800000000000001E-2</v>
      </c>
      <c r="Y39" s="620">
        <v>99</v>
      </c>
    </row>
    <row r="40" spans="1:25" ht="12.75">
      <c r="A40" s="36" t="str">
        <f ca="1">IFERROR(__xludf.DUMMYFUNCTION("""COMPUTED_VALUE"""),"Бондаренко Ілля")</f>
        <v>Бондаренко Ілля</v>
      </c>
      <c r="B40" s="114">
        <f ca="1">IFERROR(__xludf.DUMMYFUNCTION("""COMPUTED_VALUE"""),0.136363636363636)</f>
        <v>0.13636363636363599</v>
      </c>
      <c r="C40" s="114">
        <f ca="1">IFERROR(__xludf.DUMMYFUNCTION("""COMPUTED_VALUE"""),1.28625)</f>
        <v>1.2862499999999999</v>
      </c>
      <c r="D40" s="114">
        <f ca="1">IFERROR(__xludf.DUMMYFUNCTION("""COMPUTED_VALUE"""),0.0954545454545454)</f>
        <v>9.5454545454545403E-2</v>
      </c>
      <c r="E40" s="36"/>
      <c r="F40" s="36"/>
      <c r="G40" s="36" t="str">
        <f ca="1">IFERROR(__xludf.DUMMYFUNCTION("""COMPUTED_VALUE"""),"Гладун Анастасія")</f>
        <v>Гладун Анастасія</v>
      </c>
      <c r="H40" s="114">
        <f ca="1">IFERROR(__xludf.DUMMYFUNCTION("""COMPUTED_VALUE"""),0.142857142857142)</f>
        <v>0.14285714285714199</v>
      </c>
      <c r="I40" s="114">
        <f ca="1">IFERROR(__xludf.DUMMYFUNCTION("""COMPUTED_VALUE"""),0.74074074074074)</f>
        <v>0.74074074074074003</v>
      </c>
      <c r="J40" s="114">
        <f ca="1">IFERROR(__xludf.DUMMYFUNCTION("""COMPUTED_VALUE"""),0.0428571428571428)</f>
        <v>4.2857142857142802E-2</v>
      </c>
      <c r="R40" s="117" t="s">
        <v>43</v>
      </c>
      <c r="S40" s="116"/>
      <c r="T40" s="116"/>
      <c r="U40" s="616">
        <v>90</v>
      </c>
      <c r="V40" s="618">
        <v>1</v>
      </c>
      <c r="W40" s="619">
        <v>100</v>
      </c>
      <c r="X40" s="618">
        <v>0</v>
      </c>
      <c r="Y40" s="620">
        <v>100</v>
      </c>
    </row>
    <row r="41" spans="1:25" ht="12.75">
      <c r="A41" s="36" t="str">
        <f ca="1">IFERROR(__xludf.DUMMYFUNCTION("""COMPUTED_VALUE"""),"Бондарчук Вероніка")</f>
        <v>Бондарчук Вероніка</v>
      </c>
      <c r="B41" s="114">
        <f ca="1">IFERROR(__xludf.DUMMYFUNCTION("""COMPUTED_VALUE"""),0)</f>
        <v>0</v>
      </c>
      <c r="C41" s="114">
        <f ca="1">IFERROR(__xludf.DUMMYFUNCTION("""COMPUTED_VALUE"""),0.8)</f>
        <v>0.8</v>
      </c>
      <c r="D41" s="114">
        <f ca="1">IFERROR(__xludf.DUMMYFUNCTION("""COMPUTED_VALUE"""),0)</f>
        <v>0</v>
      </c>
      <c r="E41" s="36"/>
      <c r="F41" s="36"/>
      <c r="G41" s="36" t="str">
        <f ca="1">IFERROR(__xludf.DUMMYFUNCTION("""COMPUTED_VALUE"""),"Грекова Євгенія")</f>
        <v>Грекова Євгенія</v>
      </c>
      <c r="H41" s="114">
        <f ca="1">IFERROR(__xludf.DUMMYFUNCTION("""COMPUTED_VALUE"""),0.166666666666666)</f>
        <v>0.16666666666666599</v>
      </c>
      <c r="I41" s="114">
        <f ca="1">IFERROR(__xludf.DUMMYFUNCTION("""COMPUTED_VALUE"""),0.59090909090909)</f>
        <v>0.59090909090909005</v>
      </c>
      <c r="J41" s="114">
        <f ca="1">IFERROR(__xludf.DUMMYFUNCTION("""COMPUTED_VALUE"""),0.0499999999999999)</f>
        <v>4.9999999999999899E-2</v>
      </c>
      <c r="R41" s="117" t="s">
        <v>338</v>
      </c>
      <c r="S41" s="116"/>
      <c r="T41" s="116"/>
      <c r="U41" s="616">
        <v>64</v>
      </c>
      <c r="V41" s="618">
        <v>0.72729999999999995</v>
      </c>
      <c r="W41" s="619">
        <v>73</v>
      </c>
      <c r="X41" s="618">
        <v>0</v>
      </c>
      <c r="Y41" s="620">
        <v>100</v>
      </c>
    </row>
    <row r="42" spans="1:25" ht="12.75">
      <c r="A42" s="36" t="str">
        <f ca="1">IFERROR(__xludf.DUMMYFUNCTION("""COMPUTED_VALUE"""),"Борболюк Юлія")</f>
        <v>Борболюк Юлія</v>
      </c>
      <c r="B42" s="114">
        <f ca="1">IFERROR(__xludf.DUMMYFUNCTION("""COMPUTED_VALUE"""),0.0555555555555555)</f>
        <v>5.5555555555555497E-2</v>
      </c>
      <c r="C42" s="114">
        <f ca="1">IFERROR(__xludf.DUMMYFUNCTION("""COMPUTED_VALUE"""),0.670775776650929)</f>
        <v>0.67077577665092902</v>
      </c>
      <c r="D42" s="114">
        <f ca="1">IFERROR(__xludf.DUMMYFUNCTION("""COMPUTED_VALUE"""),0.0388888888888888)</f>
        <v>3.8888888888888799E-2</v>
      </c>
      <c r="E42" s="36"/>
      <c r="F42" s="36"/>
      <c r="G42" s="36" t="str">
        <f ca="1">IFERROR(__xludf.DUMMYFUNCTION("""COMPUTED_VALUE"""),"Греськів Тетяна")</f>
        <v>Греськів Тетяна</v>
      </c>
      <c r="H42" s="114">
        <f ca="1">IFERROR(__xludf.DUMMYFUNCTION("""COMPUTED_VALUE"""),0.493055555555555)</f>
        <v>0.49305555555555503</v>
      </c>
      <c r="I42" s="114">
        <f ca="1">IFERROR(__xludf.DUMMYFUNCTION("""COMPUTED_VALUE"""),0.995238095238095)</f>
        <v>0.99523809523809503</v>
      </c>
      <c r="J42" s="114">
        <f ca="1">IFERROR(__xludf.DUMMYFUNCTION("""COMPUTED_VALUE"""),0.147916666666666)</f>
        <v>0.147916666666666</v>
      </c>
      <c r="R42" s="117" t="s">
        <v>341</v>
      </c>
      <c r="S42" s="116"/>
      <c r="T42" s="116"/>
      <c r="U42" s="616">
        <v>97</v>
      </c>
      <c r="V42" s="618">
        <v>0.92330000000000001</v>
      </c>
      <c r="W42" s="619">
        <v>92</v>
      </c>
      <c r="X42" s="618">
        <v>4.0899999999999999E-2</v>
      </c>
      <c r="Y42" s="620">
        <v>96</v>
      </c>
    </row>
    <row r="43" spans="1:25" ht="12.75">
      <c r="A43" s="36" t="str">
        <f ca="1">IFERROR(__xludf.DUMMYFUNCTION("""COMPUTED_VALUE"""),"Борейчук Вікторія")</f>
        <v>Борейчук Вікторія</v>
      </c>
      <c r="B43" s="114">
        <f ca="1">IFERROR(__xludf.DUMMYFUNCTION("""COMPUTED_VALUE"""),0.152777777777777)</f>
        <v>0.15277777777777701</v>
      </c>
      <c r="C43" s="114">
        <f ca="1">IFERROR(__xludf.DUMMYFUNCTION("""COMPUTED_VALUE"""),0.743683510638297)</f>
        <v>0.74368351063829696</v>
      </c>
      <c r="D43" s="114">
        <f ca="1">IFERROR(__xludf.DUMMYFUNCTION("""COMPUTED_VALUE"""),0.106944444444444)</f>
        <v>0.106944444444444</v>
      </c>
      <c r="E43" s="36"/>
      <c r="F43" s="36"/>
      <c r="G43" s="36" t="str">
        <f ca="1">IFERROR(__xludf.DUMMYFUNCTION("""COMPUTED_VALUE"""),"Гриневич Олена")</f>
        <v>Гриневич Олена</v>
      </c>
      <c r="H43" s="114">
        <f ca="1">IFERROR(__xludf.DUMMYFUNCTION("""COMPUTED_VALUE"""),0)</f>
        <v>0</v>
      </c>
      <c r="I43" s="114">
        <f ca="1">IFERROR(__xludf.DUMMYFUNCTION("""COMPUTED_VALUE"""),0.102564102564102)</f>
        <v>0.10256410256410201</v>
      </c>
      <c r="J43" s="114">
        <f ca="1">IFERROR(__xludf.DUMMYFUNCTION("""COMPUTED_VALUE"""),0)</f>
        <v>0</v>
      </c>
      <c r="R43" s="117" t="s">
        <v>345</v>
      </c>
      <c r="S43" s="116"/>
      <c r="T43" s="116"/>
      <c r="U43" s="616">
        <v>82</v>
      </c>
      <c r="V43" s="618">
        <v>0.91279999999999994</v>
      </c>
      <c r="W43" s="619">
        <v>91</v>
      </c>
      <c r="X43" s="618">
        <v>2.5000000000000001E-2</v>
      </c>
      <c r="Y43" s="620">
        <v>98</v>
      </c>
    </row>
    <row r="44" spans="1:25" ht="12.75">
      <c r="A44" s="36" t="str">
        <f ca="1">IFERROR(__xludf.DUMMYFUNCTION("""COMPUTED_VALUE"""),"Борисов Артур")</f>
        <v>Борисов Артур</v>
      </c>
      <c r="B44" s="114">
        <f ca="1">IFERROR(__xludf.DUMMYFUNCTION("""COMPUTED_VALUE"""),0)</f>
        <v>0</v>
      </c>
      <c r="C44" s="114">
        <f ca="1">IFERROR(__xludf.DUMMYFUNCTION("""COMPUTED_VALUE"""),1.225)</f>
        <v>1.2250000000000001</v>
      </c>
      <c r="D44" s="114">
        <f ca="1">IFERROR(__xludf.DUMMYFUNCTION("""COMPUTED_VALUE"""),0)</f>
        <v>0</v>
      </c>
      <c r="E44" s="36"/>
      <c r="F44" s="36"/>
      <c r="G44" s="36" t="str">
        <f ca="1">IFERROR(__xludf.DUMMYFUNCTION("""COMPUTED_VALUE"""),"Гулак Антоніна")</f>
        <v>Гулак Антоніна</v>
      </c>
      <c r="H44" s="114">
        <f ca="1">IFERROR(__xludf.DUMMYFUNCTION("""COMPUTED_VALUE"""),0.1)</f>
        <v>0.1</v>
      </c>
      <c r="I44" s="114">
        <f ca="1">IFERROR(__xludf.DUMMYFUNCTION("""COMPUTED_VALUE"""),0.495833333333333)</f>
        <v>0.49583333333333302</v>
      </c>
      <c r="J44" s="114">
        <f ca="1">IFERROR(__xludf.DUMMYFUNCTION("""COMPUTED_VALUE"""),0.03)</f>
        <v>0.03</v>
      </c>
      <c r="R44" s="117" t="s">
        <v>348</v>
      </c>
      <c r="S44" s="116"/>
      <c r="T44" s="116"/>
      <c r="U44" s="616">
        <v>100</v>
      </c>
      <c r="V44" s="618">
        <v>0.68700000000000006</v>
      </c>
      <c r="W44" s="619">
        <v>69</v>
      </c>
      <c r="X44" s="618">
        <v>4.5100000000000001E-2</v>
      </c>
      <c r="Y44" s="620">
        <v>95</v>
      </c>
    </row>
    <row r="45" spans="1:25" ht="12.75">
      <c r="A45" s="36" t="str">
        <f ca="1">IFERROR(__xludf.DUMMYFUNCTION("""COMPUTED_VALUE"""),"Борисова Ксенія")</f>
        <v>Борисова Ксенія</v>
      </c>
      <c r="B45" s="114">
        <f ca="1">IFERROR(__xludf.DUMMYFUNCTION("""COMPUTED_VALUE"""),0.0571428571428571)</f>
        <v>5.7142857142857099E-2</v>
      </c>
      <c r="C45" s="114">
        <f ca="1">IFERROR(__xludf.DUMMYFUNCTION("""COMPUTED_VALUE"""),1.05498464173902)</f>
        <v>1.0549846417390201</v>
      </c>
      <c r="D45" s="114">
        <f ca="1">IFERROR(__xludf.DUMMYFUNCTION("""COMPUTED_VALUE"""),0.0399999999999999)</f>
        <v>3.9999999999999897E-2</v>
      </c>
      <c r="E45" s="36"/>
      <c r="F45" s="36"/>
      <c r="G45" s="36" t="str">
        <f ca="1">IFERROR(__xludf.DUMMYFUNCTION("""COMPUTED_VALUE"""),"Гункевич Еріка")</f>
        <v>Гункевич Еріка</v>
      </c>
      <c r="H45" s="114">
        <f ca="1">IFERROR(__xludf.DUMMYFUNCTION("""COMPUTED_VALUE"""),0.00216122261576807)</f>
        <v>2.1612226157680702E-3</v>
      </c>
      <c r="I45" s="114">
        <f ca="1">IFERROR(__xludf.DUMMYFUNCTION("""COMPUTED_VALUE"""),0.280277789434663)</f>
        <v>0.28027778943466303</v>
      </c>
      <c r="J45" s="114">
        <f ca="1">IFERROR(__xludf.DUMMYFUNCTION("""COMPUTED_VALUE"""),0.000648366784730422)</f>
        <v>6.4836678473042197E-4</v>
      </c>
      <c r="R45" s="117" t="s">
        <v>140</v>
      </c>
      <c r="S45" s="116"/>
      <c r="T45" s="116"/>
      <c r="U45" s="616">
        <v>100</v>
      </c>
      <c r="V45" s="618">
        <v>1.1289</v>
      </c>
      <c r="W45" s="619">
        <v>113</v>
      </c>
      <c r="X45" s="618">
        <v>9.7000000000000003E-3</v>
      </c>
      <c r="Y45" s="620">
        <v>99</v>
      </c>
    </row>
    <row r="46" spans="1:25" ht="12.75">
      <c r="A46" s="36" t="str">
        <f ca="1">IFERROR(__xludf.DUMMYFUNCTION("""COMPUTED_VALUE"""),"Боровікова Марина")</f>
        <v>Боровікова Марина</v>
      </c>
      <c r="B46" s="114">
        <f ca="1">IFERROR(__xludf.DUMMYFUNCTION("""COMPUTED_VALUE"""),0)</f>
        <v>0</v>
      </c>
      <c r="C46" s="114">
        <f ca="1">IFERROR(__xludf.DUMMYFUNCTION("""COMPUTED_VALUE"""),0.771428571428571)</f>
        <v>0.77142857142857102</v>
      </c>
      <c r="D46" s="114">
        <f ca="1">IFERROR(__xludf.DUMMYFUNCTION("""COMPUTED_VALUE"""),0)</f>
        <v>0</v>
      </c>
      <c r="E46" s="36"/>
      <c r="F46" s="36"/>
      <c r="G46" s="36" t="str">
        <f ca="1">IFERROR(__xludf.DUMMYFUNCTION("""COMPUTED_VALUE"""),"Гусарська Наталія")</f>
        <v>Гусарська Наталія</v>
      </c>
      <c r="H46" s="114">
        <f ca="1">IFERROR(__xludf.DUMMYFUNCTION("""COMPUTED_VALUE"""),0.15)</f>
        <v>0.15</v>
      </c>
      <c r="I46" s="114">
        <f ca="1">IFERROR(__xludf.DUMMYFUNCTION("""COMPUTED_VALUE"""),0.599431818181818)</f>
        <v>0.59943181818181801</v>
      </c>
      <c r="J46" s="114">
        <f ca="1">IFERROR(__xludf.DUMMYFUNCTION("""COMPUTED_VALUE"""),0.045)</f>
        <v>4.4999999999999998E-2</v>
      </c>
      <c r="R46" s="117" t="s">
        <v>354</v>
      </c>
      <c r="S46" s="116"/>
      <c r="T46" s="116"/>
      <c r="U46" s="616">
        <v>98</v>
      </c>
      <c r="V46" s="618">
        <v>0.75860000000000005</v>
      </c>
      <c r="W46" s="619">
        <v>76</v>
      </c>
      <c r="X46" s="618">
        <v>6.08E-2</v>
      </c>
      <c r="Y46" s="620">
        <v>94</v>
      </c>
    </row>
    <row r="47" spans="1:25" ht="12.75">
      <c r="A47" s="36" t="str">
        <f ca="1">IFERROR(__xludf.DUMMYFUNCTION("""COMPUTED_VALUE"""),"Боровко Римма")</f>
        <v>Боровко Римма</v>
      </c>
      <c r="B47" s="114">
        <f ca="1">IFERROR(__xludf.DUMMYFUNCTION("""COMPUTED_VALUE"""),0.122916666666666)</f>
        <v>0.12291666666666599</v>
      </c>
      <c r="C47" s="114">
        <f ca="1">IFERROR(__xludf.DUMMYFUNCTION("""COMPUTED_VALUE"""),0.974270466118292)</f>
        <v>0.97427046611829204</v>
      </c>
      <c r="D47" s="114">
        <f ca="1">IFERROR(__xludf.DUMMYFUNCTION("""COMPUTED_VALUE"""),0.0860416666666666)</f>
        <v>8.60416666666666E-2</v>
      </c>
      <c r="E47" s="36"/>
      <c r="F47" s="36"/>
      <c r="G47" s="36" t="str">
        <f ca="1">IFERROR(__xludf.DUMMYFUNCTION("""COMPUTED_VALUE"""),"Дегтяр Альона")</f>
        <v>Дегтяр Альона</v>
      </c>
      <c r="H47" s="114">
        <f ca="1">IFERROR(__xludf.DUMMYFUNCTION("""COMPUTED_VALUE"""),-0.0384615384615384)</f>
        <v>-3.8461538461538401E-2</v>
      </c>
      <c r="I47" s="114">
        <f ca="1">IFERROR(__xludf.DUMMYFUNCTION("""COMPUTED_VALUE"""),0.391339869281045)</f>
        <v>0.39133986928104503</v>
      </c>
      <c r="J47" s="114">
        <f ca="1">IFERROR(__xludf.DUMMYFUNCTION("""COMPUTED_VALUE"""),-0.0115384615384615)</f>
        <v>-1.1538461538461499E-2</v>
      </c>
      <c r="R47" s="117" t="s">
        <v>358</v>
      </c>
      <c r="S47" s="116"/>
      <c r="T47" s="116"/>
      <c r="U47" s="616">
        <v>90</v>
      </c>
      <c r="V47" s="618">
        <v>0.61380000000000001</v>
      </c>
      <c r="W47" s="619">
        <v>61</v>
      </c>
      <c r="X47" s="618">
        <v>5.74E-2</v>
      </c>
      <c r="Y47" s="620">
        <v>94</v>
      </c>
    </row>
    <row r="48" spans="1:25" ht="12.75">
      <c r="A48" s="36" t="str">
        <f ca="1">IFERROR(__xludf.DUMMYFUNCTION("""COMPUTED_VALUE"""),"Бородін Богдан")</f>
        <v>Бородін Богдан</v>
      </c>
      <c r="B48" s="114">
        <f ca="1">IFERROR(__xludf.DUMMYFUNCTION("""COMPUTED_VALUE"""),0.349650349650349)</f>
        <v>0.34965034965034902</v>
      </c>
      <c r="C48" s="114">
        <f ca="1">IFERROR(__xludf.DUMMYFUNCTION("""COMPUTED_VALUE"""),0.204495210022107)</f>
        <v>0.20449521002210699</v>
      </c>
      <c r="D48" s="114">
        <f ca="1">IFERROR(__xludf.DUMMYFUNCTION("""COMPUTED_VALUE"""),0.244755244755244)</f>
        <v>0.24475524475524399</v>
      </c>
      <c r="E48" s="36"/>
      <c r="F48" s="36"/>
      <c r="G48" s="36" t="str">
        <f ca="1">IFERROR(__xludf.DUMMYFUNCTION("""COMPUTED_VALUE"""),"Дементєєва Вероніка")</f>
        <v>Дементєєва Вероніка</v>
      </c>
      <c r="H48" s="114">
        <f ca="1">IFERROR(__xludf.DUMMYFUNCTION("""COMPUTED_VALUE"""),0.0902777777777777)</f>
        <v>9.0277777777777707E-2</v>
      </c>
      <c r="I48" s="114">
        <f ca="1">IFERROR(__xludf.DUMMYFUNCTION("""COMPUTED_VALUE"""),0.8171875)</f>
        <v>0.81718749999999996</v>
      </c>
      <c r="J48" s="114">
        <f ca="1">IFERROR(__xludf.DUMMYFUNCTION("""COMPUTED_VALUE"""),0.0270833333333333)</f>
        <v>2.70833333333333E-2</v>
      </c>
      <c r="R48" s="117" t="s">
        <v>364</v>
      </c>
      <c r="S48" s="116"/>
      <c r="T48" s="116"/>
      <c r="U48" s="616">
        <v>88</v>
      </c>
      <c r="V48" s="618">
        <v>0.93420000000000003</v>
      </c>
      <c r="W48" s="619">
        <v>93</v>
      </c>
      <c r="X48" s="618">
        <v>2.9899999999999999E-2</v>
      </c>
      <c r="Y48" s="620">
        <v>97</v>
      </c>
    </row>
    <row r="49" spans="1:25" ht="12.75">
      <c r="A49" s="36" t="str">
        <f ca="1">IFERROR(__xludf.DUMMYFUNCTION("""COMPUTED_VALUE"""),"Бородін Ярослав")</f>
        <v>Бородін Ярослав</v>
      </c>
      <c r="B49" s="114">
        <f ca="1">IFERROR(__xludf.DUMMYFUNCTION("""COMPUTED_VALUE"""),-0.375)</f>
        <v>-0.375</v>
      </c>
      <c r="C49" s="114">
        <f ca="1">IFERROR(__xludf.DUMMYFUNCTION("""COMPUTED_VALUE"""),0.735294117647058)</f>
        <v>0.73529411764705799</v>
      </c>
      <c r="D49" s="114">
        <f ca="1">IFERROR(__xludf.DUMMYFUNCTION("""COMPUTED_VALUE"""),-0.262499999999999)</f>
        <v>-0.26249999999999901</v>
      </c>
      <c r="E49" s="36"/>
      <c r="F49" s="36"/>
      <c r="G49" s="36" t="str">
        <f ca="1">IFERROR(__xludf.DUMMYFUNCTION("""COMPUTED_VALUE"""),"Демчук Марта")</f>
        <v>Демчук Марта</v>
      </c>
      <c r="H49" s="114">
        <f ca="1">IFERROR(__xludf.DUMMYFUNCTION("""COMPUTED_VALUE"""),0.0515873015873015)</f>
        <v>5.1587301587301501E-2</v>
      </c>
      <c r="I49" s="114">
        <f ca="1">IFERROR(__xludf.DUMMYFUNCTION("""COMPUTED_VALUE"""),0.873142135642135)</f>
        <v>0.87314213564213505</v>
      </c>
      <c r="J49" s="114">
        <f ca="1">IFERROR(__xludf.DUMMYFUNCTION("""COMPUTED_VALUE"""),0.0154761904761904)</f>
        <v>1.54761904761904E-2</v>
      </c>
      <c r="R49" s="117" t="s">
        <v>367</v>
      </c>
      <c r="S49" s="116"/>
      <c r="T49" s="116"/>
      <c r="U49" s="616">
        <v>91</v>
      </c>
      <c r="V49" s="618">
        <v>0.77800000000000002</v>
      </c>
      <c r="W49" s="619">
        <v>78</v>
      </c>
      <c r="X49" s="618">
        <v>0</v>
      </c>
      <c r="Y49" s="620">
        <v>100</v>
      </c>
    </row>
    <row r="50" spans="1:25" ht="12.75">
      <c r="A50" s="36" t="str">
        <f ca="1">IFERROR(__xludf.DUMMYFUNCTION("""COMPUTED_VALUE"""),"Босой Олена")</f>
        <v>Босой Олена</v>
      </c>
      <c r="B50" s="114">
        <f ca="1">IFERROR(__xludf.DUMMYFUNCTION("""COMPUTED_VALUE"""),0.0486111111111111)</f>
        <v>4.8611111111111098E-2</v>
      </c>
      <c r="C50" s="114">
        <f ca="1">IFERROR(__xludf.DUMMYFUNCTION("""COMPUTED_VALUE"""),0.785744139942041)</f>
        <v>0.78574413994204095</v>
      </c>
      <c r="D50" s="114">
        <f ca="1">IFERROR(__xludf.DUMMYFUNCTION("""COMPUTED_VALUE"""),0.0340277777777777)</f>
        <v>3.4027777777777699E-2</v>
      </c>
      <c r="E50" s="36"/>
      <c r="F50" s="36"/>
      <c r="G50" s="36" t="str">
        <f ca="1">IFERROR(__xludf.DUMMYFUNCTION("""COMPUTED_VALUE"""),"Денікевич Лілія")</f>
        <v>Денікевич Лілія</v>
      </c>
      <c r="H50" s="114">
        <f ca="1">IFERROR(__xludf.DUMMYFUNCTION("""COMPUTED_VALUE"""),0)</f>
        <v>0</v>
      </c>
      <c r="I50" s="114">
        <f ca="1">IFERROR(__xludf.DUMMYFUNCTION("""COMPUTED_VALUE"""),0.733333333333333)</f>
        <v>0.73333333333333295</v>
      </c>
      <c r="J50" s="114">
        <f ca="1">IFERROR(__xludf.DUMMYFUNCTION("""COMPUTED_VALUE"""),0)</f>
        <v>0</v>
      </c>
      <c r="R50" s="117" t="s">
        <v>373</v>
      </c>
      <c r="S50" s="116"/>
      <c r="T50" s="116"/>
      <c r="U50" s="616">
        <v>92</v>
      </c>
      <c r="V50" s="618">
        <v>0.71609999999999996</v>
      </c>
      <c r="W50" s="619">
        <v>72</v>
      </c>
      <c r="X50" s="618">
        <v>1.6799999999999999E-2</v>
      </c>
      <c r="Y50" s="620">
        <v>98</v>
      </c>
    </row>
    <row r="51" spans="1:25" ht="12.75">
      <c r="A51" s="36" t="str">
        <f ca="1">IFERROR(__xludf.DUMMYFUNCTION("""COMPUTED_VALUE"""),"Бровенко Борис")</f>
        <v>Бровенко Борис</v>
      </c>
      <c r="B51" s="114">
        <f ca="1">IFERROR(__xludf.DUMMYFUNCTION("""COMPUTED_VALUE"""),0.0952380952380952)</f>
        <v>9.5238095238095205E-2</v>
      </c>
      <c r="C51" s="114">
        <f ca="1">IFERROR(__xludf.DUMMYFUNCTION("""COMPUTED_VALUE"""),0.645969498910675)</f>
        <v>0.64596949891067501</v>
      </c>
      <c r="D51" s="114">
        <f ca="1">IFERROR(__xludf.DUMMYFUNCTION("""COMPUTED_VALUE"""),0.0666666666666666)</f>
        <v>6.6666666666666596E-2</v>
      </c>
      <c r="E51" s="36"/>
      <c r="F51" s="36"/>
      <c r="G51" s="36" t="str">
        <f ca="1">IFERROR(__xludf.DUMMYFUNCTION("""COMPUTED_VALUE"""),"Дєдова Оксана")</f>
        <v>Дєдова Оксана</v>
      </c>
      <c r="H51" s="114">
        <f ca="1">IFERROR(__xludf.DUMMYFUNCTION("""COMPUTED_VALUE"""),0.0582972582972582)</f>
        <v>5.8297258297258202E-2</v>
      </c>
      <c r="I51" s="114">
        <f ca="1">IFERROR(__xludf.DUMMYFUNCTION("""COMPUTED_VALUE"""),0.916124750006329)</f>
        <v>0.91612475000632898</v>
      </c>
      <c r="J51" s="114">
        <f ca="1">IFERROR(__xludf.DUMMYFUNCTION("""COMPUTED_VALUE"""),0.0174891774891774)</f>
        <v>1.7489177489177402E-2</v>
      </c>
      <c r="R51" s="117" t="s">
        <v>377</v>
      </c>
      <c r="S51" s="116"/>
      <c r="T51" s="116"/>
      <c r="U51" s="616">
        <v>95</v>
      </c>
      <c r="V51" s="618">
        <v>0.96909999999999996</v>
      </c>
      <c r="W51" s="619">
        <v>97</v>
      </c>
      <c r="X51" s="618">
        <v>-5.57E-2</v>
      </c>
      <c r="Y51" s="620">
        <v>106</v>
      </c>
    </row>
    <row r="52" spans="1:25" ht="12.75">
      <c r="A52" s="36" t="str">
        <f ca="1">IFERROR(__xludf.DUMMYFUNCTION("""COMPUTED_VALUE"""),"Бровченко Вікторія")</f>
        <v>Бровченко Вікторія</v>
      </c>
      <c r="B52" s="114">
        <f ca="1">IFERROR(__xludf.DUMMYFUNCTION("""COMPUTED_VALUE"""),0.0277777777777777)</f>
        <v>2.77777777777777E-2</v>
      </c>
      <c r="C52" s="114">
        <f ca="1">IFERROR(__xludf.DUMMYFUNCTION("""COMPUTED_VALUE"""),1.00584415584415)</f>
        <v>1.00584415584415</v>
      </c>
      <c r="D52" s="114">
        <f ca="1">IFERROR(__xludf.DUMMYFUNCTION("""COMPUTED_VALUE"""),0.0194444444444444)</f>
        <v>1.94444444444444E-2</v>
      </c>
      <c r="E52" s="36"/>
      <c r="F52" s="36"/>
      <c r="G52" s="36" t="str">
        <f ca="1">IFERROR(__xludf.DUMMYFUNCTION("""COMPUTED_VALUE"""),"Діденко Юлія")</f>
        <v>Діденко Юлія</v>
      </c>
      <c r="H52" s="114">
        <f ca="1">IFERROR(__xludf.DUMMYFUNCTION("""COMPUTED_VALUE"""),0)</f>
        <v>0</v>
      </c>
      <c r="I52" s="114">
        <f ca="1">IFERROR(__xludf.DUMMYFUNCTION("""COMPUTED_VALUE"""),0.729166666666666)</f>
        <v>0.72916666666666596</v>
      </c>
      <c r="J52" s="114">
        <f ca="1">IFERROR(__xludf.DUMMYFUNCTION("""COMPUTED_VALUE"""),0)</f>
        <v>0</v>
      </c>
      <c r="R52" s="117" t="s">
        <v>380</v>
      </c>
      <c r="S52" s="116"/>
      <c r="T52" s="116"/>
      <c r="U52" s="616">
        <v>83</v>
      </c>
      <c r="V52" s="618">
        <v>0.91190000000000004</v>
      </c>
      <c r="W52" s="619">
        <v>91</v>
      </c>
      <c r="X52" s="618">
        <v>2.3300000000000001E-2</v>
      </c>
      <c r="Y52" s="620">
        <v>98</v>
      </c>
    </row>
    <row r="53" spans="1:25" ht="12.75">
      <c r="A53" s="36" t="str">
        <f ca="1">IFERROR(__xludf.DUMMYFUNCTION("""COMPUTED_VALUE"""),"Бугайов Костянтин")</f>
        <v>Бугайов Костянтин</v>
      </c>
      <c r="B53" s="114">
        <f ca="1">IFERROR(__xludf.DUMMYFUNCTION("""COMPUTED_VALUE"""),0.037037037037037)</f>
        <v>3.7037037037037E-2</v>
      </c>
      <c r="C53" s="114">
        <f ca="1">IFERROR(__xludf.DUMMYFUNCTION("""COMPUTED_VALUE"""),0.942857142857142)</f>
        <v>0.94285714285714195</v>
      </c>
      <c r="D53" s="114">
        <f ca="1">IFERROR(__xludf.DUMMYFUNCTION("""COMPUTED_VALUE"""),0.0259259259259259)</f>
        <v>2.5925925925925901E-2</v>
      </c>
      <c r="E53" s="36"/>
      <c r="F53" s="36"/>
      <c r="G53" s="36" t="str">
        <f ca="1">IFERROR(__xludf.DUMMYFUNCTION("""COMPUTED_VALUE"""),"Дітчик Вікторія")</f>
        <v>Дітчик Вікторія</v>
      </c>
      <c r="H53" s="114">
        <f ca="1">IFERROR(__xludf.DUMMYFUNCTION("""COMPUTED_VALUE"""),0.0772727272727272)</f>
        <v>7.7272727272727201E-2</v>
      </c>
      <c r="I53" s="114">
        <f ca="1">IFERROR(__xludf.DUMMYFUNCTION("""COMPUTED_VALUE"""),0.332944832944832)</f>
        <v>0.33294483294483201</v>
      </c>
      <c r="J53" s="114">
        <f ca="1">IFERROR(__xludf.DUMMYFUNCTION("""COMPUTED_VALUE"""),0.0231818181818181)</f>
        <v>2.3181818181818099E-2</v>
      </c>
      <c r="R53" s="117" t="s">
        <v>383</v>
      </c>
      <c r="S53" s="116"/>
      <c r="T53" s="116"/>
      <c r="U53" s="616">
        <v>99</v>
      </c>
      <c r="V53" s="618">
        <v>0.91279999999999994</v>
      </c>
      <c r="W53" s="619">
        <v>91</v>
      </c>
      <c r="X53" s="618">
        <v>5.2900000000000003E-2</v>
      </c>
      <c r="Y53" s="620">
        <v>95</v>
      </c>
    </row>
    <row r="54" spans="1:25" ht="12.75">
      <c r="A54" s="36" t="str">
        <f ca="1">IFERROR(__xludf.DUMMYFUNCTION("""COMPUTED_VALUE"""),"Бугайова Ярослава")</f>
        <v>Бугайова Ярослава</v>
      </c>
      <c r="B54" s="114">
        <f ca="1">IFERROR(__xludf.DUMMYFUNCTION("""COMPUTED_VALUE"""),0)</f>
        <v>0</v>
      </c>
      <c r="C54" s="114">
        <f ca="1">IFERROR(__xludf.DUMMYFUNCTION("""COMPUTED_VALUE"""),0.747916666666666)</f>
        <v>0.74791666666666601</v>
      </c>
      <c r="D54" s="114">
        <f ca="1">IFERROR(__xludf.DUMMYFUNCTION("""COMPUTED_VALUE"""),0)</f>
        <v>0</v>
      </c>
      <c r="E54" s="36"/>
      <c r="F54" s="36"/>
      <c r="G54" s="36" t="str">
        <f ca="1">IFERROR(__xludf.DUMMYFUNCTION("""COMPUTED_VALUE"""),"Дмитренко Катерина")</f>
        <v>Дмитренко Катерина</v>
      </c>
      <c r="H54" s="114">
        <f ca="1">IFERROR(__xludf.DUMMYFUNCTION("""COMPUTED_VALUE"""),0.166666666666666)</f>
        <v>0.16666666666666599</v>
      </c>
      <c r="I54" s="114">
        <f ca="1">IFERROR(__xludf.DUMMYFUNCTION("""COMPUTED_VALUE"""),0.521739130434782)</f>
        <v>0.52173913043478204</v>
      </c>
      <c r="J54" s="114">
        <f ca="1">IFERROR(__xludf.DUMMYFUNCTION("""COMPUTED_VALUE"""),0.0499999999999999)</f>
        <v>4.9999999999999899E-2</v>
      </c>
      <c r="R54" s="117" t="s">
        <v>387</v>
      </c>
      <c r="S54" s="116"/>
      <c r="T54" s="116"/>
      <c r="U54" s="616">
        <v>91</v>
      </c>
      <c r="V54" s="618">
        <v>0.72</v>
      </c>
      <c r="W54" s="619">
        <v>72</v>
      </c>
      <c r="X54" s="618">
        <v>0.1</v>
      </c>
      <c r="Y54" s="620">
        <v>90</v>
      </c>
    </row>
    <row r="55" spans="1:25" ht="12.75">
      <c r="A55" s="36" t="str">
        <f ca="1">IFERROR(__xludf.DUMMYFUNCTION("""COMPUTED_VALUE"""),"Букша Данило")</f>
        <v>Букша Данило</v>
      </c>
      <c r="B55" s="114">
        <f ca="1">IFERROR(__xludf.DUMMYFUNCTION("""COMPUTED_VALUE"""),0.0454545454545454)</f>
        <v>4.54545454545454E-2</v>
      </c>
      <c r="C55" s="114">
        <f ca="1">IFERROR(__xludf.DUMMYFUNCTION("""COMPUTED_VALUE"""),0.7625)</f>
        <v>0.76249999999999996</v>
      </c>
      <c r="D55" s="114">
        <f ca="1">IFERROR(__xludf.DUMMYFUNCTION("""COMPUTED_VALUE"""),0.0318181818181818)</f>
        <v>3.1818181818181801E-2</v>
      </c>
      <c r="E55" s="36"/>
      <c r="F55" s="36"/>
      <c r="G55" s="36" t="str">
        <f ca="1">IFERROR(__xludf.DUMMYFUNCTION("""COMPUTED_VALUE"""),"Дмитренко Юлія")</f>
        <v>Дмитренко Юлія</v>
      </c>
      <c r="H55" s="114">
        <f ca="1">IFERROR(__xludf.DUMMYFUNCTION("""COMPUTED_VALUE"""),0.05)</f>
        <v>0.05</v>
      </c>
      <c r="I55" s="114">
        <f ca="1">IFERROR(__xludf.DUMMYFUNCTION("""COMPUTED_VALUE"""),0.409027777777777)</f>
        <v>0.40902777777777699</v>
      </c>
      <c r="J55" s="114">
        <f ca="1">IFERROR(__xludf.DUMMYFUNCTION("""COMPUTED_VALUE"""),0.015)</f>
        <v>1.4999999999999999E-2</v>
      </c>
      <c r="R55" s="117" t="s">
        <v>394</v>
      </c>
      <c r="S55" s="116"/>
      <c r="T55" s="116"/>
      <c r="U55" s="616">
        <v>71</v>
      </c>
      <c r="V55" s="618">
        <v>1.2778</v>
      </c>
      <c r="W55" s="619">
        <v>128</v>
      </c>
      <c r="X55" s="618">
        <v>0.2</v>
      </c>
      <c r="Y55" s="620">
        <v>80</v>
      </c>
    </row>
    <row r="56" spans="1:25" ht="12.75">
      <c r="A56" s="36" t="str">
        <f ca="1">IFERROR(__xludf.DUMMYFUNCTION("""COMPUTED_VALUE"""),"Буланова Ангеліна")</f>
        <v>Буланова Ангеліна</v>
      </c>
      <c r="B56" s="114">
        <f ca="1">IFERROR(__xludf.DUMMYFUNCTION("""COMPUTED_VALUE"""),-0.272727272727272)</f>
        <v>-0.27272727272727199</v>
      </c>
      <c r="C56" s="114">
        <f ca="1">IFERROR(__xludf.DUMMYFUNCTION("""COMPUTED_VALUE"""),1.05380434782608)</f>
        <v>1.0538043478260799</v>
      </c>
      <c r="D56" s="114">
        <f ca="1">IFERROR(__xludf.DUMMYFUNCTION("""COMPUTED_VALUE"""),-0.19090909090909)</f>
        <v>-0.19090909090909</v>
      </c>
      <c r="E56" s="36"/>
      <c r="F56" s="36"/>
      <c r="G56" s="36" t="str">
        <f ca="1">IFERROR(__xludf.DUMMYFUNCTION("""COMPUTED_VALUE"""),"Дмитриєвський Олексій")</f>
        <v>Дмитриєвський Олексій</v>
      </c>
      <c r="H56" s="114">
        <f ca="1">IFERROR(__xludf.DUMMYFUNCTION("""COMPUTED_VALUE"""),-0.00129870129870129)</f>
        <v>-1.29870129870129E-3</v>
      </c>
      <c r="I56" s="114">
        <f ca="1">IFERROR(__xludf.DUMMYFUNCTION("""COMPUTED_VALUE"""),0.591113292392362)</f>
        <v>0.59111329239236199</v>
      </c>
      <c r="J56" s="114">
        <f ca="1">IFERROR(__xludf.DUMMYFUNCTION("""COMPUTED_VALUE"""),-0.000389610389610389)</f>
        <v>-3.8961038961038901E-4</v>
      </c>
      <c r="R56" s="117" t="s">
        <v>397</v>
      </c>
      <c r="S56" s="116"/>
      <c r="T56" s="116"/>
      <c r="U56" s="616">
        <v>81</v>
      </c>
      <c r="V56" s="618">
        <v>1.0001</v>
      </c>
      <c r="W56" s="619">
        <v>100</v>
      </c>
      <c r="X56" s="618">
        <v>4.24E-2</v>
      </c>
      <c r="Y56" s="620">
        <v>96</v>
      </c>
    </row>
    <row r="57" spans="1:25" ht="12.75">
      <c r="A57" s="36" t="str">
        <f ca="1">IFERROR(__xludf.DUMMYFUNCTION("""COMPUTED_VALUE"""),"Бур'ян Олександра")</f>
        <v>Бур'ян Олександра</v>
      </c>
      <c r="B57" s="114">
        <f ca="1">IFERROR(__xludf.DUMMYFUNCTION("""COMPUTED_VALUE"""),0.0485714285714285)</f>
        <v>4.8571428571428502E-2</v>
      </c>
      <c r="C57" s="114">
        <f ca="1">IFERROR(__xludf.DUMMYFUNCTION("""COMPUTED_VALUE"""),1.15012464387464)</f>
        <v>1.15012464387464</v>
      </c>
      <c r="D57" s="114">
        <f ca="1">IFERROR(__xludf.DUMMYFUNCTION("""COMPUTED_VALUE"""),0.0339999999999999)</f>
        <v>3.3999999999999898E-2</v>
      </c>
      <c r="E57" s="36"/>
      <c r="F57" s="36"/>
      <c r="G57" s="36" t="str">
        <f ca="1">IFERROR(__xludf.DUMMYFUNCTION("""COMPUTED_VALUE"""),"Дмитриєвський Юрій-Георгій")</f>
        <v>Дмитриєвський Юрій-Георгій</v>
      </c>
      <c r="H57" s="114">
        <f ca="1">IFERROR(__xludf.DUMMYFUNCTION("""COMPUTED_VALUE"""),0.166666666666666)</f>
        <v>0.16666666666666599</v>
      </c>
      <c r="I57" s="114">
        <f ca="1">IFERROR(__xludf.DUMMYFUNCTION("""COMPUTED_VALUE"""),0.652173913043478)</f>
        <v>0.65217391304347805</v>
      </c>
      <c r="J57" s="114">
        <f ca="1">IFERROR(__xludf.DUMMYFUNCTION("""COMPUTED_VALUE"""),0.0499999999999999)</f>
        <v>4.9999999999999899E-2</v>
      </c>
      <c r="R57" s="117" t="s">
        <v>400</v>
      </c>
      <c r="S57" s="116"/>
      <c r="T57" s="116"/>
      <c r="U57" s="616">
        <v>95</v>
      </c>
      <c r="V57" s="618">
        <v>1.5333000000000001</v>
      </c>
      <c r="W57" s="619">
        <v>153</v>
      </c>
      <c r="X57" s="618">
        <v>0</v>
      </c>
      <c r="Y57" s="620">
        <v>100</v>
      </c>
    </row>
    <row r="58" spans="1:25" ht="12.75">
      <c r="A58" s="36" t="str">
        <f ca="1">IFERROR(__xludf.DUMMYFUNCTION("""COMPUTED_VALUE"""),"Бусова Альона")</f>
        <v>Бусова Альона</v>
      </c>
      <c r="B58" s="114">
        <f ca="1">IFERROR(__xludf.DUMMYFUNCTION("""COMPUTED_VALUE"""),0)</f>
        <v>0</v>
      </c>
      <c r="C58" s="114">
        <f ca="1">IFERROR(__xludf.DUMMYFUNCTION("""COMPUTED_VALUE"""),0.709090909090909)</f>
        <v>0.70909090909090899</v>
      </c>
      <c r="D58" s="114">
        <f ca="1">IFERROR(__xludf.DUMMYFUNCTION("""COMPUTED_VALUE"""),0)</f>
        <v>0</v>
      </c>
      <c r="E58" s="36"/>
      <c r="F58" s="36"/>
      <c r="G58" s="36" t="str">
        <f ca="1">IFERROR(__xludf.DUMMYFUNCTION("""COMPUTED_VALUE"""),"Дмитрук Олександра")</f>
        <v>Дмитрук Олександра</v>
      </c>
      <c r="H58" s="114">
        <f ca="1">IFERROR(__xludf.DUMMYFUNCTION("""COMPUTED_VALUE"""),0.03125)</f>
        <v>3.125E-2</v>
      </c>
      <c r="I58" s="114">
        <f ca="1">IFERROR(__xludf.DUMMYFUNCTION("""COMPUTED_VALUE"""),0.486720779220779)</f>
        <v>0.486720779220779</v>
      </c>
      <c r="J58" s="114">
        <f ca="1">IFERROR(__xludf.DUMMYFUNCTION("""COMPUTED_VALUE"""),0.009375)</f>
        <v>9.3749999999999997E-3</v>
      </c>
      <c r="R58" s="117" t="s">
        <v>404</v>
      </c>
      <c r="S58" s="116"/>
      <c r="T58" s="116"/>
      <c r="U58" s="616">
        <v>97</v>
      </c>
      <c r="V58" s="618">
        <v>0.5</v>
      </c>
      <c r="W58" s="619">
        <v>50</v>
      </c>
      <c r="X58" s="618">
        <v>0.17499999999999999</v>
      </c>
      <c r="Y58" s="620">
        <v>83</v>
      </c>
    </row>
    <row r="59" spans="1:25" ht="12.75">
      <c r="A59" s="36" t="str">
        <f ca="1">IFERROR(__xludf.DUMMYFUNCTION("""COMPUTED_VALUE"""),"Бутко Карина")</f>
        <v>Бутко Карина</v>
      </c>
      <c r="B59" s="114">
        <f ca="1">IFERROR(__xludf.DUMMYFUNCTION("""COMPUTED_VALUE"""),0.0909090909090909)</f>
        <v>9.0909090909090898E-2</v>
      </c>
      <c r="C59" s="114">
        <f ca="1">IFERROR(__xludf.DUMMYFUNCTION("""COMPUTED_VALUE"""),0.442307692307692)</f>
        <v>0.44230769230769201</v>
      </c>
      <c r="D59" s="114">
        <f ca="1">IFERROR(__xludf.DUMMYFUNCTION("""COMPUTED_VALUE"""),0.0636363636363636)</f>
        <v>6.3636363636363602E-2</v>
      </c>
      <c r="E59" s="36"/>
      <c r="F59" s="36"/>
      <c r="G59" s="36" t="str">
        <f ca="1">IFERROR(__xludf.DUMMYFUNCTION("""COMPUTED_VALUE"""),"Домажирська Неля")</f>
        <v>Домажирська Неля</v>
      </c>
      <c r="H59" s="114">
        <f ca="1">IFERROR(__xludf.DUMMYFUNCTION("""COMPUTED_VALUE"""),0)</f>
        <v>0</v>
      </c>
      <c r="I59" s="114">
        <f ca="1">IFERROR(__xludf.DUMMYFUNCTION("""COMPUTED_VALUE"""),0.6)</f>
        <v>0.6</v>
      </c>
      <c r="J59" s="114">
        <f ca="1">IFERROR(__xludf.DUMMYFUNCTION("""COMPUTED_VALUE"""),0)</f>
        <v>0</v>
      </c>
      <c r="R59" s="117" t="s">
        <v>410</v>
      </c>
      <c r="S59" s="116"/>
      <c r="T59" s="116"/>
      <c r="U59" s="616">
        <v>100</v>
      </c>
      <c r="V59" s="618">
        <v>0.94969999999999999</v>
      </c>
      <c r="W59" s="619">
        <v>95</v>
      </c>
      <c r="X59" s="618">
        <v>3.78E-2</v>
      </c>
      <c r="Y59" s="620">
        <v>96</v>
      </c>
    </row>
    <row r="60" spans="1:25" ht="12.75">
      <c r="A60" s="36" t="str">
        <f ca="1">IFERROR(__xludf.DUMMYFUNCTION("""COMPUTED_VALUE"""),"Валенчук Світлана")</f>
        <v>Валенчук Світлана</v>
      </c>
      <c r="B60" s="114">
        <f ca="1">IFERROR(__xludf.DUMMYFUNCTION("""COMPUTED_VALUE"""),0)</f>
        <v>0</v>
      </c>
      <c r="C60" s="114">
        <f ca="1">IFERROR(__xludf.DUMMYFUNCTION("""COMPUTED_VALUE"""),0.431944444444444)</f>
        <v>0.43194444444444402</v>
      </c>
      <c r="D60" s="114">
        <f ca="1">IFERROR(__xludf.DUMMYFUNCTION("""COMPUTED_VALUE"""),0)</f>
        <v>0</v>
      </c>
      <c r="E60" s="36"/>
      <c r="F60" s="36"/>
      <c r="G60" s="36" t="str">
        <f ca="1">IFERROR(__xludf.DUMMYFUNCTION("""COMPUTED_VALUE"""),"Доморацька Валерія")</f>
        <v>Доморацька Валерія</v>
      </c>
      <c r="H60" s="114">
        <f ca="1">IFERROR(__xludf.DUMMYFUNCTION("""COMPUTED_VALUE"""),0.0714285714285714)</f>
        <v>7.1428571428571397E-2</v>
      </c>
      <c r="I60" s="114">
        <f ca="1">IFERROR(__xludf.DUMMYFUNCTION("""COMPUTED_VALUE"""),0.611111111111111)</f>
        <v>0.61111111111111105</v>
      </c>
      <c r="J60" s="114">
        <f ca="1">IFERROR(__xludf.DUMMYFUNCTION("""COMPUTED_VALUE"""),0.0214285714285714)</f>
        <v>2.1428571428571401E-2</v>
      </c>
      <c r="R60" s="117" t="s">
        <v>416</v>
      </c>
      <c r="S60" s="116"/>
      <c r="T60" s="116"/>
      <c r="U60" s="616">
        <v>97</v>
      </c>
      <c r="V60" s="618">
        <v>1.2861</v>
      </c>
      <c r="W60" s="619">
        <v>129</v>
      </c>
      <c r="X60" s="618">
        <v>8.0500000000000002E-2</v>
      </c>
      <c r="Y60" s="620">
        <v>92</v>
      </c>
    </row>
    <row r="61" spans="1:25" ht="12.75">
      <c r="A61" s="36" t="str">
        <f ca="1">IFERROR(__xludf.DUMMYFUNCTION("""COMPUTED_VALUE"""),"Вальчевський Василь")</f>
        <v>Вальчевський Василь</v>
      </c>
      <c r="B61" s="114">
        <f ca="1">IFERROR(__xludf.DUMMYFUNCTION("""COMPUTED_VALUE"""),0.142857142857142)</f>
        <v>0.14285714285714199</v>
      </c>
      <c r="C61" s="114">
        <f ca="1">IFERROR(__xludf.DUMMYFUNCTION("""COMPUTED_VALUE"""),0.25)</f>
        <v>0.25</v>
      </c>
      <c r="D61" s="114">
        <f ca="1">IFERROR(__xludf.DUMMYFUNCTION("""COMPUTED_VALUE"""),0.0999999999999999)</f>
        <v>9.9999999999999895E-2</v>
      </c>
      <c r="E61" s="36"/>
      <c r="F61" s="36"/>
      <c r="G61" s="36" t="str">
        <f ca="1">IFERROR(__xludf.DUMMYFUNCTION("""COMPUTED_VALUE"""),"Дуденко Аліса")</f>
        <v>Дуденко Аліса</v>
      </c>
      <c r="H61" s="114">
        <f ca="1">IFERROR(__xludf.DUMMYFUNCTION("""COMPUTED_VALUE"""),0.037980327753055)</f>
        <v>3.7980327753055002E-2</v>
      </c>
      <c r="I61" s="114">
        <f ca="1">IFERROR(__xludf.DUMMYFUNCTION("""COMPUTED_VALUE"""),0.46709489243776)</f>
        <v>0.46709489243775998</v>
      </c>
      <c r="J61" s="114">
        <f ca="1">IFERROR(__xludf.DUMMYFUNCTION("""COMPUTED_VALUE"""),0.0113940983259165)</f>
        <v>1.13940983259165E-2</v>
      </c>
      <c r="R61" s="117" t="s">
        <v>420</v>
      </c>
      <c r="S61" s="116"/>
      <c r="T61" s="116"/>
      <c r="U61" s="616">
        <v>94</v>
      </c>
      <c r="V61" s="116" t="s">
        <v>9805</v>
      </c>
      <c r="W61" s="617" t="s">
        <v>9805</v>
      </c>
      <c r="X61" s="116" t="s">
        <v>9805</v>
      </c>
      <c r="Y61" s="116" t="s">
        <v>9805</v>
      </c>
    </row>
    <row r="62" spans="1:25" ht="12.75">
      <c r="A62" s="36" t="str">
        <f ca="1">IFERROR(__xludf.DUMMYFUNCTION("""COMPUTED_VALUE"""),"Ванда Вікторія")</f>
        <v>Ванда Вікторія</v>
      </c>
      <c r="B62" s="114">
        <f ca="1">IFERROR(__xludf.DUMMYFUNCTION("""COMPUTED_VALUE"""),0)</f>
        <v>0</v>
      </c>
      <c r="C62" s="114">
        <f ca="1">IFERROR(__xludf.DUMMYFUNCTION("""COMPUTED_VALUE"""),0.375)</f>
        <v>0.375</v>
      </c>
      <c r="D62" s="114">
        <f ca="1">IFERROR(__xludf.DUMMYFUNCTION("""COMPUTED_VALUE"""),0)</f>
        <v>0</v>
      </c>
      <c r="E62" s="36"/>
      <c r="F62" s="36"/>
      <c r="G62" s="36" t="str">
        <f ca="1">IFERROR(__xludf.DUMMYFUNCTION("""COMPUTED_VALUE"""),"Дудка Інна")</f>
        <v>Дудка Інна</v>
      </c>
      <c r="H62" s="114">
        <f ca="1">IFERROR(__xludf.DUMMYFUNCTION("""COMPUTED_VALUE"""),0)</f>
        <v>0</v>
      </c>
      <c r="I62" s="114">
        <f ca="1">IFERROR(__xludf.DUMMYFUNCTION("""COMPUTED_VALUE"""),0.601190476190476)</f>
        <v>0.60119047619047605</v>
      </c>
      <c r="J62" s="114">
        <f ca="1">IFERROR(__xludf.DUMMYFUNCTION("""COMPUTED_VALUE"""),0)</f>
        <v>0</v>
      </c>
      <c r="R62" s="117" t="s">
        <v>423</v>
      </c>
      <c r="S62" s="116"/>
      <c r="T62" s="116"/>
      <c r="U62" s="616">
        <v>97</v>
      </c>
      <c r="V62" s="618">
        <v>0.5292</v>
      </c>
      <c r="W62" s="619">
        <v>53</v>
      </c>
      <c r="X62" s="618">
        <v>2.92E-2</v>
      </c>
      <c r="Y62" s="620">
        <v>97</v>
      </c>
    </row>
    <row r="63" spans="1:25" ht="12.75">
      <c r="A63" s="36" t="str">
        <f ca="1">IFERROR(__xludf.DUMMYFUNCTION("""COMPUTED_VALUE"""),"Василевський Дмитро")</f>
        <v>Василевський Дмитро</v>
      </c>
      <c r="B63" s="114">
        <f ca="1">IFERROR(__xludf.DUMMYFUNCTION("""COMPUTED_VALUE"""),0.333333333333333)</f>
        <v>0.33333333333333298</v>
      </c>
      <c r="C63" s="114">
        <f ca="1">IFERROR(__xludf.DUMMYFUNCTION("""COMPUTED_VALUE"""),0.962962962962962)</f>
        <v>0.96296296296296202</v>
      </c>
      <c r="D63" s="114">
        <f ca="1">IFERROR(__xludf.DUMMYFUNCTION("""COMPUTED_VALUE"""),0.233333333333333)</f>
        <v>0.233333333333333</v>
      </c>
      <c r="E63" s="36"/>
      <c r="F63" s="36"/>
      <c r="G63" s="36" t="str">
        <f ca="1">IFERROR(__xludf.DUMMYFUNCTION("""COMPUTED_VALUE"""),"Єфременко Євгенія")</f>
        <v>Єфременко Євгенія</v>
      </c>
      <c r="H63" s="114">
        <f ca="1">IFERROR(__xludf.DUMMYFUNCTION("""COMPUTED_VALUE"""),0.0174603174603174)</f>
        <v>1.7460317460317398E-2</v>
      </c>
      <c r="I63" s="114">
        <f ca="1">IFERROR(__xludf.DUMMYFUNCTION("""COMPUTED_VALUE"""),0.768639346764346)</f>
        <v>0.76863934676434598</v>
      </c>
      <c r="J63" s="114">
        <f ca="1">IFERROR(__xludf.DUMMYFUNCTION("""COMPUTED_VALUE"""),0.00523809523809523)</f>
        <v>5.2380952380952301E-3</v>
      </c>
      <c r="R63" s="117" t="s">
        <v>426</v>
      </c>
      <c r="S63" s="116"/>
      <c r="T63" s="116"/>
      <c r="U63" s="616">
        <v>93</v>
      </c>
      <c r="V63" s="618">
        <v>0.46</v>
      </c>
      <c r="W63" s="619">
        <v>46</v>
      </c>
      <c r="X63" s="618">
        <v>5.3800000000000001E-2</v>
      </c>
      <c r="Y63" s="620">
        <v>95</v>
      </c>
    </row>
    <row r="64" spans="1:25" ht="12.75">
      <c r="A64" s="36" t="str">
        <f ca="1">IFERROR(__xludf.DUMMYFUNCTION("""COMPUTED_VALUE"""),"Васильєва Ірина")</f>
        <v>Васильєва Ірина</v>
      </c>
      <c r="B64" s="114">
        <f ca="1">IFERROR(__xludf.DUMMYFUNCTION("""COMPUTED_VALUE"""),0)</f>
        <v>0</v>
      </c>
      <c r="C64" s="114">
        <f ca="1">IFERROR(__xludf.DUMMYFUNCTION("""COMPUTED_VALUE"""),1.00624999999999)</f>
        <v>1.0062499999999901</v>
      </c>
      <c r="D64" s="114">
        <f ca="1">IFERROR(__xludf.DUMMYFUNCTION("""COMPUTED_VALUE"""),0)</f>
        <v>0</v>
      </c>
      <c r="E64" s="36"/>
      <c r="F64" s="36"/>
      <c r="G64" s="36" t="str">
        <f ca="1">IFERROR(__xludf.DUMMYFUNCTION("""COMPUTED_VALUE"""),"Жеронкін Антон")</f>
        <v>Жеронкін Антон</v>
      </c>
      <c r="H64" s="114">
        <f ca="1">IFERROR(__xludf.DUMMYFUNCTION("""COMPUTED_VALUE"""),0.0256696428571428)</f>
        <v>2.5669642857142801E-2</v>
      </c>
      <c r="I64" s="114">
        <f ca="1">IFERROR(__xludf.DUMMYFUNCTION("""COMPUTED_VALUE"""),0.506389472694368)</f>
        <v>0.50638947269436796</v>
      </c>
      <c r="J64" s="114">
        <f ca="1">IFERROR(__xludf.DUMMYFUNCTION("""COMPUTED_VALUE"""),0.00770089285714285)</f>
        <v>7.7008928571428497E-3</v>
      </c>
      <c r="R64" s="117" t="s">
        <v>433</v>
      </c>
      <c r="S64" s="116"/>
      <c r="T64" s="116"/>
      <c r="U64" s="616">
        <v>85</v>
      </c>
      <c r="V64" s="618">
        <v>0.94869999999999999</v>
      </c>
      <c r="W64" s="619">
        <v>95</v>
      </c>
      <c r="X64" s="618">
        <v>0</v>
      </c>
      <c r="Y64" s="620">
        <v>100</v>
      </c>
    </row>
    <row r="65" spans="1:25" ht="12.75">
      <c r="A65" s="36" t="str">
        <f ca="1">IFERROR(__xludf.DUMMYFUNCTION("""COMPUTED_VALUE"""),"Васько Богдан")</f>
        <v>Васько Богдан</v>
      </c>
      <c r="B65" s="114">
        <f ca="1">IFERROR(__xludf.DUMMYFUNCTION("""COMPUTED_VALUE"""),-0.1)</f>
        <v>-0.1</v>
      </c>
      <c r="C65" s="114">
        <f ca="1">IFERROR(__xludf.DUMMYFUNCTION("""COMPUTED_VALUE"""),1.05357142857142)</f>
        <v>1.0535714285714199</v>
      </c>
      <c r="D65" s="114">
        <f ca="1">IFERROR(__xludf.DUMMYFUNCTION("""COMPUTED_VALUE"""),-0.0699999999999999)</f>
        <v>-6.9999999999999896E-2</v>
      </c>
      <c r="E65" s="36"/>
      <c r="F65" s="36"/>
      <c r="G65" s="36" t="str">
        <f ca="1">IFERROR(__xludf.DUMMYFUNCTION("""COMPUTED_VALUE"""),"Жулковська Анастасія")</f>
        <v>Жулковська Анастасія</v>
      </c>
      <c r="H65" s="114">
        <f ca="1">IFERROR(__xludf.DUMMYFUNCTION("""COMPUTED_VALUE"""),0.123688811188811)</f>
        <v>0.123688811188811</v>
      </c>
      <c r="I65" s="114">
        <f ca="1">IFERROR(__xludf.DUMMYFUNCTION("""COMPUTED_VALUE"""),0.767909745293466)</f>
        <v>0.76790974529346601</v>
      </c>
      <c r="J65" s="114">
        <f ca="1">IFERROR(__xludf.DUMMYFUNCTION("""COMPUTED_VALUE"""),0.0371066433566433)</f>
        <v>3.71066433566433E-2</v>
      </c>
      <c r="R65" s="117" t="s">
        <v>436</v>
      </c>
      <c r="S65" s="116"/>
      <c r="T65" s="116"/>
      <c r="U65" s="616">
        <v>86</v>
      </c>
      <c r="V65" s="116" t="s">
        <v>9806</v>
      </c>
      <c r="W65" s="617" t="s">
        <v>9806</v>
      </c>
      <c r="X65" s="618">
        <v>0</v>
      </c>
      <c r="Y65" s="620">
        <v>100</v>
      </c>
    </row>
    <row r="66" spans="1:25" ht="12.75">
      <c r="A66" s="36" t="str">
        <f ca="1">IFERROR(__xludf.DUMMYFUNCTION("""COMPUTED_VALUE"""),"Вергун Андрій")</f>
        <v>Вергун Андрій</v>
      </c>
      <c r="B66" s="114">
        <f ca="1">IFERROR(__xludf.DUMMYFUNCTION("""COMPUTED_VALUE"""),0.1)</f>
        <v>0.1</v>
      </c>
      <c r="C66" s="114">
        <f ca="1">IFERROR(__xludf.DUMMYFUNCTION("""COMPUTED_VALUE"""),0.538461538461538)</f>
        <v>0.53846153846153799</v>
      </c>
      <c r="D66" s="114">
        <f ca="1">IFERROR(__xludf.DUMMYFUNCTION("""COMPUTED_VALUE"""),0.0699999999999999)</f>
        <v>6.9999999999999896E-2</v>
      </c>
      <c r="E66" s="36"/>
      <c r="F66" s="36"/>
      <c r="G66" s="36" t="str">
        <f ca="1">IFERROR(__xludf.DUMMYFUNCTION("""COMPUTED_VALUE"""),"Журавель Ірина")</f>
        <v>Журавель Ірина</v>
      </c>
      <c r="H66" s="114">
        <f ca="1">IFERROR(__xludf.DUMMYFUNCTION("""COMPUTED_VALUE"""),0.05)</f>
        <v>0.05</v>
      </c>
      <c r="I66" s="114">
        <f ca="1">IFERROR(__xludf.DUMMYFUNCTION("""COMPUTED_VALUE"""),0.621103359173126)</f>
        <v>0.62110335917312598</v>
      </c>
      <c r="J66" s="114">
        <f ca="1">IFERROR(__xludf.DUMMYFUNCTION("""COMPUTED_VALUE"""),0.015)</f>
        <v>1.4999999999999999E-2</v>
      </c>
      <c r="R66" s="117" t="s">
        <v>442</v>
      </c>
      <c r="S66" s="116"/>
      <c r="T66" s="116"/>
      <c r="U66" s="616">
        <v>89</v>
      </c>
      <c r="V66" s="618">
        <v>0.95189999999999997</v>
      </c>
      <c r="W66" s="619">
        <v>95</v>
      </c>
      <c r="X66" s="618">
        <v>3.9600000000000003E-2</v>
      </c>
      <c r="Y66" s="620">
        <v>96</v>
      </c>
    </row>
    <row r="67" spans="1:25" ht="12.75">
      <c r="A67" s="36" t="str">
        <f ca="1">IFERROR(__xludf.DUMMYFUNCTION("""COMPUTED_VALUE"""),"Веренко Любов")</f>
        <v>Веренко Любов</v>
      </c>
      <c r="B67" s="114">
        <f ca="1">IFERROR(__xludf.DUMMYFUNCTION("""COMPUTED_VALUE"""),0.117948717948717)</f>
        <v>0.117948717948717</v>
      </c>
      <c r="C67" s="114">
        <f ca="1">IFERROR(__xludf.DUMMYFUNCTION("""COMPUTED_VALUE"""),0.770203285992759)</f>
        <v>0.770203285992759</v>
      </c>
      <c r="D67" s="114">
        <f ca="1">IFERROR(__xludf.DUMMYFUNCTION("""COMPUTED_VALUE"""),0.0825641025641025)</f>
        <v>8.2564102564102501E-2</v>
      </c>
      <c r="E67" s="36"/>
      <c r="F67" s="36"/>
      <c r="G67" s="36" t="str">
        <f ca="1">IFERROR(__xludf.DUMMYFUNCTION("""COMPUTED_VALUE"""),"Завада Валерія")</f>
        <v>Завада Валерія</v>
      </c>
      <c r="H67" s="114">
        <f ca="1">IFERROR(__xludf.DUMMYFUNCTION("""COMPUTED_VALUE"""),0.0111111111111111)</f>
        <v>1.1111111111111099E-2</v>
      </c>
      <c r="I67" s="114">
        <f ca="1">IFERROR(__xludf.DUMMYFUNCTION("""COMPUTED_VALUE"""),0.530717941920221)</f>
        <v>0.53071794192022104</v>
      </c>
      <c r="J67" s="114">
        <f ca="1">IFERROR(__xludf.DUMMYFUNCTION("""COMPUTED_VALUE"""),0.00333333333333333)</f>
        <v>3.3333333333333301E-3</v>
      </c>
      <c r="R67" s="117" t="s">
        <v>445</v>
      </c>
      <c r="S67" s="116"/>
      <c r="T67" s="116"/>
      <c r="U67" s="616">
        <v>70</v>
      </c>
      <c r="V67" s="618">
        <v>0.95579999999999998</v>
      </c>
      <c r="W67" s="619">
        <v>96</v>
      </c>
      <c r="X67" s="618">
        <v>-2.1899999999999999E-2</v>
      </c>
      <c r="Y67" s="620">
        <v>102</v>
      </c>
    </row>
    <row r="68" spans="1:25" ht="12.75">
      <c r="A68" s="36" t="str">
        <f ca="1">IFERROR(__xludf.DUMMYFUNCTION("""COMPUTED_VALUE"""),"Веретенников Владислав")</f>
        <v>Веретенников Владислав</v>
      </c>
      <c r="B68" s="114">
        <f ca="1">IFERROR(__xludf.DUMMYFUNCTION("""COMPUTED_VALUE"""),0.25)</f>
        <v>0.25</v>
      </c>
      <c r="C68" s="114">
        <f ca="1">IFERROR(__xludf.DUMMYFUNCTION("""COMPUTED_VALUE"""),0.320833333333333)</f>
        <v>0.32083333333333303</v>
      </c>
      <c r="D68" s="114">
        <f ca="1">IFERROR(__xludf.DUMMYFUNCTION("""COMPUTED_VALUE"""),0.175)</f>
        <v>0.17499999999999999</v>
      </c>
      <c r="E68" s="36"/>
      <c r="F68" s="36"/>
      <c r="G68" s="36" t="str">
        <f ca="1">IFERROR(__xludf.DUMMYFUNCTION("""COMPUTED_VALUE"""),"Завальна Юлія")</f>
        <v>Завальна Юлія</v>
      </c>
      <c r="H68" s="114">
        <f ca="1">IFERROR(__xludf.DUMMYFUNCTION("""COMPUTED_VALUE"""),0.05)</f>
        <v>0.05</v>
      </c>
      <c r="I68" s="114">
        <f ca="1">IFERROR(__xludf.DUMMYFUNCTION("""COMPUTED_VALUE"""),0.8078125)</f>
        <v>0.80781250000000004</v>
      </c>
      <c r="J68" s="114">
        <f ca="1">IFERROR(__xludf.DUMMYFUNCTION("""COMPUTED_VALUE"""),0.015)</f>
        <v>1.4999999999999999E-2</v>
      </c>
      <c r="R68" s="117" t="s">
        <v>449</v>
      </c>
      <c r="S68" s="116"/>
      <c r="T68" s="116"/>
      <c r="U68" s="616">
        <v>92</v>
      </c>
      <c r="V68" s="618">
        <v>0.8508</v>
      </c>
      <c r="W68" s="619">
        <v>85</v>
      </c>
      <c r="X68" s="618">
        <v>-1.67E-2</v>
      </c>
      <c r="Y68" s="620">
        <v>102</v>
      </c>
    </row>
    <row r="69" spans="1:25" ht="12.75">
      <c r="A69" s="36" t="str">
        <f ca="1">IFERROR(__xludf.DUMMYFUNCTION("""COMPUTED_VALUE"""),"Викладач Tech")</f>
        <v>Викладач Tech</v>
      </c>
      <c r="B69" s="114" t="str">
        <f ca="1">IFERROR(__xludf.DUMMYFUNCTION("""COMPUTED_VALUE"""),"#DIV/0!")</f>
        <v>#DIV/0!</v>
      </c>
      <c r="C69" s="114" t="str">
        <f ca="1">IFERROR(__xludf.DUMMYFUNCTION("""COMPUTED_VALUE"""),"#DIV/0!")</f>
        <v>#DIV/0!</v>
      </c>
      <c r="D69" s="114" t="str">
        <f ca="1">IFERROR(__xludf.DUMMYFUNCTION("""COMPUTED_VALUE"""),"#DIV/0!")</f>
        <v>#DIV/0!</v>
      </c>
      <c r="E69" s="36"/>
      <c r="F69" s="36"/>
      <c r="G69" s="36" t="str">
        <f ca="1">IFERROR(__xludf.DUMMYFUNCTION("""COMPUTED_VALUE"""),"Зарицька Євгенія")</f>
        <v>Зарицька Євгенія</v>
      </c>
      <c r="H69" s="114">
        <f ca="1">IFERROR(__xludf.DUMMYFUNCTION("""COMPUTED_VALUE"""),-0.0277777777777777)</f>
        <v>-2.77777777777777E-2</v>
      </c>
      <c r="I69" s="114">
        <f ca="1">IFERROR(__xludf.DUMMYFUNCTION("""COMPUTED_VALUE"""),0.456296296296296)</f>
        <v>0.45629629629629598</v>
      </c>
      <c r="J69" s="114">
        <f ca="1">IFERROR(__xludf.DUMMYFUNCTION("""COMPUTED_VALUE"""),-0.00833333333333333)</f>
        <v>-8.3333333333333297E-3</v>
      </c>
      <c r="R69" s="117" t="s">
        <v>453</v>
      </c>
      <c r="S69" s="116"/>
      <c r="T69" s="116"/>
      <c r="U69" s="616">
        <v>94</v>
      </c>
      <c r="V69" s="618">
        <v>0.79759999999999998</v>
      </c>
      <c r="W69" s="619">
        <v>80</v>
      </c>
      <c r="X69" s="618">
        <v>-1.43E-2</v>
      </c>
      <c r="Y69" s="620">
        <v>101</v>
      </c>
    </row>
    <row r="70" spans="1:25" ht="12.75">
      <c r="A70" s="36" t="str">
        <f ca="1">IFERROR(__xludf.DUMMYFUNCTION("""COMPUTED_VALUE"""),"Вишневський Руслан")</f>
        <v>Вишневський Руслан</v>
      </c>
      <c r="B70" s="114">
        <f ca="1">IFERROR(__xludf.DUMMYFUNCTION("""COMPUTED_VALUE"""),0.38095238095238)</f>
        <v>0.38095238095237999</v>
      </c>
      <c r="C70" s="114">
        <f ca="1">IFERROR(__xludf.DUMMYFUNCTION("""COMPUTED_VALUE"""),1.32854406130268)</f>
        <v>1.32854406130268</v>
      </c>
      <c r="D70" s="114">
        <f ca="1">IFERROR(__xludf.DUMMYFUNCTION("""COMPUTED_VALUE"""),0.266666666666666)</f>
        <v>0.266666666666666</v>
      </c>
      <c r="E70" s="36"/>
      <c r="F70" s="36"/>
      <c r="G70" s="36" t="str">
        <f ca="1">IFERROR(__xludf.DUMMYFUNCTION("""COMPUTED_VALUE"""),"Зарицька Євгенія ")</f>
        <v xml:space="preserve">Зарицька Євгенія </v>
      </c>
      <c r="H70" s="114">
        <f ca="1">IFERROR(__xludf.DUMMYFUNCTION("""COMPUTED_VALUE"""),0.153846153846153)</f>
        <v>0.15384615384615299</v>
      </c>
      <c r="I70" s="114">
        <f ca="1">IFERROR(__xludf.DUMMYFUNCTION("""COMPUTED_VALUE"""),0.541666666666666)</f>
        <v>0.54166666666666596</v>
      </c>
      <c r="J70" s="114">
        <f ca="1">IFERROR(__xludf.DUMMYFUNCTION("""COMPUTED_VALUE"""),0.0461538461538461)</f>
        <v>4.6153846153846101E-2</v>
      </c>
      <c r="R70" s="117" t="s">
        <v>456</v>
      </c>
      <c r="S70" s="116"/>
      <c r="T70" s="116"/>
      <c r="U70" s="616">
        <v>97</v>
      </c>
      <c r="V70" s="618">
        <v>0.67859999999999998</v>
      </c>
      <c r="W70" s="619">
        <v>68</v>
      </c>
      <c r="X70" s="618">
        <v>0</v>
      </c>
      <c r="Y70" s="620">
        <v>100</v>
      </c>
    </row>
    <row r="71" spans="1:25" ht="12.75">
      <c r="A71" s="36" t="str">
        <f ca="1">IFERROR(__xludf.DUMMYFUNCTION("""COMPUTED_VALUE"""),"Власенко Єлизавета")</f>
        <v>Власенко Єлизавета</v>
      </c>
      <c r="B71" s="114">
        <f ca="1">IFERROR(__xludf.DUMMYFUNCTION("""COMPUTED_VALUE"""),0)</f>
        <v>0</v>
      </c>
      <c r="C71" s="114">
        <f ca="1">IFERROR(__xludf.DUMMYFUNCTION("""COMPUTED_VALUE"""),0.6875)</f>
        <v>0.6875</v>
      </c>
      <c r="D71" s="114">
        <f ca="1">IFERROR(__xludf.DUMMYFUNCTION("""COMPUTED_VALUE"""),0)</f>
        <v>0</v>
      </c>
      <c r="E71" s="36"/>
      <c r="F71" s="36"/>
      <c r="G71" s="36" t="str">
        <f ca="1">IFERROR(__xludf.DUMMYFUNCTION("""COMPUTED_VALUE"""),"Захарчук Денис")</f>
        <v>Захарчук Денис</v>
      </c>
      <c r="H71" s="114">
        <f ca="1">IFERROR(__xludf.DUMMYFUNCTION("""COMPUTED_VALUE"""),0.0696566591303433)</f>
        <v>6.9656659130343301E-2</v>
      </c>
      <c r="I71" s="114">
        <f ca="1">IFERROR(__xludf.DUMMYFUNCTION("""COMPUTED_VALUE"""),0.778360914390326)</f>
        <v>0.77836091439032595</v>
      </c>
      <c r="J71" s="114">
        <f ca="1">IFERROR(__xludf.DUMMYFUNCTION("""COMPUTED_VALUE"""),0.020896997739103)</f>
        <v>2.0896997739103002E-2</v>
      </c>
      <c r="R71" s="117" t="s">
        <v>459</v>
      </c>
      <c r="S71" s="116"/>
      <c r="T71" s="116"/>
      <c r="U71" s="616">
        <v>89</v>
      </c>
      <c r="V71" s="618">
        <v>1.0851</v>
      </c>
      <c r="W71" s="619">
        <v>109</v>
      </c>
      <c r="X71" s="618">
        <v>0</v>
      </c>
      <c r="Y71" s="620">
        <v>100</v>
      </c>
    </row>
    <row r="72" spans="1:25" ht="12.75">
      <c r="A72" s="36" t="str">
        <f ca="1">IFERROR(__xludf.DUMMYFUNCTION("""COMPUTED_VALUE"""),"Власенко Захар")</f>
        <v>Власенко Захар</v>
      </c>
      <c r="B72" s="114">
        <f ca="1">IFERROR(__xludf.DUMMYFUNCTION("""COMPUTED_VALUE"""),0.12156862745098)</f>
        <v>0.12156862745098</v>
      </c>
      <c r="C72" s="114">
        <f ca="1">IFERROR(__xludf.DUMMYFUNCTION("""COMPUTED_VALUE"""),0.548765982753493)</f>
        <v>0.54876598275349298</v>
      </c>
      <c r="D72" s="114">
        <f ca="1">IFERROR(__xludf.DUMMYFUNCTION("""COMPUTED_VALUE"""),0.0850980392156862)</f>
        <v>8.5098039215686205E-2</v>
      </c>
      <c r="E72" s="36"/>
      <c r="F72" s="36"/>
      <c r="G72" s="36" t="str">
        <f ca="1">IFERROR(__xludf.DUMMYFUNCTION("""COMPUTED_VALUE"""),"Зацаринна Марина")</f>
        <v>Зацаринна Марина</v>
      </c>
      <c r="H72" s="114">
        <f ca="1">IFERROR(__xludf.DUMMYFUNCTION("""COMPUTED_VALUE"""),0.0625)</f>
        <v>6.25E-2</v>
      </c>
      <c r="I72" s="114">
        <f ca="1">IFERROR(__xludf.DUMMYFUNCTION("""COMPUTED_VALUE"""),0.588675213675213)</f>
        <v>0.58867521367521303</v>
      </c>
      <c r="J72" s="114">
        <f ca="1">IFERROR(__xludf.DUMMYFUNCTION("""COMPUTED_VALUE"""),0.01875)</f>
        <v>1.8749999999999999E-2</v>
      </c>
      <c r="R72" s="117" t="s">
        <v>462</v>
      </c>
      <c r="S72" s="116"/>
      <c r="T72" s="116"/>
      <c r="U72" s="616">
        <v>100</v>
      </c>
      <c r="V72" s="618">
        <v>0.94330000000000003</v>
      </c>
      <c r="W72" s="619">
        <v>94</v>
      </c>
      <c r="X72" s="618">
        <v>0.02</v>
      </c>
      <c r="Y72" s="620">
        <v>98</v>
      </c>
    </row>
    <row r="73" spans="1:25" ht="12.75">
      <c r="A73" s="36" t="str">
        <f ca="1">IFERROR(__xludf.DUMMYFUNCTION("""COMPUTED_VALUE"""),"Власенко Наталія")</f>
        <v>Власенко Наталія</v>
      </c>
      <c r="B73" s="114">
        <f ca="1">IFERROR(__xludf.DUMMYFUNCTION("""COMPUTED_VALUE"""),0)</f>
        <v>0</v>
      </c>
      <c r="C73" s="114">
        <f ca="1">IFERROR(__xludf.DUMMYFUNCTION("""COMPUTED_VALUE"""),1.06666666666666)</f>
        <v>1.06666666666666</v>
      </c>
      <c r="D73" s="114">
        <f ca="1">IFERROR(__xludf.DUMMYFUNCTION("""COMPUTED_VALUE"""),0)</f>
        <v>0</v>
      </c>
      <c r="E73" s="36"/>
      <c r="F73" s="36"/>
      <c r="G73" s="36" t="str">
        <f ca="1">IFERROR(__xludf.DUMMYFUNCTION("""COMPUTED_VALUE"""),"Зуза Інна")</f>
        <v>Зуза Інна</v>
      </c>
      <c r="H73" s="114">
        <f ca="1">IFERROR(__xludf.DUMMYFUNCTION("""COMPUTED_VALUE"""),0.0166666666666666)</f>
        <v>1.6666666666666601E-2</v>
      </c>
      <c r="I73" s="114">
        <f ca="1">IFERROR(__xludf.DUMMYFUNCTION("""COMPUTED_VALUE"""),0.677304964539007)</f>
        <v>0.67730496453900702</v>
      </c>
      <c r="J73" s="114">
        <f ca="1">IFERROR(__xludf.DUMMYFUNCTION("""COMPUTED_VALUE"""),0.005)</f>
        <v>5.0000000000000001E-3</v>
      </c>
      <c r="R73" s="117" t="s">
        <v>465</v>
      </c>
      <c r="S73" s="116"/>
      <c r="T73" s="116"/>
      <c r="U73" s="616">
        <v>100</v>
      </c>
      <c r="V73" s="618">
        <v>0.85799999999999998</v>
      </c>
      <c r="W73" s="619">
        <v>86</v>
      </c>
      <c r="X73" s="618">
        <v>2.53E-2</v>
      </c>
      <c r="Y73" s="620">
        <v>97</v>
      </c>
    </row>
    <row r="74" spans="1:25" ht="12.75">
      <c r="A74" s="36" t="str">
        <f ca="1">IFERROR(__xludf.DUMMYFUNCTION("""COMPUTED_VALUE"""),"Вовченко Аліна")</f>
        <v>Вовченко Аліна</v>
      </c>
      <c r="B74" s="114">
        <f ca="1">IFERROR(__xludf.DUMMYFUNCTION("""COMPUTED_VALUE"""),0.142857142857142)</f>
        <v>0.14285714285714199</v>
      </c>
      <c r="C74" s="114">
        <f ca="1">IFERROR(__xludf.DUMMYFUNCTION("""COMPUTED_VALUE"""),1.0625)</f>
        <v>1.0625</v>
      </c>
      <c r="D74" s="114">
        <f ca="1">IFERROR(__xludf.DUMMYFUNCTION("""COMPUTED_VALUE"""),0.0999999999999999)</f>
        <v>9.9999999999999895E-2</v>
      </c>
      <c r="E74" s="36"/>
      <c r="F74" s="36"/>
      <c r="G74" s="36" t="str">
        <f ca="1">IFERROR(__xludf.DUMMYFUNCTION("""COMPUTED_VALUE"""),"Іваненко Ірина")</f>
        <v>Іваненко Ірина</v>
      </c>
      <c r="H74" s="114">
        <f ca="1">IFERROR(__xludf.DUMMYFUNCTION("""COMPUTED_VALUE"""),0.0809379509379509)</f>
        <v>8.0937950937950906E-2</v>
      </c>
      <c r="I74" s="114">
        <f ca="1">IFERROR(__xludf.DUMMYFUNCTION("""COMPUTED_VALUE"""),0.669495827018398)</f>
        <v>0.66949582701839805</v>
      </c>
      <c r="J74" s="114">
        <f ca="1">IFERROR(__xludf.DUMMYFUNCTION("""COMPUTED_VALUE"""),0.0242813852813852)</f>
        <v>2.4281385281385199E-2</v>
      </c>
      <c r="R74" s="117" t="s">
        <v>472</v>
      </c>
      <c r="S74" s="116"/>
      <c r="T74" s="116"/>
      <c r="U74" s="616">
        <v>97</v>
      </c>
      <c r="V74" s="618">
        <v>0.79200000000000004</v>
      </c>
      <c r="W74" s="619">
        <v>79</v>
      </c>
      <c r="X74" s="618">
        <v>3.5000000000000001E-3</v>
      </c>
      <c r="Y74" s="620">
        <v>100</v>
      </c>
    </row>
    <row r="75" spans="1:25" ht="12.75">
      <c r="A75" s="36" t="str">
        <f ca="1">IFERROR(__xludf.DUMMYFUNCTION("""COMPUTED_VALUE"""),"Войт Катерина")</f>
        <v>Войт Катерина</v>
      </c>
      <c r="B75" s="114">
        <f ca="1">IFERROR(__xludf.DUMMYFUNCTION("""COMPUTED_VALUE"""),0.222222222222222)</f>
        <v>0.22222222222222199</v>
      </c>
      <c r="C75" s="114" t="str">
        <f ca="1">IFERROR(__xludf.DUMMYFUNCTION("""COMPUTED_VALUE"""),"#DIV/0!")</f>
        <v>#DIV/0!</v>
      </c>
      <c r="D75" s="114">
        <f ca="1">IFERROR(__xludf.DUMMYFUNCTION("""COMPUTED_VALUE"""),0.155555555555555)</f>
        <v>0.155555555555555</v>
      </c>
      <c r="E75" s="36"/>
      <c r="F75" s="36"/>
      <c r="G75" s="36" t="str">
        <f ca="1">IFERROR(__xludf.DUMMYFUNCTION("""COMPUTED_VALUE"""),"Іванішена Юлія")</f>
        <v>Іванішена Юлія</v>
      </c>
      <c r="H75" s="114">
        <f ca="1">IFERROR(__xludf.DUMMYFUNCTION("""COMPUTED_VALUE"""),0.0185185185185185)</f>
        <v>1.85185185185185E-2</v>
      </c>
      <c r="I75" s="114">
        <f ca="1">IFERROR(__xludf.DUMMYFUNCTION("""COMPUTED_VALUE"""),0.763845864469426)</f>
        <v>0.76384586446942604</v>
      </c>
      <c r="J75" s="114">
        <f ca="1">IFERROR(__xludf.DUMMYFUNCTION("""COMPUTED_VALUE"""),0.00555555555555555)</f>
        <v>5.5555555555555497E-3</v>
      </c>
      <c r="R75" s="117" t="s">
        <v>475</v>
      </c>
      <c r="S75" s="116"/>
      <c r="T75" s="116"/>
      <c r="U75" s="156"/>
      <c r="V75" s="116" t="s">
        <v>9805</v>
      </c>
      <c r="W75" s="617" t="s">
        <v>9805</v>
      </c>
      <c r="X75" s="116" t="s">
        <v>9805</v>
      </c>
      <c r="Y75" s="116" t="s">
        <v>9805</v>
      </c>
    </row>
    <row r="76" spans="1:25" ht="12.75">
      <c r="A76" s="36" t="str">
        <f ca="1">IFERROR(__xludf.DUMMYFUNCTION("""COMPUTED_VALUE"""),"Войтенко Катерина")</f>
        <v>Войтенко Катерина</v>
      </c>
      <c r="B76" s="114">
        <f ca="1">IFERROR(__xludf.DUMMYFUNCTION("""COMPUTED_VALUE"""),-0.0357142857142857)</f>
        <v>-3.5714285714285698E-2</v>
      </c>
      <c r="C76" s="114">
        <f ca="1">IFERROR(__xludf.DUMMYFUNCTION("""COMPUTED_VALUE"""),1.11855158730158)</f>
        <v>1.1185515873015801</v>
      </c>
      <c r="D76" s="114">
        <f ca="1">IFERROR(__xludf.DUMMYFUNCTION("""COMPUTED_VALUE"""),-0.0249999999999999)</f>
        <v>-2.4999999999999901E-2</v>
      </c>
      <c r="E76" s="36"/>
      <c r="F76" s="36"/>
      <c r="G76" s="36" t="str">
        <f ca="1">IFERROR(__xludf.DUMMYFUNCTION("""COMPUTED_VALUE"""),"Іванченко Анастасія")</f>
        <v>Іванченко Анастасія</v>
      </c>
      <c r="H76" s="114">
        <f ca="1">IFERROR(__xludf.DUMMYFUNCTION("""COMPUTED_VALUE"""),0.042296918767507)</f>
        <v>4.2296918767506998E-2</v>
      </c>
      <c r="I76" s="114">
        <f ca="1">IFERROR(__xludf.DUMMYFUNCTION("""COMPUTED_VALUE"""),0.656670135822309)</f>
        <v>0.65667013582230904</v>
      </c>
      <c r="J76" s="114">
        <f ca="1">IFERROR(__xludf.DUMMYFUNCTION("""COMPUTED_VALUE"""),0.0126890756302521)</f>
        <v>1.26890756302521E-2</v>
      </c>
      <c r="R76" s="117" t="s">
        <v>484</v>
      </c>
      <c r="S76" s="116"/>
      <c r="T76" s="116"/>
      <c r="U76" s="616">
        <v>85</v>
      </c>
      <c r="V76" s="618">
        <v>0.70240000000000002</v>
      </c>
      <c r="W76" s="619">
        <v>70</v>
      </c>
      <c r="X76" s="618">
        <v>0.05</v>
      </c>
      <c r="Y76" s="620">
        <v>95</v>
      </c>
    </row>
    <row r="77" spans="1:25" ht="12.75">
      <c r="A77" s="36" t="str">
        <f ca="1">IFERROR(__xludf.DUMMYFUNCTION("""COMPUTED_VALUE"""),"Волинець Андрій")</f>
        <v>Волинець Андрій</v>
      </c>
      <c r="B77" s="114">
        <f ca="1">IFERROR(__xludf.DUMMYFUNCTION("""COMPUTED_VALUE"""),0.05)</f>
        <v>0.05</v>
      </c>
      <c r="C77" s="114">
        <f ca="1">IFERROR(__xludf.DUMMYFUNCTION("""COMPUTED_VALUE"""),0.722222222222222)</f>
        <v>0.72222222222222199</v>
      </c>
      <c r="D77" s="114">
        <f ca="1">IFERROR(__xludf.DUMMYFUNCTION("""COMPUTED_VALUE"""),0.0349999999999999)</f>
        <v>3.4999999999999899E-2</v>
      </c>
      <c r="E77" s="36"/>
      <c r="F77" s="36"/>
      <c r="G77" s="36" t="str">
        <f ca="1">IFERROR(__xludf.DUMMYFUNCTION("""COMPUTED_VALUE"""),"Івашура Ольга")</f>
        <v>Івашура Ольга</v>
      </c>
      <c r="H77" s="114">
        <f ca="1">IFERROR(__xludf.DUMMYFUNCTION("""COMPUTED_VALUE"""),-0.0113960113960113)</f>
        <v>-1.1396011396011299E-2</v>
      </c>
      <c r="I77" s="114">
        <f ca="1">IFERROR(__xludf.DUMMYFUNCTION("""COMPUTED_VALUE"""),0.484946236559139)</f>
        <v>0.48494623655913899</v>
      </c>
      <c r="J77" s="114">
        <f ca="1">IFERROR(__xludf.DUMMYFUNCTION("""COMPUTED_VALUE"""),-0.00341880341880341)</f>
        <v>-3.4188034188034101E-3</v>
      </c>
      <c r="R77" s="117" t="s">
        <v>52</v>
      </c>
      <c r="S77" s="116"/>
      <c r="T77" s="116"/>
      <c r="U77" s="616">
        <v>99</v>
      </c>
      <c r="V77" s="618">
        <v>0.77059999999999995</v>
      </c>
      <c r="W77" s="619">
        <v>77</v>
      </c>
      <c r="X77" s="618">
        <v>0.1867</v>
      </c>
      <c r="Y77" s="620">
        <v>81</v>
      </c>
    </row>
    <row r="78" spans="1:25" ht="12.75">
      <c r="A78" s="36" t="str">
        <f ca="1">IFERROR(__xludf.DUMMYFUNCTION("""COMPUTED_VALUE"""),"Волковницький Роман")</f>
        <v>Волковницький Роман</v>
      </c>
      <c r="B78" s="114">
        <f ca="1">IFERROR(__xludf.DUMMYFUNCTION("""COMPUTED_VALUE"""),0.0454545454545454)</f>
        <v>4.54545454545454E-2</v>
      </c>
      <c r="C78" s="114">
        <f ca="1">IFERROR(__xludf.DUMMYFUNCTION("""COMPUTED_VALUE"""),0.111111111111111)</f>
        <v>0.11111111111111099</v>
      </c>
      <c r="D78" s="114">
        <f ca="1">IFERROR(__xludf.DUMMYFUNCTION("""COMPUTED_VALUE"""),0.0318181818181818)</f>
        <v>3.1818181818181801E-2</v>
      </c>
      <c r="E78" s="36"/>
      <c r="F78" s="36"/>
      <c r="G78" s="36" t="str">
        <f ca="1">IFERROR(__xludf.DUMMYFUNCTION("""COMPUTED_VALUE"""),"Ілуца Галина")</f>
        <v>Ілуца Галина</v>
      </c>
      <c r="H78" s="114">
        <f ca="1">IFERROR(__xludf.DUMMYFUNCTION("""COMPUTED_VALUE"""),-0.0333333333333333)</f>
        <v>-3.3333333333333298E-2</v>
      </c>
      <c r="I78" s="114">
        <f ca="1">IFERROR(__xludf.DUMMYFUNCTION("""COMPUTED_VALUE"""),0.542586509815904)</f>
        <v>0.54258650981590395</v>
      </c>
      <c r="J78" s="114">
        <f ca="1">IFERROR(__xludf.DUMMYFUNCTION("""COMPUTED_VALUE"""),-0.01)</f>
        <v>-0.01</v>
      </c>
      <c r="R78" s="117" t="s">
        <v>491</v>
      </c>
      <c r="S78" s="116"/>
      <c r="T78" s="116"/>
      <c r="U78" s="616">
        <v>97</v>
      </c>
      <c r="V78" s="618">
        <v>0.87290000000000001</v>
      </c>
      <c r="W78" s="619">
        <v>87</v>
      </c>
      <c r="X78" s="618">
        <v>0</v>
      </c>
      <c r="Y78" s="620">
        <v>100</v>
      </c>
    </row>
    <row r="79" spans="1:25" ht="12.75">
      <c r="A79" s="36" t="str">
        <f ca="1">IFERROR(__xludf.DUMMYFUNCTION("""COMPUTED_VALUE"""),"Волошиненко Тетяна")</f>
        <v>Волошиненко Тетяна</v>
      </c>
      <c r="B79" s="114">
        <f ca="1">IFERROR(__xludf.DUMMYFUNCTION("""COMPUTED_VALUE"""),0.0741161616161616)</f>
        <v>7.4116161616161594E-2</v>
      </c>
      <c r="C79" s="114">
        <f ca="1">IFERROR(__xludf.DUMMYFUNCTION("""COMPUTED_VALUE"""),0.722827261500463)</f>
        <v>0.72282726150046295</v>
      </c>
      <c r="D79" s="114">
        <f ca="1">IFERROR(__xludf.DUMMYFUNCTION("""COMPUTED_VALUE"""),0.0518813131313131)</f>
        <v>5.1881313131313098E-2</v>
      </c>
      <c r="E79" s="36"/>
      <c r="F79" s="36"/>
      <c r="G79" s="36" t="str">
        <f ca="1">IFERROR(__xludf.DUMMYFUNCTION("""COMPUTED_VALUE"""),"Ірина Іваненко")</f>
        <v>Ірина Іваненко</v>
      </c>
      <c r="H79" s="114">
        <f ca="1">IFERROR(__xludf.DUMMYFUNCTION("""COMPUTED_VALUE"""),-0.125)</f>
        <v>-0.125</v>
      </c>
      <c r="I79" s="114">
        <f ca="1">IFERROR(__xludf.DUMMYFUNCTION("""COMPUTED_VALUE"""),0.59375)</f>
        <v>0.59375</v>
      </c>
      <c r="J79" s="114">
        <f ca="1">IFERROR(__xludf.DUMMYFUNCTION("""COMPUTED_VALUE"""),-0.0375)</f>
        <v>-3.7499999999999999E-2</v>
      </c>
      <c r="R79" s="117" t="s">
        <v>498</v>
      </c>
      <c r="S79" s="116"/>
      <c r="T79" s="116"/>
      <c r="U79" s="616">
        <v>100</v>
      </c>
      <c r="V79" s="618">
        <v>0.64059999999999995</v>
      </c>
      <c r="W79" s="619">
        <v>64</v>
      </c>
      <c r="X79" s="618">
        <v>1.5299999999999999E-2</v>
      </c>
      <c r="Y79" s="620">
        <v>98</v>
      </c>
    </row>
    <row r="80" spans="1:25" ht="12.75">
      <c r="A80" s="36" t="str">
        <f ca="1">IFERROR(__xludf.DUMMYFUNCTION("""COMPUTED_VALUE"""),"Вонярха Вероніка")</f>
        <v>Вонярха Вероніка</v>
      </c>
      <c r="B80" s="114">
        <f ca="1">IFERROR(__xludf.DUMMYFUNCTION("""COMPUTED_VALUE"""),0)</f>
        <v>0</v>
      </c>
      <c r="C80" s="114">
        <f ca="1">IFERROR(__xludf.DUMMYFUNCTION("""COMPUTED_VALUE"""),1.2)</f>
        <v>1.2</v>
      </c>
      <c r="D80" s="114">
        <f ca="1">IFERROR(__xludf.DUMMYFUNCTION("""COMPUTED_VALUE"""),0)</f>
        <v>0</v>
      </c>
      <c r="E80" s="36"/>
      <c r="F80" s="36"/>
      <c r="G80" s="36" t="str">
        <f ca="1">IFERROR(__xludf.DUMMYFUNCTION("""COMPUTED_VALUE"""),"Каширіна Альона")</f>
        <v>Каширіна Альона</v>
      </c>
      <c r="H80" s="114">
        <f ca="1">IFERROR(__xludf.DUMMYFUNCTION("""COMPUTED_VALUE"""),0.0277777777777777)</f>
        <v>2.77777777777777E-2</v>
      </c>
      <c r="I80" s="114">
        <f ca="1">IFERROR(__xludf.DUMMYFUNCTION("""COMPUTED_VALUE"""),0.341379310344827)</f>
        <v>0.34137931034482699</v>
      </c>
      <c r="J80" s="114">
        <f ca="1">IFERROR(__xludf.DUMMYFUNCTION("""COMPUTED_VALUE"""),0.00833333333333333)</f>
        <v>8.3333333333333297E-3</v>
      </c>
      <c r="R80" s="117" t="s">
        <v>501</v>
      </c>
      <c r="S80" s="116"/>
      <c r="T80" s="116"/>
      <c r="U80" s="616">
        <v>85</v>
      </c>
      <c r="V80" s="618">
        <v>0.90090000000000003</v>
      </c>
      <c r="W80" s="619">
        <v>90</v>
      </c>
      <c r="X80" s="618">
        <v>7.7999999999999996E-3</v>
      </c>
      <c r="Y80" s="620">
        <v>99</v>
      </c>
    </row>
    <row r="81" spans="1:25" ht="12.75">
      <c r="A81" s="36" t="str">
        <f ca="1">IFERROR(__xludf.DUMMYFUNCTION("""COMPUTED_VALUE"""),"Врабіє Варвара")</f>
        <v>Врабіє Варвара</v>
      </c>
      <c r="B81" s="114">
        <f ca="1">IFERROR(__xludf.DUMMYFUNCTION("""COMPUTED_VALUE"""),0.025)</f>
        <v>2.5000000000000001E-2</v>
      </c>
      <c r="C81" s="114">
        <f ca="1">IFERROR(__xludf.DUMMYFUNCTION("""COMPUTED_VALUE"""),0.639113408521303)</f>
        <v>0.63911340852130305</v>
      </c>
      <c r="D81" s="114">
        <f ca="1">IFERROR(__xludf.DUMMYFUNCTION("""COMPUTED_VALUE"""),0.0174999999999999)</f>
        <v>1.7499999999999901E-2</v>
      </c>
      <c r="E81" s="36"/>
      <c r="F81" s="36"/>
      <c r="G81" s="36" t="str">
        <f ca="1">IFERROR(__xludf.DUMMYFUNCTION("""COMPUTED_VALUE"""),"Кміть Анна")</f>
        <v>Кміть Анна</v>
      </c>
      <c r="H81" s="114">
        <f ca="1">IFERROR(__xludf.DUMMYFUNCTION("""COMPUTED_VALUE"""),-0.109890109890109)</f>
        <v>-0.109890109890109</v>
      </c>
      <c r="I81" s="114">
        <f ca="1">IFERROR(__xludf.DUMMYFUNCTION("""COMPUTED_VALUE"""),0.314583333333333)</f>
        <v>0.31458333333333299</v>
      </c>
      <c r="J81" s="114">
        <f ca="1">IFERROR(__xludf.DUMMYFUNCTION("""COMPUTED_VALUE"""),-0.0329670329670329)</f>
        <v>-3.2967032967032898E-2</v>
      </c>
      <c r="R81" s="117" t="s">
        <v>507</v>
      </c>
      <c r="S81" s="116"/>
      <c r="T81" s="116"/>
      <c r="U81" s="616">
        <v>93</v>
      </c>
      <c r="V81" s="618">
        <v>0.80079999999999996</v>
      </c>
      <c r="W81" s="619">
        <v>80</v>
      </c>
      <c r="X81" s="618">
        <v>-2.1399999999999999E-2</v>
      </c>
      <c r="Y81" s="620">
        <v>102</v>
      </c>
    </row>
    <row r="82" spans="1:25" ht="12.75">
      <c r="A82" s="36" t="str">
        <f ca="1">IFERROR(__xludf.DUMMYFUNCTION("""COMPUTED_VALUE"""),"Гаврилюк Артур")</f>
        <v>Гаврилюк Артур</v>
      </c>
      <c r="B82" s="114">
        <f ca="1">IFERROR(__xludf.DUMMYFUNCTION("""COMPUTED_VALUE"""),0.0995454545454545)</f>
        <v>9.9545454545454506E-2</v>
      </c>
      <c r="C82" s="114">
        <f ca="1">IFERROR(__xludf.DUMMYFUNCTION("""COMPUTED_VALUE"""),0.573257839721254)</f>
        <v>0.57325783972125399</v>
      </c>
      <c r="D82" s="114">
        <f ca="1">IFERROR(__xludf.DUMMYFUNCTION("""COMPUTED_VALUE"""),0.0696818181818181)</f>
        <v>6.9681818181818095E-2</v>
      </c>
      <c r="E82" s="36"/>
      <c r="F82" s="36"/>
      <c r="G82" s="36" t="str">
        <f ca="1">IFERROR(__xludf.DUMMYFUNCTION("""COMPUTED_VALUE"""),"Коваленко Аліна")</f>
        <v>Коваленко Аліна</v>
      </c>
      <c r="H82" s="114">
        <f ca="1">IFERROR(__xludf.DUMMYFUNCTION("""COMPUTED_VALUE"""),0.0625)</f>
        <v>6.25E-2</v>
      </c>
      <c r="I82" s="114">
        <f ca="1">IFERROR(__xludf.DUMMYFUNCTION("""COMPUTED_VALUE"""),0.333333333333333)</f>
        <v>0.33333333333333298</v>
      </c>
      <c r="J82" s="114">
        <f ca="1">IFERROR(__xludf.DUMMYFUNCTION("""COMPUTED_VALUE"""),0.01875)</f>
        <v>1.8749999999999999E-2</v>
      </c>
      <c r="R82" s="117" t="s">
        <v>517</v>
      </c>
      <c r="S82" s="116"/>
      <c r="T82" s="116"/>
      <c r="U82" s="616">
        <v>99</v>
      </c>
      <c r="V82" s="618">
        <v>0.95</v>
      </c>
      <c r="W82" s="619">
        <v>95</v>
      </c>
      <c r="X82" s="618">
        <v>0</v>
      </c>
      <c r="Y82" s="620">
        <v>100</v>
      </c>
    </row>
    <row r="83" spans="1:25" ht="12.75">
      <c r="A83" s="36" t="str">
        <f ca="1">IFERROR(__xludf.DUMMYFUNCTION("""COMPUTED_VALUE"""),"Гаврилюк Микита")</f>
        <v>Гаврилюк Микита</v>
      </c>
      <c r="B83" s="114" t="str">
        <f ca="1">IFERROR(__xludf.DUMMYFUNCTION("""COMPUTED_VALUE"""),"#DIV/0!")</f>
        <v>#DIV/0!</v>
      </c>
      <c r="C83" s="114">
        <f ca="1">IFERROR(__xludf.DUMMYFUNCTION("""COMPUTED_VALUE"""),0.4)</f>
        <v>0.4</v>
      </c>
      <c r="D83" s="114" t="str">
        <f ca="1">IFERROR(__xludf.DUMMYFUNCTION("""COMPUTED_VALUE"""),"#DIV/0!")</f>
        <v>#DIV/0!</v>
      </c>
      <c r="E83" s="36"/>
      <c r="F83" s="36"/>
      <c r="G83" s="36" t="str">
        <f ca="1">IFERROR(__xludf.DUMMYFUNCTION("""COMPUTED_VALUE"""),"Коваленко Людмила")</f>
        <v>Коваленко Людмила</v>
      </c>
      <c r="H83" s="114">
        <f ca="1">IFERROR(__xludf.DUMMYFUNCTION("""COMPUTED_VALUE"""),-0.129629629629629)</f>
        <v>-0.12962962962962901</v>
      </c>
      <c r="I83" s="114">
        <f ca="1">IFERROR(__xludf.DUMMYFUNCTION("""COMPUTED_VALUE"""),1.37012987012987)</f>
        <v>1.3701298701298701</v>
      </c>
      <c r="J83" s="114">
        <f ca="1">IFERROR(__xludf.DUMMYFUNCTION("""COMPUTED_VALUE"""),-0.0388888888888888)</f>
        <v>-3.8888888888888799E-2</v>
      </c>
      <c r="R83" s="117" t="s">
        <v>520</v>
      </c>
      <c r="S83" s="116"/>
      <c r="T83" s="116"/>
      <c r="U83" s="616">
        <v>100</v>
      </c>
      <c r="V83" s="618">
        <v>0.92290000000000005</v>
      </c>
      <c r="W83" s="619">
        <v>92</v>
      </c>
      <c r="X83" s="618">
        <v>2.2200000000000001E-2</v>
      </c>
      <c r="Y83" s="620">
        <v>98</v>
      </c>
    </row>
    <row r="84" spans="1:25" ht="12.75">
      <c r="A84" s="36" t="str">
        <f ca="1">IFERROR(__xludf.DUMMYFUNCTION("""COMPUTED_VALUE"""),"Гайдук Іван")</f>
        <v>Гайдук Іван</v>
      </c>
      <c r="B84" s="114">
        <f ca="1">IFERROR(__xludf.DUMMYFUNCTION("""COMPUTED_VALUE"""),0)</f>
        <v>0</v>
      </c>
      <c r="C84" s="114">
        <f ca="1">IFERROR(__xludf.DUMMYFUNCTION("""COMPUTED_VALUE"""),0.2)</f>
        <v>0.2</v>
      </c>
      <c r="D84" s="114">
        <f ca="1">IFERROR(__xludf.DUMMYFUNCTION("""COMPUTED_VALUE"""),0)</f>
        <v>0</v>
      </c>
      <c r="E84" s="36"/>
      <c r="F84" s="36"/>
      <c r="G84" s="36" t="str">
        <f ca="1">IFERROR(__xludf.DUMMYFUNCTION("""COMPUTED_VALUE"""),"Коваль Світлана")</f>
        <v>Коваль Світлана</v>
      </c>
      <c r="H84" s="114">
        <f ca="1">IFERROR(__xludf.DUMMYFUNCTION("""COMPUTED_VALUE"""),0)</f>
        <v>0</v>
      </c>
      <c r="I84" s="114">
        <f ca="1">IFERROR(__xludf.DUMMYFUNCTION("""COMPUTED_VALUE"""),0.257142857142857)</f>
        <v>0.25714285714285701</v>
      </c>
      <c r="J84" s="114">
        <f ca="1">IFERROR(__xludf.DUMMYFUNCTION("""COMPUTED_VALUE"""),0)</f>
        <v>0</v>
      </c>
      <c r="R84" s="117" t="s">
        <v>524</v>
      </c>
      <c r="S84" s="116"/>
      <c r="T84" s="116"/>
      <c r="U84" s="616">
        <v>91</v>
      </c>
      <c r="V84" s="618">
        <v>0.8</v>
      </c>
      <c r="W84" s="619">
        <v>80</v>
      </c>
      <c r="X84" s="618">
        <v>0</v>
      </c>
      <c r="Y84" s="620">
        <v>100</v>
      </c>
    </row>
    <row r="85" spans="1:25" ht="12.75">
      <c r="A85" s="36" t="str">
        <f ca="1">IFERROR(__xludf.DUMMYFUNCTION("""COMPUTED_VALUE"""),"Гайдур Ксенія")</f>
        <v>Гайдур Ксенія</v>
      </c>
      <c r="B85" s="114">
        <f ca="1">IFERROR(__xludf.DUMMYFUNCTION("""COMPUTED_VALUE"""),0.0779220779220779)</f>
        <v>7.7922077922077906E-2</v>
      </c>
      <c r="C85" s="114">
        <f ca="1">IFERROR(__xludf.DUMMYFUNCTION("""COMPUTED_VALUE"""),0.819607843137255)</f>
        <v>0.81960784313725499</v>
      </c>
      <c r="D85" s="114">
        <f ca="1">IFERROR(__xludf.DUMMYFUNCTION("""COMPUTED_VALUE"""),0.0545454545454545)</f>
        <v>5.4545454545454501E-2</v>
      </c>
      <c r="E85" s="36"/>
      <c r="F85" s="36"/>
      <c r="G85" s="36" t="str">
        <f ca="1">IFERROR(__xludf.DUMMYFUNCTION("""COMPUTED_VALUE"""),"Колісниченко Юлія")</f>
        <v>Колісниченко Юлія</v>
      </c>
      <c r="H85" s="114">
        <f ca="1">IFERROR(__xludf.DUMMYFUNCTION("""COMPUTED_VALUE"""),0)</f>
        <v>0</v>
      </c>
      <c r="I85" s="114">
        <f ca="1">IFERROR(__xludf.DUMMYFUNCTION("""COMPUTED_VALUE"""),0.0833333333333333)</f>
        <v>8.3333333333333301E-2</v>
      </c>
      <c r="J85" s="114">
        <f ca="1">IFERROR(__xludf.DUMMYFUNCTION("""COMPUTED_VALUE"""),0)</f>
        <v>0</v>
      </c>
      <c r="R85" s="117" t="s">
        <v>530</v>
      </c>
      <c r="S85" s="116"/>
      <c r="T85" s="116"/>
      <c r="U85" s="616">
        <v>94</v>
      </c>
      <c r="V85" s="116" t="s">
        <v>9805</v>
      </c>
      <c r="W85" s="617" t="s">
        <v>9805</v>
      </c>
      <c r="X85" s="116" t="s">
        <v>9805</v>
      </c>
      <c r="Y85" s="116" t="s">
        <v>9805</v>
      </c>
    </row>
    <row r="86" spans="1:25" ht="12.75">
      <c r="A86" s="36" t="str">
        <f ca="1">IFERROR(__xludf.DUMMYFUNCTION("""COMPUTED_VALUE"""),"Галайко Віталій")</f>
        <v>Галайко Віталій</v>
      </c>
      <c r="B86" s="114">
        <f ca="1">IFERROR(__xludf.DUMMYFUNCTION("""COMPUTED_VALUE"""),0.25)</f>
        <v>0.25</v>
      </c>
      <c r="C86" s="114">
        <f ca="1">IFERROR(__xludf.DUMMYFUNCTION("""COMPUTED_VALUE"""),0)</f>
        <v>0</v>
      </c>
      <c r="D86" s="114">
        <f ca="1">IFERROR(__xludf.DUMMYFUNCTION("""COMPUTED_VALUE"""),0.175)</f>
        <v>0.17499999999999999</v>
      </c>
      <c r="E86" s="36"/>
      <c r="F86" s="36"/>
      <c r="G86" s="36" t="str">
        <f ca="1">IFERROR(__xludf.DUMMYFUNCTION("""COMPUTED_VALUE"""),"Корольова Віра")</f>
        <v>Корольова Віра</v>
      </c>
      <c r="H86" s="114">
        <f ca="1">IFERROR(__xludf.DUMMYFUNCTION("""COMPUTED_VALUE"""),-0.00555555555555555)</f>
        <v>-5.5555555555555497E-3</v>
      </c>
      <c r="I86" s="114">
        <f ca="1">IFERROR(__xludf.DUMMYFUNCTION("""COMPUTED_VALUE"""),0.648417228853139)</f>
        <v>0.64841722885313902</v>
      </c>
      <c r="J86" s="114">
        <f ca="1">IFERROR(__xludf.DUMMYFUNCTION("""COMPUTED_VALUE"""),-0.00166666666666666)</f>
        <v>-1.6666666666666601E-3</v>
      </c>
      <c r="R86" s="117" t="s">
        <v>533</v>
      </c>
      <c r="S86" s="116"/>
      <c r="T86" s="116"/>
      <c r="U86" s="616">
        <v>100</v>
      </c>
      <c r="V86" s="618">
        <v>0.372</v>
      </c>
      <c r="W86" s="619">
        <v>37</v>
      </c>
      <c r="X86" s="618">
        <v>0</v>
      </c>
      <c r="Y86" s="620">
        <v>100</v>
      </c>
    </row>
    <row r="87" spans="1:25" ht="12.75">
      <c r="A87" s="36" t="str">
        <f ca="1">IFERROR(__xludf.DUMMYFUNCTION("""COMPUTED_VALUE"""),"Галенко Богдана")</f>
        <v>Галенко Богдана</v>
      </c>
      <c r="B87" s="114">
        <f ca="1">IFERROR(__xludf.DUMMYFUNCTION("""COMPUTED_VALUE"""),0)</f>
        <v>0</v>
      </c>
      <c r="C87" s="114">
        <f ca="1">IFERROR(__xludf.DUMMYFUNCTION("""COMPUTED_VALUE"""),1.0623106060606)</f>
        <v>1.0623106060606</v>
      </c>
      <c r="D87" s="114">
        <f ca="1">IFERROR(__xludf.DUMMYFUNCTION("""COMPUTED_VALUE"""),0)</f>
        <v>0</v>
      </c>
      <c r="E87" s="36"/>
      <c r="F87" s="36"/>
      <c r="G87" s="36" t="str">
        <f ca="1">IFERROR(__xludf.DUMMYFUNCTION("""COMPUTED_VALUE"""),"Костюк Юлія")</f>
        <v>Костюк Юлія</v>
      </c>
      <c r="H87" s="114">
        <f ca="1">IFERROR(__xludf.DUMMYFUNCTION("""COMPUTED_VALUE"""),0.0285714285714285)</f>
        <v>2.8571428571428501E-2</v>
      </c>
      <c r="I87" s="114">
        <f ca="1">IFERROR(__xludf.DUMMYFUNCTION("""COMPUTED_VALUE"""),0.80868964922121)</f>
        <v>0.80868964922121001</v>
      </c>
      <c r="J87" s="114">
        <f ca="1">IFERROR(__xludf.DUMMYFUNCTION("""COMPUTED_VALUE"""),0.00857142857142857)</f>
        <v>8.5714285714285701E-3</v>
      </c>
      <c r="R87" s="117" t="s">
        <v>536</v>
      </c>
      <c r="S87" s="116"/>
      <c r="T87" s="116"/>
      <c r="U87" s="616">
        <v>100</v>
      </c>
      <c r="V87" s="618">
        <v>1.0448999999999999</v>
      </c>
      <c r="W87" s="619">
        <v>104</v>
      </c>
      <c r="X87" s="618">
        <v>7.7799999999999994E-2</v>
      </c>
      <c r="Y87" s="620">
        <v>92</v>
      </c>
    </row>
    <row r="88" spans="1:25" ht="12.75">
      <c r="A88" s="36" t="str">
        <f ca="1">IFERROR(__xludf.DUMMYFUNCTION("""COMPUTED_VALUE"""),"Галіброда Анатолій")</f>
        <v>Галіброда Анатолій</v>
      </c>
      <c r="B88" s="114">
        <f ca="1">IFERROR(__xludf.DUMMYFUNCTION("""COMPUTED_VALUE"""),0)</f>
        <v>0</v>
      </c>
      <c r="C88" s="114">
        <f ca="1">IFERROR(__xludf.DUMMYFUNCTION("""COMPUTED_VALUE"""),0.08)</f>
        <v>0.08</v>
      </c>
      <c r="D88" s="114">
        <f ca="1">IFERROR(__xludf.DUMMYFUNCTION("""COMPUTED_VALUE"""),0)</f>
        <v>0</v>
      </c>
      <c r="E88" s="36"/>
      <c r="F88" s="36"/>
      <c r="G88" s="36" t="str">
        <f ca="1">IFERROR(__xludf.DUMMYFUNCTION("""COMPUTED_VALUE"""),"Костяк Марія")</f>
        <v>Костяк Марія</v>
      </c>
      <c r="H88" s="114">
        <f ca="1">IFERROR(__xludf.DUMMYFUNCTION("""COMPUTED_VALUE"""),0.0181818181818181)</f>
        <v>1.8181818181818101E-2</v>
      </c>
      <c r="I88" s="114">
        <f ca="1">IFERROR(__xludf.DUMMYFUNCTION("""COMPUTED_VALUE"""),0.986585600445471)</f>
        <v>0.98658560044547094</v>
      </c>
      <c r="J88" s="114">
        <f ca="1">IFERROR(__xludf.DUMMYFUNCTION("""COMPUTED_VALUE"""),0.00545454545454545)</f>
        <v>5.4545454545454498E-3</v>
      </c>
      <c r="R88" s="117" t="s">
        <v>539</v>
      </c>
      <c r="S88" s="116"/>
      <c r="T88" s="116"/>
      <c r="U88" s="616">
        <v>100</v>
      </c>
      <c r="V88" s="618">
        <v>0.89670000000000005</v>
      </c>
      <c r="W88" s="619">
        <v>90</v>
      </c>
      <c r="X88" s="618">
        <v>0.105</v>
      </c>
      <c r="Y88" s="620">
        <v>90</v>
      </c>
    </row>
    <row r="89" spans="1:25" ht="12.75">
      <c r="A89" s="36" t="str">
        <f ca="1">IFERROR(__xludf.DUMMYFUNCTION("""COMPUTED_VALUE"""),"Гапук Олег")</f>
        <v>Гапук Олег</v>
      </c>
      <c r="B89" s="114">
        <f ca="1">IFERROR(__xludf.DUMMYFUNCTION("""COMPUTED_VALUE"""),0)</f>
        <v>0</v>
      </c>
      <c r="C89" s="114">
        <f ca="1">IFERROR(__xludf.DUMMYFUNCTION("""COMPUTED_VALUE"""),1.16666666666666)</f>
        <v>1.1666666666666601</v>
      </c>
      <c r="D89" s="114">
        <f ca="1">IFERROR(__xludf.DUMMYFUNCTION("""COMPUTED_VALUE"""),0)</f>
        <v>0</v>
      </c>
      <c r="E89" s="36"/>
      <c r="F89" s="36"/>
      <c r="G89" s="36" t="str">
        <f ca="1">IFERROR(__xludf.DUMMYFUNCTION("""COMPUTED_VALUE"""),"Кравчик Олена")</f>
        <v>Кравчик Олена</v>
      </c>
      <c r="H89" s="114">
        <f ca="1">IFERROR(__xludf.DUMMYFUNCTION("""COMPUTED_VALUE"""),0)</f>
        <v>0</v>
      </c>
      <c r="I89" s="114">
        <f ca="1">IFERROR(__xludf.DUMMYFUNCTION("""COMPUTED_VALUE"""),0.9)</f>
        <v>0.9</v>
      </c>
      <c r="J89" s="114">
        <f ca="1">IFERROR(__xludf.DUMMYFUNCTION("""COMPUTED_VALUE"""),0)</f>
        <v>0</v>
      </c>
      <c r="R89" s="117" t="s">
        <v>542</v>
      </c>
      <c r="S89" s="116"/>
      <c r="T89" s="116"/>
      <c r="U89" s="156"/>
      <c r="V89" s="116" t="s">
        <v>9805</v>
      </c>
      <c r="W89" s="617" t="s">
        <v>9805</v>
      </c>
      <c r="X89" s="116" t="s">
        <v>9805</v>
      </c>
      <c r="Y89" s="116" t="s">
        <v>9805</v>
      </c>
    </row>
    <row r="90" spans="1:25" ht="12.75">
      <c r="A90" s="36" t="str">
        <f ca="1">IFERROR(__xludf.DUMMYFUNCTION("""COMPUTED_VALUE"""),"Герасимов Владислав")</f>
        <v>Герасимов Владислав</v>
      </c>
      <c r="B90" s="114">
        <f ca="1">IFERROR(__xludf.DUMMYFUNCTION("""COMPUTED_VALUE"""),0.0582417582417582)</f>
        <v>5.8241758241758201E-2</v>
      </c>
      <c r="C90" s="114">
        <f ca="1">IFERROR(__xludf.DUMMYFUNCTION("""COMPUTED_VALUE"""),1.17063395362575)</f>
        <v>1.17063395362575</v>
      </c>
      <c r="D90" s="114">
        <f ca="1">IFERROR(__xludf.DUMMYFUNCTION("""COMPUTED_VALUE"""),0.0407692307692307)</f>
        <v>4.0769230769230697E-2</v>
      </c>
      <c r="E90" s="36"/>
      <c r="F90" s="36"/>
      <c r="G90" s="36" t="str">
        <f ca="1">IFERROR(__xludf.DUMMYFUNCTION("""COMPUTED_VALUE"""),"Криворученко Анастасія")</f>
        <v>Криворученко Анастасія</v>
      </c>
      <c r="H90" s="114">
        <f ca="1">IFERROR(__xludf.DUMMYFUNCTION("""COMPUTED_VALUE"""),0.167724867724867)</f>
        <v>0.167724867724867</v>
      </c>
      <c r="I90" s="114">
        <f ca="1">IFERROR(__xludf.DUMMYFUNCTION("""COMPUTED_VALUE"""),0.636839048297381)</f>
        <v>0.63683904829738103</v>
      </c>
      <c r="J90" s="114">
        <f ca="1">IFERROR(__xludf.DUMMYFUNCTION("""COMPUTED_VALUE"""),0.0503174603174603)</f>
        <v>5.0317460317460302E-2</v>
      </c>
      <c r="R90" s="117" t="s">
        <v>545</v>
      </c>
      <c r="S90" s="116"/>
      <c r="T90" s="116"/>
      <c r="U90" s="616">
        <v>100</v>
      </c>
      <c r="V90" s="618">
        <v>0.78110000000000002</v>
      </c>
      <c r="W90" s="619">
        <v>78</v>
      </c>
      <c r="X90" s="618">
        <v>4.1700000000000001E-2</v>
      </c>
      <c r="Y90" s="620">
        <v>96</v>
      </c>
    </row>
    <row r="91" spans="1:25" ht="12.75">
      <c r="A91" s="36" t="str">
        <f ca="1">IFERROR(__xludf.DUMMYFUNCTION("""COMPUTED_VALUE"""),"Гладких Олександр")</f>
        <v>Гладких Олександр</v>
      </c>
      <c r="B91" s="114">
        <f ca="1">IFERROR(__xludf.DUMMYFUNCTION("""COMPUTED_VALUE"""),0.242857142857142)</f>
        <v>0.24285714285714199</v>
      </c>
      <c r="C91" s="114">
        <f ca="1">IFERROR(__xludf.DUMMYFUNCTION("""COMPUTED_VALUE"""),0.591269841269841)</f>
        <v>0.59126984126984095</v>
      </c>
      <c r="D91" s="114">
        <f ca="1">IFERROR(__xludf.DUMMYFUNCTION("""COMPUTED_VALUE"""),0.169999999999999)</f>
        <v>0.16999999999999901</v>
      </c>
      <c r="E91" s="36"/>
      <c r="F91" s="36"/>
      <c r="G91" s="36" t="str">
        <f ca="1">IFERROR(__xludf.DUMMYFUNCTION("""COMPUTED_VALUE"""),"Криворученко Наталія")</f>
        <v>Криворученко Наталія</v>
      </c>
      <c r="H91" s="114">
        <f ca="1">IFERROR(__xludf.DUMMYFUNCTION("""COMPUTED_VALUE"""),0)</f>
        <v>0</v>
      </c>
      <c r="I91" s="114">
        <f ca="1">IFERROR(__xludf.DUMMYFUNCTION("""COMPUTED_VALUE"""),0.833333333333333)</f>
        <v>0.83333333333333304</v>
      </c>
      <c r="J91" s="114">
        <f ca="1">IFERROR(__xludf.DUMMYFUNCTION("""COMPUTED_VALUE"""),0)</f>
        <v>0</v>
      </c>
      <c r="R91" s="117" t="s">
        <v>548</v>
      </c>
      <c r="S91" s="116"/>
      <c r="T91" s="116"/>
      <c r="U91" s="616">
        <v>90</v>
      </c>
      <c r="V91" s="618">
        <v>0.90249999999999997</v>
      </c>
      <c r="W91" s="619">
        <v>90</v>
      </c>
      <c r="X91" s="618">
        <v>1.9699999999999999E-2</v>
      </c>
      <c r="Y91" s="620">
        <v>98</v>
      </c>
    </row>
    <row r="92" spans="1:25" ht="12.75">
      <c r="A92" s="36" t="str">
        <f ca="1">IFERROR(__xludf.DUMMYFUNCTION("""COMPUTED_VALUE"""),"Глодян Анастасія")</f>
        <v>Глодян Анастасія</v>
      </c>
      <c r="B92" s="114">
        <f ca="1">IFERROR(__xludf.DUMMYFUNCTION("""COMPUTED_VALUE"""),0.0625)</f>
        <v>6.25E-2</v>
      </c>
      <c r="C92" s="114">
        <f ca="1">IFERROR(__xludf.DUMMYFUNCTION("""COMPUTED_VALUE"""),0.805555555555555)</f>
        <v>0.80555555555555503</v>
      </c>
      <c r="D92" s="114">
        <f ca="1">IFERROR(__xludf.DUMMYFUNCTION("""COMPUTED_VALUE"""),0.04375)</f>
        <v>4.3749999999999997E-2</v>
      </c>
      <c r="E92" s="36"/>
      <c r="F92" s="36"/>
      <c r="G92" s="36" t="str">
        <f ca="1">IFERROR(__xludf.DUMMYFUNCTION("""COMPUTED_VALUE"""),"Кривошия Марина")</f>
        <v>Кривошия Марина</v>
      </c>
      <c r="H92" s="114">
        <f ca="1">IFERROR(__xludf.DUMMYFUNCTION("""COMPUTED_VALUE"""),0)</f>
        <v>0</v>
      </c>
      <c r="I92" s="114">
        <f ca="1">IFERROR(__xludf.DUMMYFUNCTION("""COMPUTED_VALUE"""),0.375)</f>
        <v>0.375</v>
      </c>
      <c r="J92" s="114">
        <f ca="1">IFERROR(__xludf.DUMMYFUNCTION("""COMPUTED_VALUE"""),0)</f>
        <v>0</v>
      </c>
      <c r="R92" s="117" t="s">
        <v>551</v>
      </c>
      <c r="S92" s="116"/>
      <c r="T92" s="116"/>
      <c r="U92" s="616">
        <v>97</v>
      </c>
      <c r="V92" s="618">
        <v>1.0786</v>
      </c>
      <c r="W92" s="619">
        <v>108</v>
      </c>
      <c r="X92" s="618">
        <v>1.9199999999999998E-2</v>
      </c>
      <c r="Y92" s="620">
        <v>98</v>
      </c>
    </row>
    <row r="93" spans="1:25" ht="12.75">
      <c r="A93" s="36" t="str">
        <f ca="1">IFERROR(__xludf.DUMMYFUNCTION("""COMPUTED_VALUE"""),"Глушаниця Роман")</f>
        <v>Глушаниця Роман</v>
      </c>
      <c r="B93" s="114">
        <f ca="1">IFERROR(__xludf.DUMMYFUNCTION("""COMPUTED_VALUE"""),0)</f>
        <v>0</v>
      </c>
      <c r="C93" s="114">
        <f ca="1">IFERROR(__xludf.DUMMYFUNCTION("""COMPUTED_VALUE"""),1.00535714285714)</f>
        <v>1.00535714285714</v>
      </c>
      <c r="D93" s="114">
        <f ca="1">IFERROR(__xludf.DUMMYFUNCTION("""COMPUTED_VALUE"""),0)</f>
        <v>0</v>
      </c>
      <c r="E93" s="36"/>
      <c r="F93" s="36"/>
      <c r="G93" s="36" t="str">
        <f ca="1">IFERROR(__xludf.DUMMYFUNCTION("""COMPUTED_VALUE"""),"Кріль Єлизавета")</f>
        <v>Кріль Єлизавета</v>
      </c>
      <c r="H93" s="114">
        <f ca="1">IFERROR(__xludf.DUMMYFUNCTION("""COMPUTED_VALUE"""),0.0222023809523809)</f>
        <v>2.2202380952380901E-2</v>
      </c>
      <c r="I93" s="114">
        <f ca="1">IFERROR(__xludf.DUMMYFUNCTION("""COMPUTED_VALUE"""),0.593052019365578)</f>
        <v>0.59305201936557805</v>
      </c>
      <c r="J93" s="114">
        <f ca="1">IFERROR(__xludf.DUMMYFUNCTION("""COMPUTED_VALUE"""),0.00666071428571428)</f>
        <v>6.6607142857142802E-3</v>
      </c>
      <c r="R93" s="117" t="s">
        <v>554</v>
      </c>
      <c r="S93" s="116"/>
      <c r="T93" s="116"/>
      <c r="U93" s="616">
        <v>80</v>
      </c>
      <c r="V93" s="618">
        <v>0.69499999999999995</v>
      </c>
      <c r="W93" s="619">
        <v>69</v>
      </c>
      <c r="X93" s="618">
        <v>0.16139999999999999</v>
      </c>
      <c r="Y93" s="620">
        <v>84</v>
      </c>
    </row>
    <row r="94" spans="1:25" ht="12.75">
      <c r="A94" s="36" t="str">
        <f ca="1">IFERROR(__xludf.DUMMYFUNCTION("""COMPUTED_VALUE"""),"Говорун Ірина")</f>
        <v>Говорун Ірина</v>
      </c>
      <c r="B94" s="114">
        <f ca="1">IFERROR(__xludf.DUMMYFUNCTION("""COMPUTED_VALUE"""),0.136363636363636)</f>
        <v>0.13636363636363599</v>
      </c>
      <c r="C94" s="114">
        <f ca="1">IFERROR(__xludf.DUMMYFUNCTION("""COMPUTED_VALUE"""),0.434722222222222)</f>
        <v>0.43472222222222201</v>
      </c>
      <c r="D94" s="114">
        <f ca="1">IFERROR(__xludf.DUMMYFUNCTION("""COMPUTED_VALUE"""),0.0954545454545454)</f>
        <v>9.5454545454545403E-2</v>
      </c>
      <c r="E94" s="36"/>
      <c r="F94" s="36"/>
      <c r="G94" s="36" t="str">
        <f ca="1">IFERROR(__xludf.DUMMYFUNCTION("""COMPUTED_VALUE"""),"Кроковна Катерина")</f>
        <v>Кроковна Катерина</v>
      </c>
      <c r="H94" s="114">
        <f ca="1">IFERROR(__xludf.DUMMYFUNCTION("""COMPUTED_VALUE"""),0)</f>
        <v>0</v>
      </c>
      <c r="I94" s="114">
        <f ca="1">IFERROR(__xludf.DUMMYFUNCTION("""COMPUTED_VALUE"""),0.0555555555555555)</f>
        <v>5.5555555555555497E-2</v>
      </c>
      <c r="J94" s="114">
        <f ca="1">IFERROR(__xludf.DUMMYFUNCTION("""COMPUTED_VALUE"""),0)</f>
        <v>0</v>
      </c>
      <c r="R94" s="117" t="s">
        <v>557</v>
      </c>
      <c r="S94" s="116"/>
      <c r="T94" s="116"/>
      <c r="U94" s="616">
        <v>95</v>
      </c>
      <c r="V94" s="618">
        <v>0.78380000000000005</v>
      </c>
      <c r="W94" s="619">
        <v>78</v>
      </c>
      <c r="X94" s="618">
        <v>1.3100000000000001E-2</v>
      </c>
      <c r="Y94" s="620">
        <v>99</v>
      </c>
    </row>
    <row r="95" spans="1:25" ht="12.75">
      <c r="A95" s="36" t="str">
        <f ca="1">IFERROR(__xludf.DUMMYFUNCTION("""COMPUTED_VALUE"""),"Говорун Маргаріта")</f>
        <v>Говорун Маргаріта</v>
      </c>
      <c r="B95" s="114">
        <f ca="1">IFERROR(__xludf.DUMMYFUNCTION("""COMPUTED_VALUE"""),0.142857142857142)</f>
        <v>0.14285714285714199</v>
      </c>
      <c r="C95" s="114">
        <f ca="1">IFERROR(__xludf.DUMMYFUNCTION("""COMPUTED_VALUE"""),0.617647058823529)</f>
        <v>0.61764705882352899</v>
      </c>
      <c r="D95" s="114">
        <f ca="1">IFERROR(__xludf.DUMMYFUNCTION("""COMPUTED_VALUE"""),0.0999999999999999)</f>
        <v>9.9999999999999895E-2</v>
      </c>
      <c r="E95" s="36"/>
      <c r="F95" s="36"/>
      <c r="G95" s="36" t="str">
        <f ca="1">IFERROR(__xludf.DUMMYFUNCTION("""COMPUTED_VALUE"""),"Кузьо Андрій")</f>
        <v>Кузьо Андрій</v>
      </c>
      <c r="H95" s="114">
        <f ca="1">IFERROR(__xludf.DUMMYFUNCTION("""COMPUTED_VALUE"""),0.0895326895326895)</f>
        <v>8.9532689532689502E-2</v>
      </c>
      <c r="I95" s="114">
        <f ca="1">IFERROR(__xludf.DUMMYFUNCTION("""COMPUTED_VALUE"""),0.910208190502308)</f>
        <v>0.91020819050230795</v>
      </c>
      <c r="J95" s="114">
        <f ca="1">IFERROR(__xludf.DUMMYFUNCTION("""COMPUTED_VALUE"""),0.0268598068598068)</f>
        <v>2.6859806859806799E-2</v>
      </c>
      <c r="R95" s="117" t="s">
        <v>560</v>
      </c>
      <c r="S95" s="116"/>
      <c r="T95" s="116"/>
      <c r="U95" s="616">
        <v>85</v>
      </c>
      <c r="V95" s="618">
        <v>0.94540000000000002</v>
      </c>
      <c r="W95" s="619">
        <v>95</v>
      </c>
      <c r="X95" s="618">
        <v>1.2999999999999999E-2</v>
      </c>
      <c r="Y95" s="620">
        <v>99</v>
      </c>
    </row>
    <row r="96" spans="1:25" ht="12.75">
      <c r="A96" s="36" t="str">
        <f ca="1">IFERROR(__xludf.DUMMYFUNCTION("""COMPUTED_VALUE"""),"Гоник Михайло")</f>
        <v>Гоник Михайло</v>
      </c>
      <c r="B96" s="114">
        <f ca="1">IFERROR(__xludf.DUMMYFUNCTION("""COMPUTED_VALUE"""),0.0138888888888888)</f>
        <v>1.38888888888888E-2</v>
      </c>
      <c r="C96" s="114">
        <f ca="1">IFERROR(__xludf.DUMMYFUNCTION("""COMPUTED_VALUE"""),0.736825396825396)</f>
        <v>0.73682539682539605</v>
      </c>
      <c r="D96" s="114">
        <f ca="1">IFERROR(__xludf.DUMMYFUNCTION("""COMPUTED_VALUE"""),0.00972222222222222)</f>
        <v>9.7222222222222206E-3</v>
      </c>
      <c r="E96" s="36"/>
      <c r="F96" s="36"/>
      <c r="G96" s="36" t="str">
        <f ca="1">IFERROR(__xludf.DUMMYFUNCTION("""COMPUTED_VALUE"""),"Курилюк Юлія")</f>
        <v>Курилюк Юлія</v>
      </c>
      <c r="H96" s="114">
        <f ca="1">IFERROR(__xludf.DUMMYFUNCTION("""COMPUTED_VALUE"""),0.0367965367965367)</f>
        <v>3.6796536796536702E-2</v>
      </c>
      <c r="I96" s="114">
        <f ca="1">IFERROR(__xludf.DUMMYFUNCTION("""COMPUTED_VALUE"""),0.68165339182781)</f>
        <v>0.68165339182781004</v>
      </c>
      <c r="J96" s="114">
        <f ca="1">IFERROR(__xludf.DUMMYFUNCTION("""COMPUTED_VALUE"""),0.011038961038961)</f>
        <v>1.1038961038960999E-2</v>
      </c>
      <c r="R96" s="117" t="s">
        <v>564</v>
      </c>
      <c r="S96" s="116"/>
      <c r="T96" s="116"/>
      <c r="U96" s="616">
        <v>84</v>
      </c>
      <c r="V96" s="618">
        <v>0.84019999999999995</v>
      </c>
      <c r="W96" s="619">
        <v>84</v>
      </c>
      <c r="X96" s="618">
        <v>1.3299999999999999E-2</v>
      </c>
      <c r="Y96" s="620">
        <v>99</v>
      </c>
    </row>
    <row r="97" spans="1:25" ht="12.75">
      <c r="A97" s="36" t="str">
        <f ca="1">IFERROR(__xludf.DUMMYFUNCTION("""COMPUTED_VALUE"""),"Гончар Катерина")</f>
        <v>Гончар Катерина</v>
      </c>
      <c r="B97" s="114">
        <f ca="1">IFERROR(__xludf.DUMMYFUNCTION("""COMPUTED_VALUE"""),0.141861471861471)</f>
        <v>0.14186147186147099</v>
      </c>
      <c r="C97" s="114">
        <f ca="1">IFERROR(__xludf.DUMMYFUNCTION("""COMPUTED_VALUE"""),0.591191608636391)</f>
        <v>0.59119160863639098</v>
      </c>
      <c r="D97" s="114">
        <f ca="1">IFERROR(__xludf.DUMMYFUNCTION("""COMPUTED_VALUE"""),0.0993030303030303)</f>
        <v>9.9303030303030296E-2</v>
      </c>
      <c r="E97" s="36"/>
      <c r="F97" s="36"/>
      <c r="G97" s="36" t="str">
        <f ca="1">IFERROR(__xludf.DUMMYFUNCTION("""COMPUTED_VALUE"""),"Кутья Лада")</f>
        <v>Кутья Лада</v>
      </c>
      <c r="H97" s="114">
        <f ca="1">IFERROR(__xludf.DUMMYFUNCTION("""COMPUTED_VALUE"""),-0.125)</f>
        <v>-0.125</v>
      </c>
      <c r="I97" s="114">
        <f ca="1">IFERROR(__xludf.DUMMYFUNCTION("""COMPUTED_VALUE"""),0.301388888888888)</f>
        <v>0.30138888888888798</v>
      </c>
      <c r="J97" s="114">
        <f ca="1">IFERROR(__xludf.DUMMYFUNCTION("""COMPUTED_VALUE"""),-0.0375)</f>
        <v>-3.7499999999999999E-2</v>
      </c>
      <c r="R97" s="117" t="s">
        <v>567</v>
      </c>
      <c r="S97" s="116"/>
      <c r="T97" s="116"/>
      <c r="U97" s="616">
        <v>97</v>
      </c>
      <c r="V97" s="618">
        <v>1.1499999999999999</v>
      </c>
      <c r="W97" s="619">
        <v>115</v>
      </c>
      <c r="X97" s="618">
        <v>0</v>
      </c>
      <c r="Y97" s="620">
        <v>100</v>
      </c>
    </row>
    <row r="98" spans="1:25" ht="12.75">
      <c r="A98" s="36" t="str">
        <f ca="1">IFERROR(__xludf.DUMMYFUNCTION("""COMPUTED_VALUE"""),"Гончар Микита")</f>
        <v>Гончар Микита</v>
      </c>
      <c r="B98" s="114">
        <f ca="1">IFERROR(__xludf.DUMMYFUNCTION("""COMPUTED_VALUE"""),0.033044733044733)</f>
        <v>3.3044733044733002E-2</v>
      </c>
      <c r="C98" s="114">
        <f ca="1">IFERROR(__xludf.DUMMYFUNCTION("""COMPUTED_VALUE"""),1.14756461786773)</f>
        <v>1.1475646178677299</v>
      </c>
      <c r="D98" s="114">
        <f ca="1">IFERROR(__xludf.DUMMYFUNCTION("""COMPUTED_VALUE"""),0.0231313131313131)</f>
        <v>2.31313131313131E-2</v>
      </c>
      <c r="E98" s="36"/>
      <c r="F98" s="36"/>
      <c r="G98" s="36" t="str">
        <f ca="1">IFERROR(__xludf.DUMMYFUNCTION("""COMPUTED_VALUE"""),"Куць Дар‘я")</f>
        <v>Куць Дар‘я</v>
      </c>
      <c r="H98" s="114">
        <f ca="1">IFERROR(__xludf.DUMMYFUNCTION("""COMPUTED_VALUE"""),0.0714285714285714)</f>
        <v>7.1428571428571397E-2</v>
      </c>
      <c r="I98" s="114">
        <f ca="1">IFERROR(__xludf.DUMMYFUNCTION("""COMPUTED_VALUE"""),0.6125)</f>
        <v>0.61250000000000004</v>
      </c>
      <c r="J98" s="114">
        <f ca="1">IFERROR(__xludf.DUMMYFUNCTION("""COMPUTED_VALUE"""),0.0214285714285714)</f>
        <v>2.1428571428571401E-2</v>
      </c>
      <c r="R98" s="117" t="s">
        <v>570</v>
      </c>
      <c r="S98" s="116"/>
      <c r="T98" s="116"/>
      <c r="U98" s="616">
        <v>94</v>
      </c>
      <c r="V98" s="618">
        <v>0.96879999999999999</v>
      </c>
      <c r="W98" s="619">
        <v>97</v>
      </c>
      <c r="X98" s="618">
        <v>-8.7499999999999994E-2</v>
      </c>
      <c r="Y98" s="620">
        <v>109</v>
      </c>
    </row>
    <row r="99" spans="1:25" ht="12.75">
      <c r="A99" s="36" t="str">
        <f ca="1">IFERROR(__xludf.DUMMYFUNCTION("""COMPUTED_VALUE"""),"Гончаренко Анна")</f>
        <v>Гончаренко Анна</v>
      </c>
      <c r="B99" s="114">
        <f ca="1">IFERROR(__xludf.DUMMYFUNCTION("""COMPUTED_VALUE"""),0)</f>
        <v>0</v>
      </c>
      <c r="C99" s="114">
        <f ca="1">IFERROR(__xludf.DUMMYFUNCTION("""COMPUTED_VALUE"""),1.21428571428571)</f>
        <v>1.21428571428571</v>
      </c>
      <c r="D99" s="114">
        <f ca="1">IFERROR(__xludf.DUMMYFUNCTION("""COMPUTED_VALUE"""),0)</f>
        <v>0</v>
      </c>
      <c r="E99" s="36"/>
      <c r="F99" s="36"/>
      <c r="G99" s="36" t="str">
        <f ca="1">IFERROR(__xludf.DUMMYFUNCTION("""COMPUTED_VALUE"""),"Лабунець Неля")</f>
        <v>Лабунець Неля</v>
      </c>
      <c r="H99" s="114">
        <f ca="1">IFERROR(__xludf.DUMMYFUNCTION("""COMPUTED_VALUE"""),-0.0877525252525252)</f>
        <v>-8.7752525252525193E-2</v>
      </c>
      <c r="I99" s="114">
        <f ca="1">IFERROR(__xludf.DUMMYFUNCTION("""COMPUTED_VALUE"""),0.787336956521739)</f>
        <v>0.78733695652173896</v>
      </c>
      <c r="J99" s="114">
        <f ca="1">IFERROR(__xludf.DUMMYFUNCTION("""COMPUTED_VALUE"""),-0.0263257575757575)</f>
        <v>-2.6325757575757499E-2</v>
      </c>
      <c r="R99" s="117" t="s">
        <v>573</v>
      </c>
      <c r="S99" s="116"/>
      <c r="T99" s="116"/>
      <c r="U99" s="616">
        <v>90</v>
      </c>
      <c r="V99" s="618">
        <v>0.81489999999999996</v>
      </c>
      <c r="W99" s="619">
        <v>81</v>
      </c>
      <c r="X99" s="618">
        <v>0</v>
      </c>
      <c r="Y99" s="620">
        <v>100</v>
      </c>
    </row>
    <row r="100" spans="1:25" ht="12.75">
      <c r="A100" s="36" t="str">
        <f ca="1">IFERROR(__xludf.DUMMYFUNCTION("""COMPUTED_VALUE"""),"Гончаров Сергій")</f>
        <v>Гончаров Сергій</v>
      </c>
      <c r="B100" s="114">
        <f ca="1">IFERROR(__xludf.DUMMYFUNCTION("""COMPUTED_VALUE"""),0.0769230769230769)</f>
        <v>7.69230769230769E-2</v>
      </c>
      <c r="C100" s="114">
        <f ca="1">IFERROR(__xludf.DUMMYFUNCTION("""COMPUTED_VALUE"""),0.693548387096774)</f>
        <v>0.69354838709677402</v>
      </c>
      <c r="D100" s="114">
        <f ca="1">IFERROR(__xludf.DUMMYFUNCTION("""COMPUTED_VALUE"""),0.0538461538461538)</f>
        <v>5.3846153846153801E-2</v>
      </c>
      <c r="E100" s="36"/>
      <c r="F100" s="36"/>
      <c r="G100" s="36" t="str">
        <f ca="1">IFERROR(__xludf.DUMMYFUNCTION("""COMPUTED_VALUE"""),"Левченко Марія")</f>
        <v>Левченко Марія</v>
      </c>
      <c r="H100" s="114">
        <f ca="1">IFERROR(__xludf.DUMMYFUNCTION("""COMPUTED_VALUE"""),0.104761904761904)</f>
        <v>0.104761904761904</v>
      </c>
      <c r="I100" s="114">
        <f ca="1">IFERROR(__xludf.DUMMYFUNCTION("""COMPUTED_VALUE"""),0.944324324324324)</f>
        <v>0.944324324324324</v>
      </c>
      <c r="J100" s="114">
        <f ca="1">IFERROR(__xludf.DUMMYFUNCTION("""COMPUTED_VALUE"""),0.0314285714285714)</f>
        <v>3.1428571428571403E-2</v>
      </c>
      <c r="R100" s="117" t="s">
        <v>576</v>
      </c>
      <c r="S100" s="116"/>
      <c r="T100" s="116"/>
      <c r="U100" s="616">
        <v>100</v>
      </c>
      <c r="V100" s="618">
        <v>0.45</v>
      </c>
      <c r="W100" s="619">
        <v>45</v>
      </c>
      <c r="X100" s="618">
        <v>0</v>
      </c>
      <c r="Y100" s="620">
        <v>100</v>
      </c>
    </row>
    <row r="101" spans="1:25" ht="12.75">
      <c r="A101" s="36" t="str">
        <f ca="1">IFERROR(__xludf.DUMMYFUNCTION("""COMPUTED_VALUE"""),"Горбань Ілля")</f>
        <v>Горбань Ілля</v>
      </c>
      <c r="B101" s="114">
        <f ca="1">IFERROR(__xludf.DUMMYFUNCTION("""COMPUTED_VALUE"""),0.1)</f>
        <v>0.1</v>
      </c>
      <c r="C101" s="114">
        <f ca="1">IFERROR(__xludf.DUMMYFUNCTION("""COMPUTED_VALUE"""),0.513513513513513)</f>
        <v>0.51351351351351304</v>
      </c>
      <c r="D101" s="114">
        <f ca="1">IFERROR(__xludf.DUMMYFUNCTION("""COMPUTED_VALUE"""),0.0699999999999999)</f>
        <v>6.9999999999999896E-2</v>
      </c>
      <c r="E101" s="36"/>
      <c r="F101" s="36"/>
      <c r="G101" s="36" t="str">
        <f ca="1">IFERROR(__xludf.DUMMYFUNCTION("""COMPUTED_VALUE"""),"Ленська Лада")</f>
        <v>Ленська Лада</v>
      </c>
      <c r="H101" s="114">
        <f ca="1">IFERROR(__xludf.DUMMYFUNCTION("""COMPUTED_VALUE"""),0)</f>
        <v>0</v>
      </c>
      <c r="I101" s="114">
        <f ca="1">IFERROR(__xludf.DUMMYFUNCTION("""COMPUTED_VALUE"""),0.441666666666666)</f>
        <v>0.44166666666666599</v>
      </c>
      <c r="J101" s="114">
        <f ca="1">IFERROR(__xludf.DUMMYFUNCTION("""COMPUTED_VALUE"""),0)</f>
        <v>0</v>
      </c>
      <c r="R101" s="117" t="s">
        <v>579</v>
      </c>
      <c r="S101" s="116"/>
      <c r="T101" s="116"/>
      <c r="U101" s="616">
        <v>90</v>
      </c>
      <c r="V101" s="618">
        <v>0.45300000000000001</v>
      </c>
      <c r="W101" s="619">
        <v>45</v>
      </c>
      <c r="X101" s="618">
        <v>2.2000000000000001E-3</v>
      </c>
      <c r="Y101" s="620">
        <v>100</v>
      </c>
    </row>
    <row r="102" spans="1:25" ht="12.75">
      <c r="A102" s="36" t="str">
        <f ca="1">IFERROR(__xludf.DUMMYFUNCTION("""COMPUTED_VALUE"""),"Горбунов Юрій")</f>
        <v>Горбунов Юрій</v>
      </c>
      <c r="B102" s="114">
        <f ca="1">IFERROR(__xludf.DUMMYFUNCTION("""COMPUTED_VALUE"""),0.0791666666666666)</f>
        <v>7.9166666666666594E-2</v>
      </c>
      <c r="C102" s="114">
        <f ca="1">IFERROR(__xludf.DUMMYFUNCTION("""COMPUTED_VALUE"""),0.663241436925647)</f>
        <v>0.66324143692564697</v>
      </c>
      <c r="D102" s="114">
        <f ca="1">IFERROR(__xludf.DUMMYFUNCTION("""COMPUTED_VALUE"""),0.0554166666666666)</f>
        <v>5.54166666666666E-2</v>
      </c>
      <c r="E102" s="36"/>
      <c r="F102" s="36"/>
      <c r="G102" s="36" t="str">
        <f ca="1">IFERROR(__xludf.DUMMYFUNCTION("""COMPUTED_VALUE"""),"Лубенець Гюльнара")</f>
        <v>Лубенець Гюльнара</v>
      </c>
      <c r="H102" s="114">
        <f ca="1">IFERROR(__xludf.DUMMYFUNCTION("""COMPUTED_VALUE"""),0)</f>
        <v>0</v>
      </c>
      <c r="I102" s="114" t="str">
        <f ca="1">IFERROR(__xludf.DUMMYFUNCTION("""COMPUTED_VALUE"""),"#DIV/0!")</f>
        <v>#DIV/0!</v>
      </c>
      <c r="J102" s="114">
        <f ca="1">IFERROR(__xludf.DUMMYFUNCTION("""COMPUTED_VALUE"""),0)</f>
        <v>0</v>
      </c>
      <c r="R102" s="117" t="s">
        <v>582</v>
      </c>
      <c r="S102" s="116"/>
      <c r="T102" s="116"/>
      <c r="U102" s="616">
        <v>73</v>
      </c>
      <c r="V102" s="618">
        <v>1.1853</v>
      </c>
      <c r="W102" s="619">
        <v>119</v>
      </c>
      <c r="X102" s="618">
        <v>4.3799999999999999E-2</v>
      </c>
      <c r="Y102" s="620">
        <v>96</v>
      </c>
    </row>
    <row r="103" spans="1:25" ht="12.75">
      <c r="A103" s="36" t="str">
        <f ca="1">IFERROR(__xludf.DUMMYFUNCTION("""COMPUTED_VALUE"""),"Горбунок Юрій")</f>
        <v>Горбунок Юрій</v>
      </c>
      <c r="B103" s="114">
        <f ca="1">IFERROR(__xludf.DUMMYFUNCTION("""COMPUTED_VALUE"""),0)</f>
        <v>0</v>
      </c>
      <c r="C103" s="114" t="str">
        <f ca="1">IFERROR(__xludf.DUMMYFUNCTION("""COMPUTED_VALUE"""),"#DIV/0!")</f>
        <v>#DIV/0!</v>
      </c>
      <c r="D103" s="114">
        <f ca="1">IFERROR(__xludf.DUMMYFUNCTION("""COMPUTED_VALUE"""),0)</f>
        <v>0</v>
      </c>
      <c r="E103" s="36"/>
      <c r="F103" s="36"/>
      <c r="G103" s="36" t="str">
        <f ca="1">IFERROR(__xludf.DUMMYFUNCTION("""COMPUTED_VALUE"""),"Любич-Роман Оксана")</f>
        <v>Любич-Роман Оксана</v>
      </c>
      <c r="H103" s="114">
        <f ca="1">IFERROR(__xludf.DUMMYFUNCTION("""COMPUTED_VALUE"""),0)</f>
        <v>0</v>
      </c>
      <c r="I103" s="114">
        <f ca="1">IFERROR(__xludf.DUMMYFUNCTION("""COMPUTED_VALUE"""),0.57451923076923)</f>
        <v>0.57451923076922995</v>
      </c>
      <c r="J103" s="114">
        <f ca="1">IFERROR(__xludf.DUMMYFUNCTION("""COMPUTED_VALUE"""),0)</f>
        <v>0</v>
      </c>
      <c r="R103" s="117" t="s">
        <v>588</v>
      </c>
      <c r="S103" s="116"/>
      <c r="T103" s="116"/>
      <c r="U103" s="616">
        <v>97</v>
      </c>
      <c r="V103" s="618">
        <v>0.86109999999999998</v>
      </c>
      <c r="W103" s="619">
        <v>86</v>
      </c>
      <c r="X103" s="618">
        <v>3.5000000000000003E-2</v>
      </c>
      <c r="Y103" s="620">
        <v>97</v>
      </c>
    </row>
    <row r="104" spans="1:25" ht="12.75">
      <c r="A104" s="36" t="str">
        <f ca="1">IFERROR(__xludf.DUMMYFUNCTION("""COMPUTED_VALUE"""),"Гордова Анна")</f>
        <v>Гордова Анна</v>
      </c>
      <c r="B104" s="114">
        <f ca="1">IFERROR(__xludf.DUMMYFUNCTION("""COMPUTED_VALUE"""),0.064625850340136)</f>
        <v>6.4625850340136001E-2</v>
      </c>
      <c r="C104" s="114">
        <f ca="1">IFERROR(__xludf.DUMMYFUNCTION("""COMPUTED_VALUE"""),0.770833333333333)</f>
        <v>0.77083333333333304</v>
      </c>
      <c r="D104" s="114">
        <f ca="1">IFERROR(__xludf.DUMMYFUNCTION("""COMPUTED_VALUE"""),0.0452380952380952)</f>
        <v>4.5238095238095202E-2</v>
      </c>
      <c r="E104" s="36"/>
      <c r="F104" s="36"/>
      <c r="G104" s="36" t="str">
        <f ca="1">IFERROR(__xludf.DUMMYFUNCTION("""COMPUTED_VALUE"""),"Ляшенко Поліна")</f>
        <v>Ляшенко Поліна</v>
      </c>
      <c r="H104" s="114">
        <f ca="1">IFERROR(__xludf.DUMMYFUNCTION("""COMPUTED_VALUE"""),0.0214285714285714)</f>
        <v>2.1428571428571401E-2</v>
      </c>
      <c r="I104" s="114">
        <f ca="1">IFERROR(__xludf.DUMMYFUNCTION("""COMPUTED_VALUE"""),0.31704260651629)</f>
        <v>0.31704260651629002</v>
      </c>
      <c r="J104" s="114">
        <f ca="1">IFERROR(__xludf.DUMMYFUNCTION("""COMPUTED_VALUE"""),0.00642857142857142)</f>
        <v>6.4285714285714198E-3</v>
      </c>
      <c r="R104" s="117" t="s">
        <v>592</v>
      </c>
      <c r="S104" s="116"/>
      <c r="T104" s="116"/>
      <c r="U104" s="616">
        <v>86</v>
      </c>
      <c r="V104" s="618">
        <v>0.42130000000000001</v>
      </c>
      <c r="W104" s="619">
        <v>42</v>
      </c>
      <c r="X104" s="618">
        <v>0</v>
      </c>
      <c r="Y104" s="620">
        <v>100</v>
      </c>
    </row>
    <row r="105" spans="1:25" ht="12.75">
      <c r="A105" s="36" t="str">
        <f ca="1">IFERROR(__xludf.DUMMYFUNCTION("""COMPUTED_VALUE"""),"Городецька Анастасія")</f>
        <v>Городецька Анастасія</v>
      </c>
      <c r="B105" s="114">
        <f ca="1">IFERROR(__xludf.DUMMYFUNCTION("""COMPUTED_VALUE"""),0.107142857142857)</f>
        <v>0.107142857142857</v>
      </c>
      <c r="C105" s="114">
        <f ca="1">IFERROR(__xludf.DUMMYFUNCTION("""COMPUTED_VALUE"""),0.836986687147977)</f>
        <v>0.83698668714797697</v>
      </c>
      <c r="D105" s="114">
        <f ca="1">IFERROR(__xludf.DUMMYFUNCTION("""COMPUTED_VALUE"""),0.075)</f>
        <v>7.4999999999999997E-2</v>
      </c>
      <c r="E105" s="36"/>
      <c r="F105" s="36"/>
      <c r="G105" s="36" t="str">
        <f ca="1">IFERROR(__xludf.DUMMYFUNCTION("""COMPUTED_VALUE"""),"Максименко Інна")</f>
        <v>Максименко Інна</v>
      </c>
      <c r="H105" s="114">
        <f ca="1">IFERROR(__xludf.DUMMYFUNCTION("""COMPUTED_VALUE"""),-0.142857142857142)</f>
        <v>-0.14285714285714199</v>
      </c>
      <c r="I105" s="114">
        <f ca="1">IFERROR(__xludf.DUMMYFUNCTION("""COMPUTED_VALUE"""),0.92156862745098)</f>
        <v>0.92156862745098</v>
      </c>
      <c r="J105" s="114">
        <f ca="1">IFERROR(__xludf.DUMMYFUNCTION("""COMPUTED_VALUE"""),-0.0428571428571428)</f>
        <v>-4.2857142857142802E-2</v>
      </c>
      <c r="R105" s="117" t="s">
        <v>595</v>
      </c>
      <c r="S105" s="116"/>
      <c r="T105" s="116"/>
      <c r="U105" s="616">
        <v>96</v>
      </c>
      <c r="V105" s="618">
        <v>1.0867</v>
      </c>
      <c r="W105" s="619">
        <v>109</v>
      </c>
      <c r="X105" s="618">
        <v>-0.01</v>
      </c>
      <c r="Y105" s="620">
        <v>101</v>
      </c>
    </row>
    <row r="106" spans="1:25" ht="12.75">
      <c r="A106" s="36" t="str">
        <f ca="1">IFERROR(__xludf.DUMMYFUNCTION("""COMPUTED_VALUE"""),"Грачова Анна")</f>
        <v>Грачова Анна</v>
      </c>
      <c r="B106" s="114">
        <f ca="1">IFERROR(__xludf.DUMMYFUNCTION("""COMPUTED_VALUE"""),0.0625)</f>
        <v>6.25E-2</v>
      </c>
      <c r="C106" s="114">
        <f ca="1">IFERROR(__xludf.DUMMYFUNCTION("""COMPUTED_VALUE"""),0.823351648351648)</f>
        <v>0.82335164835164798</v>
      </c>
      <c r="D106" s="114">
        <f ca="1">IFERROR(__xludf.DUMMYFUNCTION("""COMPUTED_VALUE"""),0.04375)</f>
        <v>4.3749999999999997E-2</v>
      </c>
      <c r="E106" s="36"/>
      <c r="F106" s="36"/>
      <c r="G106" s="36" t="str">
        <f ca="1">IFERROR(__xludf.DUMMYFUNCTION("""COMPUTED_VALUE"""),"Максимов Михайло")</f>
        <v>Максимов Михайло</v>
      </c>
      <c r="H106" s="114">
        <f ca="1">IFERROR(__xludf.DUMMYFUNCTION("""COMPUTED_VALUE"""),0)</f>
        <v>0</v>
      </c>
      <c r="I106" s="114">
        <f ca="1">IFERROR(__xludf.DUMMYFUNCTION("""COMPUTED_VALUE"""),0.3125)</f>
        <v>0.3125</v>
      </c>
      <c r="J106" s="114">
        <f ca="1">IFERROR(__xludf.DUMMYFUNCTION("""COMPUTED_VALUE"""),0)</f>
        <v>0</v>
      </c>
      <c r="R106" s="117" t="s">
        <v>598</v>
      </c>
      <c r="S106" s="116"/>
      <c r="T106" s="116"/>
      <c r="U106" s="616">
        <v>76</v>
      </c>
      <c r="V106" s="618">
        <v>1.008</v>
      </c>
      <c r="W106" s="619">
        <v>101</v>
      </c>
      <c r="X106" s="618">
        <v>-8.2199999999999995E-2</v>
      </c>
      <c r="Y106" s="620">
        <v>108</v>
      </c>
    </row>
    <row r="107" spans="1:25" ht="12.75">
      <c r="A107" s="36" t="str">
        <f ca="1">IFERROR(__xludf.DUMMYFUNCTION("""COMPUTED_VALUE"""),"Григор'єва Олеся")</f>
        <v>Григор'єва Олеся</v>
      </c>
      <c r="B107" s="114">
        <f ca="1">IFERROR(__xludf.DUMMYFUNCTION("""COMPUTED_VALUE"""),0.0807692307692307)</f>
        <v>8.0769230769230704E-2</v>
      </c>
      <c r="C107" s="114">
        <f ca="1">IFERROR(__xludf.DUMMYFUNCTION("""COMPUTED_VALUE"""),0.7143367003367)</f>
        <v>0.71433670033670005</v>
      </c>
      <c r="D107" s="114">
        <f ca="1">IFERROR(__xludf.DUMMYFUNCTION("""COMPUTED_VALUE"""),0.0565384615384615)</f>
        <v>5.6538461538461503E-2</v>
      </c>
      <c r="E107" s="36"/>
      <c r="F107" s="36"/>
      <c r="G107" s="36" t="str">
        <f ca="1">IFERROR(__xludf.DUMMYFUNCTION("""COMPUTED_VALUE"""),"Малага Анжеліка")</f>
        <v>Малага Анжеліка</v>
      </c>
      <c r="H107" s="114">
        <f ca="1">IFERROR(__xludf.DUMMYFUNCTION("""COMPUTED_VALUE"""),0)</f>
        <v>0</v>
      </c>
      <c r="I107" s="114" t="str">
        <f ca="1">IFERROR(__xludf.DUMMYFUNCTION("""COMPUTED_VALUE"""),"#DIV/0!")</f>
        <v>#DIV/0!</v>
      </c>
      <c r="J107" s="114">
        <f ca="1">IFERROR(__xludf.DUMMYFUNCTION("""COMPUTED_VALUE"""),0)</f>
        <v>0</v>
      </c>
      <c r="R107" s="117" t="s">
        <v>601</v>
      </c>
      <c r="S107" s="116"/>
      <c r="T107" s="116"/>
      <c r="U107" s="616">
        <v>95</v>
      </c>
      <c r="V107" s="618">
        <v>0.90259999999999996</v>
      </c>
      <c r="W107" s="619">
        <v>90</v>
      </c>
      <c r="X107" s="618">
        <v>3.0800000000000001E-2</v>
      </c>
      <c r="Y107" s="620">
        <v>97</v>
      </c>
    </row>
    <row r="108" spans="1:25" ht="12.75">
      <c r="A108" s="36" t="str">
        <f ca="1">IFERROR(__xludf.DUMMYFUNCTION("""COMPUTED_VALUE"""),"Григоришен Олександр")</f>
        <v>Григоришен Олександр</v>
      </c>
      <c r="B108" s="114">
        <f ca="1">IFERROR(__xludf.DUMMYFUNCTION("""COMPUTED_VALUE"""),0.333333333333333)</f>
        <v>0.33333333333333298</v>
      </c>
      <c r="C108" s="114">
        <f ca="1">IFERROR(__xludf.DUMMYFUNCTION("""COMPUTED_VALUE"""),0.594594594594594)</f>
        <v>0.59459459459459396</v>
      </c>
      <c r="D108" s="114">
        <f ca="1">IFERROR(__xludf.DUMMYFUNCTION("""COMPUTED_VALUE"""),0.233333333333333)</f>
        <v>0.233333333333333</v>
      </c>
      <c r="E108" s="36"/>
      <c r="F108" s="36"/>
      <c r="G108" s="36" t="str">
        <f ca="1">IFERROR(__xludf.DUMMYFUNCTION("""COMPUTED_VALUE"""),"Малишева Олександра")</f>
        <v>Малишева Олександра</v>
      </c>
      <c r="H108" s="114">
        <f ca="1">IFERROR(__xludf.DUMMYFUNCTION("""COMPUTED_VALUE"""),0.0384615384615384)</f>
        <v>3.8461538461538401E-2</v>
      </c>
      <c r="I108" s="114">
        <f ca="1">IFERROR(__xludf.DUMMYFUNCTION("""COMPUTED_VALUE"""),0.740221088435374)</f>
        <v>0.74022108843537404</v>
      </c>
      <c r="J108" s="114">
        <f ca="1">IFERROR(__xludf.DUMMYFUNCTION("""COMPUTED_VALUE"""),0.0115384615384615)</f>
        <v>1.1538461538461499E-2</v>
      </c>
      <c r="R108" s="117" t="s">
        <v>192</v>
      </c>
      <c r="S108" s="116"/>
      <c r="T108" s="116"/>
      <c r="U108" s="616">
        <v>98</v>
      </c>
      <c r="V108" s="618">
        <v>0.71199999999999997</v>
      </c>
      <c r="W108" s="619">
        <v>71</v>
      </c>
      <c r="X108" s="618">
        <v>4.41E-2</v>
      </c>
      <c r="Y108" s="620">
        <v>96</v>
      </c>
    </row>
    <row r="109" spans="1:25" ht="12.75">
      <c r="A109" s="36" t="str">
        <f ca="1">IFERROR(__xludf.DUMMYFUNCTION("""COMPUTED_VALUE"""),"Григоряк Назар")</f>
        <v>Григоряк Назар</v>
      </c>
      <c r="B109" s="114">
        <f ca="1">IFERROR(__xludf.DUMMYFUNCTION("""COMPUTED_VALUE"""),0.05)</f>
        <v>0.05</v>
      </c>
      <c r="C109" s="114">
        <f ca="1">IFERROR(__xludf.DUMMYFUNCTION("""COMPUTED_VALUE"""),0.721212121212121)</f>
        <v>0.72121212121212097</v>
      </c>
      <c r="D109" s="114">
        <f ca="1">IFERROR(__xludf.DUMMYFUNCTION("""COMPUTED_VALUE"""),0.0349999999999999)</f>
        <v>3.4999999999999899E-2</v>
      </c>
      <c r="E109" s="36"/>
      <c r="F109" s="36"/>
      <c r="G109" s="36" t="str">
        <f ca="1">IFERROR(__xludf.DUMMYFUNCTION("""COMPUTED_VALUE"""),"Малюк Анастасія")</f>
        <v>Малюк Анастасія</v>
      </c>
      <c r="H109" s="114">
        <f ca="1">IFERROR(__xludf.DUMMYFUNCTION("""COMPUTED_VALUE"""),0.0166666666666666)</f>
        <v>1.6666666666666601E-2</v>
      </c>
      <c r="I109" s="114">
        <f ca="1">IFERROR(__xludf.DUMMYFUNCTION("""COMPUTED_VALUE"""),0.582636012636012)</f>
        <v>0.58263601263601195</v>
      </c>
      <c r="J109" s="114">
        <f ca="1">IFERROR(__xludf.DUMMYFUNCTION("""COMPUTED_VALUE"""),0.005)</f>
        <v>5.0000000000000001E-3</v>
      </c>
      <c r="R109" s="117" t="s">
        <v>616</v>
      </c>
      <c r="S109" s="116"/>
      <c r="T109" s="116"/>
      <c r="U109" s="616">
        <v>94</v>
      </c>
      <c r="V109" s="618">
        <v>0.64290000000000003</v>
      </c>
      <c r="W109" s="619">
        <v>64</v>
      </c>
      <c r="X109" s="618">
        <v>0</v>
      </c>
      <c r="Y109" s="620">
        <v>100</v>
      </c>
    </row>
    <row r="110" spans="1:25" ht="12.75">
      <c r="A110" s="36" t="str">
        <f ca="1">IFERROR(__xludf.DUMMYFUNCTION("""COMPUTED_VALUE"""),"Гришко Поліна")</f>
        <v>Гришко Поліна</v>
      </c>
      <c r="B110" s="114">
        <f ca="1">IFERROR(__xludf.DUMMYFUNCTION("""COMPUTED_VALUE"""),0.292857142857142)</f>
        <v>0.29285714285714198</v>
      </c>
      <c r="C110" s="114">
        <f ca="1">IFERROR(__xludf.DUMMYFUNCTION("""COMPUTED_VALUE"""),1.26398601398601)</f>
        <v>1.26398601398601</v>
      </c>
      <c r="D110" s="114">
        <f ca="1">IFERROR(__xludf.DUMMYFUNCTION("""COMPUTED_VALUE"""),0.204999999999999)</f>
        <v>0.20499999999999899</v>
      </c>
      <c r="E110" s="36"/>
      <c r="F110" s="36"/>
      <c r="G110" s="36" t="str">
        <f ca="1">IFERROR(__xludf.DUMMYFUNCTION("""COMPUTED_VALUE"""),"Миголь Марія")</f>
        <v>Миголь Марія</v>
      </c>
      <c r="H110" s="114">
        <f ca="1">IFERROR(__xludf.DUMMYFUNCTION("""COMPUTED_VALUE"""),0.19047619047619)</f>
        <v>0.19047619047618999</v>
      </c>
      <c r="I110" s="114">
        <f ca="1">IFERROR(__xludf.DUMMYFUNCTION("""COMPUTED_VALUE"""),0.845238095238095)</f>
        <v>0.84523809523809501</v>
      </c>
      <c r="J110" s="114">
        <f ca="1">IFERROR(__xludf.DUMMYFUNCTION("""COMPUTED_VALUE"""),0.0571428571428571)</f>
        <v>5.7142857142857099E-2</v>
      </c>
      <c r="R110" s="117" t="s">
        <v>619</v>
      </c>
      <c r="S110" s="116"/>
      <c r="T110" s="116"/>
      <c r="U110" s="616">
        <v>93</v>
      </c>
      <c r="V110" s="618">
        <v>0.42499999999999999</v>
      </c>
      <c r="W110" s="619">
        <v>43</v>
      </c>
      <c r="X110" s="618">
        <v>0</v>
      </c>
      <c r="Y110" s="620">
        <v>100</v>
      </c>
    </row>
    <row r="111" spans="1:25" ht="12.75">
      <c r="A111" s="36" t="str">
        <f ca="1">IFERROR(__xludf.DUMMYFUNCTION("""COMPUTED_VALUE"""),"Грищенко Наталія")</f>
        <v>Грищенко Наталія</v>
      </c>
      <c r="B111" s="114">
        <f ca="1">IFERROR(__xludf.DUMMYFUNCTION("""COMPUTED_VALUE"""),0.222222222222222)</f>
        <v>0.22222222222222199</v>
      </c>
      <c r="C111" s="114">
        <f ca="1">IFERROR(__xludf.DUMMYFUNCTION("""COMPUTED_VALUE"""),1.1025641025641)</f>
        <v>1.1025641025641</v>
      </c>
      <c r="D111" s="114">
        <f ca="1">IFERROR(__xludf.DUMMYFUNCTION("""COMPUTED_VALUE"""),0.155555555555555)</f>
        <v>0.155555555555555</v>
      </c>
      <c r="E111" s="36"/>
      <c r="F111" s="36"/>
      <c r="G111" s="36" t="str">
        <f ca="1">IFERROR(__xludf.DUMMYFUNCTION("""COMPUTED_VALUE"""),"Микитюк Анастасія")</f>
        <v>Микитюк Анастасія</v>
      </c>
      <c r="H111" s="114">
        <f ca="1">IFERROR(__xludf.DUMMYFUNCTION("""COMPUTED_VALUE"""),0.0214285714285714)</f>
        <v>2.1428571428571401E-2</v>
      </c>
      <c r="I111" s="114">
        <f ca="1">IFERROR(__xludf.DUMMYFUNCTION("""COMPUTED_VALUE"""),0.785971150820774)</f>
        <v>0.78597115082077396</v>
      </c>
      <c r="J111" s="114">
        <f ca="1">IFERROR(__xludf.DUMMYFUNCTION("""COMPUTED_VALUE"""),0.00642857142857142)</f>
        <v>6.4285714285714198E-3</v>
      </c>
      <c r="R111" s="117" t="s">
        <v>154</v>
      </c>
      <c r="S111" s="116"/>
      <c r="T111" s="116"/>
      <c r="U111" s="616">
        <v>100</v>
      </c>
      <c r="V111" s="116" t="s">
        <v>9805</v>
      </c>
      <c r="W111" s="617" t="s">
        <v>9805</v>
      </c>
      <c r="X111" s="116" t="s">
        <v>9805</v>
      </c>
      <c r="Y111" s="116" t="s">
        <v>9805</v>
      </c>
    </row>
    <row r="112" spans="1:25" ht="12.75">
      <c r="A112" s="36" t="str">
        <f ca="1">IFERROR(__xludf.DUMMYFUNCTION("""COMPUTED_VALUE"""),"Грищенко Наталя")</f>
        <v>Грищенко Наталя</v>
      </c>
      <c r="B112" s="114">
        <f ca="1">IFERROR(__xludf.DUMMYFUNCTION("""COMPUTED_VALUE"""),0)</f>
        <v>0</v>
      </c>
      <c r="C112" s="114">
        <f ca="1">IFERROR(__xludf.DUMMYFUNCTION("""COMPUTED_VALUE"""),0.818181818181818)</f>
        <v>0.81818181818181801</v>
      </c>
      <c r="D112" s="114">
        <f ca="1">IFERROR(__xludf.DUMMYFUNCTION("""COMPUTED_VALUE"""),0)</f>
        <v>0</v>
      </c>
      <c r="E112" s="36"/>
      <c r="F112" s="36"/>
      <c r="G112" s="36" t="str">
        <f ca="1">IFERROR(__xludf.DUMMYFUNCTION("""COMPUTED_VALUE"""),"Мироненко Геннадій")</f>
        <v>Мироненко Геннадій</v>
      </c>
      <c r="H112" s="114">
        <f ca="1">IFERROR(__xludf.DUMMYFUNCTION("""COMPUTED_VALUE"""),0.0126412938912938)</f>
        <v>1.2641293891293801E-2</v>
      </c>
      <c r="I112" s="114">
        <f ca="1">IFERROR(__xludf.DUMMYFUNCTION("""COMPUTED_VALUE"""),0.795560476103094)</f>
        <v>0.79556047610309399</v>
      </c>
      <c r="J112" s="114">
        <f ca="1">IFERROR(__xludf.DUMMYFUNCTION("""COMPUTED_VALUE"""),0.00379238816738816)</f>
        <v>3.79238816738816E-3</v>
      </c>
      <c r="R112" s="117" t="s">
        <v>634</v>
      </c>
      <c r="S112" s="116"/>
      <c r="T112" s="116"/>
      <c r="U112" s="616">
        <v>95</v>
      </c>
      <c r="V112" s="618">
        <v>0.45829999999999999</v>
      </c>
      <c r="W112" s="619">
        <v>46</v>
      </c>
      <c r="X112" s="618">
        <v>0</v>
      </c>
      <c r="Y112" s="620">
        <v>100</v>
      </c>
    </row>
    <row r="113" spans="1:25" ht="12.75">
      <c r="A113" s="36" t="str">
        <f ca="1">IFERROR(__xludf.DUMMYFUNCTION("""COMPUTED_VALUE"""),"Грінько Сергій")</f>
        <v>Грінько Сергій</v>
      </c>
      <c r="B113" s="114">
        <f ca="1">IFERROR(__xludf.DUMMYFUNCTION("""COMPUTED_VALUE"""),0.0571428571428571)</f>
        <v>5.7142857142857099E-2</v>
      </c>
      <c r="C113" s="114">
        <f ca="1">IFERROR(__xludf.DUMMYFUNCTION("""COMPUTED_VALUE"""),0.912052469135802)</f>
        <v>0.91205246913580196</v>
      </c>
      <c r="D113" s="114">
        <f ca="1">IFERROR(__xludf.DUMMYFUNCTION("""COMPUTED_VALUE"""),0.0399999999999999)</f>
        <v>3.9999999999999897E-2</v>
      </c>
      <c r="E113" s="36"/>
      <c r="F113" s="36"/>
      <c r="G113" s="36" t="str">
        <f ca="1">IFERROR(__xludf.DUMMYFUNCTION("""COMPUTED_VALUE"""),"Миршавка Анастасія")</f>
        <v>Миршавка Анастасія</v>
      </c>
      <c r="H113" s="114">
        <f ca="1">IFERROR(__xludf.DUMMYFUNCTION("""COMPUTED_VALUE"""),0.0295150755677071)</f>
        <v>2.9515075567707098E-2</v>
      </c>
      <c r="I113" s="114">
        <f ca="1">IFERROR(__xludf.DUMMYFUNCTION("""COMPUTED_VALUE"""),0.796214617210552)</f>
        <v>0.79621461721055198</v>
      </c>
      <c r="J113" s="114">
        <f ca="1">IFERROR(__xludf.DUMMYFUNCTION("""COMPUTED_VALUE"""),0.00885452267031214)</f>
        <v>8.8545226703121392E-3</v>
      </c>
      <c r="R113" s="117" t="s">
        <v>640</v>
      </c>
      <c r="S113" s="116"/>
      <c r="T113" s="116"/>
      <c r="U113" s="616">
        <v>98</v>
      </c>
      <c r="V113" s="618">
        <v>0.70309999999999995</v>
      </c>
      <c r="W113" s="619">
        <v>70</v>
      </c>
      <c r="X113" s="618">
        <v>5.7000000000000002E-3</v>
      </c>
      <c r="Y113" s="620">
        <v>99</v>
      </c>
    </row>
    <row r="114" spans="1:25" ht="12.75">
      <c r="A114" s="36" t="str">
        <f ca="1">IFERROR(__xludf.DUMMYFUNCTION("""COMPUTED_VALUE"""),"Грозний Богдан")</f>
        <v>Грозний Богдан</v>
      </c>
      <c r="B114" s="114">
        <f ca="1">IFERROR(__xludf.DUMMYFUNCTION("""COMPUTED_VALUE"""),0.0801827801827801)</f>
        <v>8.0182780182780106E-2</v>
      </c>
      <c r="C114" s="114">
        <f ca="1">IFERROR(__xludf.DUMMYFUNCTION("""COMPUTED_VALUE"""),0.385085650825782)</f>
        <v>0.385085650825782</v>
      </c>
      <c r="D114" s="114">
        <f ca="1">IFERROR(__xludf.DUMMYFUNCTION("""COMPUTED_VALUE"""),0.0561279461279461)</f>
        <v>5.6127946127946103E-2</v>
      </c>
      <c r="E114" s="36"/>
      <c r="F114" s="36"/>
      <c r="G114" s="36" t="str">
        <f ca="1">IFERROR(__xludf.DUMMYFUNCTION("""COMPUTED_VALUE"""),"Михайлевська Наталія")</f>
        <v>Михайлевська Наталія</v>
      </c>
      <c r="H114" s="114">
        <f ca="1">IFERROR(__xludf.DUMMYFUNCTION("""COMPUTED_VALUE"""),0.0769230769230769)</f>
        <v>7.69230769230769E-2</v>
      </c>
      <c r="I114" s="114">
        <f ca="1">IFERROR(__xludf.DUMMYFUNCTION("""COMPUTED_VALUE"""),0.612244897959183)</f>
        <v>0.61224489795918302</v>
      </c>
      <c r="J114" s="114">
        <f ca="1">IFERROR(__xludf.DUMMYFUNCTION("""COMPUTED_VALUE"""),0.023076923076923)</f>
        <v>2.3076923076922998E-2</v>
      </c>
      <c r="R114" s="117" t="s">
        <v>60</v>
      </c>
      <c r="S114" s="116"/>
      <c r="T114" s="116"/>
      <c r="U114" s="616">
        <v>90</v>
      </c>
      <c r="V114" s="618">
        <v>0.76480000000000004</v>
      </c>
      <c r="W114" s="619">
        <v>76</v>
      </c>
      <c r="X114" s="618">
        <v>2.8999999999999998E-3</v>
      </c>
      <c r="Y114" s="620">
        <v>100</v>
      </c>
    </row>
    <row r="115" spans="1:25" ht="12.75">
      <c r="A115" s="36" t="str">
        <f ca="1">IFERROR(__xludf.DUMMYFUNCTION("""COMPUTED_VALUE"""),"Гудзь Іван")</f>
        <v>Гудзь Іван</v>
      </c>
      <c r="B115" s="114">
        <f ca="1">IFERROR(__xludf.DUMMYFUNCTION("""COMPUTED_VALUE"""),0.0634920634920634)</f>
        <v>6.3492063492063405E-2</v>
      </c>
      <c r="C115" s="114">
        <f ca="1">IFERROR(__xludf.DUMMYFUNCTION("""COMPUTED_VALUE"""),0.864772727272727)</f>
        <v>0.86477272727272703</v>
      </c>
      <c r="D115" s="114">
        <f ca="1">IFERROR(__xludf.DUMMYFUNCTION("""COMPUTED_VALUE"""),0.0444444444444444)</f>
        <v>4.4444444444444398E-2</v>
      </c>
      <c r="E115" s="36"/>
      <c r="F115" s="36"/>
      <c r="G115" s="36" t="str">
        <f ca="1">IFERROR(__xludf.DUMMYFUNCTION("""COMPUTED_VALUE"""),"Молчанова Оксана")</f>
        <v>Молчанова Оксана</v>
      </c>
      <c r="H115" s="114">
        <f ca="1">IFERROR(__xludf.DUMMYFUNCTION("""COMPUTED_VALUE"""),0.0386169386169386)</f>
        <v>3.8616938616938601E-2</v>
      </c>
      <c r="I115" s="114">
        <f ca="1">IFERROR(__xludf.DUMMYFUNCTION("""COMPUTED_VALUE"""),0.717195043518572)</f>
        <v>0.717195043518572</v>
      </c>
      <c r="J115" s="114">
        <f ca="1">IFERROR(__xludf.DUMMYFUNCTION("""COMPUTED_VALUE"""),0.0115850815850815)</f>
        <v>1.1585081585081499E-2</v>
      </c>
      <c r="R115" s="117" t="s">
        <v>646</v>
      </c>
      <c r="S115" s="116"/>
      <c r="T115" s="116"/>
      <c r="U115" s="616">
        <v>89</v>
      </c>
      <c r="V115" s="618">
        <v>1.0279</v>
      </c>
      <c r="W115" s="619">
        <v>103</v>
      </c>
      <c r="X115" s="618">
        <v>7.0000000000000007E-2</v>
      </c>
      <c r="Y115" s="620">
        <v>93</v>
      </c>
    </row>
    <row r="116" spans="1:25" ht="12.75">
      <c r="A116" s="36" t="str">
        <f ca="1">IFERROR(__xludf.DUMMYFUNCTION("""COMPUTED_VALUE"""),"Гук Надія")</f>
        <v>Гук Надія</v>
      </c>
      <c r="B116" s="114">
        <f ca="1">IFERROR(__xludf.DUMMYFUNCTION("""COMPUTED_VALUE"""),0.0394332939787485)</f>
        <v>3.94332939787485E-2</v>
      </c>
      <c r="C116" s="114">
        <f ca="1">IFERROR(__xludf.DUMMYFUNCTION("""COMPUTED_VALUE"""),1.09534562211981)</f>
        <v>1.0953456221198099</v>
      </c>
      <c r="D116" s="114">
        <f ca="1">IFERROR(__xludf.DUMMYFUNCTION("""COMPUTED_VALUE"""),0.0276033057851239)</f>
        <v>2.7603305785123902E-2</v>
      </c>
      <c r="E116" s="36"/>
      <c r="F116" s="36"/>
      <c r="G116" s="36" t="str">
        <f ca="1">IFERROR(__xludf.DUMMYFUNCTION("""COMPUTED_VALUE"""),"Мушин Тетяна")</f>
        <v>Мушин Тетяна</v>
      </c>
      <c r="H116" s="114">
        <f ca="1">IFERROR(__xludf.DUMMYFUNCTION("""COMPUTED_VALUE"""),-0.0666666666666666)</f>
        <v>-6.6666666666666596E-2</v>
      </c>
      <c r="I116" s="114">
        <f ca="1">IFERROR(__xludf.DUMMYFUNCTION("""COMPUTED_VALUE"""),0.123287671232876)</f>
        <v>0.123287671232876</v>
      </c>
      <c r="J116" s="114">
        <f ca="1">IFERROR(__xludf.DUMMYFUNCTION("""COMPUTED_VALUE"""),-0.02)</f>
        <v>-0.02</v>
      </c>
      <c r="R116" s="117" t="s">
        <v>649</v>
      </c>
      <c r="S116" s="116"/>
      <c r="T116" s="116"/>
      <c r="U116" s="156"/>
      <c r="V116" s="116" t="s">
        <v>9805</v>
      </c>
      <c r="W116" s="617" t="s">
        <v>9805</v>
      </c>
      <c r="X116" s="116" t="s">
        <v>9805</v>
      </c>
      <c r="Y116" s="116" t="s">
        <v>9805</v>
      </c>
    </row>
    <row r="117" spans="1:25" ht="12.75">
      <c r="A117" s="36" t="str">
        <f ca="1">IFERROR(__xludf.DUMMYFUNCTION("""COMPUTED_VALUE"""),"Гук Олексій")</f>
        <v>Гук Олексій</v>
      </c>
      <c r="B117" s="114">
        <f ca="1">IFERROR(__xludf.DUMMYFUNCTION("""COMPUTED_VALUE"""),0)</f>
        <v>0</v>
      </c>
      <c r="C117" s="114" t="str">
        <f ca="1">IFERROR(__xludf.DUMMYFUNCTION("""COMPUTED_VALUE"""),"#DIV/0!")</f>
        <v>#DIV/0!</v>
      </c>
      <c r="D117" s="114">
        <f ca="1">IFERROR(__xludf.DUMMYFUNCTION("""COMPUTED_VALUE"""),0)</f>
        <v>0</v>
      </c>
      <c r="E117" s="36"/>
      <c r="F117" s="36"/>
      <c r="G117" s="36" t="str">
        <f ca="1">IFERROR(__xludf.DUMMYFUNCTION("""COMPUTED_VALUE"""),"Наваленко Юлія")</f>
        <v>Наваленко Юлія</v>
      </c>
      <c r="H117" s="114">
        <f ca="1">IFERROR(__xludf.DUMMYFUNCTION("""COMPUTED_VALUE"""),0)</f>
        <v>0</v>
      </c>
      <c r="I117" s="114">
        <f ca="1">IFERROR(__xludf.DUMMYFUNCTION("""COMPUTED_VALUE"""),0.368421052631578)</f>
        <v>0.36842105263157798</v>
      </c>
      <c r="J117" s="114">
        <f ca="1">IFERROR(__xludf.DUMMYFUNCTION("""COMPUTED_VALUE"""),0)</f>
        <v>0</v>
      </c>
      <c r="R117" s="117" t="s">
        <v>656</v>
      </c>
      <c r="S117" s="116"/>
      <c r="T117" s="116"/>
      <c r="U117" s="616">
        <v>98</v>
      </c>
      <c r="V117" s="618">
        <v>0.79549999999999998</v>
      </c>
      <c r="W117" s="619">
        <v>80</v>
      </c>
      <c r="X117" s="618">
        <v>0</v>
      </c>
      <c r="Y117" s="620">
        <v>100</v>
      </c>
    </row>
    <row r="118" spans="1:25" ht="12.75">
      <c r="A118" s="36" t="str">
        <f ca="1">IFERROR(__xludf.DUMMYFUNCTION("""COMPUTED_VALUE"""),"Гумен Світлана")</f>
        <v>Гумен Світлана</v>
      </c>
      <c r="B118" s="114">
        <f ca="1">IFERROR(__xludf.DUMMYFUNCTION("""COMPUTED_VALUE"""),0.0833333333333333)</f>
        <v>8.3333333333333301E-2</v>
      </c>
      <c r="C118" s="114">
        <f ca="1">IFERROR(__xludf.DUMMYFUNCTION("""COMPUTED_VALUE"""),0.587014411027568)</f>
        <v>0.58701441102756802</v>
      </c>
      <c r="D118" s="114">
        <f ca="1">IFERROR(__xludf.DUMMYFUNCTION("""COMPUTED_VALUE"""),0.0583333333333333)</f>
        <v>5.83333333333333E-2</v>
      </c>
      <c r="E118" s="36"/>
      <c r="F118" s="36"/>
      <c r="G118" s="36" t="str">
        <f ca="1">IFERROR(__xludf.DUMMYFUNCTION("""COMPUTED_VALUE"""),"Наваленко-Ганоцька Юлія")</f>
        <v>Наваленко-Ганоцька Юлія</v>
      </c>
      <c r="H118" s="114">
        <f ca="1">IFERROR(__xludf.DUMMYFUNCTION("""COMPUTED_VALUE"""),-0.00919913419913419)</f>
        <v>-9.1991341991341895E-3</v>
      </c>
      <c r="I118" s="114">
        <f ca="1">IFERROR(__xludf.DUMMYFUNCTION("""COMPUTED_VALUE"""),0.771103300813827)</f>
        <v>0.77110330081382705</v>
      </c>
      <c r="J118" s="114">
        <f ca="1">IFERROR(__xludf.DUMMYFUNCTION("""COMPUTED_VALUE"""),-0.00275974025974025)</f>
        <v>-2.7597402597402498E-3</v>
      </c>
      <c r="R118" s="117" t="s">
        <v>659</v>
      </c>
      <c r="S118" s="116"/>
      <c r="T118" s="116"/>
      <c r="U118" s="616">
        <v>97</v>
      </c>
      <c r="V118" s="618">
        <v>0.83509999999999995</v>
      </c>
      <c r="W118" s="619">
        <v>84</v>
      </c>
      <c r="X118" s="618">
        <v>4.0899999999999999E-2</v>
      </c>
      <c r="Y118" s="620">
        <v>96</v>
      </c>
    </row>
    <row r="119" spans="1:25" ht="12.75">
      <c r="A119" s="36" t="str">
        <f ca="1">IFERROR(__xludf.DUMMYFUNCTION("""COMPUTED_VALUE"""),"Гунько Ольга")</f>
        <v>Гунько Ольга</v>
      </c>
      <c r="B119" s="114">
        <f ca="1">IFERROR(__xludf.DUMMYFUNCTION("""COMPUTED_VALUE"""),0.191358024691358)</f>
        <v>0.19135802469135799</v>
      </c>
      <c r="C119" s="114">
        <f ca="1">IFERROR(__xludf.DUMMYFUNCTION("""COMPUTED_VALUE"""),0.791153846153846)</f>
        <v>0.79115384615384599</v>
      </c>
      <c r="D119" s="114">
        <f ca="1">IFERROR(__xludf.DUMMYFUNCTION("""COMPUTED_VALUE"""),0.13395061728395)</f>
        <v>0.13395061728395</v>
      </c>
      <c r="E119" s="36"/>
      <c r="F119" s="36"/>
      <c r="G119" s="36" t="str">
        <f ca="1">IFERROR(__xludf.DUMMYFUNCTION("""COMPUTED_VALUE"""),"Нагорна Ірина")</f>
        <v>Нагорна Ірина</v>
      </c>
      <c r="H119" s="114">
        <f ca="1">IFERROR(__xludf.DUMMYFUNCTION("""COMPUTED_VALUE"""),-0.0714285714285714)</f>
        <v>-7.1428571428571397E-2</v>
      </c>
      <c r="I119" s="114">
        <f ca="1">IFERROR(__xludf.DUMMYFUNCTION("""COMPUTED_VALUE"""),0.565217391304347)</f>
        <v>0.56521739130434701</v>
      </c>
      <c r="J119" s="114">
        <f ca="1">IFERROR(__xludf.DUMMYFUNCTION("""COMPUTED_VALUE"""),-0.0214285714285714)</f>
        <v>-2.1428571428571401E-2</v>
      </c>
      <c r="R119" s="117" t="s">
        <v>663</v>
      </c>
      <c r="S119" s="116"/>
      <c r="T119" s="116"/>
      <c r="U119" s="616">
        <v>74</v>
      </c>
      <c r="V119" s="618">
        <v>0.54200000000000004</v>
      </c>
      <c r="W119" s="619">
        <v>54</v>
      </c>
      <c r="X119" s="618">
        <v>2.07E-2</v>
      </c>
      <c r="Y119" s="620">
        <v>98</v>
      </c>
    </row>
    <row r="120" spans="1:25" ht="12.75">
      <c r="A120" s="36" t="str">
        <f ca="1">IFERROR(__xludf.DUMMYFUNCTION("""COMPUTED_VALUE"""),"Гурчин Олександр")</f>
        <v>Гурчин Олександр</v>
      </c>
      <c r="B120" s="114">
        <f ca="1">IFERROR(__xludf.DUMMYFUNCTION("""COMPUTED_VALUE"""),0)</f>
        <v>0</v>
      </c>
      <c r="C120" s="114">
        <f ca="1">IFERROR(__xludf.DUMMYFUNCTION("""COMPUTED_VALUE"""),0.536666666666666)</f>
        <v>0.53666666666666596</v>
      </c>
      <c r="D120" s="114">
        <f ca="1">IFERROR(__xludf.DUMMYFUNCTION("""COMPUTED_VALUE"""),0)</f>
        <v>0</v>
      </c>
      <c r="E120" s="36"/>
      <c r="F120" s="36"/>
      <c r="G120" s="36" t="str">
        <f ca="1">IFERROR(__xludf.DUMMYFUNCTION("""COMPUTED_VALUE"""),"Немає")</f>
        <v>Немає</v>
      </c>
      <c r="H120" s="114">
        <f ca="1">IFERROR(__xludf.DUMMYFUNCTION("""COMPUTED_VALUE"""),0.0549947089947089)</f>
        <v>5.4994708994708902E-2</v>
      </c>
      <c r="I120" s="114" t="str">
        <f ca="1">IFERROR(__xludf.DUMMYFUNCTION("""COMPUTED_VALUE"""),"#DIV/0!")</f>
        <v>#DIV/0!</v>
      </c>
      <c r="J120" s="114">
        <f ca="1">IFERROR(__xludf.DUMMYFUNCTION("""COMPUTED_VALUE"""),0.0164984126984126)</f>
        <v>1.6498412698412599E-2</v>
      </c>
      <c r="R120" s="117" t="s">
        <v>674</v>
      </c>
      <c r="S120" s="116"/>
      <c r="T120" s="116"/>
      <c r="U120" s="616">
        <v>89</v>
      </c>
      <c r="V120" s="618">
        <v>1.1880999999999999</v>
      </c>
      <c r="W120" s="619">
        <v>119</v>
      </c>
      <c r="X120" s="618">
        <v>0.17499999999999999</v>
      </c>
      <c r="Y120" s="620">
        <v>83</v>
      </c>
    </row>
    <row r="121" spans="1:25" ht="12.75">
      <c r="A121" s="36" t="str">
        <f ca="1">IFERROR(__xludf.DUMMYFUNCTION("""COMPUTED_VALUE"""),"Даневич Галина")</f>
        <v>Даневич Галина</v>
      </c>
      <c r="B121" s="114">
        <f ca="1">IFERROR(__xludf.DUMMYFUNCTION("""COMPUTED_VALUE"""),0.0181054239877769)</f>
        <v>1.8105423987776901E-2</v>
      </c>
      <c r="C121" s="114">
        <f ca="1">IFERROR(__xludf.DUMMYFUNCTION("""COMPUTED_VALUE"""),0.926956966765329)</f>
        <v>0.92695696676532902</v>
      </c>
      <c r="D121" s="114">
        <f ca="1">IFERROR(__xludf.DUMMYFUNCTION("""COMPUTED_VALUE"""),0.0126737967914438)</f>
        <v>1.26737967914438E-2</v>
      </c>
      <c r="E121" s="36"/>
      <c r="F121" s="36"/>
      <c r="G121" s="36" t="str">
        <f ca="1">IFERROR(__xludf.DUMMYFUNCTION("""COMPUTED_VALUE"""),"Нікітюк Юлія")</f>
        <v>Нікітюк Юлія</v>
      </c>
      <c r="H121" s="114">
        <f ca="1">IFERROR(__xludf.DUMMYFUNCTION("""COMPUTED_VALUE"""),0.25)</f>
        <v>0.25</v>
      </c>
      <c r="I121" s="114">
        <f ca="1">IFERROR(__xludf.DUMMYFUNCTION("""COMPUTED_VALUE"""),0.0666666666666666)</f>
        <v>6.6666666666666596E-2</v>
      </c>
      <c r="J121" s="114">
        <f ca="1">IFERROR(__xludf.DUMMYFUNCTION("""COMPUTED_VALUE"""),0.075)</f>
        <v>7.4999999999999997E-2</v>
      </c>
      <c r="R121" s="117" t="s">
        <v>677</v>
      </c>
      <c r="S121" s="116"/>
      <c r="T121" s="116"/>
      <c r="U121" s="616">
        <v>87</v>
      </c>
      <c r="V121" s="618">
        <v>0.63009999999999999</v>
      </c>
      <c r="W121" s="619">
        <v>63</v>
      </c>
      <c r="X121" s="618">
        <v>8.8999999999999999E-3</v>
      </c>
      <c r="Y121" s="620">
        <v>99</v>
      </c>
    </row>
    <row r="122" spans="1:25" ht="12.75">
      <c r="A122" s="36" t="str">
        <f ca="1">IFERROR(__xludf.DUMMYFUNCTION("""COMPUTED_VALUE"""),"Данилович Олег")</f>
        <v>Данилович Олег</v>
      </c>
      <c r="B122" s="114">
        <f ca="1">IFERROR(__xludf.DUMMYFUNCTION("""COMPUTED_VALUE"""),0.0793650793650793)</f>
        <v>7.9365079365079305E-2</v>
      </c>
      <c r="C122" s="114">
        <f ca="1">IFERROR(__xludf.DUMMYFUNCTION("""COMPUTED_VALUE"""),1.00599664851277)</f>
        <v>1.00599664851277</v>
      </c>
      <c r="D122" s="114">
        <f ca="1">IFERROR(__xludf.DUMMYFUNCTION("""COMPUTED_VALUE"""),0.0555555555555555)</f>
        <v>5.5555555555555497E-2</v>
      </c>
      <c r="E122" s="36"/>
      <c r="F122" s="36"/>
      <c r="G122" s="36" t="str">
        <f ca="1">IFERROR(__xludf.DUMMYFUNCTION("""COMPUTED_VALUE"""),"Нікуліна Марина")</f>
        <v>Нікуліна Марина</v>
      </c>
      <c r="H122" s="114">
        <f ca="1">IFERROR(__xludf.DUMMYFUNCTION("""COMPUTED_VALUE"""),0.0331849310110179)</f>
        <v>3.3184931011017903E-2</v>
      </c>
      <c r="I122" s="114">
        <f ca="1">IFERROR(__xludf.DUMMYFUNCTION("""COMPUTED_VALUE"""),0.751953411605479)</f>
        <v>0.75195341160547902</v>
      </c>
      <c r="J122" s="114">
        <f ca="1">IFERROR(__xludf.DUMMYFUNCTION("""COMPUTED_VALUE"""),0.00995547930330539)</f>
        <v>9.9554793033053892E-3</v>
      </c>
      <c r="R122" s="117" t="s">
        <v>682</v>
      </c>
      <c r="S122" s="116"/>
      <c r="T122" s="116"/>
      <c r="U122" s="616">
        <v>94</v>
      </c>
      <c r="V122" s="618">
        <v>0.57599999999999996</v>
      </c>
      <c r="W122" s="619">
        <v>58</v>
      </c>
      <c r="X122" s="618">
        <v>6.3100000000000003E-2</v>
      </c>
      <c r="Y122" s="620">
        <v>94</v>
      </c>
    </row>
    <row r="123" spans="1:25" ht="12.75">
      <c r="A123" s="36" t="str">
        <f ca="1">IFERROR(__xludf.DUMMYFUNCTION("""COMPUTED_VALUE"""),"Данчишин Андрій")</f>
        <v>Данчишин Андрій</v>
      </c>
      <c r="B123" s="114">
        <f ca="1">IFERROR(__xludf.DUMMYFUNCTION("""COMPUTED_VALUE"""),0.0666666666666666)</f>
        <v>6.6666666666666596E-2</v>
      </c>
      <c r="C123" s="114">
        <f ca="1">IFERROR(__xludf.DUMMYFUNCTION("""COMPUTED_VALUE"""),0.757407407407407)</f>
        <v>0.75740740740740697</v>
      </c>
      <c r="D123" s="114">
        <f ca="1">IFERROR(__xludf.DUMMYFUNCTION("""COMPUTED_VALUE"""),0.0466666666666666)</f>
        <v>4.6666666666666599E-2</v>
      </c>
      <c r="E123" s="36"/>
      <c r="F123" s="36"/>
      <c r="G123" s="36" t="str">
        <f ca="1">IFERROR(__xludf.DUMMYFUNCTION("""COMPUTED_VALUE"""),"Нікуліна Наталія")</f>
        <v>Нікуліна Наталія</v>
      </c>
      <c r="H123" s="114">
        <f ca="1">IFERROR(__xludf.DUMMYFUNCTION("""COMPUTED_VALUE"""),0)</f>
        <v>0</v>
      </c>
      <c r="I123" s="114">
        <f ca="1">IFERROR(__xludf.DUMMYFUNCTION("""COMPUTED_VALUE"""),0.5)</f>
        <v>0.5</v>
      </c>
      <c r="J123" s="114">
        <f ca="1">IFERROR(__xludf.DUMMYFUNCTION("""COMPUTED_VALUE"""),0)</f>
        <v>0</v>
      </c>
      <c r="R123" s="117" t="s">
        <v>690</v>
      </c>
      <c r="S123" s="116"/>
      <c r="T123" s="116"/>
      <c r="U123" s="616">
        <v>91</v>
      </c>
      <c r="V123" s="618">
        <v>0.80449999999999999</v>
      </c>
      <c r="W123" s="619">
        <v>80</v>
      </c>
      <c r="X123" s="618">
        <v>5.96E-2</v>
      </c>
      <c r="Y123" s="620">
        <v>94</v>
      </c>
    </row>
    <row r="124" spans="1:25" ht="12.75">
      <c r="A124" s="36" t="str">
        <f ca="1">IFERROR(__xludf.DUMMYFUNCTION("""COMPUTED_VALUE"""),"Дебольський Олександр")</f>
        <v>Дебольський Олександр</v>
      </c>
      <c r="B124" s="114">
        <f ca="1">IFERROR(__xludf.DUMMYFUNCTION("""COMPUTED_VALUE"""),-0.00802469135802469)</f>
        <v>-8.0246913580246902E-3</v>
      </c>
      <c r="C124" s="114">
        <f ca="1">IFERROR(__xludf.DUMMYFUNCTION("""COMPUTED_VALUE"""),0.739349956681828)</f>
        <v>0.73934995668182801</v>
      </c>
      <c r="D124" s="114">
        <f ca="1">IFERROR(__xludf.DUMMYFUNCTION("""COMPUTED_VALUE"""),-0.00561728395061728)</f>
        <v>-5.61728395061728E-3</v>
      </c>
      <c r="E124" s="36"/>
      <c r="F124" s="36"/>
      <c r="G124" s="36" t="str">
        <f ca="1">IFERROR(__xludf.DUMMYFUNCTION("""COMPUTED_VALUE"""),"Новосільська Марія")</f>
        <v>Новосільська Марія</v>
      </c>
      <c r="H124" s="114">
        <f ca="1">IFERROR(__xludf.DUMMYFUNCTION("""COMPUTED_VALUE"""),0.154619454619454)</f>
        <v>0.15461945461945401</v>
      </c>
      <c r="I124" s="114">
        <f ca="1">IFERROR(__xludf.DUMMYFUNCTION("""COMPUTED_VALUE"""),0.795972479901051)</f>
        <v>0.79597247990105102</v>
      </c>
      <c r="J124" s="114">
        <f ca="1">IFERROR(__xludf.DUMMYFUNCTION("""COMPUTED_VALUE"""),0.0463858363858363)</f>
        <v>4.63858363858363E-2</v>
      </c>
      <c r="R124" s="117" t="s">
        <v>696</v>
      </c>
      <c r="S124" s="116"/>
      <c r="T124" s="116"/>
      <c r="U124" s="156"/>
      <c r="V124" s="116" t="s">
        <v>9805</v>
      </c>
      <c r="W124" s="617" t="s">
        <v>9805</v>
      </c>
      <c r="X124" s="116" t="s">
        <v>9805</v>
      </c>
      <c r="Y124" s="116" t="s">
        <v>9805</v>
      </c>
    </row>
    <row r="125" spans="1:25" ht="12.75">
      <c r="A125" s="36" t="str">
        <f ca="1">IFERROR(__xludf.DUMMYFUNCTION("""COMPUTED_VALUE"""),"Дейлік Марія")</f>
        <v>Дейлік Марія</v>
      </c>
      <c r="B125" s="114">
        <f ca="1">IFERROR(__xludf.DUMMYFUNCTION("""COMPUTED_VALUE"""),0.0714285714285714)</f>
        <v>7.1428571428571397E-2</v>
      </c>
      <c r="C125" s="114">
        <f ca="1">IFERROR(__xludf.DUMMYFUNCTION("""COMPUTED_VALUE"""),0.5)</f>
        <v>0.5</v>
      </c>
      <c r="D125" s="114">
        <f ca="1">IFERROR(__xludf.DUMMYFUNCTION("""COMPUTED_VALUE"""),0.0499999999999999)</f>
        <v>4.9999999999999899E-2</v>
      </c>
      <c r="E125" s="36"/>
      <c r="F125" s="36"/>
      <c r="G125" s="36" t="str">
        <f ca="1">IFERROR(__xludf.DUMMYFUNCTION("""COMPUTED_VALUE"""),"Новохатько Наталя")</f>
        <v>Новохатько Наталя</v>
      </c>
      <c r="H125" s="114">
        <f ca="1">IFERROR(__xludf.DUMMYFUNCTION("""COMPUTED_VALUE"""),0.125)</f>
        <v>0.125</v>
      </c>
      <c r="I125" s="114">
        <f ca="1">IFERROR(__xludf.DUMMYFUNCTION("""COMPUTED_VALUE"""),0.794871794871794)</f>
        <v>0.79487179487179405</v>
      </c>
      <c r="J125" s="114">
        <f ca="1">IFERROR(__xludf.DUMMYFUNCTION("""COMPUTED_VALUE"""),0.0375)</f>
        <v>3.7499999999999999E-2</v>
      </c>
      <c r="R125" s="117" t="s">
        <v>699</v>
      </c>
      <c r="S125" s="116"/>
      <c r="T125" s="116"/>
      <c r="U125" s="616">
        <v>97</v>
      </c>
      <c r="V125" s="618">
        <v>1.0313000000000001</v>
      </c>
      <c r="W125" s="619">
        <v>103</v>
      </c>
      <c r="X125" s="618">
        <v>-1.67E-2</v>
      </c>
      <c r="Y125" s="620">
        <v>102</v>
      </c>
    </row>
    <row r="126" spans="1:25" ht="12.75">
      <c r="A126" s="36" t="str">
        <f ca="1">IFERROR(__xludf.DUMMYFUNCTION("""COMPUTED_VALUE"""),"Дементєєв Дмитро")</f>
        <v>Дементєєв Дмитро</v>
      </c>
      <c r="B126" s="114">
        <f ca="1">IFERROR(__xludf.DUMMYFUNCTION("""COMPUTED_VALUE"""),0)</f>
        <v>0</v>
      </c>
      <c r="C126" s="114">
        <f ca="1">IFERROR(__xludf.DUMMYFUNCTION("""COMPUTED_VALUE"""),1.15757575757575)</f>
        <v>1.1575757575757499</v>
      </c>
      <c r="D126" s="114">
        <f ca="1">IFERROR(__xludf.DUMMYFUNCTION("""COMPUTED_VALUE"""),0)</f>
        <v>0</v>
      </c>
      <c r="E126" s="36"/>
      <c r="F126" s="36"/>
      <c r="G126" s="36" t="str">
        <f ca="1">IFERROR(__xludf.DUMMYFUNCTION("""COMPUTED_VALUE"""),"Огієнко Данило")</f>
        <v>Огієнко Данило</v>
      </c>
      <c r="H126" s="114">
        <f ca="1">IFERROR(__xludf.DUMMYFUNCTION("""COMPUTED_VALUE"""),0.015625)</f>
        <v>1.5625E-2</v>
      </c>
      <c r="I126" s="114">
        <f ca="1">IFERROR(__xludf.DUMMYFUNCTION("""COMPUTED_VALUE"""),0.386649969641772)</f>
        <v>0.38664996964177201</v>
      </c>
      <c r="J126" s="114">
        <f ca="1">IFERROR(__xludf.DUMMYFUNCTION("""COMPUTED_VALUE"""),0.0046875)</f>
        <v>4.6874999999999998E-3</v>
      </c>
      <c r="R126" s="117" t="s">
        <v>708</v>
      </c>
      <c r="S126" s="116"/>
      <c r="T126" s="116"/>
      <c r="U126" s="616">
        <v>87</v>
      </c>
      <c r="V126" s="618">
        <v>0.58230000000000004</v>
      </c>
      <c r="W126" s="619">
        <v>58</v>
      </c>
      <c r="X126" s="618">
        <v>2.92E-2</v>
      </c>
      <c r="Y126" s="620">
        <v>97</v>
      </c>
    </row>
    <row r="127" spans="1:25" ht="12.75">
      <c r="A127" s="36" t="str">
        <f ca="1">IFERROR(__xludf.DUMMYFUNCTION("""COMPUTED_VALUE"""),"Демидов Петро")</f>
        <v>Демидов Петро</v>
      </c>
      <c r="B127" s="114">
        <f ca="1">IFERROR(__xludf.DUMMYFUNCTION("""COMPUTED_VALUE"""),0)</f>
        <v>0</v>
      </c>
      <c r="C127" s="114">
        <f ca="1">IFERROR(__xludf.DUMMYFUNCTION("""COMPUTED_VALUE"""),0.576923076923076)</f>
        <v>0.57692307692307598</v>
      </c>
      <c r="D127" s="114">
        <f ca="1">IFERROR(__xludf.DUMMYFUNCTION("""COMPUTED_VALUE"""),0)</f>
        <v>0</v>
      </c>
      <c r="E127" s="36"/>
      <c r="F127" s="36"/>
      <c r="G127" s="36" t="str">
        <f ca="1">IFERROR(__xludf.DUMMYFUNCTION("""COMPUTED_VALUE"""),"Оджиковська Світлана")</f>
        <v>Оджиковська Світлана</v>
      </c>
      <c r="H127" s="114">
        <f ca="1">IFERROR(__xludf.DUMMYFUNCTION("""COMPUTED_VALUE"""),-0.00742115027829313)</f>
        <v>-7.4211502782931303E-3</v>
      </c>
      <c r="I127" s="114">
        <f ca="1">IFERROR(__xludf.DUMMYFUNCTION("""COMPUTED_VALUE"""),0.960554806828391)</f>
        <v>0.96055480682839101</v>
      </c>
      <c r="J127" s="114">
        <f ca="1">IFERROR(__xludf.DUMMYFUNCTION("""COMPUTED_VALUE"""),-0.00222634508348794)</f>
        <v>-2.2263450834879399E-3</v>
      </c>
      <c r="R127" s="117" t="s">
        <v>712</v>
      </c>
      <c r="S127" s="116"/>
      <c r="T127" s="116"/>
      <c r="U127" s="616">
        <v>92</v>
      </c>
      <c r="V127" s="618">
        <v>1.2104999999999999</v>
      </c>
      <c r="W127" s="619">
        <v>121</v>
      </c>
      <c r="X127" s="618">
        <v>0.1273</v>
      </c>
      <c r="Y127" s="620">
        <v>87</v>
      </c>
    </row>
    <row r="128" spans="1:25" ht="12.75">
      <c r="A128" s="36" t="str">
        <f ca="1">IFERROR(__xludf.DUMMYFUNCTION("""COMPUTED_VALUE"""),"Демчук Ангеліна")</f>
        <v>Демчук Ангеліна</v>
      </c>
      <c r="B128" s="114">
        <f ca="1">IFERROR(__xludf.DUMMYFUNCTION("""COMPUTED_VALUE"""),0.2)</f>
        <v>0.2</v>
      </c>
      <c r="C128" s="114">
        <f ca="1">IFERROR(__xludf.DUMMYFUNCTION("""COMPUTED_VALUE"""),0.25)</f>
        <v>0.25</v>
      </c>
      <c r="D128" s="114">
        <f ca="1">IFERROR(__xludf.DUMMYFUNCTION("""COMPUTED_VALUE"""),0.139999999999999)</f>
        <v>0.13999999999999899</v>
      </c>
      <c r="E128" s="36"/>
      <c r="F128" s="36"/>
      <c r="G128" s="36" t="str">
        <f ca="1">IFERROR(__xludf.DUMMYFUNCTION("""COMPUTED_VALUE"""),"Олена Рижа")</f>
        <v>Олена Рижа</v>
      </c>
      <c r="H128" s="114">
        <f ca="1">IFERROR(__xludf.DUMMYFUNCTION("""COMPUTED_VALUE"""),0)</f>
        <v>0</v>
      </c>
      <c r="I128" s="114">
        <f ca="1">IFERROR(__xludf.DUMMYFUNCTION("""COMPUTED_VALUE"""),1.16666666666666)</f>
        <v>1.1666666666666601</v>
      </c>
      <c r="J128" s="114">
        <f ca="1">IFERROR(__xludf.DUMMYFUNCTION("""COMPUTED_VALUE"""),0)</f>
        <v>0</v>
      </c>
      <c r="R128" s="117" t="s">
        <v>715</v>
      </c>
      <c r="S128" s="116"/>
      <c r="T128" s="116"/>
      <c r="U128" s="616">
        <v>87</v>
      </c>
      <c r="V128" s="618">
        <v>0.98280000000000001</v>
      </c>
      <c r="W128" s="619">
        <v>98</v>
      </c>
      <c r="X128" s="618">
        <v>8.3000000000000001E-3</v>
      </c>
      <c r="Y128" s="620">
        <v>99</v>
      </c>
    </row>
    <row r="129" spans="1:25" ht="12.75">
      <c r="A129" s="36" t="str">
        <f ca="1">IFERROR(__xludf.DUMMYFUNCTION("""COMPUTED_VALUE"""),"Денисов Михайло")</f>
        <v>Денисов Михайло</v>
      </c>
      <c r="B129" s="114">
        <f ca="1">IFERROR(__xludf.DUMMYFUNCTION("""COMPUTED_VALUE"""),-0.0555555555555555)</f>
        <v>-5.5555555555555497E-2</v>
      </c>
      <c r="C129" s="114">
        <f ca="1">IFERROR(__xludf.DUMMYFUNCTION("""COMPUTED_VALUE"""),0)</f>
        <v>0</v>
      </c>
      <c r="D129" s="114">
        <f ca="1">IFERROR(__xludf.DUMMYFUNCTION("""COMPUTED_VALUE"""),-0.0388888888888888)</f>
        <v>-3.8888888888888799E-2</v>
      </c>
      <c r="E129" s="36"/>
      <c r="F129" s="36"/>
      <c r="G129" s="36" t="str">
        <f ca="1">IFERROR(__xludf.DUMMYFUNCTION("""COMPUTED_VALUE"""),"Орлова Світлана")</f>
        <v>Орлова Світлана</v>
      </c>
      <c r="H129" s="114">
        <f ca="1">IFERROR(__xludf.DUMMYFUNCTION("""COMPUTED_VALUE"""),0.0808712121212121)</f>
        <v>8.0871212121212094E-2</v>
      </c>
      <c r="I129" s="114">
        <f ca="1">IFERROR(__xludf.DUMMYFUNCTION("""COMPUTED_VALUE"""),0.777893298240507)</f>
        <v>0.77789329824050701</v>
      </c>
      <c r="J129" s="114">
        <f ca="1">IFERROR(__xludf.DUMMYFUNCTION("""COMPUTED_VALUE"""),0.0242613636363636)</f>
        <v>2.4261363636363598E-2</v>
      </c>
      <c r="R129" s="117" t="s">
        <v>718</v>
      </c>
      <c r="S129" s="116"/>
      <c r="T129" s="116"/>
      <c r="U129" s="616">
        <v>100</v>
      </c>
      <c r="V129" s="618">
        <v>0.88009999999999999</v>
      </c>
      <c r="W129" s="619">
        <v>88</v>
      </c>
      <c r="X129" s="618">
        <v>3.04E-2</v>
      </c>
      <c r="Y129" s="620">
        <v>97</v>
      </c>
    </row>
    <row r="130" spans="1:25" ht="12.75">
      <c r="A130" s="36" t="str">
        <f ca="1">IFERROR(__xludf.DUMMYFUNCTION("""COMPUTED_VALUE"""),"Дешук Ангеліна")</f>
        <v>Дешук Ангеліна</v>
      </c>
      <c r="B130" s="114">
        <f ca="1">IFERROR(__xludf.DUMMYFUNCTION("""COMPUTED_VALUE"""),0.111111111111111)</f>
        <v>0.11111111111111099</v>
      </c>
      <c r="C130" s="114">
        <f ca="1">IFERROR(__xludf.DUMMYFUNCTION("""COMPUTED_VALUE"""),0.571895424836601)</f>
        <v>0.57189542483660105</v>
      </c>
      <c r="D130" s="114">
        <f ca="1">IFERROR(__xludf.DUMMYFUNCTION("""COMPUTED_VALUE"""),0.0777777777777777)</f>
        <v>7.7777777777777696E-2</v>
      </c>
      <c r="E130" s="36"/>
      <c r="F130" s="36"/>
      <c r="G130" s="36" t="str">
        <f ca="1">IFERROR(__xludf.DUMMYFUNCTION("""COMPUTED_VALUE"""),"Орловська Надія")</f>
        <v>Орловська Надія</v>
      </c>
      <c r="H130" s="114">
        <f ca="1">IFERROR(__xludf.DUMMYFUNCTION("""COMPUTED_VALUE"""),0.051905121022768)</f>
        <v>5.1905121022768001E-2</v>
      </c>
      <c r="I130" s="114">
        <f ca="1">IFERROR(__xludf.DUMMYFUNCTION("""COMPUTED_VALUE"""),0.540512786509952)</f>
        <v>0.54051278650995205</v>
      </c>
      <c r="J130" s="114">
        <f ca="1">IFERROR(__xludf.DUMMYFUNCTION("""COMPUTED_VALUE"""),0.0155715363068304)</f>
        <v>1.55715363068304E-2</v>
      </c>
      <c r="R130" s="117" t="s">
        <v>725</v>
      </c>
      <c r="S130" s="116"/>
      <c r="T130" s="116"/>
      <c r="U130" s="616">
        <v>99</v>
      </c>
      <c r="V130" s="618">
        <v>0.77170000000000005</v>
      </c>
      <c r="W130" s="619">
        <v>77</v>
      </c>
      <c r="X130" s="618">
        <v>3.0300000000000001E-2</v>
      </c>
      <c r="Y130" s="620">
        <v>97</v>
      </c>
    </row>
    <row r="131" spans="1:25" ht="12.75">
      <c r="A131" s="36" t="str">
        <f ca="1">IFERROR(__xludf.DUMMYFUNCTION("""COMPUTED_VALUE"""),"Дєдова Ірина")</f>
        <v>Дєдова Ірина</v>
      </c>
      <c r="B131" s="114">
        <f ca="1">IFERROR(__xludf.DUMMYFUNCTION("""COMPUTED_VALUE"""),0.025)</f>
        <v>2.5000000000000001E-2</v>
      </c>
      <c r="C131" s="114">
        <f ca="1">IFERROR(__xludf.DUMMYFUNCTION("""COMPUTED_VALUE"""),1.12736842105263)</f>
        <v>1.12736842105263</v>
      </c>
      <c r="D131" s="114">
        <f ca="1">IFERROR(__xludf.DUMMYFUNCTION("""COMPUTED_VALUE"""),0.0174999999999999)</f>
        <v>1.7499999999999901E-2</v>
      </c>
      <c r="E131" s="36"/>
      <c r="F131" s="36"/>
      <c r="G131" s="36" t="str">
        <f ca="1">IFERROR(__xludf.DUMMYFUNCTION("""COMPUTED_VALUE"""),"Орманжи Вікторія")</f>
        <v>Орманжи Вікторія</v>
      </c>
      <c r="H131" s="114">
        <f ca="1">IFERROR(__xludf.DUMMYFUNCTION("""COMPUTED_VALUE"""),0.0273707773707773)</f>
        <v>2.73707773707773E-2</v>
      </c>
      <c r="I131" s="114">
        <f ca="1">IFERROR(__xludf.DUMMYFUNCTION("""COMPUTED_VALUE"""),0.7011313105728)</f>
        <v>0.70113131057279998</v>
      </c>
      <c r="J131" s="114">
        <f ca="1">IFERROR(__xludf.DUMMYFUNCTION("""COMPUTED_VALUE"""),0.00821123321123321)</f>
        <v>8.2112332112332098E-3</v>
      </c>
      <c r="R131" s="117" t="s">
        <v>728</v>
      </c>
      <c r="S131" s="116"/>
      <c r="T131" s="116"/>
      <c r="U131" s="616">
        <v>82</v>
      </c>
      <c r="V131" s="618">
        <v>0.83930000000000005</v>
      </c>
      <c r="W131" s="619">
        <v>84</v>
      </c>
      <c r="X131" s="618">
        <v>0</v>
      </c>
      <c r="Y131" s="620">
        <v>100</v>
      </c>
    </row>
    <row r="132" spans="1:25" ht="12.75">
      <c r="A132" s="36" t="str">
        <f ca="1">IFERROR(__xludf.DUMMYFUNCTION("""COMPUTED_VALUE"""),"Джевжик Андрій")</f>
        <v>Джевжик Андрій</v>
      </c>
      <c r="B132" s="114">
        <f ca="1">IFERROR(__xludf.DUMMYFUNCTION("""COMPUTED_VALUE"""),0)</f>
        <v>0</v>
      </c>
      <c r="C132" s="114">
        <f ca="1">IFERROR(__xludf.DUMMYFUNCTION("""COMPUTED_VALUE"""),0.921875)</f>
        <v>0.921875</v>
      </c>
      <c r="D132" s="114">
        <f ca="1">IFERROR(__xludf.DUMMYFUNCTION("""COMPUTED_VALUE"""),0)</f>
        <v>0</v>
      </c>
      <c r="E132" s="36"/>
      <c r="F132" s="36"/>
      <c r="G132" s="36" t="str">
        <f ca="1">IFERROR(__xludf.DUMMYFUNCTION("""COMPUTED_VALUE"""),"Павліщева Анна")</f>
        <v>Павліщева Анна</v>
      </c>
      <c r="H132" s="114">
        <f ca="1">IFERROR(__xludf.DUMMYFUNCTION("""COMPUTED_VALUE"""),0)</f>
        <v>0</v>
      </c>
      <c r="I132" s="114">
        <f ca="1">IFERROR(__xludf.DUMMYFUNCTION("""COMPUTED_VALUE"""),0.736805555555555)</f>
        <v>0.73680555555555505</v>
      </c>
      <c r="J132" s="114">
        <f ca="1">IFERROR(__xludf.DUMMYFUNCTION("""COMPUTED_VALUE"""),0)</f>
        <v>0</v>
      </c>
      <c r="R132" s="117" t="s">
        <v>731</v>
      </c>
      <c r="S132" s="116"/>
      <c r="T132" s="116"/>
      <c r="U132" s="616">
        <v>100</v>
      </c>
      <c r="V132" s="618">
        <v>0.79790000000000005</v>
      </c>
      <c r="W132" s="619">
        <v>80</v>
      </c>
      <c r="X132" s="618">
        <v>7.5800000000000006E-2</v>
      </c>
      <c r="Y132" s="620">
        <v>92</v>
      </c>
    </row>
    <row r="133" spans="1:25" ht="12.75">
      <c r="A133" s="36" t="str">
        <f ca="1">IFERROR(__xludf.DUMMYFUNCTION("""COMPUTED_VALUE"""),"Джеммель Віолетта")</f>
        <v>Джеммель Віолетта</v>
      </c>
      <c r="B133" s="114">
        <f ca="1">IFERROR(__xludf.DUMMYFUNCTION("""COMPUTED_VALUE"""),0.0208333333333333)</f>
        <v>2.0833333333333301E-2</v>
      </c>
      <c r="C133" s="114">
        <f ca="1">IFERROR(__xludf.DUMMYFUNCTION("""COMPUTED_VALUE"""),0.935617989091283)</f>
        <v>0.93561798909128302</v>
      </c>
      <c r="D133" s="114">
        <f ca="1">IFERROR(__xludf.DUMMYFUNCTION("""COMPUTED_VALUE"""),0.0145833333333333)</f>
        <v>1.4583333333333301E-2</v>
      </c>
      <c r="E133" s="36"/>
      <c r="F133" s="36"/>
      <c r="G133" s="36" t="str">
        <f ca="1">IFERROR(__xludf.DUMMYFUNCTION("""COMPUTED_VALUE"""),"Пархомова Катерина")</f>
        <v>Пархомова Катерина</v>
      </c>
      <c r="H133" s="114">
        <f ca="1">IFERROR(__xludf.DUMMYFUNCTION("""COMPUTED_VALUE"""),0.0458333333333333)</f>
        <v>4.5833333333333302E-2</v>
      </c>
      <c r="I133" s="114">
        <f ca="1">IFERROR(__xludf.DUMMYFUNCTION("""COMPUTED_VALUE"""),0.70627990430622)</f>
        <v>0.70627990430622001</v>
      </c>
      <c r="J133" s="114">
        <f ca="1">IFERROR(__xludf.DUMMYFUNCTION("""COMPUTED_VALUE"""),0.01375)</f>
        <v>1.375E-2</v>
      </c>
      <c r="R133" s="117" t="s">
        <v>734</v>
      </c>
      <c r="S133" s="116"/>
      <c r="T133" s="116"/>
      <c r="U133" s="616">
        <v>98</v>
      </c>
      <c r="V133" s="618">
        <v>0.83230000000000004</v>
      </c>
      <c r="W133" s="619">
        <v>83</v>
      </c>
      <c r="X133" s="618">
        <v>3.8899999999999997E-2</v>
      </c>
      <c r="Y133" s="620">
        <v>96</v>
      </c>
    </row>
    <row r="134" spans="1:25" ht="12.75">
      <c r="A134" s="36" t="str">
        <f ca="1">IFERROR(__xludf.DUMMYFUNCTION("""COMPUTED_VALUE"""),"Дзівідзінська Мар'яна")</f>
        <v>Дзівідзінська Мар'яна</v>
      </c>
      <c r="B134" s="114">
        <f ca="1">IFERROR(__xludf.DUMMYFUNCTION("""COMPUTED_VALUE"""),0)</f>
        <v>0</v>
      </c>
      <c r="C134" s="114">
        <f ca="1">IFERROR(__xludf.DUMMYFUNCTION("""COMPUTED_VALUE"""),0.642857142857142)</f>
        <v>0.64285714285714202</v>
      </c>
      <c r="D134" s="114">
        <f ca="1">IFERROR(__xludf.DUMMYFUNCTION("""COMPUTED_VALUE"""),0)</f>
        <v>0</v>
      </c>
      <c r="E134" s="36"/>
      <c r="F134" s="36"/>
      <c r="G134" s="36" t="str">
        <f ca="1">IFERROR(__xludf.DUMMYFUNCTION("""COMPUTED_VALUE"""),"Пасічник Вікторія")</f>
        <v>Пасічник Вікторія</v>
      </c>
      <c r="H134" s="114">
        <f ca="1">IFERROR(__xludf.DUMMYFUNCTION("""COMPUTED_VALUE"""),-0.00714285714285714)</f>
        <v>-7.14285714285714E-3</v>
      </c>
      <c r="I134" s="114">
        <f ca="1">IFERROR(__xludf.DUMMYFUNCTION("""COMPUTED_VALUE"""),0.445039743721519)</f>
        <v>0.445039743721519</v>
      </c>
      <c r="J134" s="114">
        <f ca="1">IFERROR(__xludf.DUMMYFUNCTION("""COMPUTED_VALUE"""),-0.00214285714285714)</f>
        <v>-2.1428571428571399E-3</v>
      </c>
      <c r="R134" s="117" t="s">
        <v>738</v>
      </c>
      <c r="S134" s="116"/>
      <c r="T134" s="116"/>
      <c r="U134" s="616">
        <v>94</v>
      </c>
      <c r="V134" s="618">
        <v>0.85899999999999999</v>
      </c>
      <c r="W134" s="619">
        <v>86</v>
      </c>
      <c r="X134" s="618">
        <v>-2.5899999999999999E-2</v>
      </c>
      <c r="Y134" s="620">
        <v>103</v>
      </c>
    </row>
    <row r="135" spans="1:25" ht="12.75">
      <c r="A135" s="36" t="str">
        <f ca="1">IFERROR(__xludf.DUMMYFUNCTION("""COMPUTED_VALUE"""),"Дика Поліна")</f>
        <v>Дика Поліна</v>
      </c>
      <c r="B135" s="114">
        <f ca="1">IFERROR(__xludf.DUMMYFUNCTION("""COMPUTED_VALUE"""),0)</f>
        <v>0</v>
      </c>
      <c r="C135" s="114">
        <f ca="1">IFERROR(__xludf.DUMMYFUNCTION("""COMPUTED_VALUE"""),0.34375)</f>
        <v>0.34375</v>
      </c>
      <c r="D135" s="114">
        <f ca="1">IFERROR(__xludf.DUMMYFUNCTION("""COMPUTED_VALUE"""),0)</f>
        <v>0</v>
      </c>
      <c r="E135" s="36"/>
      <c r="F135" s="36"/>
      <c r="G135" s="36" t="str">
        <f ca="1">IFERROR(__xludf.DUMMYFUNCTION("""COMPUTED_VALUE"""),"Педос Анастасія")</f>
        <v>Педос Анастасія</v>
      </c>
      <c r="H135" s="114">
        <f ca="1">IFERROR(__xludf.DUMMYFUNCTION("""COMPUTED_VALUE"""),-0.0234159779614325)</f>
        <v>-2.3415977961432501E-2</v>
      </c>
      <c r="I135" s="114">
        <f ca="1">IFERROR(__xludf.DUMMYFUNCTION("""COMPUTED_VALUE"""),0.411198153698153)</f>
        <v>0.41119815369815299</v>
      </c>
      <c r="J135" s="114">
        <f ca="1">IFERROR(__xludf.DUMMYFUNCTION("""COMPUTED_VALUE"""),-0.00702479338842975)</f>
        <v>-7.0247933884297498E-3</v>
      </c>
      <c r="R135" s="117" t="s">
        <v>741</v>
      </c>
      <c r="S135" s="116"/>
      <c r="T135" s="116"/>
      <c r="U135" s="616">
        <v>94</v>
      </c>
      <c r="V135" s="618">
        <v>0.72099999999999997</v>
      </c>
      <c r="W135" s="619">
        <v>72</v>
      </c>
      <c r="X135" s="618">
        <v>1.89E-2</v>
      </c>
      <c r="Y135" s="620">
        <v>98</v>
      </c>
    </row>
    <row r="136" spans="1:25" ht="12.75">
      <c r="A136" s="36" t="str">
        <f ca="1">IFERROR(__xludf.DUMMYFUNCTION("""COMPUTED_VALUE"""),"Дмитренко Катерина")</f>
        <v>Дмитренко Катерина</v>
      </c>
      <c r="B136" s="114">
        <f ca="1">IFERROR(__xludf.DUMMYFUNCTION("""COMPUTED_VALUE"""),0.0185185185185185)</f>
        <v>1.85185185185185E-2</v>
      </c>
      <c r="C136" s="114">
        <f ca="1">IFERROR(__xludf.DUMMYFUNCTION("""COMPUTED_VALUE"""),0.944137931034482)</f>
        <v>0.94413793103448196</v>
      </c>
      <c r="D136" s="114">
        <f ca="1">IFERROR(__xludf.DUMMYFUNCTION("""COMPUTED_VALUE"""),0.0129629629629629)</f>
        <v>1.29629629629629E-2</v>
      </c>
      <c r="E136" s="36"/>
      <c r="F136" s="36"/>
      <c r="G136" s="36" t="str">
        <f ca="1">IFERROR(__xludf.DUMMYFUNCTION("""COMPUTED_VALUE"""),"Педь Єлизавета")</f>
        <v>Педь Єлизавета</v>
      </c>
      <c r="H136" s="114">
        <f ca="1">IFERROR(__xludf.DUMMYFUNCTION("""COMPUTED_VALUE"""),0)</f>
        <v>0</v>
      </c>
      <c r="I136" s="114">
        <f ca="1">IFERROR(__xludf.DUMMYFUNCTION("""COMPUTED_VALUE"""),0.76)</f>
        <v>0.76</v>
      </c>
      <c r="J136" s="114">
        <f ca="1">IFERROR(__xludf.DUMMYFUNCTION("""COMPUTED_VALUE"""),0)</f>
        <v>0</v>
      </c>
      <c r="R136" s="117" t="s">
        <v>744</v>
      </c>
      <c r="S136" s="116"/>
      <c r="T136" s="116"/>
      <c r="U136" s="616">
        <v>87</v>
      </c>
      <c r="V136" s="618">
        <v>1.0125</v>
      </c>
      <c r="W136" s="619">
        <v>101</v>
      </c>
      <c r="X136" s="618">
        <v>6.0199999999999997E-2</v>
      </c>
      <c r="Y136" s="620">
        <v>94</v>
      </c>
    </row>
    <row r="137" spans="1:25" ht="12.75">
      <c r="A137" s="36" t="str">
        <f ca="1">IFERROR(__xludf.DUMMYFUNCTION("""COMPUTED_VALUE"""),"Дмитрів Андрій")</f>
        <v>Дмитрів Андрій</v>
      </c>
      <c r="B137" s="114">
        <f ca="1">IFERROR(__xludf.DUMMYFUNCTION("""COMPUTED_VALUE"""),0.25)</f>
        <v>0.25</v>
      </c>
      <c r="C137" s="114" t="str">
        <f ca="1">IFERROR(__xludf.DUMMYFUNCTION("""COMPUTED_VALUE"""),"#DIV/0!")</f>
        <v>#DIV/0!</v>
      </c>
      <c r="D137" s="114">
        <f ca="1">IFERROR(__xludf.DUMMYFUNCTION("""COMPUTED_VALUE"""),0.175)</f>
        <v>0.17499999999999999</v>
      </c>
      <c r="E137" s="36"/>
      <c r="F137" s="36"/>
      <c r="G137" s="36" t="str">
        <f ca="1">IFERROR(__xludf.DUMMYFUNCTION("""COMPUTED_VALUE"""),"Пекшина Сабіна")</f>
        <v>Пекшина Сабіна</v>
      </c>
      <c r="H137" s="114">
        <f ca="1">IFERROR(__xludf.DUMMYFUNCTION("""COMPUTED_VALUE"""),0.416666666666666)</f>
        <v>0.41666666666666602</v>
      </c>
      <c r="I137" s="114">
        <f ca="1">IFERROR(__xludf.DUMMYFUNCTION("""COMPUTED_VALUE"""),0.534722222222222)</f>
        <v>0.53472222222222199</v>
      </c>
      <c r="J137" s="114">
        <f ca="1">IFERROR(__xludf.DUMMYFUNCTION("""COMPUTED_VALUE"""),0.125)</f>
        <v>0.125</v>
      </c>
      <c r="R137" s="117" t="s">
        <v>747</v>
      </c>
      <c r="S137" s="116"/>
      <c r="T137" s="116"/>
      <c r="U137" s="616">
        <v>83</v>
      </c>
      <c r="V137" s="618">
        <v>0.92720000000000002</v>
      </c>
      <c r="W137" s="619">
        <v>93</v>
      </c>
      <c r="X137" s="618">
        <v>8.9200000000000002E-2</v>
      </c>
      <c r="Y137" s="620">
        <v>91</v>
      </c>
    </row>
    <row r="138" spans="1:25" ht="12.75">
      <c r="A138" s="36" t="str">
        <f ca="1">IFERROR(__xludf.DUMMYFUNCTION("""COMPUTED_VALUE"""),"Дмитро Яковенко")</f>
        <v>Дмитро Яковенко</v>
      </c>
      <c r="B138" s="114">
        <f ca="1">IFERROR(__xludf.DUMMYFUNCTION("""COMPUTED_VALUE"""),0.1)</f>
        <v>0.1</v>
      </c>
      <c r="C138" s="114">
        <f ca="1">IFERROR(__xludf.DUMMYFUNCTION("""COMPUTED_VALUE"""),0.541666666666666)</f>
        <v>0.54166666666666596</v>
      </c>
      <c r="D138" s="114">
        <f ca="1">IFERROR(__xludf.DUMMYFUNCTION("""COMPUTED_VALUE"""),0.0699999999999999)</f>
        <v>6.9999999999999896E-2</v>
      </c>
      <c r="E138" s="36"/>
      <c r="F138" s="36"/>
      <c r="G138" s="36" t="str">
        <f ca="1">IFERROR(__xludf.DUMMYFUNCTION("""COMPUTED_VALUE"""),"Петричук Марія")</f>
        <v>Петричук Марія</v>
      </c>
      <c r="H138" s="114">
        <f ca="1">IFERROR(__xludf.DUMMYFUNCTION("""COMPUTED_VALUE"""),0.0239760239760239)</f>
        <v>2.39760239760239E-2</v>
      </c>
      <c r="I138" s="114">
        <f ca="1">IFERROR(__xludf.DUMMYFUNCTION("""COMPUTED_VALUE"""),0.501442706952911)</f>
        <v>0.50144270695291104</v>
      </c>
      <c r="J138" s="114">
        <f ca="1">IFERROR(__xludf.DUMMYFUNCTION("""COMPUTED_VALUE"""),0.00719280719280719)</f>
        <v>7.1928071928071902E-3</v>
      </c>
      <c r="R138" s="117" t="s">
        <v>756</v>
      </c>
      <c r="S138" s="116"/>
      <c r="T138" s="116"/>
      <c r="U138" s="616">
        <v>97</v>
      </c>
      <c r="V138" s="618">
        <v>0.69699999999999995</v>
      </c>
      <c r="W138" s="619">
        <v>70</v>
      </c>
      <c r="X138" s="618">
        <v>0</v>
      </c>
      <c r="Y138" s="620">
        <v>100</v>
      </c>
    </row>
    <row r="139" spans="1:25" ht="12.75">
      <c r="A139" s="36" t="str">
        <f ca="1">IFERROR(__xludf.DUMMYFUNCTION("""COMPUTED_VALUE"""),"Доля Руслан")</f>
        <v>Доля Руслан</v>
      </c>
      <c r="B139" s="114">
        <f ca="1">IFERROR(__xludf.DUMMYFUNCTION("""COMPUTED_VALUE"""),0.325)</f>
        <v>0.32500000000000001</v>
      </c>
      <c r="C139" s="114">
        <f ca="1">IFERROR(__xludf.DUMMYFUNCTION("""COMPUTED_VALUE"""),0.944267344267344)</f>
        <v>0.94426734426734404</v>
      </c>
      <c r="D139" s="114">
        <f ca="1">IFERROR(__xludf.DUMMYFUNCTION("""COMPUTED_VALUE"""),0.227499999999999)</f>
        <v>0.22749999999999901</v>
      </c>
      <c r="E139" s="36"/>
      <c r="F139" s="36"/>
      <c r="G139" s="36" t="str">
        <f ca="1">IFERROR(__xludf.DUMMYFUNCTION("""COMPUTED_VALUE"""),"Пивовар Альона")</f>
        <v>Пивовар Альона</v>
      </c>
      <c r="H139" s="114">
        <f ca="1">IFERROR(__xludf.DUMMYFUNCTION("""COMPUTED_VALUE"""),0.0448418865085531)</f>
        <v>4.48418865085531E-2</v>
      </c>
      <c r="I139" s="114">
        <f ca="1">IFERROR(__xludf.DUMMYFUNCTION("""COMPUTED_VALUE"""),0.969810146931868)</f>
        <v>0.96981014693186796</v>
      </c>
      <c r="J139" s="114">
        <f ca="1">IFERROR(__xludf.DUMMYFUNCTION("""COMPUTED_VALUE"""),0.0134525659525659)</f>
        <v>1.3452565952565901E-2</v>
      </c>
      <c r="R139" s="117" t="s">
        <v>760</v>
      </c>
      <c r="S139" s="116"/>
      <c r="T139" s="116"/>
      <c r="U139" s="616">
        <v>79</v>
      </c>
      <c r="V139" s="618">
        <v>1.1204000000000001</v>
      </c>
      <c r="W139" s="619">
        <v>112</v>
      </c>
      <c r="X139" s="618">
        <v>2.3300000000000001E-2</v>
      </c>
      <c r="Y139" s="620">
        <v>98</v>
      </c>
    </row>
    <row r="140" spans="1:25" ht="12.75">
      <c r="A140" s="36" t="str">
        <f ca="1">IFERROR(__xludf.DUMMYFUNCTION("""COMPUTED_VALUE"""),"Дорофій Тетяна")</f>
        <v>Дорофій Тетяна</v>
      </c>
      <c r="B140" s="114">
        <f ca="1">IFERROR(__xludf.DUMMYFUNCTION("""COMPUTED_VALUE"""),0.0333333333333333)</f>
        <v>3.3333333333333298E-2</v>
      </c>
      <c r="C140" s="114">
        <f ca="1">IFERROR(__xludf.DUMMYFUNCTION("""COMPUTED_VALUE"""),0.862719298245614)</f>
        <v>0.862719298245614</v>
      </c>
      <c r="D140" s="114">
        <f ca="1">IFERROR(__xludf.DUMMYFUNCTION("""COMPUTED_VALUE"""),0.0233333333333333)</f>
        <v>2.33333333333333E-2</v>
      </c>
      <c r="E140" s="36"/>
      <c r="F140" s="36"/>
      <c r="G140" s="36" t="str">
        <f ca="1">IFERROR(__xludf.DUMMYFUNCTION("""COMPUTED_VALUE"""),"Пижик Віолета")</f>
        <v>Пижик Віолета</v>
      </c>
      <c r="H140" s="114">
        <f ca="1">IFERROR(__xludf.DUMMYFUNCTION("""COMPUTED_VALUE"""),0.138374125874125)</f>
        <v>0.13837412587412501</v>
      </c>
      <c r="I140" s="114">
        <f ca="1">IFERROR(__xludf.DUMMYFUNCTION("""COMPUTED_VALUE"""),0.299911972512582)</f>
        <v>0.299911972512582</v>
      </c>
      <c r="J140" s="114">
        <f ca="1">IFERROR(__xludf.DUMMYFUNCTION("""COMPUTED_VALUE"""),0.0415122377622377)</f>
        <v>4.1512237762237697E-2</v>
      </c>
      <c r="R140" s="117" t="s">
        <v>766</v>
      </c>
      <c r="S140" s="116"/>
      <c r="T140" s="116"/>
      <c r="U140" s="616">
        <v>84</v>
      </c>
      <c r="V140" s="618">
        <v>0.64219999999999999</v>
      </c>
      <c r="W140" s="619">
        <v>64</v>
      </c>
      <c r="X140" s="618">
        <v>1.2500000000000001E-2</v>
      </c>
      <c r="Y140" s="620">
        <v>99</v>
      </c>
    </row>
    <row r="141" spans="1:25" ht="12.75">
      <c r="A141" s="36" t="str">
        <f ca="1">IFERROR(__xludf.DUMMYFUNCTION("""COMPUTED_VALUE"""),"Дубограй Анна-Марія")</f>
        <v>Дубограй Анна-Марія</v>
      </c>
      <c r="B141" s="114">
        <f ca="1">IFERROR(__xludf.DUMMYFUNCTION("""COMPUTED_VALUE"""),0)</f>
        <v>0</v>
      </c>
      <c r="C141" s="114">
        <f ca="1">IFERROR(__xludf.DUMMYFUNCTION("""COMPUTED_VALUE"""),0.96875)</f>
        <v>0.96875</v>
      </c>
      <c r="D141" s="114">
        <f ca="1">IFERROR(__xludf.DUMMYFUNCTION("""COMPUTED_VALUE"""),0)</f>
        <v>0</v>
      </c>
      <c r="E141" s="36"/>
      <c r="F141" s="36"/>
      <c r="G141" s="36" t="str">
        <f ca="1">IFERROR(__xludf.DUMMYFUNCTION("""COMPUTED_VALUE"""),"Пономарчук Анастасія")</f>
        <v>Пономарчук Анастасія</v>
      </c>
      <c r="H141" s="114">
        <f ca="1">IFERROR(__xludf.DUMMYFUNCTION("""COMPUTED_VALUE"""),0)</f>
        <v>0</v>
      </c>
      <c r="I141" s="114">
        <f ca="1">IFERROR(__xludf.DUMMYFUNCTION("""COMPUTED_VALUE"""),0.7)</f>
        <v>0.7</v>
      </c>
      <c r="J141" s="114">
        <f ca="1">IFERROR(__xludf.DUMMYFUNCTION("""COMPUTED_VALUE"""),0)</f>
        <v>0</v>
      </c>
      <c r="R141" s="117" t="s">
        <v>769</v>
      </c>
      <c r="S141" s="116"/>
      <c r="T141" s="116"/>
      <c r="U141" s="616">
        <v>88</v>
      </c>
      <c r="V141" s="618">
        <v>0.78820000000000001</v>
      </c>
      <c r="W141" s="619">
        <v>79</v>
      </c>
      <c r="X141" s="618">
        <v>0</v>
      </c>
      <c r="Y141" s="620">
        <v>100</v>
      </c>
    </row>
    <row r="142" spans="1:25" ht="12.75">
      <c r="A142" s="36" t="str">
        <f ca="1">IFERROR(__xludf.DUMMYFUNCTION("""COMPUTED_VALUE"""),"Дьогтяр Артур")</f>
        <v>Дьогтяр Артур</v>
      </c>
      <c r="B142" s="114">
        <f ca="1">IFERROR(__xludf.DUMMYFUNCTION("""COMPUTED_VALUE"""),0.1)</f>
        <v>0.1</v>
      </c>
      <c r="C142" s="114">
        <f ca="1">IFERROR(__xludf.DUMMYFUNCTION("""COMPUTED_VALUE"""),0.36734693877551)</f>
        <v>0.36734693877551</v>
      </c>
      <c r="D142" s="114">
        <f ca="1">IFERROR(__xludf.DUMMYFUNCTION("""COMPUTED_VALUE"""),0.0699999999999999)</f>
        <v>6.9999999999999896E-2</v>
      </c>
      <c r="E142" s="36"/>
      <c r="F142" s="36"/>
      <c r="G142" s="36" t="str">
        <f ca="1">IFERROR(__xludf.DUMMYFUNCTION("""COMPUTED_VALUE"""),"Пустова Юлія")</f>
        <v>Пустова Юлія</v>
      </c>
      <c r="H142" s="114">
        <f ca="1">IFERROR(__xludf.DUMMYFUNCTION("""COMPUTED_VALUE"""),0.0277777777777777)</f>
        <v>2.77777777777777E-2</v>
      </c>
      <c r="I142" s="114">
        <f ca="1">IFERROR(__xludf.DUMMYFUNCTION("""COMPUTED_VALUE"""),0.699929078014184)</f>
        <v>0.69992907801418403</v>
      </c>
      <c r="J142" s="114">
        <f ca="1">IFERROR(__xludf.DUMMYFUNCTION("""COMPUTED_VALUE"""),0.00833333333333333)</f>
        <v>8.3333333333333297E-3</v>
      </c>
      <c r="R142" s="117" t="s">
        <v>772</v>
      </c>
      <c r="S142" s="116"/>
      <c r="T142" s="116"/>
      <c r="U142" s="616">
        <v>100</v>
      </c>
      <c r="V142" s="618">
        <v>0.83450000000000002</v>
      </c>
      <c r="W142" s="619">
        <v>83</v>
      </c>
      <c r="X142" s="618">
        <v>9.1999999999999998E-2</v>
      </c>
      <c r="Y142" s="620">
        <v>91</v>
      </c>
    </row>
    <row r="143" spans="1:25" ht="12.75">
      <c r="A143" s="36" t="str">
        <f ca="1">IFERROR(__xludf.DUMMYFUNCTION("""COMPUTED_VALUE"""),"Дьогтяр Руслан")</f>
        <v>Дьогтяр Руслан</v>
      </c>
      <c r="B143" s="114">
        <f ca="1">IFERROR(__xludf.DUMMYFUNCTION("""COMPUTED_VALUE"""),0.0595238095238095)</f>
        <v>5.95238095238095E-2</v>
      </c>
      <c r="C143" s="114">
        <f ca="1">IFERROR(__xludf.DUMMYFUNCTION("""COMPUTED_VALUE"""),1.02630385487528)</f>
        <v>1.0263038548752801</v>
      </c>
      <c r="D143" s="114">
        <f ca="1">IFERROR(__xludf.DUMMYFUNCTION("""COMPUTED_VALUE"""),0.0416666666666666)</f>
        <v>4.1666666666666602E-2</v>
      </c>
      <c r="E143" s="36"/>
      <c r="F143" s="36"/>
      <c r="G143" s="36" t="str">
        <f ca="1">IFERROR(__xludf.DUMMYFUNCTION("""COMPUTED_VALUE"""),"Радзивилюк Наталія")</f>
        <v>Радзивилюк Наталія</v>
      </c>
      <c r="H143" s="114">
        <f ca="1">IFERROR(__xludf.DUMMYFUNCTION("""COMPUTED_VALUE"""),0.0555555555555555)</f>
        <v>5.5555555555555497E-2</v>
      </c>
      <c r="I143" s="114">
        <f ca="1">IFERROR(__xludf.DUMMYFUNCTION("""COMPUTED_VALUE"""),0.638571428571428)</f>
        <v>0.63857142857142801</v>
      </c>
      <c r="J143" s="114">
        <f ca="1">IFERROR(__xludf.DUMMYFUNCTION("""COMPUTED_VALUE"""),0.0166666666666666)</f>
        <v>1.6666666666666601E-2</v>
      </c>
      <c r="R143" s="117" t="s">
        <v>778</v>
      </c>
      <c r="S143" s="116"/>
      <c r="T143" s="116"/>
      <c r="U143" s="616">
        <v>89</v>
      </c>
      <c r="V143" s="618">
        <v>0.77149999999999996</v>
      </c>
      <c r="W143" s="619">
        <v>77</v>
      </c>
      <c r="X143" s="618">
        <v>4.5699999999999998E-2</v>
      </c>
      <c r="Y143" s="620">
        <v>95</v>
      </c>
    </row>
    <row r="144" spans="1:25" ht="12.75">
      <c r="A144" s="36" t="str">
        <f ca="1">IFERROR(__xludf.DUMMYFUNCTION("""COMPUTED_VALUE"""),"Євстігнєєва Єлизавета")</f>
        <v>Євстігнєєва Єлизавета</v>
      </c>
      <c r="B144" s="114">
        <f ca="1">IFERROR(__xludf.DUMMYFUNCTION("""COMPUTED_VALUE"""),-0.111111111111111)</f>
        <v>-0.11111111111111099</v>
      </c>
      <c r="C144" s="114">
        <f ca="1">IFERROR(__xludf.DUMMYFUNCTION("""COMPUTED_VALUE"""),0.513888888888888)</f>
        <v>0.51388888888888795</v>
      </c>
      <c r="D144" s="114">
        <f ca="1">IFERROR(__xludf.DUMMYFUNCTION("""COMPUTED_VALUE"""),-0.0777777777777777)</f>
        <v>-7.7777777777777696E-2</v>
      </c>
      <c r="E144" s="36"/>
      <c r="F144" s="36"/>
      <c r="G144" s="36" t="str">
        <f ca="1">IFERROR(__xludf.DUMMYFUNCTION("""COMPUTED_VALUE"""),"Резніченко Лілія")</f>
        <v>Резніченко Лілія</v>
      </c>
      <c r="H144" s="114">
        <f ca="1">IFERROR(__xludf.DUMMYFUNCTION("""COMPUTED_VALUE"""),0.0611111111111111)</f>
        <v>6.1111111111111102E-2</v>
      </c>
      <c r="I144" s="114">
        <f ca="1">IFERROR(__xludf.DUMMYFUNCTION("""COMPUTED_VALUE"""),0.556698717948718)</f>
        <v>0.55669871794871795</v>
      </c>
      <c r="J144" s="114">
        <f ca="1">IFERROR(__xludf.DUMMYFUNCTION("""COMPUTED_VALUE"""),0.0183333333333333)</f>
        <v>1.8333333333333299E-2</v>
      </c>
      <c r="R144" s="117" t="s">
        <v>784</v>
      </c>
      <c r="S144" s="116"/>
      <c r="T144" s="116"/>
      <c r="U144" s="616">
        <v>100</v>
      </c>
      <c r="V144" s="618">
        <v>0.77910000000000001</v>
      </c>
      <c r="W144" s="619">
        <v>78</v>
      </c>
      <c r="X144" s="618">
        <v>6.0100000000000001E-2</v>
      </c>
      <c r="Y144" s="620">
        <v>94</v>
      </c>
    </row>
    <row r="145" spans="1:25" ht="12.75">
      <c r="A145" s="36" t="str">
        <f ca="1">IFERROR(__xludf.DUMMYFUNCTION("""COMPUTED_VALUE"""),"Євсюкова Олександра")</f>
        <v>Євсюкова Олександра</v>
      </c>
      <c r="B145" s="114">
        <f ca="1">IFERROR(__xludf.DUMMYFUNCTION("""COMPUTED_VALUE"""),0)</f>
        <v>0</v>
      </c>
      <c r="C145" s="114">
        <f ca="1">IFERROR(__xludf.DUMMYFUNCTION("""COMPUTED_VALUE"""),0.777380952380952)</f>
        <v>0.77738095238095195</v>
      </c>
      <c r="D145" s="114">
        <f ca="1">IFERROR(__xludf.DUMMYFUNCTION("""COMPUTED_VALUE"""),0)</f>
        <v>0</v>
      </c>
      <c r="E145" s="36"/>
      <c r="F145" s="36"/>
      <c r="G145" s="36" t="str">
        <f ca="1">IFERROR(__xludf.DUMMYFUNCTION("""COMPUTED_VALUE"""),"Рижа Олена")</f>
        <v>Рижа Олена</v>
      </c>
      <c r="H145" s="114">
        <f ca="1">IFERROR(__xludf.DUMMYFUNCTION("""COMPUTED_VALUE"""),0.0307098765432098)</f>
        <v>3.0709876543209801E-2</v>
      </c>
      <c r="I145" s="114">
        <f ca="1">IFERROR(__xludf.DUMMYFUNCTION("""COMPUTED_VALUE"""),0.898378125142831)</f>
        <v>0.898378125142831</v>
      </c>
      <c r="J145" s="114">
        <f ca="1">IFERROR(__xludf.DUMMYFUNCTION("""COMPUTED_VALUE"""),0.00921296296296296)</f>
        <v>9.2129629629629593E-3</v>
      </c>
      <c r="R145" s="117" t="s">
        <v>787</v>
      </c>
      <c r="S145" s="116"/>
      <c r="T145" s="116"/>
      <c r="U145" s="616">
        <v>94</v>
      </c>
      <c r="V145" s="618">
        <v>1.0138</v>
      </c>
      <c r="W145" s="619">
        <v>101</v>
      </c>
      <c r="X145" s="618">
        <v>1.0999999999999999E-2</v>
      </c>
      <c r="Y145" s="620">
        <v>99</v>
      </c>
    </row>
    <row r="146" spans="1:25" ht="12.75">
      <c r="A146" s="36" t="str">
        <f ca="1">IFERROR(__xludf.DUMMYFUNCTION("""COMPUTED_VALUE"""),"Єрохін Єгор")</f>
        <v>Єрохін Єгор</v>
      </c>
      <c r="B146" s="114">
        <f ca="1">IFERROR(__xludf.DUMMYFUNCTION("""COMPUTED_VALUE"""),0.0627913752913753)</f>
        <v>6.2791375291375295E-2</v>
      </c>
      <c r="C146" s="114">
        <f ca="1">IFERROR(__xludf.DUMMYFUNCTION("""COMPUTED_VALUE"""),0.436814257866889)</f>
        <v>0.43681425786688899</v>
      </c>
      <c r="D146" s="114">
        <f ca="1">IFERROR(__xludf.DUMMYFUNCTION("""COMPUTED_VALUE"""),0.0439539627039627)</f>
        <v>4.39539627039627E-2</v>
      </c>
      <c r="E146" s="36"/>
      <c r="F146" s="36"/>
      <c r="G146" s="36" t="str">
        <f ca="1">IFERROR(__xludf.DUMMYFUNCTION("""COMPUTED_VALUE"""),"Рожко Олена")</f>
        <v>Рожко Олена</v>
      </c>
      <c r="H146" s="114">
        <f ca="1">IFERROR(__xludf.DUMMYFUNCTION("""COMPUTED_VALUE"""),0)</f>
        <v>0</v>
      </c>
      <c r="I146" s="114">
        <f ca="1">IFERROR(__xludf.DUMMYFUNCTION("""COMPUTED_VALUE"""),0.256410256410256)</f>
        <v>0.256410256410256</v>
      </c>
      <c r="J146" s="114">
        <f ca="1">IFERROR(__xludf.DUMMYFUNCTION("""COMPUTED_VALUE"""),0)</f>
        <v>0</v>
      </c>
      <c r="R146" s="117" t="s">
        <v>794</v>
      </c>
      <c r="S146" s="116"/>
      <c r="T146" s="116"/>
      <c r="U146" s="616">
        <v>68</v>
      </c>
      <c r="V146" s="618">
        <v>1.0697000000000001</v>
      </c>
      <c r="W146" s="619">
        <v>107</v>
      </c>
      <c r="X146" s="618">
        <v>-0.01</v>
      </c>
      <c r="Y146" s="620">
        <v>101</v>
      </c>
    </row>
    <row r="147" spans="1:25" ht="12.75">
      <c r="A147" s="36" t="str">
        <f ca="1">IFERROR(__xludf.DUMMYFUNCTION("""COMPUTED_VALUE"""),"Єрошкіна Оксана")</f>
        <v>Єрошкіна Оксана</v>
      </c>
      <c r="B147" s="114">
        <f ca="1">IFERROR(__xludf.DUMMYFUNCTION("""COMPUTED_VALUE"""),0.143518518518518)</f>
        <v>0.14351851851851799</v>
      </c>
      <c r="C147" s="114">
        <f ca="1">IFERROR(__xludf.DUMMYFUNCTION("""COMPUTED_VALUE"""),1.10956349206349)</f>
        <v>1.10956349206349</v>
      </c>
      <c r="D147" s="114">
        <f ca="1">IFERROR(__xludf.DUMMYFUNCTION("""COMPUTED_VALUE"""),0.100462962962962)</f>
        <v>0.100462962962962</v>
      </c>
      <c r="E147" s="36"/>
      <c r="F147" s="36"/>
      <c r="G147" s="36" t="str">
        <f ca="1">IFERROR(__xludf.DUMMYFUNCTION("""COMPUTED_VALUE"""),"Ромащук Анастасія")</f>
        <v>Ромащук Анастасія</v>
      </c>
      <c r="H147" s="114">
        <f ca="1">IFERROR(__xludf.DUMMYFUNCTION("""COMPUTED_VALUE"""),0)</f>
        <v>0</v>
      </c>
      <c r="I147" s="114">
        <f ca="1">IFERROR(__xludf.DUMMYFUNCTION("""COMPUTED_VALUE"""),0.7)</f>
        <v>0.7</v>
      </c>
      <c r="J147" s="114">
        <f ca="1">IFERROR(__xludf.DUMMYFUNCTION("""COMPUTED_VALUE"""),0)</f>
        <v>0</v>
      </c>
      <c r="R147" s="117" t="s">
        <v>797</v>
      </c>
      <c r="S147" s="116"/>
      <c r="T147" s="116"/>
      <c r="U147" s="616">
        <v>90</v>
      </c>
      <c r="V147" s="618">
        <v>0.62080000000000002</v>
      </c>
      <c r="W147" s="619">
        <v>62</v>
      </c>
      <c r="X147" s="618">
        <v>-0.01</v>
      </c>
      <c r="Y147" s="620">
        <v>101</v>
      </c>
    </row>
    <row r="148" spans="1:25" ht="12.75">
      <c r="A148" s="36" t="str">
        <f ca="1">IFERROR(__xludf.DUMMYFUNCTION("""COMPUTED_VALUE"""),"Єськов Михайло")</f>
        <v>Єськов Михайло</v>
      </c>
      <c r="B148" s="114">
        <f ca="1">IFERROR(__xludf.DUMMYFUNCTION("""COMPUTED_VALUE"""),0)</f>
        <v>0</v>
      </c>
      <c r="C148" s="114">
        <f ca="1">IFERROR(__xludf.DUMMYFUNCTION("""COMPUTED_VALUE"""),1.25)</f>
        <v>1.25</v>
      </c>
      <c r="D148" s="114">
        <f ca="1">IFERROR(__xludf.DUMMYFUNCTION("""COMPUTED_VALUE"""),0)</f>
        <v>0</v>
      </c>
      <c r="E148" s="36"/>
      <c r="F148" s="36"/>
      <c r="G148" s="36" t="str">
        <f ca="1">IFERROR(__xludf.DUMMYFUNCTION("""COMPUTED_VALUE"""),"Руденко Юлія")</f>
        <v>Руденко Юлія</v>
      </c>
      <c r="H148" s="114">
        <f ca="1">IFERROR(__xludf.DUMMYFUNCTION("""COMPUTED_VALUE"""),0.040079365079365)</f>
        <v>4.0079365079364999E-2</v>
      </c>
      <c r="I148" s="114">
        <f ca="1">IFERROR(__xludf.DUMMYFUNCTION("""COMPUTED_VALUE"""),0.926777210884353)</f>
        <v>0.92677721088435305</v>
      </c>
      <c r="J148" s="114">
        <f ca="1">IFERROR(__xludf.DUMMYFUNCTION("""COMPUTED_VALUE"""),0.0120238095238095)</f>
        <v>1.2023809523809499E-2</v>
      </c>
      <c r="R148" s="117" t="s">
        <v>471</v>
      </c>
      <c r="S148" s="116"/>
      <c r="T148" s="116"/>
      <c r="U148" s="616">
        <v>100</v>
      </c>
      <c r="V148" s="618">
        <v>0.72840000000000005</v>
      </c>
      <c r="W148" s="619">
        <v>73</v>
      </c>
      <c r="X148" s="618">
        <v>1.09E-2</v>
      </c>
      <c r="Y148" s="620">
        <v>99</v>
      </c>
    </row>
    <row r="149" spans="1:25" ht="12.75">
      <c r="A149" s="36" t="str">
        <f ca="1">IFERROR(__xludf.DUMMYFUNCTION("""COMPUTED_VALUE"""),"Жабко Олександр")</f>
        <v>Жабко Олександр</v>
      </c>
      <c r="B149" s="114">
        <f ca="1">IFERROR(__xludf.DUMMYFUNCTION("""COMPUTED_VALUE"""),0)</f>
        <v>0</v>
      </c>
      <c r="C149" s="114">
        <f ca="1">IFERROR(__xludf.DUMMYFUNCTION("""COMPUTED_VALUE"""),0.95)</f>
        <v>0.95</v>
      </c>
      <c r="D149" s="114">
        <f ca="1">IFERROR(__xludf.DUMMYFUNCTION("""COMPUTED_VALUE"""),0)</f>
        <v>0</v>
      </c>
      <c r="E149" s="36"/>
      <c r="F149" s="36"/>
      <c r="G149" s="36" t="str">
        <f ca="1">IFERROR(__xludf.DUMMYFUNCTION("""COMPUTED_VALUE"""),"Рурак Катерина")</f>
        <v>Рурак Катерина</v>
      </c>
      <c r="H149" s="114">
        <f ca="1">IFERROR(__xludf.DUMMYFUNCTION("""COMPUTED_VALUE"""),0.125148809523809)</f>
        <v>0.125148809523809</v>
      </c>
      <c r="I149" s="114">
        <f ca="1">IFERROR(__xludf.DUMMYFUNCTION("""COMPUTED_VALUE"""),0.941883427874807)</f>
        <v>0.94188342787480706</v>
      </c>
      <c r="J149" s="114">
        <f ca="1">IFERROR(__xludf.DUMMYFUNCTION("""COMPUTED_VALUE"""),0.0375446428571428)</f>
        <v>3.7544642857142797E-2</v>
      </c>
      <c r="R149" s="117" t="s">
        <v>802</v>
      </c>
      <c r="S149" s="116"/>
      <c r="T149" s="116"/>
      <c r="U149" s="616">
        <v>89</v>
      </c>
      <c r="V149" s="618">
        <v>0.25</v>
      </c>
      <c r="W149" s="619">
        <v>25</v>
      </c>
      <c r="X149" s="618">
        <v>0</v>
      </c>
      <c r="Y149" s="620">
        <v>100</v>
      </c>
    </row>
    <row r="150" spans="1:25" ht="12.75">
      <c r="A150" s="36" t="str">
        <f ca="1">IFERROR(__xludf.DUMMYFUNCTION("""COMPUTED_VALUE"""),"Животова Аглая")</f>
        <v>Животова Аглая</v>
      </c>
      <c r="B150" s="114">
        <f ca="1">IFERROR(__xludf.DUMMYFUNCTION("""COMPUTED_VALUE"""),0.0769230769230769)</f>
        <v>7.69230769230769E-2</v>
      </c>
      <c r="C150" s="114">
        <f ca="1">IFERROR(__xludf.DUMMYFUNCTION("""COMPUTED_VALUE"""),0.730072463768116)</f>
        <v>0.73007246376811596</v>
      </c>
      <c r="D150" s="114">
        <f ca="1">IFERROR(__xludf.DUMMYFUNCTION("""COMPUTED_VALUE"""),0.0538461538461538)</f>
        <v>5.3846153846153801E-2</v>
      </c>
      <c r="E150" s="36"/>
      <c r="F150" s="36"/>
      <c r="G150" s="36" t="str">
        <f ca="1">IFERROR(__xludf.DUMMYFUNCTION("""COMPUTED_VALUE"""),"Ряшко Дарина")</f>
        <v>Ряшко Дарина</v>
      </c>
      <c r="H150" s="114">
        <f ca="1">IFERROR(__xludf.DUMMYFUNCTION("""COMPUTED_VALUE"""),0)</f>
        <v>0</v>
      </c>
      <c r="I150" s="114">
        <f ca="1">IFERROR(__xludf.DUMMYFUNCTION("""COMPUTED_VALUE"""),0.376736111111111)</f>
        <v>0.37673611111111099</v>
      </c>
      <c r="J150" s="114">
        <f ca="1">IFERROR(__xludf.DUMMYFUNCTION("""COMPUTED_VALUE"""),0)</f>
        <v>0</v>
      </c>
      <c r="R150" s="117" t="s">
        <v>805</v>
      </c>
      <c r="S150" s="116"/>
      <c r="T150" s="116"/>
      <c r="U150" s="616">
        <v>91</v>
      </c>
      <c r="V150" s="618">
        <v>0.77910000000000001</v>
      </c>
      <c r="W150" s="619">
        <v>78</v>
      </c>
      <c r="X150" s="618">
        <v>0</v>
      </c>
      <c r="Y150" s="620">
        <v>100</v>
      </c>
    </row>
    <row r="151" spans="1:25" ht="12.75">
      <c r="A151" s="36" t="str">
        <f ca="1">IFERROR(__xludf.DUMMYFUNCTION("""COMPUTED_VALUE"""),"Жук Анна")</f>
        <v>Жук Анна</v>
      </c>
      <c r="B151" s="114">
        <f ca="1">IFERROR(__xludf.DUMMYFUNCTION("""COMPUTED_VALUE"""),0.1)</f>
        <v>0.1</v>
      </c>
      <c r="C151" s="114">
        <f ca="1">IFERROR(__xludf.DUMMYFUNCTION("""COMPUTED_VALUE"""),0.630681818181818)</f>
        <v>0.63068181818181801</v>
      </c>
      <c r="D151" s="114">
        <f ca="1">IFERROR(__xludf.DUMMYFUNCTION("""COMPUTED_VALUE"""),0.0699999999999999)</f>
        <v>6.9999999999999896E-2</v>
      </c>
      <c r="E151" s="36"/>
      <c r="F151" s="36"/>
      <c r="G151" s="36" t="str">
        <f ca="1">IFERROR(__xludf.DUMMYFUNCTION("""COMPUTED_VALUE"""),"Савченко Дар'я")</f>
        <v>Савченко Дар'я</v>
      </c>
      <c r="H151" s="114">
        <f ca="1">IFERROR(__xludf.DUMMYFUNCTION("""COMPUTED_VALUE"""),0.0666666666666666)</f>
        <v>6.6666666666666596E-2</v>
      </c>
      <c r="I151" s="114">
        <f ca="1">IFERROR(__xludf.DUMMYFUNCTION("""COMPUTED_VALUE"""),0.757894736842105)</f>
        <v>0.75789473684210495</v>
      </c>
      <c r="J151" s="114">
        <f ca="1">IFERROR(__xludf.DUMMYFUNCTION("""COMPUTED_VALUE"""),0.02)</f>
        <v>0.02</v>
      </c>
      <c r="R151" s="117" t="s">
        <v>811</v>
      </c>
      <c r="S151" s="116"/>
      <c r="T151" s="116"/>
      <c r="U151" s="616">
        <v>93</v>
      </c>
      <c r="V151" s="618">
        <v>0.93369999999999997</v>
      </c>
      <c r="W151" s="619">
        <v>93</v>
      </c>
      <c r="X151" s="618">
        <v>1.9300000000000001E-2</v>
      </c>
      <c r="Y151" s="620">
        <v>98</v>
      </c>
    </row>
    <row r="152" spans="1:25" ht="12.75">
      <c r="A152" s="36" t="str">
        <f ca="1">IFERROR(__xludf.DUMMYFUNCTION("""COMPUTED_VALUE"""),"Жук Дмитро")</f>
        <v>Жук Дмитро</v>
      </c>
      <c r="B152" s="114">
        <f ca="1">IFERROR(__xludf.DUMMYFUNCTION("""COMPUTED_VALUE"""),0)</f>
        <v>0</v>
      </c>
      <c r="C152" s="114">
        <f ca="1">IFERROR(__xludf.DUMMYFUNCTION("""COMPUTED_VALUE"""),1.34666666666666)</f>
        <v>1.34666666666666</v>
      </c>
      <c r="D152" s="114">
        <f ca="1">IFERROR(__xludf.DUMMYFUNCTION("""COMPUTED_VALUE"""),0)</f>
        <v>0</v>
      </c>
      <c r="E152" s="36"/>
      <c r="F152" s="36"/>
      <c r="G152" s="114" t="str">
        <f ca="1">IFERROR(__xludf.DUMMYFUNCTION("""COMPUTED_VALUE"""),"Савчин Анастасія")</f>
        <v>Савчин Анастасія</v>
      </c>
      <c r="H152" s="114">
        <f ca="1">IFERROR(__xludf.DUMMYFUNCTION("""COMPUTED_VALUE"""),0.00952380952380952)</f>
        <v>9.5238095238095195E-3</v>
      </c>
      <c r="I152" s="114">
        <f ca="1">IFERROR(__xludf.DUMMYFUNCTION("""COMPUTED_VALUE"""),0.933988469601677)</f>
        <v>0.93398846960167703</v>
      </c>
      <c r="J152" s="114">
        <f ca="1">IFERROR(__xludf.DUMMYFUNCTION("""COMPUTED_VALUE"""),0.00285714285714285)</f>
        <v>2.8571428571428502E-3</v>
      </c>
      <c r="R152" s="117" t="s">
        <v>815</v>
      </c>
      <c r="S152" s="116"/>
      <c r="T152" s="116"/>
      <c r="U152" s="616">
        <v>97</v>
      </c>
      <c r="V152" s="618">
        <v>0.61819999999999997</v>
      </c>
      <c r="W152" s="619">
        <v>62</v>
      </c>
      <c r="X152" s="618">
        <v>0</v>
      </c>
      <c r="Y152" s="620">
        <v>100</v>
      </c>
    </row>
    <row r="153" spans="1:25" ht="12.75">
      <c r="A153" s="36" t="str">
        <f ca="1">IFERROR(__xludf.DUMMYFUNCTION("""COMPUTED_VALUE"""),"Жуковін Олександр")</f>
        <v>Жуковін Олександр</v>
      </c>
      <c r="B153" s="114">
        <f ca="1">IFERROR(__xludf.DUMMYFUNCTION("""COMPUTED_VALUE"""),0.5)</f>
        <v>0.5</v>
      </c>
      <c r="C153" s="114" t="str">
        <f ca="1">IFERROR(__xludf.DUMMYFUNCTION("""COMPUTED_VALUE"""),"#DIV/0!")</f>
        <v>#DIV/0!</v>
      </c>
      <c r="D153" s="114">
        <f ca="1">IFERROR(__xludf.DUMMYFUNCTION("""COMPUTED_VALUE"""),0.35)</f>
        <v>0.35</v>
      </c>
      <c r="E153" s="36"/>
      <c r="F153" s="36"/>
      <c r="G153" s="36" t="str">
        <f ca="1">IFERROR(__xludf.DUMMYFUNCTION("""COMPUTED_VALUE"""),"Садова Юлія")</f>
        <v>Садова Юлія</v>
      </c>
      <c r="H153" s="114">
        <f ca="1">IFERROR(__xludf.DUMMYFUNCTION("""COMPUTED_VALUE"""),0.0166666666666666)</f>
        <v>1.6666666666666601E-2</v>
      </c>
      <c r="I153" s="114">
        <f ca="1">IFERROR(__xludf.DUMMYFUNCTION("""COMPUTED_VALUE"""),0.609890109890109)</f>
        <v>0.60989010989010894</v>
      </c>
      <c r="J153" s="114">
        <f ca="1">IFERROR(__xludf.DUMMYFUNCTION("""COMPUTED_VALUE"""),0.005)</f>
        <v>5.0000000000000001E-3</v>
      </c>
      <c r="R153" s="117" t="s">
        <v>818</v>
      </c>
      <c r="S153" s="116"/>
      <c r="T153" s="116"/>
      <c r="U153" s="616">
        <v>97</v>
      </c>
      <c r="V153" s="618">
        <v>0.7329</v>
      </c>
      <c r="W153" s="619">
        <v>73</v>
      </c>
      <c r="X153" s="618">
        <v>0.08</v>
      </c>
      <c r="Y153" s="620">
        <v>92</v>
      </c>
    </row>
    <row r="154" spans="1:25" ht="12.75">
      <c r="A154" s="36" t="str">
        <f ca="1">IFERROR(__xludf.DUMMYFUNCTION("""COMPUTED_VALUE"""),"Загородній Андрій")</f>
        <v>Загородній Андрій</v>
      </c>
      <c r="B154" s="114">
        <f ca="1">IFERROR(__xludf.DUMMYFUNCTION("""COMPUTED_VALUE"""),0.0714285714285714)</f>
        <v>7.1428571428571397E-2</v>
      </c>
      <c r="C154" s="114">
        <f ca="1">IFERROR(__xludf.DUMMYFUNCTION("""COMPUTED_VALUE"""),1.00384615384615)</f>
        <v>1.0038461538461501</v>
      </c>
      <c r="D154" s="114">
        <f ca="1">IFERROR(__xludf.DUMMYFUNCTION("""COMPUTED_VALUE"""),0.0499999999999999)</f>
        <v>4.9999999999999899E-2</v>
      </c>
      <c r="E154" s="36"/>
      <c r="F154" s="36"/>
      <c r="G154" s="36" t="str">
        <f ca="1">IFERROR(__xludf.DUMMYFUNCTION("""COMPUTED_VALUE"""),"Сапун Олена")</f>
        <v>Сапун Олена</v>
      </c>
      <c r="H154" s="114">
        <f ca="1">IFERROR(__xludf.DUMMYFUNCTION("""COMPUTED_VALUE"""),0.0826719576719576)</f>
        <v>8.2671957671957605E-2</v>
      </c>
      <c r="I154" s="114">
        <f ca="1">IFERROR(__xludf.DUMMYFUNCTION("""COMPUTED_VALUE"""),0.677096273291925)</f>
        <v>0.67709627329192501</v>
      </c>
      <c r="J154" s="114">
        <f ca="1">IFERROR(__xludf.DUMMYFUNCTION("""COMPUTED_VALUE"""),0.0248015873015873)</f>
        <v>2.48015873015873E-2</v>
      </c>
      <c r="R154" s="117" t="s">
        <v>821</v>
      </c>
      <c r="S154" s="116"/>
      <c r="T154" s="116"/>
      <c r="U154" s="616">
        <v>94</v>
      </c>
      <c r="V154" s="618">
        <v>0.97640000000000005</v>
      </c>
      <c r="W154" s="619">
        <v>98</v>
      </c>
      <c r="X154" s="618">
        <v>0.1341</v>
      </c>
      <c r="Y154" s="620">
        <v>87</v>
      </c>
    </row>
    <row r="155" spans="1:25" ht="12.75">
      <c r="A155" s="36" t="str">
        <f ca="1">IFERROR(__xludf.DUMMYFUNCTION("""COMPUTED_VALUE"""),"Загоруйко Ксенія")</f>
        <v>Загоруйко Ксенія</v>
      </c>
      <c r="B155" s="114">
        <f ca="1">IFERROR(__xludf.DUMMYFUNCTION("""COMPUTED_VALUE"""),0.0416666666666666)</f>
        <v>4.1666666666666602E-2</v>
      </c>
      <c r="C155" s="114">
        <f ca="1">IFERROR(__xludf.DUMMYFUNCTION("""COMPUTED_VALUE"""),0.581944444444444)</f>
        <v>0.58194444444444404</v>
      </c>
      <c r="D155" s="114">
        <f ca="1">IFERROR(__xludf.DUMMYFUNCTION("""COMPUTED_VALUE"""),0.0291666666666666)</f>
        <v>2.9166666666666601E-2</v>
      </c>
      <c r="E155" s="36"/>
      <c r="F155" s="36"/>
      <c r="G155" s="36" t="str">
        <f ca="1">IFERROR(__xludf.DUMMYFUNCTION("""COMPUTED_VALUE"""),"Сафонова Тетяна")</f>
        <v>Сафонова Тетяна</v>
      </c>
      <c r="H155" s="114">
        <f ca="1">IFERROR(__xludf.DUMMYFUNCTION("""COMPUTED_VALUE"""),0.0939467278752993)</f>
        <v>9.3946727875299299E-2</v>
      </c>
      <c r="I155" s="114">
        <f ca="1">IFERROR(__xludf.DUMMYFUNCTION("""COMPUTED_VALUE"""),0.936312064038876)</f>
        <v>0.93631206403887601</v>
      </c>
      <c r="J155" s="114">
        <f ca="1">IFERROR(__xludf.DUMMYFUNCTION("""COMPUTED_VALUE"""),0.0281840183625897)</f>
        <v>2.81840183625897E-2</v>
      </c>
      <c r="R155" s="117" t="s">
        <v>825</v>
      </c>
      <c r="S155" s="116"/>
      <c r="T155" s="116"/>
      <c r="U155" s="616">
        <v>92</v>
      </c>
      <c r="V155" s="618">
        <v>0.45029999999999998</v>
      </c>
      <c r="W155" s="619">
        <v>45</v>
      </c>
      <c r="X155" s="618">
        <v>0.105</v>
      </c>
      <c r="Y155" s="620">
        <v>90</v>
      </c>
    </row>
    <row r="156" spans="1:25" ht="12.75">
      <c r="A156" s="36" t="str">
        <f ca="1">IFERROR(__xludf.DUMMYFUNCTION("""COMPUTED_VALUE"""),"Заїка Олександра")</f>
        <v>Заїка Олександра</v>
      </c>
      <c r="B156" s="114">
        <f ca="1">IFERROR(__xludf.DUMMYFUNCTION("""COMPUTED_VALUE"""),0)</f>
        <v>0</v>
      </c>
      <c r="C156" s="114">
        <f ca="1">IFERROR(__xludf.DUMMYFUNCTION("""COMPUTED_VALUE"""),0.275)</f>
        <v>0.27500000000000002</v>
      </c>
      <c r="D156" s="114">
        <f ca="1">IFERROR(__xludf.DUMMYFUNCTION("""COMPUTED_VALUE"""),0)</f>
        <v>0</v>
      </c>
      <c r="E156" s="36"/>
      <c r="F156" s="36"/>
      <c r="G156" s="36" t="str">
        <f ca="1">IFERROR(__xludf.DUMMYFUNCTION("""COMPUTED_VALUE"""),"Серафімов Ілля")</f>
        <v>Серафімов Ілля</v>
      </c>
      <c r="H156" s="114">
        <f ca="1">IFERROR(__xludf.DUMMYFUNCTION("""COMPUTED_VALUE"""),-0.153846153846153)</f>
        <v>-0.15384615384615299</v>
      </c>
      <c r="I156" s="114">
        <f ca="1">IFERROR(__xludf.DUMMYFUNCTION("""COMPUTED_VALUE"""),0.25531914893617)</f>
        <v>0.25531914893617003</v>
      </c>
      <c r="J156" s="114">
        <f ca="1">IFERROR(__xludf.DUMMYFUNCTION("""COMPUTED_VALUE"""),-0.0461538461538461)</f>
        <v>-4.6153846153846101E-2</v>
      </c>
      <c r="R156" s="117" t="s">
        <v>828</v>
      </c>
      <c r="S156" s="116"/>
      <c r="T156" s="116"/>
      <c r="U156" s="616">
        <v>83</v>
      </c>
      <c r="V156" s="618">
        <v>0.61009999999999998</v>
      </c>
      <c r="W156" s="619">
        <v>61</v>
      </c>
      <c r="X156" s="618">
        <v>3.8899999999999997E-2</v>
      </c>
      <c r="Y156" s="620">
        <v>96</v>
      </c>
    </row>
    <row r="157" spans="1:25" ht="12.75">
      <c r="A157" s="36" t="str">
        <f ca="1">IFERROR(__xludf.DUMMYFUNCTION("""COMPUTED_VALUE"""),"Закружний Андрій")</f>
        <v>Закружний Андрій</v>
      </c>
      <c r="B157" s="114">
        <f ca="1">IFERROR(__xludf.DUMMYFUNCTION("""COMPUTED_VALUE"""),-0.0833333333333333)</f>
        <v>-8.3333333333333301E-2</v>
      </c>
      <c r="C157" s="114">
        <f ca="1">IFERROR(__xludf.DUMMYFUNCTION("""COMPUTED_VALUE"""),1.03100490196078)</f>
        <v>1.0310049019607801</v>
      </c>
      <c r="D157" s="114">
        <f ca="1">IFERROR(__xludf.DUMMYFUNCTION("""COMPUTED_VALUE"""),-0.0583333333333333)</f>
        <v>-5.83333333333333E-2</v>
      </c>
      <c r="E157" s="36"/>
      <c r="F157" s="36"/>
      <c r="G157" s="36" t="str">
        <f ca="1">IFERROR(__xludf.DUMMYFUNCTION("""COMPUTED_VALUE"""),"Симоненко Анна")</f>
        <v>Симоненко Анна</v>
      </c>
      <c r="H157" s="114">
        <f ca="1">IFERROR(__xludf.DUMMYFUNCTION("""COMPUTED_VALUE"""),0.118416305916305)</f>
        <v>0.118416305916305</v>
      </c>
      <c r="I157" s="114">
        <f ca="1">IFERROR(__xludf.DUMMYFUNCTION("""COMPUTED_VALUE"""),0.683223241830586)</f>
        <v>0.68322324183058603</v>
      </c>
      <c r="J157" s="114">
        <f ca="1">IFERROR(__xludf.DUMMYFUNCTION("""COMPUTED_VALUE"""),0.0355248917748917)</f>
        <v>3.5524891774891702E-2</v>
      </c>
      <c r="R157" s="117" t="s">
        <v>834</v>
      </c>
      <c r="S157" s="116"/>
      <c r="T157" s="116"/>
      <c r="U157" s="616">
        <v>79</v>
      </c>
      <c r="V157" s="618">
        <v>0.81859999999999999</v>
      </c>
      <c r="W157" s="619">
        <v>82</v>
      </c>
      <c r="X157" s="618">
        <v>3.6700000000000003E-2</v>
      </c>
      <c r="Y157" s="620">
        <v>96</v>
      </c>
    </row>
    <row r="158" spans="1:25" ht="12.75">
      <c r="A158" s="36" t="str">
        <f ca="1">IFERROR(__xludf.DUMMYFUNCTION("""COMPUTED_VALUE"""),"Залозний Вадим")</f>
        <v>Залозний Вадим</v>
      </c>
      <c r="B158" s="114">
        <f ca="1">IFERROR(__xludf.DUMMYFUNCTION("""COMPUTED_VALUE"""),0)</f>
        <v>0</v>
      </c>
      <c r="C158" s="114">
        <f ca="1">IFERROR(__xludf.DUMMYFUNCTION("""COMPUTED_VALUE"""),0.0833333333333333)</f>
        <v>8.3333333333333301E-2</v>
      </c>
      <c r="D158" s="114">
        <f ca="1">IFERROR(__xludf.DUMMYFUNCTION("""COMPUTED_VALUE"""),0)</f>
        <v>0</v>
      </c>
      <c r="E158" s="36"/>
      <c r="F158" s="36"/>
      <c r="G158" s="36" t="str">
        <f ca="1">IFERROR(__xludf.DUMMYFUNCTION("""COMPUTED_VALUE"""),"Сітко Віта")</f>
        <v>Сітко Віта</v>
      </c>
      <c r="H158" s="114">
        <f ca="1">IFERROR(__xludf.DUMMYFUNCTION("""COMPUTED_VALUE"""),0.0714285714285714)</f>
        <v>7.1428571428571397E-2</v>
      </c>
      <c r="I158" s="114">
        <f ca="1">IFERROR(__xludf.DUMMYFUNCTION("""COMPUTED_VALUE"""),0.847222222222222)</f>
        <v>0.84722222222222199</v>
      </c>
      <c r="J158" s="114">
        <f ca="1">IFERROR(__xludf.DUMMYFUNCTION("""COMPUTED_VALUE"""),0.0214285714285714)</f>
        <v>2.1428571428571401E-2</v>
      </c>
      <c r="R158" s="117" t="s">
        <v>838</v>
      </c>
      <c r="S158" s="116"/>
      <c r="T158" s="116"/>
      <c r="U158" s="616">
        <v>88</v>
      </c>
      <c r="V158" s="618">
        <v>0.97319999999999995</v>
      </c>
      <c r="W158" s="619">
        <v>97</v>
      </c>
      <c r="X158" s="618">
        <v>4.9700000000000001E-2</v>
      </c>
      <c r="Y158" s="620">
        <v>95</v>
      </c>
    </row>
    <row r="159" spans="1:25" ht="12.75">
      <c r="A159" s="36" t="str">
        <f ca="1">IFERROR(__xludf.DUMMYFUNCTION("""COMPUTED_VALUE"""),"Запорожець Олексій")</f>
        <v>Запорожець Олексій</v>
      </c>
      <c r="B159" s="114">
        <f ca="1">IFERROR(__xludf.DUMMYFUNCTION("""COMPUTED_VALUE"""),0.0454545454545454)</f>
        <v>4.54545454545454E-2</v>
      </c>
      <c r="C159" s="114">
        <f ca="1">IFERROR(__xludf.DUMMYFUNCTION("""COMPUTED_VALUE"""),1.1875)</f>
        <v>1.1875</v>
      </c>
      <c r="D159" s="114">
        <f ca="1">IFERROR(__xludf.DUMMYFUNCTION("""COMPUTED_VALUE"""),0.0318181818181818)</f>
        <v>3.1818181818181801E-2</v>
      </c>
      <c r="E159" s="36"/>
      <c r="F159" s="36"/>
      <c r="G159" s="36" t="str">
        <f ca="1">IFERROR(__xludf.DUMMYFUNCTION("""COMPUTED_VALUE"""),"Скакун Любов")</f>
        <v>Скакун Любов</v>
      </c>
      <c r="H159" s="114">
        <f ca="1">IFERROR(__xludf.DUMMYFUNCTION("""COMPUTED_VALUE"""),0.0942168942168942)</f>
        <v>9.4216894216894206E-2</v>
      </c>
      <c r="I159" s="114">
        <f ca="1">IFERROR(__xludf.DUMMYFUNCTION("""COMPUTED_VALUE"""),0.602027008416975)</f>
        <v>0.60202700841697498</v>
      </c>
      <c r="J159" s="114">
        <f ca="1">IFERROR(__xludf.DUMMYFUNCTION("""COMPUTED_VALUE"""),0.0282650682650682)</f>
        <v>2.8265068265068201E-2</v>
      </c>
      <c r="R159" s="117" t="s">
        <v>841</v>
      </c>
      <c r="S159" s="116"/>
      <c r="T159" s="116"/>
      <c r="U159" s="616">
        <v>100</v>
      </c>
      <c r="V159" s="618">
        <v>0.69259999999999999</v>
      </c>
      <c r="W159" s="619">
        <v>69</v>
      </c>
      <c r="X159" s="618">
        <v>5.0599999999999999E-2</v>
      </c>
      <c r="Y159" s="620">
        <v>95</v>
      </c>
    </row>
    <row r="160" spans="1:25" ht="12.75">
      <c r="A160" s="36" t="str">
        <f ca="1">IFERROR(__xludf.DUMMYFUNCTION("""COMPUTED_VALUE"""),"Зарічний Михайло")</f>
        <v>Зарічний Михайло</v>
      </c>
      <c r="B160" s="114">
        <f ca="1">IFERROR(__xludf.DUMMYFUNCTION("""COMPUTED_VALUE"""),0.0833333333333333)</f>
        <v>8.3333333333333301E-2</v>
      </c>
      <c r="C160" s="114">
        <f ca="1">IFERROR(__xludf.DUMMYFUNCTION("""COMPUTED_VALUE"""),1.29787234042553)</f>
        <v>1.2978723404255299</v>
      </c>
      <c r="D160" s="114">
        <f ca="1">IFERROR(__xludf.DUMMYFUNCTION("""COMPUTED_VALUE"""),0.0583333333333333)</f>
        <v>5.83333333333333E-2</v>
      </c>
      <c r="E160" s="36"/>
      <c r="F160" s="36"/>
      <c r="G160" s="36" t="str">
        <f ca="1">IFERROR(__xludf.DUMMYFUNCTION("""COMPUTED_VALUE"""),"Сліпович Наталія")</f>
        <v>Сліпович Наталія</v>
      </c>
      <c r="H160" s="114">
        <f ca="1">IFERROR(__xludf.DUMMYFUNCTION("""COMPUTED_VALUE"""),0.0999999999999999)</f>
        <v>9.9999999999999895E-2</v>
      </c>
      <c r="I160" s="114">
        <f ca="1">IFERROR(__xludf.DUMMYFUNCTION("""COMPUTED_VALUE"""),0.920208901742515)</f>
        <v>0.92020890174251502</v>
      </c>
      <c r="J160" s="114">
        <f ca="1">IFERROR(__xludf.DUMMYFUNCTION("""COMPUTED_VALUE"""),0.0299999999999999)</f>
        <v>2.9999999999999898E-2</v>
      </c>
      <c r="R160" s="117" t="s">
        <v>844</v>
      </c>
      <c r="S160" s="116"/>
      <c r="T160" s="116"/>
      <c r="U160" s="616">
        <v>100</v>
      </c>
      <c r="V160" s="618">
        <v>0.80189999999999995</v>
      </c>
      <c r="W160" s="619">
        <v>80</v>
      </c>
      <c r="X160" s="618">
        <v>3.5999999999999997E-2</v>
      </c>
      <c r="Y160" s="620">
        <v>96</v>
      </c>
    </row>
    <row r="161" spans="1:25" ht="12.75">
      <c r="A161" s="36" t="str">
        <f ca="1">IFERROR(__xludf.DUMMYFUNCTION("""COMPUTED_VALUE"""),"Засадюк Альона")</f>
        <v>Засадюк Альона</v>
      </c>
      <c r="B161" s="114">
        <f ca="1">IFERROR(__xludf.DUMMYFUNCTION("""COMPUTED_VALUE"""),0)</f>
        <v>0</v>
      </c>
      <c r="C161" s="114">
        <f ca="1">IFERROR(__xludf.DUMMYFUNCTION("""COMPUTED_VALUE"""),0.916666666666666)</f>
        <v>0.91666666666666596</v>
      </c>
      <c r="D161" s="114">
        <f ca="1">IFERROR(__xludf.DUMMYFUNCTION("""COMPUTED_VALUE"""),0)</f>
        <v>0</v>
      </c>
      <c r="E161" s="36"/>
      <c r="F161" s="36"/>
      <c r="G161" s="36" t="str">
        <f ca="1">IFERROR(__xludf.DUMMYFUNCTION("""COMPUTED_VALUE"""),"Стельник Оксана")</f>
        <v>Стельник Оксана</v>
      </c>
      <c r="H161" s="114">
        <f ca="1">IFERROR(__xludf.DUMMYFUNCTION("""COMPUTED_VALUE"""),0.0555555555555555)</f>
        <v>5.5555555555555497E-2</v>
      </c>
      <c r="I161" s="114">
        <f ca="1">IFERROR(__xludf.DUMMYFUNCTION("""COMPUTED_VALUE"""),0.519603009603009)</f>
        <v>0.51960300960300898</v>
      </c>
      <c r="J161" s="114">
        <f ca="1">IFERROR(__xludf.DUMMYFUNCTION("""COMPUTED_VALUE"""),0.0166666666666666)</f>
        <v>1.6666666666666601E-2</v>
      </c>
      <c r="R161" s="117" t="s">
        <v>4190</v>
      </c>
      <c r="S161" s="116"/>
      <c r="T161" s="116"/>
      <c r="U161" s="616">
        <v>100</v>
      </c>
      <c r="V161" s="618">
        <v>0.75</v>
      </c>
      <c r="W161" s="619">
        <v>75</v>
      </c>
      <c r="X161" s="618">
        <v>7.0000000000000007E-2</v>
      </c>
      <c r="Y161" s="620">
        <v>93</v>
      </c>
    </row>
    <row r="162" spans="1:25" ht="12.75">
      <c r="A162" s="36" t="str">
        <f ca="1">IFERROR(__xludf.DUMMYFUNCTION("""COMPUTED_VALUE"""),"Звенигородський Назар")</f>
        <v>Звенигородський Назар</v>
      </c>
      <c r="B162" s="114">
        <f ca="1">IFERROR(__xludf.DUMMYFUNCTION("""COMPUTED_VALUE"""),0.125)</f>
        <v>0.125</v>
      </c>
      <c r="C162" s="114">
        <f ca="1">IFERROR(__xludf.DUMMYFUNCTION("""COMPUTED_VALUE"""),0.625)</f>
        <v>0.625</v>
      </c>
      <c r="D162" s="114">
        <f ca="1">IFERROR(__xludf.DUMMYFUNCTION("""COMPUTED_VALUE"""),0.0875)</f>
        <v>8.7499999999999994E-2</v>
      </c>
      <c r="E162" s="36"/>
      <c r="F162" s="36"/>
      <c r="G162" s="36" t="str">
        <f ca="1">IFERROR(__xludf.DUMMYFUNCTION("""COMPUTED_VALUE"""),"Струкова Марина")</f>
        <v>Струкова Марина</v>
      </c>
      <c r="H162" s="114">
        <f ca="1">IFERROR(__xludf.DUMMYFUNCTION("""COMPUTED_VALUE"""),0.0138888888888888)</f>
        <v>1.38888888888888E-2</v>
      </c>
      <c r="I162" s="114">
        <f ca="1">IFERROR(__xludf.DUMMYFUNCTION("""COMPUTED_VALUE"""),0.572733918128654)</f>
        <v>0.57273391812865404</v>
      </c>
      <c r="J162" s="114">
        <f ca="1">IFERROR(__xludf.DUMMYFUNCTION("""COMPUTED_VALUE"""),0.00416666666666666)</f>
        <v>4.1666666666666597E-3</v>
      </c>
      <c r="R162" s="117" t="s">
        <v>854</v>
      </c>
      <c r="S162" s="116"/>
      <c r="T162" s="116"/>
      <c r="U162" s="616">
        <v>92</v>
      </c>
      <c r="V162" s="618">
        <v>0.87239999999999995</v>
      </c>
      <c r="W162" s="619">
        <v>87</v>
      </c>
      <c r="X162" s="618">
        <v>-7.4999999999999997E-3</v>
      </c>
      <c r="Y162" s="620">
        <v>101</v>
      </c>
    </row>
    <row r="163" spans="1:25" ht="12.75">
      <c r="A163" s="36" t="str">
        <f ca="1">IFERROR(__xludf.DUMMYFUNCTION("""COMPUTED_VALUE"""),"Зелений Ярослав")</f>
        <v>Зелений Ярослав</v>
      </c>
      <c r="B163" s="114">
        <f ca="1">IFERROR(__xludf.DUMMYFUNCTION("""COMPUTED_VALUE"""),0.0833333333333333)</f>
        <v>8.3333333333333301E-2</v>
      </c>
      <c r="C163" s="114">
        <f ca="1">IFERROR(__xludf.DUMMYFUNCTION("""COMPUTED_VALUE"""),0.693840579710144)</f>
        <v>0.69384057971014401</v>
      </c>
      <c r="D163" s="114">
        <f ca="1">IFERROR(__xludf.DUMMYFUNCTION("""COMPUTED_VALUE"""),0.0583333333333333)</f>
        <v>5.83333333333333E-2</v>
      </c>
      <c r="E163" s="36"/>
      <c r="F163" s="36"/>
      <c r="G163" s="36" t="str">
        <f ca="1">IFERROR(__xludf.DUMMYFUNCTION("""COMPUTED_VALUE"""),"Тараканов Олександр")</f>
        <v>Тараканов Олександр</v>
      </c>
      <c r="H163" s="114">
        <f ca="1">IFERROR(__xludf.DUMMYFUNCTION("""COMPUTED_VALUE"""),0.0809021044315162)</f>
        <v>8.09021044315162E-2</v>
      </c>
      <c r="I163" s="114">
        <f ca="1">IFERROR(__xludf.DUMMYFUNCTION("""COMPUTED_VALUE"""),0.664901086404301)</f>
        <v>0.66490108640430101</v>
      </c>
      <c r="J163" s="114">
        <f ca="1">IFERROR(__xludf.DUMMYFUNCTION("""COMPUTED_VALUE"""),0.0242706313294548)</f>
        <v>2.4270631329454801E-2</v>
      </c>
      <c r="R163" s="117" t="s">
        <v>857</v>
      </c>
      <c r="S163" s="116"/>
      <c r="T163" s="116"/>
      <c r="U163" s="616">
        <v>97</v>
      </c>
      <c r="V163" s="618">
        <v>0.87219999999999998</v>
      </c>
      <c r="W163" s="619">
        <v>87</v>
      </c>
      <c r="X163" s="618">
        <v>9.3799999999999994E-2</v>
      </c>
      <c r="Y163" s="620">
        <v>91</v>
      </c>
    </row>
    <row r="164" spans="1:25" ht="12.75">
      <c r="A164" s="36" t="str">
        <f ca="1">IFERROR(__xludf.DUMMYFUNCTION("""COMPUTED_VALUE"""),"Земський Олександр")</f>
        <v>Земський Олександр</v>
      </c>
      <c r="B164" s="114">
        <f ca="1">IFERROR(__xludf.DUMMYFUNCTION("""COMPUTED_VALUE"""),0.0959595959595959)</f>
        <v>9.5959595959595897E-2</v>
      </c>
      <c r="C164" s="114">
        <f ca="1">IFERROR(__xludf.DUMMYFUNCTION("""COMPUTED_VALUE"""),0.62066734074823)</f>
        <v>0.62066734074823005</v>
      </c>
      <c r="D164" s="114">
        <f ca="1">IFERROR(__xludf.DUMMYFUNCTION("""COMPUTED_VALUE"""),0.0671717171717171)</f>
        <v>6.7171717171717105E-2</v>
      </c>
      <c r="E164" s="36"/>
      <c r="F164" s="36"/>
      <c r="G164" s="36" t="str">
        <f ca="1">IFERROR(__xludf.DUMMYFUNCTION("""COMPUTED_VALUE"""),"Тараненко Олена")</f>
        <v>Тараненко Олена</v>
      </c>
      <c r="H164" s="114">
        <f ca="1">IFERROR(__xludf.DUMMYFUNCTION("""COMPUTED_VALUE"""),0.152380952380952)</f>
        <v>0.15238095238095201</v>
      </c>
      <c r="I164" s="114">
        <f ca="1">IFERROR(__xludf.DUMMYFUNCTION("""COMPUTED_VALUE"""),0.504146208401527)</f>
        <v>0.50414620840152702</v>
      </c>
      <c r="J164" s="114">
        <f ca="1">IFERROR(__xludf.DUMMYFUNCTION("""COMPUTED_VALUE"""),0.0457142857142857)</f>
        <v>4.57142857142857E-2</v>
      </c>
      <c r="R164" s="117" t="s">
        <v>860</v>
      </c>
      <c r="S164" s="116"/>
      <c r="T164" s="116"/>
      <c r="U164" s="616">
        <v>95</v>
      </c>
      <c r="V164" s="618">
        <v>0.83579999999999999</v>
      </c>
      <c r="W164" s="619">
        <v>84</v>
      </c>
      <c r="X164" s="618">
        <v>0</v>
      </c>
      <c r="Y164" s="620">
        <v>100</v>
      </c>
    </row>
    <row r="165" spans="1:25" ht="12.75">
      <c r="A165" s="36" t="str">
        <f ca="1">IFERROR(__xludf.DUMMYFUNCTION("""COMPUTED_VALUE"""),"Зеньо Роман")</f>
        <v>Зеньо Роман</v>
      </c>
      <c r="B165" s="114">
        <f ca="1">IFERROR(__xludf.DUMMYFUNCTION("""COMPUTED_VALUE"""),0.104166666666666)</f>
        <v>0.10416666666666601</v>
      </c>
      <c r="C165" s="114">
        <f ca="1">IFERROR(__xludf.DUMMYFUNCTION("""COMPUTED_VALUE"""),0.878787878787878)</f>
        <v>0.87878787878787801</v>
      </c>
      <c r="D165" s="114">
        <f ca="1">IFERROR(__xludf.DUMMYFUNCTION("""COMPUTED_VALUE"""),0.0729166666666666)</f>
        <v>7.2916666666666602E-2</v>
      </c>
      <c r="E165" s="36"/>
      <c r="F165" s="36"/>
      <c r="G165" s="36" t="str">
        <f ca="1">IFERROR(__xludf.DUMMYFUNCTION("""COMPUTED_VALUE"""),"Татаренков Іван")</f>
        <v>Татаренков Іван</v>
      </c>
      <c r="H165" s="114">
        <f ca="1">IFERROR(__xludf.DUMMYFUNCTION("""COMPUTED_VALUE"""),0.0708485958485958)</f>
        <v>7.0848595848595805E-2</v>
      </c>
      <c r="I165" s="114">
        <f ca="1">IFERROR(__xludf.DUMMYFUNCTION("""COMPUTED_VALUE"""),0.3388935301216)</f>
        <v>0.33889353012160001</v>
      </c>
      <c r="J165" s="114">
        <f ca="1">IFERROR(__xludf.DUMMYFUNCTION("""COMPUTED_VALUE"""),0.0212545787545787)</f>
        <v>2.1254578754578701E-2</v>
      </c>
      <c r="R165" s="117" t="s">
        <v>863</v>
      </c>
      <c r="S165" s="116"/>
      <c r="T165" s="116"/>
      <c r="U165" s="616">
        <v>100</v>
      </c>
      <c r="V165" s="618">
        <v>0.77700000000000002</v>
      </c>
      <c r="W165" s="619">
        <v>78</v>
      </c>
      <c r="X165" s="618">
        <v>2.06E-2</v>
      </c>
      <c r="Y165" s="620">
        <v>98</v>
      </c>
    </row>
    <row r="166" spans="1:25" ht="12.75">
      <c r="A166" s="36" t="str">
        <f ca="1">IFERROR(__xludf.DUMMYFUNCTION("""COMPUTED_VALUE"""),"Зінич Євгеній")</f>
        <v>Зінич Євгеній</v>
      </c>
      <c r="B166" s="114">
        <f ca="1">IFERROR(__xludf.DUMMYFUNCTION("""COMPUTED_VALUE"""),0)</f>
        <v>0</v>
      </c>
      <c r="C166" s="114">
        <f ca="1">IFERROR(__xludf.DUMMYFUNCTION("""COMPUTED_VALUE"""),0.675)</f>
        <v>0.67500000000000004</v>
      </c>
      <c r="D166" s="114">
        <f ca="1">IFERROR(__xludf.DUMMYFUNCTION("""COMPUTED_VALUE"""),0)</f>
        <v>0</v>
      </c>
      <c r="E166" s="36"/>
      <c r="F166" s="36"/>
      <c r="G166" s="36" t="str">
        <f ca="1">IFERROR(__xludf.DUMMYFUNCTION("""COMPUTED_VALUE"""),"Таценко Катерина")</f>
        <v>Таценко Катерина</v>
      </c>
      <c r="H166" s="114">
        <f ca="1">IFERROR(__xludf.DUMMYFUNCTION("""COMPUTED_VALUE"""),0.142857142857142)</f>
        <v>0.14285714285714199</v>
      </c>
      <c r="I166" s="114">
        <f ca="1">IFERROR(__xludf.DUMMYFUNCTION("""COMPUTED_VALUE"""),0.518518518518518)</f>
        <v>0.51851851851851805</v>
      </c>
      <c r="J166" s="114">
        <f ca="1">IFERROR(__xludf.DUMMYFUNCTION("""COMPUTED_VALUE"""),0.0428571428571428)</f>
        <v>4.2857142857142802E-2</v>
      </c>
      <c r="R166" s="117" t="s">
        <v>867</v>
      </c>
      <c r="S166" s="116"/>
      <c r="T166" s="116"/>
      <c r="U166" s="616">
        <v>90</v>
      </c>
      <c r="V166" s="618">
        <v>0.94720000000000004</v>
      </c>
      <c r="W166" s="619">
        <v>95</v>
      </c>
      <c r="X166" s="618">
        <v>1.43E-2</v>
      </c>
      <c r="Y166" s="620">
        <v>99</v>
      </c>
    </row>
    <row r="167" spans="1:25" ht="12.75">
      <c r="A167" s="36" t="str">
        <f ca="1">IFERROR(__xludf.DUMMYFUNCTION("""COMPUTED_VALUE"""),"Знак Орест")</f>
        <v>Знак Орест</v>
      </c>
      <c r="B167" s="114">
        <f ca="1">IFERROR(__xludf.DUMMYFUNCTION("""COMPUTED_VALUE"""),0.125)</f>
        <v>0.125</v>
      </c>
      <c r="C167" s="114">
        <f ca="1">IFERROR(__xludf.DUMMYFUNCTION("""COMPUTED_VALUE"""),0.709677419354838)</f>
        <v>0.70967741935483797</v>
      </c>
      <c r="D167" s="114">
        <f ca="1">IFERROR(__xludf.DUMMYFUNCTION("""COMPUTED_VALUE"""),0.0875)</f>
        <v>8.7499999999999994E-2</v>
      </c>
      <c r="E167" s="36"/>
      <c r="F167" s="36"/>
      <c r="G167" s="36" t="str">
        <f ca="1">IFERROR(__xludf.DUMMYFUNCTION("""COMPUTED_VALUE"""),"Тимків Людмила")</f>
        <v>Тимків Людмила</v>
      </c>
      <c r="H167" s="114">
        <f ca="1">IFERROR(__xludf.DUMMYFUNCTION("""COMPUTED_VALUE"""),0.0427777777777777)</f>
        <v>4.2777777777777699E-2</v>
      </c>
      <c r="I167" s="114">
        <f ca="1">IFERROR(__xludf.DUMMYFUNCTION("""COMPUTED_VALUE"""),0.501977687626774)</f>
        <v>0.50197768762677397</v>
      </c>
      <c r="J167" s="114">
        <f ca="1">IFERROR(__xludf.DUMMYFUNCTION("""COMPUTED_VALUE"""),0.0128333333333333)</f>
        <v>1.2833333333333301E-2</v>
      </c>
      <c r="R167" s="117" t="s">
        <v>874</v>
      </c>
      <c r="S167" s="116"/>
      <c r="T167" s="116"/>
      <c r="U167" s="616">
        <v>93</v>
      </c>
      <c r="V167" s="618">
        <v>0.59599999999999997</v>
      </c>
      <c r="W167" s="619">
        <v>60</v>
      </c>
      <c r="X167" s="618">
        <v>0</v>
      </c>
      <c r="Y167" s="620">
        <v>100</v>
      </c>
    </row>
    <row r="168" spans="1:25" ht="12.75">
      <c r="A168" s="36" t="str">
        <f ca="1">IFERROR(__xludf.DUMMYFUNCTION("""COMPUTED_VALUE"""),"Золотарьов Артем")</f>
        <v>Золотарьов Артем</v>
      </c>
      <c r="B168" s="114">
        <f ca="1">IFERROR(__xludf.DUMMYFUNCTION("""COMPUTED_VALUE"""),0.239316239316239)</f>
        <v>0.23931623931623899</v>
      </c>
      <c r="C168" s="114">
        <f ca="1">IFERROR(__xludf.DUMMYFUNCTION("""COMPUTED_VALUE"""),1.18225623582766)</f>
        <v>1.18225623582766</v>
      </c>
      <c r="D168" s="114">
        <f ca="1">IFERROR(__xludf.DUMMYFUNCTION("""COMPUTED_VALUE"""),0.167521367521367)</f>
        <v>0.16752136752136701</v>
      </c>
      <c r="E168" s="36"/>
      <c r="F168" s="36"/>
      <c r="G168" s="36" t="str">
        <f ca="1">IFERROR(__xludf.DUMMYFUNCTION("""COMPUTED_VALUE"""),"Тимошенко Анна")</f>
        <v>Тимошенко Анна</v>
      </c>
      <c r="H168" s="114">
        <f ca="1">IFERROR(__xludf.DUMMYFUNCTION("""COMPUTED_VALUE"""),0.05)</f>
        <v>0.05</v>
      </c>
      <c r="I168" s="114">
        <f ca="1">IFERROR(__xludf.DUMMYFUNCTION("""COMPUTED_VALUE"""),0.574166666666666)</f>
        <v>0.57416666666666605</v>
      </c>
      <c r="J168" s="114">
        <f ca="1">IFERROR(__xludf.DUMMYFUNCTION("""COMPUTED_VALUE"""),0.015)</f>
        <v>1.4999999999999999E-2</v>
      </c>
      <c r="R168" s="117" t="s">
        <v>877</v>
      </c>
      <c r="S168" s="116"/>
      <c r="T168" s="116"/>
      <c r="U168" s="616">
        <v>91</v>
      </c>
      <c r="V168" s="618">
        <v>0.83840000000000003</v>
      </c>
      <c r="W168" s="619">
        <v>84</v>
      </c>
      <c r="X168" s="618">
        <v>4.0899999999999999E-2</v>
      </c>
      <c r="Y168" s="620">
        <v>96</v>
      </c>
    </row>
    <row r="169" spans="1:25" ht="12.75">
      <c r="A169" s="36" t="str">
        <f ca="1">IFERROR(__xludf.DUMMYFUNCTION("""COMPUTED_VALUE"""),"Золотов Микита")</f>
        <v>Золотов Микита</v>
      </c>
      <c r="B169" s="114">
        <f ca="1">IFERROR(__xludf.DUMMYFUNCTION("""COMPUTED_VALUE"""),-0.0769230769230769)</f>
        <v>-7.69230769230769E-2</v>
      </c>
      <c r="C169" s="114">
        <f ca="1">IFERROR(__xludf.DUMMYFUNCTION("""COMPUTED_VALUE"""),0.465425531914893)</f>
        <v>0.465425531914893</v>
      </c>
      <c r="D169" s="114">
        <f ca="1">IFERROR(__xludf.DUMMYFUNCTION("""COMPUTED_VALUE"""),-0.0538461538461538)</f>
        <v>-5.3846153846153801E-2</v>
      </c>
      <c r="E169" s="36"/>
      <c r="F169" s="36"/>
      <c r="G169" s="36" t="str">
        <f ca="1">IFERROR(__xludf.DUMMYFUNCTION("""COMPUTED_VALUE"""),"Тичинська Юлія")</f>
        <v>Тичинська Юлія</v>
      </c>
      <c r="H169" s="114">
        <f ca="1">IFERROR(__xludf.DUMMYFUNCTION("""COMPUTED_VALUE"""),0)</f>
        <v>0</v>
      </c>
      <c r="I169" s="114">
        <f ca="1">IFERROR(__xludf.DUMMYFUNCTION("""COMPUTED_VALUE"""),0.714285714285714)</f>
        <v>0.71428571428571397</v>
      </c>
      <c r="J169" s="114">
        <f ca="1">IFERROR(__xludf.DUMMYFUNCTION("""COMPUTED_VALUE"""),0)</f>
        <v>0</v>
      </c>
      <c r="R169" s="117" t="s">
        <v>881</v>
      </c>
      <c r="S169" s="116"/>
      <c r="T169" s="116"/>
      <c r="U169" s="616">
        <v>94</v>
      </c>
      <c r="V169" s="618">
        <v>0.63090000000000002</v>
      </c>
      <c r="W169" s="619">
        <v>63</v>
      </c>
      <c r="X169" s="618">
        <v>2.12E-2</v>
      </c>
      <c r="Y169" s="620">
        <v>98</v>
      </c>
    </row>
    <row r="170" spans="1:25" ht="12.75">
      <c r="A170" s="36" t="str">
        <f ca="1">IFERROR(__xludf.DUMMYFUNCTION("""COMPUTED_VALUE"""),"Зубер Микита")</f>
        <v>Зубер Микита</v>
      </c>
      <c r="B170" s="114">
        <f ca="1">IFERROR(__xludf.DUMMYFUNCTION("""COMPUTED_VALUE"""),0)</f>
        <v>0</v>
      </c>
      <c r="C170" s="114">
        <f ca="1">IFERROR(__xludf.DUMMYFUNCTION("""COMPUTED_VALUE"""),1.26666666666666)</f>
        <v>1.2666666666666599</v>
      </c>
      <c r="D170" s="114">
        <f ca="1">IFERROR(__xludf.DUMMYFUNCTION("""COMPUTED_VALUE"""),0)</f>
        <v>0</v>
      </c>
      <c r="E170" s="36"/>
      <c r="F170" s="36"/>
      <c r="G170" s="36" t="str">
        <f ca="1">IFERROR(__xludf.DUMMYFUNCTION("""COMPUTED_VALUE"""),"Травкіна Мар'яна")</f>
        <v>Травкіна Мар'яна</v>
      </c>
      <c r="H170" s="114">
        <f ca="1">IFERROR(__xludf.DUMMYFUNCTION("""COMPUTED_VALUE"""),-0.0432098765432098)</f>
        <v>-4.3209876543209798E-2</v>
      </c>
      <c r="I170" s="114">
        <f ca="1">IFERROR(__xludf.DUMMYFUNCTION("""COMPUTED_VALUE"""),0.526225749559083)</f>
        <v>0.52622574955908297</v>
      </c>
      <c r="J170" s="114">
        <f ca="1">IFERROR(__xludf.DUMMYFUNCTION("""COMPUTED_VALUE"""),-0.0129629629629629)</f>
        <v>-1.29629629629629E-2</v>
      </c>
      <c r="R170" s="117" t="s">
        <v>884</v>
      </c>
      <c r="S170" s="116"/>
      <c r="T170" s="116"/>
      <c r="U170" s="616">
        <v>96</v>
      </c>
      <c r="V170" s="618">
        <v>0.47149999999999997</v>
      </c>
      <c r="W170" s="619">
        <v>47</v>
      </c>
      <c r="X170" s="618">
        <v>1.18E-2</v>
      </c>
      <c r="Y170" s="620">
        <v>99</v>
      </c>
    </row>
    <row r="171" spans="1:25" ht="12.75">
      <c r="A171" s="36" t="str">
        <f ca="1">IFERROR(__xludf.DUMMYFUNCTION("""COMPUTED_VALUE"""),"Іваненко Дмитро")</f>
        <v>Іваненко Дмитро</v>
      </c>
      <c r="B171" s="114">
        <f ca="1">IFERROR(__xludf.DUMMYFUNCTION("""COMPUTED_VALUE"""),0.0738636363636363)</f>
        <v>7.3863636363636298E-2</v>
      </c>
      <c r="C171" s="114">
        <f ca="1">IFERROR(__xludf.DUMMYFUNCTION("""COMPUTED_VALUE"""),0.527578238137831)</f>
        <v>0.527578238137831</v>
      </c>
      <c r="D171" s="114">
        <f ca="1">IFERROR(__xludf.DUMMYFUNCTION("""COMPUTED_VALUE"""),0.0517045454545454)</f>
        <v>5.1704545454545399E-2</v>
      </c>
      <c r="E171" s="36"/>
      <c r="F171" s="36"/>
      <c r="G171" s="36" t="str">
        <f ca="1">IFERROR(__xludf.DUMMYFUNCTION("""COMPUTED_VALUE"""),"Третьяк Олександра")</f>
        <v>Третьяк Олександра</v>
      </c>
      <c r="H171" s="114">
        <f ca="1">IFERROR(__xludf.DUMMYFUNCTION("""COMPUTED_VALUE"""),0.0685515873015873)</f>
        <v>6.8551587301587294E-2</v>
      </c>
      <c r="I171" s="114">
        <f ca="1">IFERROR(__xludf.DUMMYFUNCTION("""COMPUTED_VALUE"""),0.945610984749074)</f>
        <v>0.94561098474907401</v>
      </c>
      <c r="J171" s="114">
        <f ca="1">IFERROR(__xludf.DUMMYFUNCTION("""COMPUTED_VALUE"""),0.0205654761904761)</f>
        <v>2.0565476190476099E-2</v>
      </c>
      <c r="R171" s="117" t="s">
        <v>887</v>
      </c>
      <c r="S171" s="116"/>
      <c r="T171" s="116"/>
      <c r="U171" s="616">
        <v>89</v>
      </c>
      <c r="V171" s="618">
        <v>0.53569999999999995</v>
      </c>
      <c r="W171" s="619">
        <v>54</v>
      </c>
      <c r="X171" s="618">
        <v>0</v>
      </c>
      <c r="Y171" s="620">
        <v>100</v>
      </c>
    </row>
    <row r="172" spans="1:25" ht="12.75">
      <c r="A172" s="36" t="str">
        <f ca="1">IFERROR(__xludf.DUMMYFUNCTION("""COMPUTED_VALUE"""),"Іванішена Юлія")</f>
        <v>Іванішена Юлія</v>
      </c>
      <c r="B172" s="114">
        <f ca="1">IFERROR(__xludf.DUMMYFUNCTION("""COMPUTED_VALUE"""),0.111111111111111)</f>
        <v>0.11111111111111099</v>
      </c>
      <c r="C172" s="114">
        <f ca="1">IFERROR(__xludf.DUMMYFUNCTION("""COMPUTED_VALUE"""),1.25)</f>
        <v>1.25</v>
      </c>
      <c r="D172" s="114">
        <f ca="1">IFERROR(__xludf.DUMMYFUNCTION("""COMPUTED_VALUE"""),0.0777777777777777)</f>
        <v>7.7777777777777696E-2</v>
      </c>
      <c r="E172" s="36"/>
      <c r="F172" s="36"/>
      <c r="G172" s="36" t="str">
        <f ca="1">IFERROR(__xludf.DUMMYFUNCTION("""COMPUTED_VALUE"""),"Третяк Мар'яна")</f>
        <v>Третяк Мар'яна</v>
      </c>
      <c r="H172" s="114">
        <f ca="1">IFERROR(__xludf.DUMMYFUNCTION("""COMPUTED_VALUE"""),0.129629629629629)</f>
        <v>0.12962962962962901</v>
      </c>
      <c r="I172" s="114">
        <f ca="1">IFERROR(__xludf.DUMMYFUNCTION("""COMPUTED_VALUE"""),0.325140056022409)</f>
        <v>0.32514005602240897</v>
      </c>
      <c r="J172" s="114">
        <f ca="1">IFERROR(__xludf.DUMMYFUNCTION("""COMPUTED_VALUE"""),0.0388888888888888)</f>
        <v>3.8888888888888799E-2</v>
      </c>
      <c r="R172" s="117" t="s">
        <v>893</v>
      </c>
      <c r="S172" s="116"/>
      <c r="T172" s="116"/>
      <c r="U172" s="616">
        <v>97</v>
      </c>
      <c r="V172" s="618">
        <v>0.54169999999999996</v>
      </c>
      <c r="W172" s="619">
        <v>54</v>
      </c>
      <c r="X172" s="618">
        <v>0</v>
      </c>
      <c r="Y172" s="620">
        <v>100</v>
      </c>
    </row>
    <row r="173" spans="1:25" ht="12.75">
      <c r="A173" s="36" t="str">
        <f ca="1">IFERROR(__xludf.DUMMYFUNCTION("""COMPUTED_VALUE"""),"Івасенко Катерина")</f>
        <v>Івасенко Катерина</v>
      </c>
      <c r="B173" s="114">
        <f ca="1">IFERROR(__xludf.DUMMYFUNCTION("""COMPUTED_VALUE"""),-0.00039081289081289)</f>
        <v>-3.9081289081289002E-4</v>
      </c>
      <c r="C173" s="114">
        <f ca="1">IFERROR(__xludf.DUMMYFUNCTION("""COMPUTED_VALUE"""),0.675362244033627)</f>
        <v>0.67536224403362699</v>
      </c>
      <c r="D173" s="114">
        <f ca="1">IFERROR(__xludf.DUMMYFUNCTION("""COMPUTED_VALUE"""),-0.000273569023569023)</f>
        <v>-2.7356902356902302E-4</v>
      </c>
      <c r="E173" s="36"/>
      <c r="F173" s="36"/>
      <c r="G173" s="36" t="str">
        <f ca="1">IFERROR(__xludf.DUMMYFUNCTION("""COMPUTED_VALUE"""),"Трофимова Анастасія")</f>
        <v>Трофимова Анастасія</v>
      </c>
      <c r="H173" s="114">
        <f ca="1">IFERROR(__xludf.DUMMYFUNCTION("""COMPUTED_VALUE"""),0.0548340548340548)</f>
        <v>5.4834054834054798E-2</v>
      </c>
      <c r="I173" s="114">
        <f ca="1">IFERROR(__xludf.DUMMYFUNCTION("""COMPUTED_VALUE"""),0.410199226221023)</f>
        <v>0.41019922622102301</v>
      </c>
      <c r="J173" s="114">
        <f ca="1">IFERROR(__xludf.DUMMYFUNCTION("""COMPUTED_VALUE"""),0.0164502164502164)</f>
        <v>1.6450216450216399E-2</v>
      </c>
      <c r="R173" s="117" t="s">
        <v>903</v>
      </c>
      <c r="S173" s="116"/>
      <c r="T173" s="116"/>
      <c r="U173" s="616">
        <v>93</v>
      </c>
      <c r="V173" s="618">
        <v>0.56020000000000003</v>
      </c>
      <c r="W173" s="619">
        <v>56</v>
      </c>
      <c r="X173" s="618">
        <v>7.9000000000000008E-3</v>
      </c>
      <c r="Y173" s="620">
        <v>99</v>
      </c>
    </row>
    <row r="174" spans="1:25" ht="12.75">
      <c r="A174" s="36" t="str">
        <f ca="1">IFERROR(__xludf.DUMMYFUNCTION("""COMPUTED_VALUE"""),"Ігнатов Дмитро")</f>
        <v>Ігнатов Дмитро</v>
      </c>
      <c r="B174" s="114" t="str">
        <f ca="1">IFERROR(__xludf.DUMMYFUNCTION("""COMPUTED_VALUE"""),"#DIV/0!")</f>
        <v>#DIV/0!</v>
      </c>
      <c r="C174" s="114" t="str">
        <f ca="1">IFERROR(__xludf.DUMMYFUNCTION("""COMPUTED_VALUE"""),"#DIV/0!")</f>
        <v>#DIV/0!</v>
      </c>
      <c r="D174" s="114" t="str">
        <f ca="1">IFERROR(__xludf.DUMMYFUNCTION("""COMPUTED_VALUE"""),"#DIV/0!")</f>
        <v>#DIV/0!</v>
      </c>
      <c r="E174" s="36"/>
      <c r="F174" s="36"/>
      <c r="G174" s="36" t="str">
        <f ca="1">IFERROR(__xludf.DUMMYFUNCTION("""COMPUTED_VALUE"""),"Туліка Валерія")</f>
        <v>Туліка Валерія</v>
      </c>
      <c r="H174" s="114">
        <f ca="1">IFERROR(__xludf.DUMMYFUNCTION("""COMPUTED_VALUE"""),-0.00555555555555555)</f>
        <v>-5.5555555555555497E-3</v>
      </c>
      <c r="I174" s="114">
        <f ca="1">IFERROR(__xludf.DUMMYFUNCTION("""COMPUTED_VALUE"""),0.462854609929078)</f>
        <v>0.46285460992907801</v>
      </c>
      <c r="J174" s="114">
        <f ca="1">IFERROR(__xludf.DUMMYFUNCTION("""COMPUTED_VALUE"""),-0.00166666666666666)</f>
        <v>-1.6666666666666601E-3</v>
      </c>
      <c r="R174" s="117" t="s">
        <v>906</v>
      </c>
      <c r="S174" s="116"/>
      <c r="T174" s="116"/>
      <c r="U174" s="616">
        <v>87</v>
      </c>
      <c r="V174" s="618">
        <v>0.77780000000000005</v>
      </c>
      <c r="W174" s="619">
        <v>78</v>
      </c>
      <c r="X174" s="618">
        <v>0</v>
      </c>
      <c r="Y174" s="620">
        <v>100</v>
      </c>
    </row>
    <row r="175" spans="1:25" ht="12.75">
      <c r="A175" s="36" t="str">
        <f ca="1">IFERROR(__xludf.DUMMYFUNCTION("""COMPUTED_VALUE"""),"Ільніцька Юлія")</f>
        <v>Ільніцька Юлія</v>
      </c>
      <c r="B175" s="114">
        <f ca="1">IFERROR(__xludf.DUMMYFUNCTION("""COMPUTED_VALUE"""),0.111111111111111)</f>
        <v>0.11111111111111099</v>
      </c>
      <c r="C175" s="114">
        <f ca="1">IFERROR(__xludf.DUMMYFUNCTION("""COMPUTED_VALUE"""),0.257142857142857)</f>
        <v>0.25714285714285701</v>
      </c>
      <c r="D175" s="114">
        <f ca="1">IFERROR(__xludf.DUMMYFUNCTION("""COMPUTED_VALUE"""),0.0777777777777777)</f>
        <v>7.7777777777777696E-2</v>
      </c>
      <c r="E175" s="36"/>
      <c r="F175" s="36"/>
      <c r="G175" s="36" t="str">
        <f ca="1">IFERROR(__xludf.DUMMYFUNCTION("""COMPUTED_VALUE"""),"Федів Анастасія")</f>
        <v>Федів Анастасія</v>
      </c>
      <c r="H175" s="114">
        <f ca="1">IFERROR(__xludf.DUMMYFUNCTION("""COMPUTED_VALUE"""),0.0259740259740259)</f>
        <v>2.5974025974025899E-2</v>
      </c>
      <c r="I175" s="114">
        <f ca="1">IFERROR(__xludf.DUMMYFUNCTION("""COMPUTED_VALUE"""),0.588527551942186)</f>
        <v>0.58852755194218598</v>
      </c>
      <c r="J175" s="114">
        <f ca="1">IFERROR(__xludf.DUMMYFUNCTION("""COMPUTED_VALUE"""),0.00779220779220779)</f>
        <v>7.7922077922077896E-3</v>
      </c>
      <c r="R175" s="117" t="s">
        <v>909</v>
      </c>
      <c r="S175" s="116"/>
      <c r="T175" s="116"/>
      <c r="U175" s="616">
        <v>81</v>
      </c>
      <c r="V175" s="618">
        <v>0</v>
      </c>
      <c r="W175" s="619">
        <v>0</v>
      </c>
      <c r="X175" s="618">
        <v>7.5899999999999995E-2</v>
      </c>
      <c r="Y175" s="620">
        <v>92</v>
      </c>
    </row>
    <row r="176" spans="1:25" ht="12.75">
      <c r="A176" s="36" t="str">
        <f ca="1">IFERROR(__xludf.DUMMYFUNCTION("""COMPUTED_VALUE"""),"Ільчук Вадим")</f>
        <v>Ільчук Вадим</v>
      </c>
      <c r="B176" s="114">
        <f ca="1">IFERROR(__xludf.DUMMYFUNCTION("""COMPUTED_VALUE"""),0.0555555555555555)</f>
        <v>5.5555555555555497E-2</v>
      </c>
      <c r="C176" s="114">
        <f ca="1">IFERROR(__xludf.DUMMYFUNCTION("""COMPUTED_VALUE"""),0.800347222222222)</f>
        <v>0.80034722222222199</v>
      </c>
      <c r="D176" s="114">
        <f ca="1">IFERROR(__xludf.DUMMYFUNCTION("""COMPUTED_VALUE"""),0.0388888888888888)</f>
        <v>3.8888888888888799E-2</v>
      </c>
      <c r="E176" s="36"/>
      <c r="F176" s="36"/>
      <c r="G176" s="36" t="str">
        <f ca="1">IFERROR(__xludf.DUMMYFUNCTION("""COMPUTED_VALUE"""),"Фесак Вікторія")</f>
        <v>Фесак Вікторія</v>
      </c>
      <c r="H176" s="114">
        <f ca="1">IFERROR(__xludf.DUMMYFUNCTION("""COMPUTED_VALUE"""),0.0154320987654321)</f>
        <v>1.54320987654321E-2</v>
      </c>
      <c r="I176" s="114">
        <f ca="1">IFERROR(__xludf.DUMMYFUNCTION("""COMPUTED_VALUE"""),0.555948385680024)</f>
        <v>0.55594838568002403</v>
      </c>
      <c r="J176" s="114">
        <f ca="1">IFERROR(__xludf.DUMMYFUNCTION("""COMPUTED_VALUE"""),0.00462962962962962)</f>
        <v>4.6296296296296198E-3</v>
      </c>
      <c r="R176" s="117" t="s">
        <v>912</v>
      </c>
      <c r="S176" s="116"/>
      <c r="T176" s="116"/>
      <c r="U176" s="616">
        <v>94</v>
      </c>
      <c r="V176" s="618">
        <v>0.97460000000000002</v>
      </c>
      <c r="W176" s="619">
        <v>97</v>
      </c>
      <c r="X176" s="618">
        <v>2.92E-2</v>
      </c>
      <c r="Y176" s="620">
        <v>97</v>
      </c>
    </row>
    <row r="177" spans="1:25" ht="12.75">
      <c r="A177" s="36" t="str">
        <f ca="1">IFERROR(__xludf.DUMMYFUNCTION("""COMPUTED_VALUE"""),"Ільющенко Марія")</f>
        <v>Ільющенко Марія</v>
      </c>
      <c r="B177" s="114">
        <f ca="1">IFERROR(__xludf.DUMMYFUNCTION("""COMPUTED_VALUE"""),0)</f>
        <v>0</v>
      </c>
      <c r="C177" s="114">
        <f ca="1">IFERROR(__xludf.DUMMYFUNCTION("""COMPUTED_VALUE"""),0.745884057971014)</f>
        <v>0.74588405797101398</v>
      </c>
      <c r="D177" s="114">
        <f ca="1">IFERROR(__xludf.DUMMYFUNCTION("""COMPUTED_VALUE"""),0)</f>
        <v>0</v>
      </c>
      <c r="E177" s="36"/>
      <c r="F177" s="36"/>
      <c r="G177" s="36" t="str">
        <f ca="1">IFERROR(__xludf.DUMMYFUNCTION("""COMPUTED_VALUE"""),"Філоненко Василь")</f>
        <v>Філоненко Василь</v>
      </c>
      <c r="H177" s="114">
        <f ca="1">IFERROR(__xludf.DUMMYFUNCTION("""COMPUTED_VALUE"""),0)</f>
        <v>0</v>
      </c>
      <c r="I177" s="114">
        <f ca="1">IFERROR(__xludf.DUMMYFUNCTION("""COMPUTED_VALUE"""),0.466666666666666)</f>
        <v>0.46666666666666601</v>
      </c>
      <c r="J177" s="114">
        <f ca="1">IFERROR(__xludf.DUMMYFUNCTION("""COMPUTED_VALUE"""),0)</f>
        <v>0</v>
      </c>
      <c r="R177" s="117" t="s">
        <v>916</v>
      </c>
      <c r="S177" s="116"/>
      <c r="T177" s="116"/>
      <c r="U177" s="616">
        <v>92</v>
      </c>
      <c r="V177" s="618">
        <v>0.9456</v>
      </c>
      <c r="W177" s="619">
        <v>95</v>
      </c>
      <c r="X177" s="618">
        <v>4.6899999999999997E-2</v>
      </c>
      <c r="Y177" s="620">
        <v>95</v>
      </c>
    </row>
    <row r="178" spans="1:25" ht="12.75">
      <c r="A178" s="36" t="str">
        <f ca="1">IFERROR(__xludf.DUMMYFUNCTION("""COMPUTED_VALUE"""),"Іпатенко Володимир")</f>
        <v>Іпатенко Володимир</v>
      </c>
      <c r="B178" s="114">
        <f ca="1">IFERROR(__xludf.DUMMYFUNCTION("""COMPUTED_VALUE"""),0.0272727272727272)</f>
        <v>2.7272727272727199E-2</v>
      </c>
      <c r="C178" s="114">
        <f ca="1">IFERROR(__xludf.DUMMYFUNCTION("""COMPUTED_VALUE"""),0.670463016515648)</f>
        <v>0.67046301651564799</v>
      </c>
      <c r="D178" s="114">
        <f ca="1">IFERROR(__xludf.DUMMYFUNCTION("""COMPUTED_VALUE"""),0.019090909090909)</f>
        <v>1.9090909090908999E-2</v>
      </c>
      <c r="E178" s="36"/>
      <c r="F178" s="36"/>
      <c r="G178" s="36" t="str">
        <f ca="1">IFERROR(__xludf.DUMMYFUNCTION("""COMPUTED_VALUE"""),"Форостян Любава")</f>
        <v>Форостян Любава</v>
      </c>
      <c r="H178" s="114">
        <f ca="1">IFERROR(__xludf.DUMMYFUNCTION("""COMPUTED_VALUE"""),0.0891678691678691)</f>
        <v>8.9167869167869104E-2</v>
      </c>
      <c r="I178" s="114">
        <f ca="1">IFERROR(__xludf.DUMMYFUNCTION("""COMPUTED_VALUE"""),0.747087178366523)</f>
        <v>0.74708717836652305</v>
      </c>
      <c r="J178" s="114">
        <f ca="1">IFERROR(__xludf.DUMMYFUNCTION("""COMPUTED_VALUE"""),0.0267503607503607)</f>
        <v>2.6750360750360701E-2</v>
      </c>
      <c r="R178" s="117" t="s">
        <v>922</v>
      </c>
      <c r="S178" s="116"/>
      <c r="T178" s="116"/>
      <c r="U178" s="616">
        <v>100</v>
      </c>
      <c r="V178" s="618">
        <v>0.88429999999999997</v>
      </c>
      <c r="W178" s="619">
        <v>88</v>
      </c>
      <c r="X178" s="618">
        <v>0.09</v>
      </c>
      <c r="Y178" s="620">
        <v>91</v>
      </c>
    </row>
    <row r="179" spans="1:25" ht="12.75">
      <c r="A179" s="36" t="str">
        <f ca="1">IFERROR(__xludf.DUMMYFUNCTION("""COMPUTED_VALUE"""),"Іщенко Лілія")</f>
        <v>Іщенко Лілія</v>
      </c>
      <c r="B179" s="114">
        <f ca="1">IFERROR(__xludf.DUMMYFUNCTION("""COMPUTED_VALUE"""),0.0485714285714285)</f>
        <v>4.8571428571428502E-2</v>
      </c>
      <c r="C179" s="114">
        <f ca="1">IFERROR(__xludf.DUMMYFUNCTION("""COMPUTED_VALUE"""),0.700672231757424)</f>
        <v>0.70067223175742399</v>
      </c>
      <c r="D179" s="114">
        <f ca="1">IFERROR(__xludf.DUMMYFUNCTION("""COMPUTED_VALUE"""),0.0339999999999999)</f>
        <v>3.3999999999999898E-2</v>
      </c>
      <c r="E179" s="36"/>
      <c r="F179" s="36"/>
      <c r="G179" s="36" t="str">
        <f ca="1">IFERROR(__xludf.DUMMYFUNCTION("""COMPUTED_VALUE"""),"Фромель Іванна")</f>
        <v>Фромель Іванна</v>
      </c>
      <c r="H179" s="114">
        <f ca="1">IFERROR(__xludf.DUMMYFUNCTION("""COMPUTED_VALUE"""),0.216666666666666)</f>
        <v>0.21666666666666601</v>
      </c>
      <c r="I179" s="114">
        <f ca="1">IFERROR(__xludf.DUMMYFUNCTION("""COMPUTED_VALUE"""),1.0580808080808)</f>
        <v>1.0580808080808</v>
      </c>
      <c r="J179" s="114">
        <f ca="1">IFERROR(__xludf.DUMMYFUNCTION("""COMPUTED_VALUE"""),0.065)</f>
        <v>6.5000000000000002E-2</v>
      </c>
      <c r="R179" s="117" t="s">
        <v>925</v>
      </c>
      <c r="S179" s="116"/>
      <c r="T179" s="116"/>
      <c r="U179" s="616">
        <v>91</v>
      </c>
      <c r="V179" s="116" t="s">
        <v>9806</v>
      </c>
      <c r="W179" s="617" t="s">
        <v>9806</v>
      </c>
      <c r="X179" s="618">
        <v>0</v>
      </c>
      <c r="Y179" s="620">
        <v>100</v>
      </c>
    </row>
    <row r="180" spans="1:25" ht="12.75">
      <c r="A180" s="36" t="str">
        <f ca="1">IFERROR(__xludf.DUMMYFUNCTION("""COMPUTED_VALUE"""),"Казбанова Ксенія")</f>
        <v>Казбанова Ксенія</v>
      </c>
      <c r="B180" s="114">
        <f ca="1">IFERROR(__xludf.DUMMYFUNCTION("""COMPUTED_VALUE"""),0)</f>
        <v>0</v>
      </c>
      <c r="C180" s="114">
        <f ca="1">IFERROR(__xludf.DUMMYFUNCTION("""COMPUTED_VALUE"""),1.25416666666666)</f>
        <v>1.25416666666666</v>
      </c>
      <c r="D180" s="114">
        <f ca="1">IFERROR(__xludf.DUMMYFUNCTION("""COMPUTED_VALUE"""),0)</f>
        <v>0</v>
      </c>
      <c r="E180" s="36"/>
      <c r="F180" s="36"/>
      <c r="G180" s="36" t="str">
        <f ca="1">IFERROR(__xludf.DUMMYFUNCTION("""COMPUTED_VALUE"""),"Хас Зоряна")</f>
        <v>Хас Зоряна</v>
      </c>
      <c r="H180" s="114">
        <f ca="1">IFERROR(__xludf.DUMMYFUNCTION("""COMPUTED_VALUE"""),0.03109410430839)</f>
        <v>3.1094104308389998E-2</v>
      </c>
      <c r="I180" s="114">
        <f ca="1">IFERROR(__xludf.DUMMYFUNCTION("""COMPUTED_VALUE"""),0.711705373689153)</f>
        <v>0.71170537368915299</v>
      </c>
      <c r="J180" s="114">
        <f ca="1">IFERROR(__xludf.DUMMYFUNCTION("""COMPUTED_VALUE"""),0.009328231292517)</f>
        <v>9.3282312925169995E-3</v>
      </c>
      <c r="R180" s="117" t="s">
        <v>928</v>
      </c>
      <c r="S180" s="116"/>
      <c r="T180" s="116"/>
      <c r="U180" s="616">
        <v>89</v>
      </c>
      <c r="V180" s="618">
        <v>1.1496</v>
      </c>
      <c r="W180" s="619">
        <v>115</v>
      </c>
      <c r="X180" s="618">
        <v>2.0400000000000001E-2</v>
      </c>
      <c r="Y180" s="620">
        <v>98</v>
      </c>
    </row>
    <row r="181" spans="1:25" ht="12.75">
      <c r="A181" s="36" t="str">
        <f ca="1">IFERROR(__xludf.DUMMYFUNCTION("""COMPUTED_VALUE"""),"Калинчук Іван")</f>
        <v>Калинчук Іван</v>
      </c>
      <c r="B181" s="114">
        <f ca="1">IFERROR(__xludf.DUMMYFUNCTION("""COMPUTED_VALUE"""),0)</f>
        <v>0</v>
      </c>
      <c r="C181" s="114">
        <f ca="1">IFERROR(__xludf.DUMMYFUNCTION("""COMPUTED_VALUE"""),0.577380952380952)</f>
        <v>0.577380952380952</v>
      </c>
      <c r="D181" s="114">
        <f ca="1">IFERROR(__xludf.DUMMYFUNCTION("""COMPUTED_VALUE"""),0)</f>
        <v>0</v>
      </c>
      <c r="E181" s="36"/>
      <c r="F181" s="36"/>
      <c r="G181" s="36" t="str">
        <f ca="1">IFERROR(__xludf.DUMMYFUNCTION("""COMPUTED_VALUE"""),"Хижняк Марія")</f>
        <v>Хижняк Марія</v>
      </c>
      <c r="H181" s="114">
        <f ca="1">IFERROR(__xludf.DUMMYFUNCTION("""COMPUTED_VALUE"""),0)</f>
        <v>0</v>
      </c>
      <c r="I181" s="114">
        <f ca="1">IFERROR(__xludf.DUMMYFUNCTION("""COMPUTED_VALUE"""),0.559848484848484)</f>
        <v>0.55984848484848404</v>
      </c>
      <c r="J181" s="114">
        <f ca="1">IFERROR(__xludf.DUMMYFUNCTION("""COMPUTED_VALUE"""),0)</f>
        <v>0</v>
      </c>
      <c r="R181" s="117" t="s">
        <v>934</v>
      </c>
      <c r="S181" s="116"/>
      <c r="T181" s="116"/>
      <c r="U181" s="616">
        <v>87</v>
      </c>
      <c r="V181" s="618">
        <v>0.73209999999999997</v>
      </c>
      <c r="W181" s="619">
        <v>73</v>
      </c>
      <c r="X181" s="618">
        <v>0</v>
      </c>
      <c r="Y181" s="620">
        <v>100</v>
      </c>
    </row>
    <row r="182" spans="1:25" ht="12.75">
      <c r="A182" s="36" t="str">
        <f ca="1">IFERROR(__xludf.DUMMYFUNCTION("""COMPUTED_VALUE"""),"Калиста Юлія")</f>
        <v>Калиста Юлія</v>
      </c>
      <c r="B182" s="114">
        <f ca="1">IFERROR(__xludf.DUMMYFUNCTION("""COMPUTED_VALUE"""),0.0303030303030303)</f>
        <v>3.03030303030303E-2</v>
      </c>
      <c r="C182" s="114">
        <f ca="1">IFERROR(__xludf.DUMMYFUNCTION("""COMPUTED_VALUE"""),0.993333333333333)</f>
        <v>0.99333333333333296</v>
      </c>
      <c r="D182" s="114">
        <f ca="1">IFERROR(__xludf.DUMMYFUNCTION("""COMPUTED_VALUE"""),0.0212121212121212)</f>
        <v>2.12121212121212E-2</v>
      </c>
      <c r="E182" s="36"/>
      <c r="F182" s="36"/>
      <c r="G182" s="36" t="str">
        <f ca="1">IFERROR(__xludf.DUMMYFUNCTION("""COMPUTED_VALUE"""),"Царьова Юлія")</f>
        <v>Царьова Юлія</v>
      </c>
      <c r="H182" s="114">
        <f ca="1">IFERROR(__xludf.DUMMYFUNCTION("""COMPUTED_VALUE"""),0)</f>
        <v>0</v>
      </c>
      <c r="I182" s="114">
        <f ca="1">IFERROR(__xludf.DUMMYFUNCTION("""COMPUTED_VALUE"""),0)</f>
        <v>0</v>
      </c>
      <c r="J182" s="114">
        <f ca="1">IFERROR(__xludf.DUMMYFUNCTION("""COMPUTED_VALUE"""),0)</f>
        <v>0</v>
      </c>
      <c r="R182" s="117" t="s">
        <v>938</v>
      </c>
      <c r="S182" s="116"/>
      <c r="T182" s="116"/>
      <c r="U182" s="616">
        <v>81</v>
      </c>
      <c r="V182" s="618">
        <v>0.65690000000000004</v>
      </c>
      <c r="W182" s="619">
        <v>66</v>
      </c>
      <c r="X182" s="618">
        <v>7.0000000000000007E-2</v>
      </c>
      <c r="Y182" s="620">
        <v>93</v>
      </c>
    </row>
    <row r="183" spans="1:25" ht="12.75">
      <c r="A183" s="36" t="str">
        <f ca="1">IFERROR(__xludf.DUMMYFUNCTION("""COMPUTED_VALUE"""),"Калін Максим")</f>
        <v>Калін Максим</v>
      </c>
      <c r="B183" s="114">
        <f ca="1">IFERROR(__xludf.DUMMYFUNCTION("""COMPUTED_VALUE"""),0)</f>
        <v>0</v>
      </c>
      <c r="C183" s="114">
        <f ca="1">IFERROR(__xludf.DUMMYFUNCTION("""COMPUTED_VALUE"""),0.816666666666666)</f>
        <v>0.81666666666666599</v>
      </c>
      <c r="D183" s="114">
        <f ca="1">IFERROR(__xludf.DUMMYFUNCTION("""COMPUTED_VALUE"""),0)</f>
        <v>0</v>
      </c>
      <c r="E183" s="36"/>
      <c r="F183" s="36"/>
      <c r="G183" s="36" t="str">
        <f ca="1">IFERROR(__xludf.DUMMYFUNCTION("""COMPUTED_VALUE"""),"Царьова Юлія Анатоліївна")</f>
        <v>Царьова Юлія Анатоліївна</v>
      </c>
      <c r="H183" s="114">
        <f ca="1">IFERROR(__xludf.DUMMYFUNCTION("""COMPUTED_VALUE"""),0.05)</f>
        <v>0.05</v>
      </c>
      <c r="I183" s="114">
        <f ca="1">IFERROR(__xludf.DUMMYFUNCTION("""COMPUTED_VALUE"""),0.89044384057971)</f>
        <v>0.89044384057971004</v>
      </c>
      <c r="J183" s="114">
        <f ca="1">IFERROR(__xludf.DUMMYFUNCTION("""COMPUTED_VALUE"""),0.015)</f>
        <v>1.4999999999999999E-2</v>
      </c>
      <c r="R183" s="117" t="s">
        <v>944</v>
      </c>
      <c r="S183" s="116"/>
      <c r="T183" s="116"/>
      <c r="U183" s="616">
        <v>97</v>
      </c>
      <c r="V183" s="618">
        <v>0.84350000000000003</v>
      </c>
      <c r="W183" s="619">
        <v>84</v>
      </c>
      <c r="X183" s="618">
        <v>0</v>
      </c>
      <c r="Y183" s="620">
        <v>100</v>
      </c>
    </row>
    <row r="184" spans="1:25" ht="12.75">
      <c r="A184" s="36" t="str">
        <f ca="1">IFERROR(__xludf.DUMMYFUNCTION("""COMPUTED_VALUE"""),"Карабчук Богдана")</f>
        <v>Карабчук Богдана</v>
      </c>
      <c r="B184" s="114">
        <f ca="1">IFERROR(__xludf.DUMMYFUNCTION("""COMPUTED_VALUE"""),0.333333333333333)</f>
        <v>0.33333333333333298</v>
      </c>
      <c r="C184" s="114">
        <f ca="1">IFERROR(__xludf.DUMMYFUNCTION("""COMPUTED_VALUE"""),0.238095238095238)</f>
        <v>0.238095238095238</v>
      </c>
      <c r="D184" s="114">
        <f ca="1">IFERROR(__xludf.DUMMYFUNCTION("""COMPUTED_VALUE"""),0.233333333333333)</f>
        <v>0.233333333333333</v>
      </c>
      <c r="E184" s="36"/>
      <c r="F184" s="36"/>
      <c r="G184" s="36" t="str">
        <f ca="1">IFERROR(__xludf.DUMMYFUNCTION("""COMPUTED_VALUE"""),"Чех Роман")</f>
        <v>Чех Роман</v>
      </c>
      <c r="H184" s="114">
        <f ca="1">IFERROR(__xludf.DUMMYFUNCTION("""COMPUTED_VALUE"""),0.0246031746031746)</f>
        <v>2.4603174603174599E-2</v>
      </c>
      <c r="I184" s="114">
        <f ca="1">IFERROR(__xludf.DUMMYFUNCTION("""COMPUTED_VALUE"""),0.798431232032685)</f>
        <v>0.79843123203268496</v>
      </c>
      <c r="J184" s="114">
        <f ca="1">IFERROR(__xludf.DUMMYFUNCTION("""COMPUTED_VALUE"""),0.00738095238095238)</f>
        <v>7.3809523809523804E-3</v>
      </c>
      <c r="R184" s="117" t="s">
        <v>947</v>
      </c>
      <c r="S184" s="116"/>
      <c r="T184" s="116"/>
      <c r="U184" s="616">
        <v>94</v>
      </c>
      <c r="V184" s="618">
        <v>0.26819999999999999</v>
      </c>
      <c r="W184" s="619">
        <v>27</v>
      </c>
      <c r="X184" s="618">
        <v>0</v>
      </c>
      <c r="Y184" s="620">
        <v>100</v>
      </c>
    </row>
    <row r="185" spans="1:25" ht="12.75">
      <c r="A185" s="36" t="str">
        <f ca="1">IFERROR(__xludf.DUMMYFUNCTION("""COMPUTED_VALUE"""),"Карпенко Зоряна")</f>
        <v>Карпенко Зоряна</v>
      </c>
      <c r="B185" s="114">
        <f ca="1">IFERROR(__xludf.DUMMYFUNCTION("""COMPUTED_VALUE"""),0)</f>
        <v>0</v>
      </c>
      <c r="C185" s="114">
        <f ca="1">IFERROR(__xludf.DUMMYFUNCTION("""COMPUTED_VALUE"""),0.666666666666666)</f>
        <v>0.66666666666666596</v>
      </c>
      <c r="D185" s="114">
        <f ca="1">IFERROR(__xludf.DUMMYFUNCTION("""COMPUTED_VALUE"""),0)</f>
        <v>0</v>
      </c>
      <c r="E185" s="36"/>
      <c r="F185" s="36"/>
      <c r="G185" s="36" t="str">
        <f ca="1">IFERROR(__xludf.DUMMYFUNCTION("""COMPUTED_VALUE"""),"Чурілов Євген")</f>
        <v>Чурілов Євген</v>
      </c>
      <c r="H185" s="114">
        <f ca="1">IFERROR(__xludf.DUMMYFUNCTION("""COMPUTED_VALUE"""),0.0469696969696969)</f>
        <v>4.6969696969696897E-2</v>
      </c>
      <c r="I185" s="114">
        <f ca="1">IFERROR(__xludf.DUMMYFUNCTION("""COMPUTED_VALUE"""),0.40815997419771)</f>
        <v>0.40815997419771</v>
      </c>
      <c r="J185" s="114">
        <f ca="1">IFERROR(__xludf.DUMMYFUNCTION("""COMPUTED_VALUE"""),0.014090909090909)</f>
        <v>1.4090909090908999E-2</v>
      </c>
      <c r="R185" s="117" t="s">
        <v>953</v>
      </c>
      <c r="S185" s="116"/>
      <c r="T185" s="116"/>
      <c r="U185" s="616">
        <v>100</v>
      </c>
      <c r="V185" s="618">
        <v>0.55210000000000004</v>
      </c>
      <c r="W185" s="619">
        <v>55</v>
      </c>
      <c r="X185" s="618">
        <v>0.45</v>
      </c>
      <c r="Y185" s="620">
        <v>55</v>
      </c>
    </row>
    <row r="186" spans="1:25" ht="12.75">
      <c r="A186" s="36" t="str">
        <f ca="1">IFERROR(__xludf.DUMMYFUNCTION("""COMPUTED_VALUE"""),"Карпій Віталій")</f>
        <v>Карпій Віталій</v>
      </c>
      <c r="B186" s="114">
        <f ca="1">IFERROR(__xludf.DUMMYFUNCTION("""COMPUTED_VALUE"""),0.119200244200244)</f>
        <v>0.119200244200244</v>
      </c>
      <c r="C186" s="114">
        <f ca="1">IFERROR(__xludf.DUMMYFUNCTION("""COMPUTED_VALUE"""),0.738578009259011)</f>
        <v>0.73857800925901096</v>
      </c>
      <c r="D186" s="114">
        <f ca="1">IFERROR(__xludf.DUMMYFUNCTION("""COMPUTED_VALUE"""),0.0834401709401709)</f>
        <v>8.3440170940170894E-2</v>
      </c>
      <c r="E186" s="36"/>
      <c r="F186" s="36"/>
      <c r="G186" s="36" t="str">
        <f ca="1">IFERROR(__xludf.DUMMYFUNCTION("""COMPUTED_VALUE"""),"Шевченко Світлана")</f>
        <v>Шевченко Світлана</v>
      </c>
      <c r="H186" s="114">
        <f ca="1">IFERROR(__xludf.DUMMYFUNCTION("""COMPUTED_VALUE"""),0.0612026862026861)</f>
        <v>6.1202686202686103E-2</v>
      </c>
      <c r="I186" s="114">
        <f ca="1">IFERROR(__xludf.DUMMYFUNCTION("""COMPUTED_VALUE"""),0.557037653912653)</f>
        <v>0.55703765391265303</v>
      </c>
      <c r="J186" s="114">
        <f ca="1">IFERROR(__xludf.DUMMYFUNCTION("""COMPUTED_VALUE"""),0.0183608058608058)</f>
        <v>1.8360805860805799E-2</v>
      </c>
      <c r="R186" s="117" t="s">
        <v>956</v>
      </c>
      <c r="S186" s="116"/>
      <c r="T186" s="116"/>
      <c r="U186" s="616">
        <v>92</v>
      </c>
      <c r="V186" s="618">
        <v>0.51129999999999998</v>
      </c>
      <c r="W186" s="619">
        <v>51</v>
      </c>
      <c r="X186" s="618">
        <v>1.7000000000000001E-2</v>
      </c>
      <c r="Y186" s="620">
        <v>98</v>
      </c>
    </row>
    <row r="187" spans="1:25" ht="12.75">
      <c r="A187" s="36" t="str">
        <f ca="1">IFERROR(__xludf.DUMMYFUNCTION("""COMPUTED_VALUE"""),"Карплюк Юлія")</f>
        <v>Карплюк Юлія</v>
      </c>
      <c r="B187" s="114">
        <f ca="1">IFERROR(__xludf.DUMMYFUNCTION("""COMPUTED_VALUE"""),0)</f>
        <v>0</v>
      </c>
      <c r="C187" s="114">
        <f ca="1">IFERROR(__xludf.DUMMYFUNCTION("""COMPUTED_VALUE"""),0.982142857142857)</f>
        <v>0.98214285714285698</v>
      </c>
      <c r="D187" s="114">
        <f ca="1">IFERROR(__xludf.DUMMYFUNCTION("""COMPUTED_VALUE"""),0)</f>
        <v>0</v>
      </c>
      <c r="E187" s="36"/>
      <c r="F187" s="36"/>
      <c r="G187" s="36" t="str">
        <f ca="1">IFERROR(__xludf.DUMMYFUNCTION("""COMPUTED_VALUE"""),"Шевчук Богдан")</f>
        <v>Шевчук Богдан</v>
      </c>
      <c r="H187" s="114">
        <f ca="1">IFERROR(__xludf.DUMMYFUNCTION("""COMPUTED_VALUE"""),0.0939782323185684)</f>
        <v>9.3978232318568403E-2</v>
      </c>
      <c r="I187" s="114">
        <f ca="1">IFERROR(__xludf.DUMMYFUNCTION("""COMPUTED_VALUE"""),0.448871600123945)</f>
        <v>0.448871600123945</v>
      </c>
      <c r="J187" s="114">
        <f ca="1">IFERROR(__xludf.DUMMYFUNCTION("""COMPUTED_VALUE"""),0.0281934696955705)</f>
        <v>2.8193469695570499E-2</v>
      </c>
      <c r="R187" s="117" t="s">
        <v>959</v>
      </c>
      <c r="S187" s="116"/>
      <c r="T187" s="116"/>
      <c r="U187" s="616">
        <v>100</v>
      </c>
      <c r="V187" s="618">
        <v>0.57550000000000001</v>
      </c>
      <c r="W187" s="619">
        <v>58</v>
      </c>
      <c r="X187" s="618">
        <v>-1.3299999999999999E-2</v>
      </c>
      <c r="Y187" s="620">
        <v>101</v>
      </c>
    </row>
    <row r="188" spans="1:25" ht="12.75">
      <c r="A188" s="36" t="str">
        <f ca="1">IFERROR(__xludf.DUMMYFUNCTION("""COMPUTED_VALUE"""),"Карташов Микита")</f>
        <v>Карташов Микита</v>
      </c>
      <c r="B188" s="114">
        <f ca="1">IFERROR(__xludf.DUMMYFUNCTION("""COMPUTED_VALUE"""),0.05)</f>
        <v>0.05</v>
      </c>
      <c r="C188" s="114">
        <f ca="1">IFERROR(__xludf.DUMMYFUNCTION("""COMPUTED_VALUE"""),0.780059523809523)</f>
        <v>0.78005952380952304</v>
      </c>
      <c r="D188" s="114">
        <f ca="1">IFERROR(__xludf.DUMMYFUNCTION("""COMPUTED_VALUE"""),0.0349999999999999)</f>
        <v>3.4999999999999899E-2</v>
      </c>
      <c r="E188" s="36"/>
      <c r="F188" s="36"/>
      <c r="G188" s="36" t="str">
        <f ca="1">IFERROR(__xludf.DUMMYFUNCTION("""COMPUTED_VALUE"""),"Шейкіна Поліна")</f>
        <v>Шейкіна Поліна</v>
      </c>
      <c r="H188" s="114">
        <f ca="1">IFERROR(__xludf.DUMMYFUNCTION("""COMPUTED_VALUE"""),0.1)</f>
        <v>0.1</v>
      </c>
      <c r="I188" s="114">
        <f ca="1">IFERROR(__xludf.DUMMYFUNCTION("""COMPUTED_VALUE"""),0.682180851063829)</f>
        <v>0.68218085106382897</v>
      </c>
      <c r="J188" s="114">
        <f ca="1">IFERROR(__xludf.DUMMYFUNCTION("""COMPUTED_VALUE"""),0.03)</f>
        <v>0.03</v>
      </c>
      <c r="R188" s="117" t="s">
        <v>962</v>
      </c>
      <c r="S188" s="116"/>
      <c r="T188" s="116"/>
      <c r="U188" s="616">
        <v>69</v>
      </c>
      <c r="V188" s="618">
        <v>1.4179999999999999</v>
      </c>
      <c r="W188" s="619">
        <v>142</v>
      </c>
      <c r="X188" s="618">
        <v>5.8299999999999998E-2</v>
      </c>
      <c r="Y188" s="620">
        <v>94</v>
      </c>
    </row>
    <row r="189" spans="1:25" ht="12.75">
      <c r="A189" s="36" t="str">
        <f ca="1">IFERROR(__xludf.DUMMYFUNCTION("""COMPUTED_VALUE"""),"Каськів Володимир")</f>
        <v>Каськів Володимир</v>
      </c>
      <c r="B189" s="114">
        <f ca="1">IFERROR(__xludf.DUMMYFUNCTION("""COMPUTED_VALUE"""),0.0520833333333333)</f>
        <v>5.2083333333333301E-2</v>
      </c>
      <c r="C189" s="114">
        <f ca="1">IFERROR(__xludf.DUMMYFUNCTION("""COMPUTED_VALUE"""),0.789002267573696)</f>
        <v>0.78900226757369596</v>
      </c>
      <c r="D189" s="114">
        <f ca="1">IFERROR(__xludf.DUMMYFUNCTION("""COMPUTED_VALUE"""),0.0364583333333333)</f>
        <v>3.6458333333333301E-2</v>
      </c>
      <c r="E189" s="36"/>
      <c r="F189" s="36"/>
      <c r="G189" s="36" t="str">
        <f ca="1">IFERROR(__xludf.DUMMYFUNCTION("""COMPUTED_VALUE"""),"Шелемеха Марія")</f>
        <v>Шелемеха Марія</v>
      </c>
      <c r="H189" s="114">
        <f ca="1">IFERROR(__xludf.DUMMYFUNCTION("""COMPUTED_VALUE"""),0.166666666666666)</f>
        <v>0.16666666666666599</v>
      </c>
      <c r="I189" s="114">
        <f ca="1">IFERROR(__xludf.DUMMYFUNCTION("""COMPUTED_VALUE"""),0.565217391304347)</f>
        <v>0.56521739130434701</v>
      </c>
      <c r="J189" s="114">
        <f ca="1">IFERROR(__xludf.DUMMYFUNCTION("""COMPUTED_VALUE"""),0.0499999999999999)</f>
        <v>4.9999999999999899E-2</v>
      </c>
      <c r="R189" s="117" t="s">
        <v>966</v>
      </c>
      <c r="S189" s="116"/>
      <c r="T189" s="116"/>
      <c r="U189" s="616">
        <v>94</v>
      </c>
      <c r="V189" s="618">
        <v>1.2250000000000001</v>
      </c>
      <c r="W189" s="619">
        <v>123</v>
      </c>
      <c r="X189" s="618">
        <v>0</v>
      </c>
      <c r="Y189" s="620">
        <v>100</v>
      </c>
    </row>
    <row r="190" spans="1:25" ht="12.75">
      <c r="A190" s="36" t="str">
        <f ca="1">IFERROR(__xludf.DUMMYFUNCTION("""COMPUTED_VALUE"""),"Касьянова Наталія")</f>
        <v>Касьянова Наталія</v>
      </c>
      <c r="B190" s="114">
        <f ca="1">IFERROR(__xludf.DUMMYFUNCTION("""COMPUTED_VALUE"""),0.112307692307692)</f>
        <v>0.112307692307692</v>
      </c>
      <c r="C190" s="114">
        <f ca="1">IFERROR(__xludf.DUMMYFUNCTION("""COMPUTED_VALUE"""),0.892172574157868)</f>
        <v>0.89217257415786799</v>
      </c>
      <c r="D190" s="114">
        <f ca="1">IFERROR(__xludf.DUMMYFUNCTION("""COMPUTED_VALUE"""),0.0786153846153846)</f>
        <v>7.8615384615384601E-2</v>
      </c>
      <c r="E190" s="36"/>
      <c r="F190" s="36"/>
      <c r="G190" s="36" t="str">
        <f ca="1">IFERROR(__xludf.DUMMYFUNCTION("""COMPUTED_VALUE"""),"Шулєшко Дар'я")</f>
        <v>Шулєшко Дар'я</v>
      </c>
      <c r="H190" s="114">
        <f ca="1">IFERROR(__xludf.DUMMYFUNCTION("""COMPUTED_VALUE"""),0.0735658785658785)</f>
        <v>7.3565878565878498E-2</v>
      </c>
      <c r="I190" s="114">
        <f ca="1">IFERROR(__xludf.DUMMYFUNCTION("""COMPUTED_VALUE"""),0.801932482767526)</f>
        <v>0.80193248276752604</v>
      </c>
      <c r="J190" s="114">
        <f ca="1">IFERROR(__xludf.DUMMYFUNCTION("""COMPUTED_VALUE"""),0.0220697635697635)</f>
        <v>2.2069763569763499E-2</v>
      </c>
      <c r="R190" s="117" t="s">
        <v>969</v>
      </c>
      <c r="S190" s="116"/>
      <c r="T190" s="116"/>
      <c r="U190" s="616">
        <v>92</v>
      </c>
      <c r="V190" s="618">
        <v>0.55279999999999996</v>
      </c>
      <c r="W190" s="619">
        <v>55</v>
      </c>
      <c r="X190" s="618">
        <v>1.67E-2</v>
      </c>
      <c r="Y190" s="620">
        <v>98</v>
      </c>
    </row>
    <row r="191" spans="1:25" ht="12.75">
      <c r="A191" s="36" t="str">
        <f ca="1">IFERROR(__xludf.DUMMYFUNCTION("""COMPUTED_VALUE"""),"Катрич Кристина")</f>
        <v>Катрич Кристина</v>
      </c>
      <c r="B191" s="114" t="str">
        <f ca="1">IFERROR(__xludf.DUMMYFUNCTION("""COMPUTED_VALUE"""),"#DIV/0!")</f>
        <v>#DIV/0!</v>
      </c>
      <c r="C191" s="114" t="str">
        <f ca="1">IFERROR(__xludf.DUMMYFUNCTION("""COMPUTED_VALUE"""),"#DIV/0!")</f>
        <v>#DIV/0!</v>
      </c>
      <c r="D191" s="114" t="str">
        <f ca="1">IFERROR(__xludf.DUMMYFUNCTION("""COMPUTED_VALUE"""),"#DIV/0!")</f>
        <v>#DIV/0!</v>
      </c>
      <c r="E191" s="36"/>
      <c r="F191" s="36"/>
      <c r="G191" s="36" t="str">
        <f ca="1">IFERROR(__xludf.DUMMYFUNCTION("""COMPUTED_VALUE"""),"Щербакова Анастасія")</f>
        <v>Щербакова Анастасія</v>
      </c>
      <c r="H191" s="114">
        <f ca="1">IFERROR(__xludf.DUMMYFUNCTION("""COMPUTED_VALUE"""),0.0977294310627644)</f>
        <v>9.7729431062764396E-2</v>
      </c>
      <c r="I191" s="114">
        <f ca="1">IFERROR(__xludf.DUMMYFUNCTION("""COMPUTED_VALUE"""),0.511309523809523)</f>
        <v>0.51130952380952299</v>
      </c>
      <c r="J191" s="114">
        <f ca="1">IFERROR(__xludf.DUMMYFUNCTION("""COMPUTED_VALUE"""),0.0293188293188293)</f>
        <v>2.9318829318829301E-2</v>
      </c>
      <c r="R191" s="117" t="s">
        <v>972</v>
      </c>
      <c r="S191" s="116"/>
      <c r="T191" s="116"/>
      <c r="U191" s="616">
        <v>76</v>
      </c>
      <c r="V191" s="618">
        <v>0.81499999999999995</v>
      </c>
      <c r="W191" s="619">
        <v>82</v>
      </c>
      <c r="X191" s="618">
        <v>3.5099999999999999E-2</v>
      </c>
      <c r="Y191" s="620">
        <v>96</v>
      </c>
    </row>
    <row r="192" spans="1:25" ht="12.75">
      <c r="A192" s="36" t="str">
        <f ca="1">IFERROR(__xludf.DUMMYFUNCTION("""COMPUTED_VALUE"""),"Каур Дар'я")</f>
        <v>Каур Дар'я</v>
      </c>
      <c r="B192" s="114">
        <f ca="1">IFERROR(__xludf.DUMMYFUNCTION("""COMPUTED_VALUE"""),0)</f>
        <v>0</v>
      </c>
      <c r="C192" s="114">
        <f ca="1">IFERROR(__xludf.DUMMYFUNCTION("""COMPUTED_VALUE"""),0.983333333333333)</f>
        <v>0.98333333333333295</v>
      </c>
      <c r="D192" s="114">
        <f ca="1">IFERROR(__xludf.DUMMYFUNCTION("""COMPUTED_VALUE"""),0)</f>
        <v>0</v>
      </c>
      <c r="E192" s="36"/>
      <c r="F192" s="36"/>
      <c r="G192" s="36" t="str">
        <f ca="1">IFERROR(__xludf.DUMMYFUNCTION("""COMPUTED_VALUE"""),"Юзькова Інна")</f>
        <v>Юзькова Інна</v>
      </c>
      <c r="H192" s="114">
        <f ca="1">IFERROR(__xludf.DUMMYFUNCTION("""COMPUTED_VALUE"""),0.101816635745207)</f>
        <v>0.101816635745207</v>
      </c>
      <c r="I192" s="114">
        <f ca="1">IFERROR(__xludf.DUMMYFUNCTION("""COMPUTED_VALUE"""),0.790276084214076)</f>
        <v>0.79027608421407602</v>
      </c>
      <c r="J192" s="114">
        <f ca="1">IFERROR(__xludf.DUMMYFUNCTION("""COMPUTED_VALUE"""),0.0305449907235621)</f>
        <v>3.05449907235621E-2</v>
      </c>
      <c r="R192" s="117" t="s">
        <v>981</v>
      </c>
      <c r="S192" s="116"/>
      <c r="T192" s="116"/>
      <c r="U192" s="616">
        <v>93</v>
      </c>
      <c r="V192" s="618">
        <v>0.54049999999999998</v>
      </c>
      <c r="W192" s="619">
        <v>54</v>
      </c>
      <c r="X192" s="618">
        <v>2.7799999999999998E-2</v>
      </c>
      <c r="Y192" s="620">
        <v>97</v>
      </c>
    </row>
    <row r="193" spans="1:25" ht="12.75">
      <c r="A193" s="36" t="str">
        <f ca="1">IFERROR(__xludf.DUMMYFUNCTION("""COMPUTED_VALUE"""),"Кахновець Богдан")</f>
        <v>Кахновець Богдан</v>
      </c>
      <c r="B193" s="114">
        <f ca="1">IFERROR(__xludf.DUMMYFUNCTION("""COMPUTED_VALUE"""),0.1)</f>
        <v>0.1</v>
      </c>
      <c r="C193" s="114">
        <f ca="1">IFERROR(__xludf.DUMMYFUNCTION("""COMPUTED_VALUE"""),0.809919702311006)</f>
        <v>0.80991970231100596</v>
      </c>
      <c r="D193" s="114">
        <f ca="1">IFERROR(__xludf.DUMMYFUNCTION("""COMPUTED_VALUE"""),0.07)</f>
        <v>7.0000000000000007E-2</v>
      </c>
      <c r="E193" s="36"/>
      <c r="F193" s="36"/>
      <c r="G193" s="36" t="str">
        <f ca="1">IFERROR(__xludf.DUMMYFUNCTION("""COMPUTED_VALUE"""),"Явтушенко Вікторія")</f>
        <v>Явтушенко Вікторія</v>
      </c>
      <c r="H193" s="114">
        <f ca="1">IFERROR(__xludf.DUMMYFUNCTION("""COMPUTED_VALUE"""),-0.0378787878787878)</f>
        <v>-3.7878787878787797E-2</v>
      </c>
      <c r="I193" s="114">
        <f ca="1">IFERROR(__xludf.DUMMYFUNCTION("""COMPUTED_VALUE"""),0.712962962962963)</f>
        <v>0.71296296296296302</v>
      </c>
      <c r="J193" s="114">
        <f ca="1">IFERROR(__xludf.DUMMYFUNCTION("""COMPUTED_VALUE"""),-0.0113636363636363)</f>
        <v>-1.13636363636363E-2</v>
      </c>
      <c r="R193" s="117" t="s">
        <v>984</v>
      </c>
      <c r="S193" s="116"/>
      <c r="T193" s="116"/>
      <c r="U193" s="616">
        <v>93</v>
      </c>
      <c r="V193" s="618">
        <v>0.8639</v>
      </c>
      <c r="W193" s="619">
        <v>86</v>
      </c>
      <c r="X193" s="618">
        <v>4.1300000000000003E-2</v>
      </c>
      <c r="Y193" s="620">
        <v>96</v>
      </c>
    </row>
    <row r="194" spans="1:25" ht="12.75">
      <c r="A194" s="36" t="str">
        <f ca="1">IFERROR(__xludf.DUMMYFUNCTION("""COMPUTED_VALUE"""),"Качуєвська Вікторія")</f>
        <v>Качуєвська Вікторія</v>
      </c>
      <c r="B194" s="114">
        <f ca="1">IFERROR(__xludf.DUMMYFUNCTION("""COMPUTED_VALUE"""),0.08125)</f>
        <v>8.1250000000000003E-2</v>
      </c>
      <c r="C194" s="114">
        <f ca="1">IFERROR(__xludf.DUMMYFUNCTION("""COMPUTED_VALUE"""),0.655636070853462)</f>
        <v>0.65563607085346198</v>
      </c>
      <c r="D194" s="114">
        <f ca="1">IFERROR(__xludf.DUMMYFUNCTION("""COMPUTED_VALUE"""),0.0568749999999999)</f>
        <v>5.6874999999999898E-2</v>
      </c>
      <c r="E194" s="36"/>
      <c r="F194" s="36"/>
      <c r="G194" s="36" t="str">
        <f ca="1">IFERROR(__xludf.DUMMYFUNCTION("""COMPUTED_VALUE"""),"Яремчук Юлія")</f>
        <v>Яремчук Юлія</v>
      </c>
      <c r="H194" s="114">
        <f ca="1">IFERROR(__xludf.DUMMYFUNCTION("""COMPUTED_VALUE"""),0.2)</f>
        <v>0.2</v>
      </c>
      <c r="I194" s="114">
        <f ca="1">IFERROR(__xludf.DUMMYFUNCTION("""COMPUTED_VALUE"""),0.684210526315789)</f>
        <v>0.68421052631578905</v>
      </c>
      <c r="J194" s="114">
        <f ca="1">IFERROR(__xludf.DUMMYFUNCTION("""COMPUTED_VALUE"""),0.06)</f>
        <v>0.06</v>
      </c>
      <c r="R194" s="117" t="s">
        <v>987</v>
      </c>
      <c r="S194" s="116"/>
      <c r="T194" s="116"/>
      <c r="U194" s="616">
        <v>86</v>
      </c>
      <c r="V194" s="618">
        <v>1.0357000000000001</v>
      </c>
      <c r="W194" s="619">
        <v>104</v>
      </c>
      <c r="X194" s="618">
        <v>0</v>
      </c>
      <c r="Y194" s="620">
        <v>100</v>
      </c>
    </row>
    <row r="195" spans="1:25" ht="12.75">
      <c r="A195" s="36" t="str">
        <f ca="1">IFERROR(__xludf.DUMMYFUNCTION("""COMPUTED_VALUE"""),"Квітка Таісія")</f>
        <v>Квітка Таісія</v>
      </c>
      <c r="B195" s="114">
        <f ca="1">IFERROR(__xludf.DUMMYFUNCTION("""COMPUTED_VALUE"""),0)</f>
        <v>0</v>
      </c>
      <c r="C195" s="114">
        <f ca="1">IFERROR(__xludf.DUMMYFUNCTION("""COMPUTED_VALUE"""),1.2)</f>
        <v>1.2</v>
      </c>
      <c r="D195" s="114">
        <f ca="1">IFERROR(__xludf.DUMMYFUNCTION("""COMPUTED_VALUE"""),0)</f>
        <v>0</v>
      </c>
      <c r="E195" s="36"/>
      <c r="F195" s="36"/>
      <c r="G195" s="36" t="str">
        <f ca="1">IFERROR(__xludf.DUMMYFUNCTION("""COMPUTED_VALUE"""),"Загальний результат")</f>
        <v>Загальний результат</v>
      </c>
      <c r="H195" s="114">
        <f ca="1">IFERROR(__xludf.DUMMYFUNCTION("""COMPUTED_VALUE"""),0.059096724962895)</f>
        <v>5.9096724962895003E-2</v>
      </c>
      <c r="I195" s="114">
        <f ca="1">IFERROR(__xludf.DUMMYFUNCTION("""COMPUTED_VALUE"""),0.665184363891164)</f>
        <v>0.66518436389116398</v>
      </c>
      <c r="J195" s="114">
        <f ca="1">IFERROR(__xludf.DUMMYFUNCTION("""COMPUTED_VALUE"""),0.0177290174888685)</f>
        <v>1.7729017488868501E-2</v>
      </c>
      <c r="R195" s="117" t="s">
        <v>990</v>
      </c>
      <c r="S195" s="116"/>
      <c r="T195" s="116"/>
      <c r="U195" s="156"/>
      <c r="V195" s="618">
        <v>0</v>
      </c>
      <c r="W195" s="619">
        <v>0</v>
      </c>
      <c r="X195" s="618">
        <v>2.1399999999999999E-2</v>
      </c>
      <c r="Y195" s="620">
        <v>98</v>
      </c>
    </row>
    <row r="196" spans="1:25" ht="12.75">
      <c r="A196" s="36" t="str">
        <f ca="1">IFERROR(__xludf.DUMMYFUNCTION("""COMPUTED_VALUE"""),"Кеван Олександр")</f>
        <v>Кеван Олександр</v>
      </c>
      <c r="B196" s="114">
        <f ca="1">IFERROR(__xludf.DUMMYFUNCTION("""COMPUTED_VALUE"""),0)</f>
        <v>0</v>
      </c>
      <c r="C196" s="114">
        <f ca="1">IFERROR(__xludf.DUMMYFUNCTION("""COMPUTED_VALUE"""),0.678846153846153)</f>
        <v>0.67884615384615299</v>
      </c>
      <c r="D196" s="114">
        <f ca="1">IFERROR(__xludf.DUMMYFUNCTION("""COMPUTED_VALUE"""),0)</f>
        <v>0</v>
      </c>
      <c r="E196" s="36"/>
      <c r="F196" s="36"/>
      <c r="G196" s="36"/>
      <c r="H196" s="36"/>
      <c r="I196" s="36"/>
      <c r="J196" s="114">
        <f ca="1">IFERROR(__xludf.DUMMYFUNCTION("""COMPUTED_VALUE"""),0)</f>
        <v>0</v>
      </c>
      <c r="R196" s="117" t="s">
        <v>993</v>
      </c>
      <c r="S196" s="116"/>
      <c r="T196" s="116"/>
      <c r="U196" s="616">
        <v>83</v>
      </c>
      <c r="V196" s="618">
        <v>0.375</v>
      </c>
      <c r="W196" s="619">
        <v>38</v>
      </c>
      <c r="X196" s="618">
        <v>0</v>
      </c>
      <c r="Y196" s="620">
        <v>100</v>
      </c>
    </row>
    <row r="197" spans="1:25" ht="12.75">
      <c r="A197" s="36" t="str">
        <f ca="1">IFERROR(__xludf.DUMMYFUNCTION("""COMPUTED_VALUE"""),"Кевхаян Єлизавета")</f>
        <v>Кевхаян Єлизавета</v>
      </c>
      <c r="B197" s="114">
        <f ca="1">IFERROR(__xludf.DUMMYFUNCTION("""COMPUTED_VALUE"""),0)</f>
        <v>0</v>
      </c>
      <c r="C197" s="114" t="str">
        <f ca="1">IFERROR(__xludf.DUMMYFUNCTION("""COMPUTED_VALUE"""),"#DIV/0!")</f>
        <v>#DIV/0!</v>
      </c>
      <c r="D197" s="114">
        <f ca="1">IFERROR(__xludf.DUMMYFUNCTION("""COMPUTED_VALUE"""),0)</f>
        <v>0</v>
      </c>
      <c r="E197" s="36"/>
      <c r="F197" s="36"/>
      <c r="G197" s="36"/>
      <c r="H197" s="36"/>
      <c r="I197" s="36"/>
      <c r="J197" s="114">
        <f ca="1">IFERROR(__xludf.DUMMYFUNCTION("""COMPUTED_VALUE"""),0)</f>
        <v>0</v>
      </c>
      <c r="R197" s="117" t="s">
        <v>996</v>
      </c>
      <c r="S197" s="116"/>
      <c r="T197" s="116"/>
      <c r="U197" s="616">
        <v>100</v>
      </c>
      <c r="V197" s="618">
        <v>0.37830000000000003</v>
      </c>
      <c r="W197" s="619">
        <v>38</v>
      </c>
      <c r="X197" s="618">
        <v>-3.8999999999999998E-3</v>
      </c>
      <c r="Y197" s="620">
        <v>100</v>
      </c>
    </row>
    <row r="198" spans="1:25" ht="12.75">
      <c r="A198" s="36" t="str">
        <f ca="1">IFERROR(__xludf.DUMMYFUNCTION("""COMPUTED_VALUE"""),"Кекляк Анна")</f>
        <v>Кекляк Анна</v>
      </c>
      <c r="B198" s="114">
        <f ca="1">IFERROR(__xludf.DUMMYFUNCTION("""COMPUTED_VALUE"""),0.132275132275132)</f>
        <v>0.13227513227513199</v>
      </c>
      <c r="C198" s="114">
        <f ca="1">IFERROR(__xludf.DUMMYFUNCTION("""COMPUTED_VALUE"""),0.706249999999999)</f>
        <v>0.70624999999999905</v>
      </c>
      <c r="D198" s="114">
        <f ca="1">IFERROR(__xludf.DUMMYFUNCTION("""COMPUTED_VALUE"""),0.0925925925925925)</f>
        <v>9.2592592592592504E-2</v>
      </c>
      <c r="E198" s="36"/>
      <c r="F198" s="36"/>
      <c r="G198" s="36"/>
      <c r="H198" s="36"/>
      <c r="I198" s="36"/>
      <c r="J198" s="114">
        <f ca="1">IFERROR(__xludf.DUMMYFUNCTION("""COMPUTED_VALUE"""),0)</f>
        <v>0</v>
      </c>
      <c r="R198" s="117" t="s">
        <v>999</v>
      </c>
      <c r="S198" s="116"/>
      <c r="T198" s="116"/>
      <c r="U198" s="616">
        <v>95</v>
      </c>
      <c r="V198" s="618">
        <v>0.52490000000000003</v>
      </c>
      <c r="W198" s="619">
        <v>52</v>
      </c>
      <c r="X198" s="618">
        <v>-1.77E-2</v>
      </c>
      <c r="Y198" s="620">
        <v>102</v>
      </c>
    </row>
    <row r="199" spans="1:25" ht="12.75">
      <c r="A199" s="36" t="str">
        <f ca="1">IFERROR(__xludf.DUMMYFUNCTION("""COMPUTED_VALUE"""),"Келлер Владислав")</f>
        <v>Келлер Владислав</v>
      </c>
      <c r="B199" s="114">
        <f ca="1">IFERROR(__xludf.DUMMYFUNCTION("""COMPUTED_VALUE"""),0.0506944444444444)</f>
        <v>5.0694444444444403E-2</v>
      </c>
      <c r="C199" s="114">
        <f ca="1">IFERROR(__xludf.DUMMYFUNCTION("""COMPUTED_VALUE"""),0.804685592185592)</f>
        <v>0.80468559218559199</v>
      </c>
      <c r="D199" s="114">
        <f ca="1">IFERROR(__xludf.DUMMYFUNCTION("""COMPUTED_VALUE"""),0.0354861111111111)</f>
        <v>3.54861111111111E-2</v>
      </c>
      <c r="E199" s="36"/>
      <c r="F199" s="36"/>
      <c r="G199" s="36"/>
      <c r="H199" s="36"/>
      <c r="I199" s="36"/>
      <c r="J199" s="114">
        <f ca="1">IFERROR(__xludf.DUMMYFUNCTION("""COMPUTED_VALUE"""),0)</f>
        <v>0</v>
      </c>
      <c r="R199" s="117" t="s">
        <v>1003</v>
      </c>
      <c r="S199" s="116"/>
      <c r="T199" s="116"/>
      <c r="U199" s="616">
        <v>85</v>
      </c>
      <c r="V199" s="618">
        <v>0.53649999999999998</v>
      </c>
      <c r="W199" s="619">
        <v>54</v>
      </c>
      <c r="X199" s="618">
        <v>6.4199999999999993E-2</v>
      </c>
      <c r="Y199" s="620">
        <v>94</v>
      </c>
    </row>
    <row r="200" spans="1:25" ht="12.75">
      <c r="A200" s="36" t="str">
        <f ca="1">IFERROR(__xludf.DUMMYFUNCTION("""COMPUTED_VALUE"""),"Кириленко Дарина")</f>
        <v>Кириленко Дарина</v>
      </c>
      <c r="B200" s="114">
        <f ca="1">IFERROR(__xludf.DUMMYFUNCTION("""COMPUTED_VALUE"""),0)</f>
        <v>0</v>
      </c>
      <c r="C200" s="114">
        <f ca="1">IFERROR(__xludf.DUMMYFUNCTION("""COMPUTED_VALUE"""),0.818181818181818)</f>
        <v>0.81818181818181801</v>
      </c>
      <c r="D200" s="114">
        <f ca="1">IFERROR(__xludf.DUMMYFUNCTION("""COMPUTED_VALUE"""),0)</f>
        <v>0</v>
      </c>
      <c r="E200" s="36"/>
      <c r="F200" s="36"/>
      <c r="G200" s="36"/>
      <c r="H200" s="36"/>
      <c r="I200" s="36"/>
      <c r="J200" s="114">
        <f ca="1">IFERROR(__xludf.DUMMYFUNCTION("""COMPUTED_VALUE"""),0)</f>
        <v>0</v>
      </c>
      <c r="R200" s="117" t="s">
        <v>1007</v>
      </c>
      <c r="S200" s="116"/>
      <c r="T200" s="116"/>
      <c r="U200" s="616">
        <v>98</v>
      </c>
      <c r="V200" s="618">
        <v>1.0857000000000001</v>
      </c>
      <c r="W200" s="619">
        <v>109</v>
      </c>
      <c r="X200" s="618">
        <v>0</v>
      </c>
      <c r="Y200" s="620">
        <v>100</v>
      </c>
    </row>
    <row r="201" spans="1:25" ht="12.75">
      <c r="A201" s="36" t="str">
        <f ca="1">IFERROR(__xludf.DUMMYFUNCTION("""COMPUTED_VALUE"""),"Кирилишена Лілія")</f>
        <v>Кирилишена Лілія</v>
      </c>
      <c r="B201" s="114">
        <f ca="1">IFERROR(__xludf.DUMMYFUNCTION("""COMPUTED_VALUE"""),0)</f>
        <v>0</v>
      </c>
      <c r="C201" s="114">
        <f ca="1">IFERROR(__xludf.DUMMYFUNCTION("""COMPUTED_VALUE"""),1.07142857142857)</f>
        <v>1.0714285714285701</v>
      </c>
      <c r="D201" s="114">
        <f ca="1">IFERROR(__xludf.DUMMYFUNCTION("""COMPUTED_VALUE"""),0)</f>
        <v>0</v>
      </c>
      <c r="E201" s="36"/>
      <c r="F201" s="36"/>
      <c r="G201" s="36"/>
      <c r="H201" s="36"/>
      <c r="I201" s="36"/>
      <c r="J201" s="114">
        <f ca="1">IFERROR(__xludf.DUMMYFUNCTION("""COMPUTED_VALUE"""),0)</f>
        <v>0</v>
      </c>
      <c r="R201" s="117" t="s">
        <v>1010</v>
      </c>
      <c r="S201" s="116"/>
      <c r="T201" s="116"/>
      <c r="U201" s="616">
        <v>92</v>
      </c>
      <c r="V201" s="618">
        <v>0.66690000000000005</v>
      </c>
      <c r="W201" s="619">
        <v>67</v>
      </c>
      <c r="X201" s="618">
        <v>-1.67E-2</v>
      </c>
      <c r="Y201" s="620">
        <v>102</v>
      </c>
    </row>
    <row r="202" spans="1:25" ht="12.75">
      <c r="A202" s="36" t="str">
        <f ca="1">IFERROR(__xludf.DUMMYFUNCTION("""COMPUTED_VALUE"""),"Кириловська Вероніка")</f>
        <v>Кириловська Вероніка</v>
      </c>
      <c r="B202" s="114">
        <f ca="1">IFERROR(__xludf.DUMMYFUNCTION("""COMPUTED_VALUE"""),0)</f>
        <v>0</v>
      </c>
      <c r="C202" s="114">
        <f ca="1">IFERROR(__xludf.DUMMYFUNCTION("""COMPUTED_VALUE"""),0.52)</f>
        <v>0.52</v>
      </c>
      <c r="D202" s="114">
        <f ca="1">IFERROR(__xludf.DUMMYFUNCTION("""COMPUTED_VALUE"""),0)</f>
        <v>0</v>
      </c>
      <c r="E202" s="36"/>
      <c r="F202" s="36"/>
      <c r="G202" s="36"/>
      <c r="H202" s="36"/>
      <c r="I202" s="36"/>
      <c r="J202" s="114">
        <f ca="1">IFERROR(__xludf.DUMMYFUNCTION("""COMPUTED_VALUE"""),0)</f>
        <v>0</v>
      </c>
      <c r="R202" s="117" t="s">
        <v>1013</v>
      </c>
      <c r="S202" s="116"/>
      <c r="T202" s="116"/>
      <c r="U202" s="616">
        <v>100</v>
      </c>
      <c r="V202" s="618">
        <v>0.61339999999999995</v>
      </c>
      <c r="W202" s="619">
        <v>61</v>
      </c>
      <c r="X202" s="618">
        <v>-5.7299999999999997E-2</v>
      </c>
      <c r="Y202" s="620">
        <v>106</v>
      </c>
    </row>
    <row r="203" spans="1:25" ht="12.75">
      <c r="A203" s="36" t="str">
        <f ca="1">IFERROR(__xludf.DUMMYFUNCTION("""COMPUTED_VALUE"""),"Кисельов Данило")</f>
        <v>Кисельов Данило</v>
      </c>
      <c r="B203" s="114">
        <f ca="1">IFERROR(__xludf.DUMMYFUNCTION("""COMPUTED_VALUE"""),0.0714285714285714)</f>
        <v>7.1428571428571397E-2</v>
      </c>
      <c r="C203" s="114">
        <f ca="1">IFERROR(__xludf.DUMMYFUNCTION("""COMPUTED_VALUE"""),0.691666666666666)</f>
        <v>0.69166666666666599</v>
      </c>
      <c r="D203" s="114">
        <f ca="1">IFERROR(__xludf.DUMMYFUNCTION("""COMPUTED_VALUE"""),0.0499999999999999)</f>
        <v>4.9999999999999899E-2</v>
      </c>
      <c r="E203" s="36"/>
      <c r="F203" s="36"/>
      <c r="G203" s="36"/>
      <c r="H203" s="36"/>
      <c r="I203" s="36"/>
      <c r="J203" s="36"/>
      <c r="R203" s="117" t="s">
        <v>1019</v>
      </c>
      <c r="S203" s="116"/>
      <c r="T203" s="116"/>
      <c r="U203" s="616">
        <v>87</v>
      </c>
      <c r="V203" s="618">
        <v>0.54459999999999997</v>
      </c>
      <c r="W203" s="619">
        <v>54</v>
      </c>
      <c r="X203" s="618">
        <v>1.8599999999999998E-2</v>
      </c>
      <c r="Y203" s="620">
        <v>98</v>
      </c>
    </row>
    <row r="204" spans="1:25" ht="12.75">
      <c r="A204" s="36" t="str">
        <f ca="1">IFERROR(__xludf.DUMMYFUNCTION("""COMPUTED_VALUE"""),"Кисельов Іван")</f>
        <v>Кисельов Іван</v>
      </c>
      <c r="B204" s="114" t="str">
        <f ca="1">IFERROR(__xludf.DUMMYFUNCTION("""COMPUTED_VALUE"""),"#DIV/0!")</f>
        <v>#DIV/0!</v>
      </c>
      <c r="C204" s="114" t="str">
        <f ca="1">IFERROR(__xludf.DUMMYFUNCTION("""COMPUTED_VALUE"""),"#DIV/0!")</f>
        <v>#DIV/0!</v>
      </c>
      <c r="D204" s="114" t="str">
        <f ca="1">IFERROR(__xludf.DUMMYFUNCTION("""COMPUTED_VALUE"""),"#DIV/0!")</f>
        <v>#DIV/0!</v>
      </c>
      <c r="E204" s="36"/>
      <c r="F204" s="36"/>
      <c r="G204" s="36"/>
      <c r="H204" s="36"/>
      <c r="I204" s="36"/>
      <c r="J204" s="36"/>
      <c r="R204" s="117" t="s">
        <v>1022</v>
      </c>
      <c r="S204" s="116"/>
      <c r="T204" s="116"/>
      <c r="U204" s="616">
        <v>92</v>
      </c>
      <c r="V204" s="618">
        <v>0.94740000000000002</v>
      </c>
      <c r="W204" s="619">
        <v>95</v>
      </c>
      <c r="X204" s="618">
        <v>1.2500000000000001E-2</v>
      </c>
      <c r="Y204" s="620">
        <v>99</v>
      </c>
    </row>
    <row r="205" spans="1:25" ht="12.75">
      <c r="A205" s="36" t="str">
        <f ca="1">IFERROR(__xludf.DUMMYFUNCTION("""COMPUTED_VALUE"""),"Кислун Андрій")</f>
        <v>Кислун Андрій</v>
      </c>
      <c r="B205" s="114">
        <f ca="1">IFERROR(__xludf.DUMMYFUNCTION("""COMPUTED_VALUE"""),0.142857142857142)</f>
        <v>0.14285714285714199</v>
      </c>
      <c r="C205" s="114">
        <f ca="1">IFERROR(__xludf.DUMMYFUNCTION("""COMPUTED_VALUE"""),0.72)</f>
        <v>0.72</v>
      </c>
      <c r="D205" s="114">
        <f ca="1">IFERROR(__xludf.DUMMYFUNCTION("""COMPUTED_VALUE"""),0.0999999999999999)</f>
        <v>9.9999999999999895E-2</v>
      </c>
      <c r="E205" s="36"/>
      <c r="F205" s="36"/>
      <c r="G205" s="36"/>
      <c r="H205" s="36"/>
      <c r="I205" s="36"/>
      <c r="J205" s="36"/>
      <c r="R205" s="117" t="s">
        <v>1031</v>
      </c>
      <c r="S205" s="116"/>
      <c r="T205" s="116"/>
      <c r="U205" s="616">
        <v>100</v>
      </c>
      <c r="V205" s="618">
        <v>0.93230000000000002</v>
      </c>
      <c r="W205" s="619">
        <v>93</v>
      </c>
      <c r="X205" s="618">
        <v>1.6299999999999999E-2</v>
      </c>
      <c r="Y205" s="620">
        <v>98</v>
      </c>
    </row>
    <row r="206" spans="1:25" ht="12.75">
      <c r="A206" s="36" t="str">
        <f ca="1">IFERROR(__xludf.DUMMYFUNCTION("""COMPUTED_VALUE"""),"Кішечко Станіслав")</f>
        <v>Кішечко Станіслав</v>
      </c>
      <c r="B206" s="114">
        <f ca="1">IFERROR(__xludf.DUMMYFUNCTION("""COMPUTED_VALUE"""),0.0391865079365079)</f>
        <v>3.9186507936507901E-2</v>
      </c>
      <c r="C206" s="114">
        <f ca="1">IFERROR(__xludf.DUMMYFUNCTION("""COMPUTED_VALUE"""),0.782102701220348)</f>
        <v>0.78210270122034797</v>
      </c>
      <c r="D206" s="114">
        <f ca="1">IFERROR(__xludf.DUMMYFUNCTION("""COMPUTED_VALUE"""),0.0274305555555555)</f>
        <v>2.74305555555555E-2</v>
      </c>
      <c r="E206" s="36"/>
      <c r="F206" s="36"/>
      <c r="G206" s="36"/>
      <c r="H206" s="36"/>
      <c r="I206" s="36"/>
      <c r="J206" s="36"/>
      <c r="R206" s="117" t="s">
        <v>1034</v>
      </c>
      <c r="S206" s="116"/>
      <c r="T206" s="116"/>
      <c r="U206" s="616">
        <v>100</v>
      </c>
      <c r="V206" s="618">
        <v>0.31340000000000001</v>
      </c>
      <c r="W206" s="619">
        <v>31</v>
      </c>
      <c r="X206" s="618">
        <v>9.1999999999999998E-3</v>
      </c>
      <c r="Y206" s="620">
        <v>99</v>
      </c>
    </row>
    <row r="207" spans="1:25" ht="12.75">
      <c r="A207" s="36" t="str">
        <f ca="1">IFERROR(__xludf.DUMMYFUNCTION("""COMPUTED_VALUE"""),"Клещ Катерина")</f>
        <v>Клещ Катерина</v>
      </c>
      <c r="B207" s="114">
        <f ca="1">IFERROR(__xludf.DUMMYFUNCTION("""COMPUTED_VALUE"""),0)</f>
        <v>0</v>
      </c>
      <c r="C207" s="114">
        <f ca="1">IFERROR(__xludf.DUMMYFUNCTION("""COMPUTED_VALUE"""),0.8)</f>
        <v>0.8</v>
      </c>
      <c r="D207" s="114">
        <f ca="1">IFERROR(__xludf.DUMMYFUNCTION("""COMPUTED_VALUE"""),0)</f>
        <v>0</v>
      </c>
      <c r="E207" s="36"/>
      <c r="F207" s="36"/>
      <c r="G207" s="36"/>
      <c r="H207" s="36"/>
      <c r="I207" s="36"/>
      <c r="J207" s="36"/>
      <c r="R207" s="117" t="s">
        <v>1042</v>
      </c>
      <c r="S207" s="116"/>
      <c r="T207" s="116"/>
      <c r="U207" s="616">
        <v>97</v>
      </c>
      <c r="V207" s="618">
        <v>0.6986</v>
      </c>
      <c r="W207" s="619">
        <v>70</v>
      </c>
      <c r="X207" s="618">
        <v>1.29E-2</v>
      </c>
      <c r="Y207" s="620">
        <v>99</v>
      </c>
    </row>
    <row r="208" spans="1:25" ht="12.75">
      <c r="A208" s="36" t="str">
        <f ca="1">IFERROR(__xludf.DUMMYFUNCTION("""COMPUTED_VALUE"""),"Клименко Анна")</f>
        <v>Клименко Анна</v>
      </c>
      <c r="B208" s="114">
        <f ca="1">IFERROR(__xludf.DUMMYFUNCTION("""COMPUTED_VALUE"""),-0.0416666666666666)</f>
        <v>-4.1666666666666602E-2</v>
      </c>
      <c r="C208" s="114">
        <f ca="1">IFERROR(__xludf.DUMMYFUNCTION("""COMPUTED_VALUE"""),0.904246794871794)</f>
        <v>0.90424679487179405</v>
      </c>
      <c r="D208" s="114">
        <f ca="1">IFERROR(__xludf.DUMMYFUNCTION("""COMPUTED_VALUE"""),-0.0291666666666666)</f>
        <v>-2.9166666666666601E-2</v>
      </c>
      <c r="E208" s="36"/>
      <c r="F208" s="36"/>
      <c r="G208" s="36"/>
      <c r="H208" s="36"/>
      <c r="I208" s="36"/>
      <c r="J208" s="36"/>
      <c r="R208" s="117" t="s">
        <v>1048</v>
      </c>
      <c r="S208" s="116"/>
      <c r="T208" s="116"/>
      <c r="U208" s="616">
        <v>93</v>
      </c>
      <c r="V208" s="618">
        <v>0.58809999999999996</v>
      </c>
      <c r="W208" s="619">
        <v>59</v>
      </c>
      <c r="X208" s="618">
        <v>5.8299999999999998E-2</v>
      </c>
      <c r="Y208" s="620">
        <v>94</v>
      </c>
    </row>
    <row r="209" spans="1:25" ht="12.75">
      <c r="A209" s="36" t="str">
        <f ca="1">IFERROR(__xludf.DUMMYFUNCTION("""COMPUTED_VALUE"""),"Климкович Іван")</f>
        <v>Климкович Іван</v>
      </c>
      <c r="B209" s="114">
        <f ca="1">IFERROR(__xludf.DUMMYFUNCTION("""COMPUTED_VALUE"""),0)</f>
        <v>0</v>
      </c>
      <c r="C209" s="114">
        <f ca="1">IFERROR(__xludf.DUMMYFUNCTION("""COMPUTED_VALUE"""),1.05138888888888)</f>
        <v>1.05138888888888</v>
      </c>
      <c r="D209" s="114">
        <f ca="1">IFERROR(__xludf.DUMMYFUNCTION("""COMPUTED_VALUE"""),0)</f>
        <v>0</v>
      </c>
      <c r="E209" s="36"/>
      <c r="F209" s="36"/>
      <c r="G209" s="36"/>
      <c r="H209" s="36"/>
      <c r="I209" s="36"/>
      <c r="J209" s="36"/>
      <c r="R209" s="117" t="s">
        <v>1052</v>
      </c>
      <c r="S209" s="116"/>
      <c r="T209" s="116"/>
      <c r="U209" s="616">
        <v>99</v>
      </c>
      <c r="V209" s="618">
        <v>1</v>
      </c>
      <c r="W209" s="619">
        <v>100</v>
      </c>
      <c r="X209" s="618">
        <v>0</v>
      </c>
      <c r="Y209" s="620">
        <v>100</v>
      </c>
    </row>
    <row r="210" spans="1:25" ht="12.75">
      <c r="A210" s="36" t="str">
        <f ca="1">IFERROR(__xludf.DUMMYFUNCTION("""COMPUTED_VALUE"""),"Клоченок Олександра")</f>
        <v>Клоченок Олександра</v>
      </c>
      <c r="B210" s="114">
        <f ca="1">IFERROR(__xludf.DUMMYFUNCTION("""COMPUTED_VALUE"""),0.117592592592592)</f>
        <v>0.117592592592592</v>
      </c>
      <c r="C210" s="114">
        <f ca="1">IFERROR(__xludf.DUMMYFUNCTION("""COMPUTED_VALUE"""),0.866217419352804)</f>
        <v>0.86621741935280405</v>
      </c>
      <c r="D210" s="114">
        <f ca="1">IFERROR(__xludf.DUMMYFUNCTION("""COMPUTED_VALUE"""),0.0823148148148148)</f>
        <v>8.2314814814814799E-2</v>
      </c>
      <c r="E210" s="36"/>
      <c r="F210" s="36"/>
      <c r="G210" s="36"/>
      <c r="H210" s="36"/>
      <c r="I210" s="36"/>
      <c r="J210" s="36"/>
      <c r="R210" s="117" t="s">
        <v>1055</v>
      </c>
      <c r="S210" s="116"/>
      <c r="T210" s="116"/>
      <c r="U210" s="616">
        <v>96</v>
      </c>
      <c r="V210" s="618">
        <v>0.62849999999999995</v>
      </c>
      <c r="W210" s="619">
        <v>63</v>
      </c>
      <c r="X210" s="618">
        <v>7.6E-3</v>
      </c>
      <c r="Y210" s="620">
        <v>99</v>
      </c>
    </row>
    <row r="211" spans="1:25" ht="12.75">
      <c r="A211" s="36" t="str">
        <f ca="1">IFERROR(__xludf.DUMMYFUNCTION("""COMPUTED_VALUE"""),"Кобильська Дар'я")</f>
        <v>Кобильська Дар'я</v>
      </c>
      <c r="B211" s="114">
        <f ca="1">IFERROR(__xludf.DUMMYFUNCTION("""COMPUTED_VALUE"""),0.142626262626262)</f>
        <v>0.14262626262626199</v>
      </c>
      <c r="C211" s="114">
        <f ca="1">IFERROR(__xludf.DUMMYFUNCTION("""COMPUTED_VALUE"""),0.611763685890512)</f>
        <v>0.611763685890512</v>
      </c>
      <c r="D211" s="114">
        <f ca="1">IFERROR(__xludf.DUMMYFUNCTION("""COMPUTED_VALUE"""),0.0998383838383838)</f>
        <v>9.9838383838383796E-2</v>
      </c>
      <c r="E211" s="36"/>
      <c r="F211" s="36"/>
      <c r="G211" s="36"/>
      <c r="H211" s="36"/>
      <c r="I211" s="36"/>
      <c r="J211" s="36"/>
      <c r="R211" s="117" t="s">
        <v>1058</v>
      </c>
      <c r="S211" s="116"/>
      <c r="T211" s="116"/>
      <c r="U211" s="616">
        <v>95</v>
      </c>
      <c r="V211" s="618">
        <v>0.75049999999999994</v>
      </c>
      <c r="W211" s="619">
        <v>75</v>
      </c>
      <c r="X211" s="618">
        <v>1.89E-2</v>
      </c>
      <c r="Y211" s="620">
        <v>98</v>
      </c>
    </row>
    <row r="212" spans="1:25" ht="12.75">
      <c r="A212" s="36" t="str">
        <f ca="1">IFERROR(__xludf.DUMMYFUNCTION("""COMPUTED_VALUE"""),"Коваленко Віталій")</f>
        <v>Коваленко Віталій</v>
      </c>
      <c r="B212" s="114">
        <f ca="1">IFERROR(__xludf.DUMMYFUNCTION("""COMPUTED_VALUE"""),0.0333333333333333)</f>
        <v>3.3333333333333298E-2</v>
      </c>
      <c r="C212" s="114">
        <f ca="1">IFERROR(__xludf.DUMMYFUNCTION("""COMPUTED_VALUE"""),0.492849616858237)</f>
        <v>0.49284961685823703</v>
      </c>
      <c r="D212" s="114">
        <f ca="1">IFERROR(__xludf.DUMMYFUNCTION("""COMPUTED_VALUE"""),0.0233333333333333)</f>
        <v>2.33333333333333E-2</v>
      </c>
      <c r="E212" s="36"/>
      <c r="F212" s="36"/>
      <c r="G212" s="36"/>
      <c r="H212" s="36"/>
      <c r="I212" s="36"/>
      <c r="J212" s="36"/>
      <c r="R212" s="117" t="s">
        <v>1061</v>
      </c>
      <c r="S212" s="116"/>
      <c r="T212" s="116"/>
      <c r="U212" s="616">
        <v>90</v>
      </c>
      <c r="V212" s="618">
        <v>0.87270000000000003</v>
      </c>
      <c r="W212" s="619">
        <v>87</v>
      </c>
      <c r="X212" s="618">
        <v>1.0999999999999999E-2</v>
      </c>
      <c r="Y212" s="620">
        <v>99</v>
      </c>
    </row>
    <row r="213" spans="1:25" ht="12.75">
      <c r="A213" s="36" t="str">
        <f ca="1">IFERROR(__xludf.DUMMYFUNCTION("""COMPUTED_VALUE"""),"Коваленко Сергій")</f>
        <v>Коваленко Сергій</v>
      </c>
      <c r="B213" s="114">
        <f ca="1">IFERROR(__xludf.DUMMYFUNCTION("""COMPUTED_VALUE"""),0.1)</f>
        <v>0.1</v>
      </c>
      <c r="C213" s="114">
        <f ca="1">IFERROR(__xludf.DUMMYFUNCTION("""COMPUTED_VALUE"""),0.25)</f>
        <v>0.25</v>
      </c>
      <c r="D213" s="114">
        <f ca="1">IFERROR(__xludf.DUMMYFUNCTION("""COMPUTED_VALUE"""),0.0699999999999999)</f>
        <v>6.9999999999999896E-2</v>
      </c>
      <c r="E213" s="36"/>
      <c r="F213" s="36"/>
      <c r="G213" s="36"/>
      <c r="H213" s="36"/>
      <c r="I213" s="36"/>
      <c r="J213" s="36"/>
      <c r="R213" s="117" t="s">
        <v>1063</v>
      </c>
      <c r="S213" s="116"/>
      <c r="T213" s="116"/>
      <c r="U213" s="616">
        <v>91</v>
      </c>
      <c r="V213" s="618">
        <v>0.60070000000000001</v>
      </c>
      <c r="W213" s="619">
        <v>60</v>
      </c>
      <c r="X213" s="618">
        <v>9.3299999999999994E-2</v>
      </c>
      <c r="Y213" s="620">
        <v>91</v>
      </c>
    </row>
    <row r="214" spans="1:25" ht="12.75">
      <c r="A214" s="36" t="str">
        <f ca="1">IFERROR(__xludf.DUMMYFUNCTION("""COMPUTED_VALUE"""),"Коваль Анастасія")</f>
        <v>Коваль Анастасія</v>
      </c>
      <c r="B214" s="114">
        <f ca="1">IFERROR(__xludf.DUMMYFUNCTION("""COMPUTED_VALUE"""),0.166666666666666)</f>
        <v>0.16666666666666599</v>
      </c>
      <c r="C214" s="114">
        <f ca="1">IFERROR(__xludf.DUMMYFUNCTION("""COMPUTED_VALUE"""),0.504504504504504)</f>
        <v>0.50450450450450401</v>
      </c>
      <c r="D214" s="114">
        <f ca="1">IFERROR(__xludf.DUMMYFUNCTION("""COMPUTED_VALUE"""),0.116666666666666)</f>
        <v>0.116666666666666</v>
      </c>
      <c r="E214" s="36"/>
      <c r="F214" s="36"/>
      <c r="G214" s="36"/>
      <c r="H214" s="36"/>
      <c r="I214" s="36"/>
      <c r="J214" s="36"/>
      <c r="R214" s="117" t="s">
        <v>1066</v>
      </c>
      <c r="S214" s="116"/>
      <c r="T214" s="116"/>
      <c r="U214" s="616">
        <v>100</v>
      </c>
      <c r="V214" s="618">
        <v>0.55359999999999998</v>
      </c>
      <c r="W214" s="619">
        <v>55</v>
      </c>
      <c r="X214" s="618">
        <v>0</v>
      </c>
      <c r="Y214" s="620">
        <v>100</v>
      </c>
    </row>
    <row r="215" spans="1:25" ht="12.75">
      <c r="A215" s="36" t="str">
        <f ca="1">IFERROR(__xludf.DUMMYFUNCTION("""COMPUTED_VALUE"""),"Ковальчук Євген")</f>
        <v>Ковальчук Євген</v>
      </c>
      <c r="B215" s="114">
        <f ca="1">IFERROR(__xludf.DUMMYFUNCTION("""COMPUTED_VALUE"""),0)</f>
        <v>0</v>
      </c>
      <c r="C215" s="114">
        <f ca="1">IFERROR(__xludf.DUMMYFUNCTION("""COMPUTED_VALUE"""),0.5)</f>
        <v>0.5</v>
      </c>
      <c r="D215" s="114">
        <f ca="1">IFERROR(__xludf.DUMMYFUNCTION("""COMPUTED_VALUE"""),0)</f>
        <v>0</v>
      </c>
      <c r="E215" s="36"/>
      <c r="F215" s="36"/>
      <c r="G215" s="36"/>
      <c r="H215" s="36"/>
      <c r="I215" s="36"/>
      <c r="J215" s="36"/>
      <c r="R215" s="117" t="s">
        <v>1069</v>
      </c>
      <c r="S215" s="116"/>
      <c r="T215" s="116"/>
      <c r="U215" s="616">
        <v>100</v>
      </c>
      <c r="V215" s="618">
        <v>0.80800000000000005</v>
      </c>
      <c r="W215" s="619">
        <v>81</v>
      </c>
      <c r="X215" s="618">
        <v>2.1700000000000001E-2</v>
      </c>
      <c r="Y215" s="620">
        <v>98</v>
      </c>
    </row>
    <row r="216" spans="1:25" ht="12.75">
      <c r="A216" s="36" t="str">
        <f ca="1">IFERROR(__xludf.DUMMYFUNCTION("""COMPUTED_VALUE"""),"Коврига Аліна")</f>
        <v>Коврига Аліна</v>
      </c>
      <c r="B216" s="114">
        <f ca="1">IFERROR(__xludf.DUMMYFUNCTION("""COMPUTED_VALUE"""),0.108333333333333)</f>
        <v>0.108333333333333</v>
      </c>
      <c r="C216" s="114">
        <f ca="1">IFERROR(__xludf.DUMMYFUNCTION("""COMPUTED_VALUE"""),0.760596388313779)</f>
        <v>0.76059638831377896</v>
      </c>
      <c r="D216" s="114">
        <f ca="1">IFERROR(__xludf.DUMMYFUNCTION("""COMPUTED_VALUE"""),0.0758333333333333)</f>
        <v>7.5833333333333294E-2</v>
      </c>
      <c r="E216" s="36"/>
      <c r="F216" s="36"/>
      <c r="G216" s="36"/>
      <c r="H216" s="36"/>
      <c r="I216" s="36"/>
      <c r="J216" s="36"/>
      <c r="R216" s="117" t="s">
        <v>1076</v>
      </c>
      <c r="S216" s="116"/>
      <c r="T216" s="116"/>
      <c r="U216" s="616">
        <v>92</v>
      </c>
      <c r="V216" s="618">
        <v>0.91290000000000004</v>
      </c>
      <c r="W216" s="619">
        <v>91</v>
      </c>
      <c r="X216" s="618">
        <v>4.5999999999999999E-2</v>
      </c>
      <c r="Y216" s="620">
        <v>95</v>
      </c>
    </row>
    <row r="217" spans="1:25" ht="12.75">
      <c r="A217" s="36" t="str">
        <f ca="1">IFERROR(__xludf.DUMMYFUNCTION("""COMPUTED_VALUE"""),"Ковтало Оксана")</f>
        <v>Ковтало Оксана</v>
      </c>
      <c r="B217" s="114">
        <f ca="1">IFERROR(__xludf.DUMMYFUNCTION("""COMPUTED_VALUE"""),0.167724867724867)</f>
        <v>0.167724867724867</v>
      </c>
      <c r="C217" s="114">
        <f ca="1">IFERROR(__xludf.DUMMYFUNCTION("""COMPUTED_VALUE"""),0.625817637432418)</f>
        <v>0.62581763743241803</v>
      </c>
      <c r="D217" s="114">
        <f ca="1">IFERROR(__xludf.DUMMYFUNCTION("""COMPUTED_VALUE"""),0.117407407407407)</f>
        <v>0.117407407407407</v>
      </c>
      <c r="E217" s="36"/>
      <c r="F217" s="36"/>
      <c r="G217" s="36"/>
      <c r="H217" s="36"/>
      <c r="I217" s="36"/>
      <c r="J217" s="36"/>
      <c r="R217" s="117" t="s">
        <v>1079</v>
      </c>
      <c r="S217" s="116"/>
      <c r="T217" s="116"/>
      <c r="U217" s="616">
        <v>100</v>
      </c>
      <c r="V217" s="618">
        <v>1.0125</v>
      </c>
      <c r="W217" s="619">
        <v>101</v>
      </c>
      <c r="X217" s="618">
        <v>5.1900000000000002E-2</v>
      </c>
      <c r="Y217" s="620">
        <v>95</v>
      </c>
    </row>
    <row r="218" spans="1:25" ht="12.75">
      <c r="A218" s="36" t="str">
        <f ca="1">IFERROR(__xludf.DUMMYFUNCTION("""COMPUTED_VALUE"""),"Когутенко Марія")</f>
        <v>Когутенко Марія</v>
      </c>
      <c r="B218" s="114">
        <f ca="1">IFERROR(__xludf.DUMMYFUNCTION("""COMPUTED_VALUE"""),0.0682539682539682)</f>
        <v>6.8253968253968206E-2</v>
      </c>
      <c r="C218" s="114">
        <f ca="1">IFERROR(__xludf.DUMMYFUNCTION("""COMPUTED_VALUE"""),1.19978707886316)</f>
        <v>1.1997870788631599</v>
      </c>
      <c r="D218" s="114">
        <f ca="1">IFERROR(__xludf.DUMMYFUNCTION("""COMPUTED_VALUE"""),0.0477777777777777)</f>
        <v>4.7777777777777697E-2</v>
      </c>
      <c r="E218" s="36"/>
      <c r="F218" s="36"/>
      <c r="G218" s="36"/>
      <c r="H218" s="36"/>
      <c r="I218" s="36"/>
      <c r="J218" s="36"/>
      <c r="R218" s="117" t="s">
        <v>1086</v>
      </c>
      <c r="S218" s="116"/>
      <c r="T218" s="116"/>
      <c r="U218" s="616">
        <v>89</v>
      </c>
      <c r="V218" s="618">
        <v>0.53569999999999995</v>
      </c>
      <c r="W218" s="619">
        <v>54</v>
      </c>
      <c r="X218" s="618">
        <v>0</v>
      </c>
      <c r="Y218" s="620">
        <v>100</v>
      </c>
    </row>
    <row r="219" spans="1:25" ht="12.75">
      <c r="A219" s="36" t="str">
        <f ca="1">IFERROR(__xludf.DUMMYFUNCTION("""COMPUTED_VALUE"""),"Кожухов Данило")</f>
        <v>Кожухов Данило</v>
      </c>
      <c r="B219" s="114">
        <f ca="1">IFERROR(__xludf.DUMMYFUNCTION("""COMPUTED_VALUE"""),0.00357142857142857)</f>
        <v>3.57142857142857E-3</v>
      </c>
      <c r="C219" s="114">
        <f ca="1">IFERROR(__xludf.DUMMYFUNCTION("""COMPUTED_VALUE"""),0.612718531468531)</f>
        <v>0.61271853146853095</v>
      </c>
      <c r="D219" s="114">
        <f ca="1">IFERROR(__xludf.DUMMYFUNCTION("""COMPUTED_VALUE"""),0.00249999999999999)</f>
        <v>2.4999999999999901E-3</v>
      </c>
      <c r="E219" s="36"/>
      <c r="F219" s="36"/>
      <c r="G219" s="36"/>
      <c r="H219" s="36"/>
      <c r="I219" s="36"/>
      <c r="J219" s="36"/>
      <c r="R219" s="117" t="s">
        <v>1090</v>
      </c>
      <c r="S219" s="116"/>
      <c r="T219" s="116"/>
      <c r="U219" s="616">
        <v>97</v>
      </c>
      <c r="V219" s="618">
        <v>0.66659999999999997</v>
      </c>
      <c r="W219" s="619">
        <v>67</v>
      </c>
      <c r="X219" s="618">
        <v>2.4199999999999999E-2</v>
      </c>
      <c r="Y219" s="620">
        <v>98</v>
      </c>
    </row>
    <row r="220" spans="1:25" ht="12.75">
      <c r="A220" s="36" t="str">
        <f ca="1">IFERROR(__xludf.DUMMYFUNCTION("""COMPUTED_VALUE"""),"Козаков Данило")</f>
        <v>Козаков Данило</v>
      </c>
      <c r="B220" s="114">
        <f ca="1">IFERROR(__xludf.DUMMYFUNCTION("""COMPUTED_VALUE"""),-0.0296296296296296)</f>
        <v>-2.96296296296296E-2</v>
      </c>
      <c r="C220" s="114">
        <f ca="1">IFERROR(__xludf.DUMMYFUNCTION("""COMPUTED_VALUE"""),0.547017398508699)</f>
        <v>0.54701739850869902</v>
      </c>
      <c r="D220" s="114">
        <f ca="1">IFERROR(__xludf.DUMMYFUNCTION("""COMPUTED_VALUE"""),-0.0207407407407407)</f>
        <v>-2.0740740740740699E-2</v>
      </c>
      <c r="E220" s="36"/>
      <c r="F220" s="36"/>
      <c r="G220" s="36"/>
      <c r="H220" s="36"/>
      <c r="I220" s="36"/>
      <c r="J220" s="36"/>
      <c r="R220" s="117" t="s">
        <v>1093</v>
      </c>
      <c r="S220" s="116"/>
      <c r="T220" s="116"/>
      <c r="U220" s="616">
        <v>96</v>
      </c>
      <c r="V220" s="618">
        <v>1.0369999999999999</v>
      </c>
      <c r="W220" s="619">
        <v>104</v>
      </c>
      <c r="X220" s="618">
        <v>0</v>
      </c>
      <c r="Y220" s="620">
        <v>100</v>
      </c>
    </row>
    <row r="221" spans="1:25" ht="12.75">
      <c r="A221" s="36" t="str">
        <f ca="1">IFERROR(__xludf.DUMMYFUNCTION("""COMPUTED_VALUE"""),"Козловська Аліна")</f>
        <v>Козловська Аліна</v>
      </c>
      <c r="B221" s="114">
        <f ca="1">IFERROR(__xludf.DUMMYFUNCTION("""COMPUTED_VALUE"""),0)</f>
        <v>0</v>
      </c>
      <c r="C221" s="114">
        <f ca="1">IFERROR(__xludf.DUMMYFUNCTION("""COMPUTED_VALUE"""),0.321428571428571)</f>
        <v>0.32142857142857101</v>
      </c>
      <c r="D221" s="114">
        <f ca="1">IFERROR(__xludf.DUMMYFUNCTION("""COMPUTED_VALUE"""),0)</f>
        <v>0</v>
      </c>
      <c r="E221" s="36"/>
      <c r="F221" s="36"/>
      <c r="G221" s="36"/>
      <c r="H221" s="36"/>
      <c r="I221" s="36"/>
      <c r="J221" s="36"/>
      <c r="R221" s="117" t="s">
        <v>1096</v>
      </c>
      <c r="S221" s="116"/>
      <c r="T221" s="116"/>
      <c r="U221" s="616">
        <v>84</v>
      </c>
      <c r="V221" s="618">
        <v>0.42780000000000001</v>
      </c>
      <c r="W221" s="619">
        <v>43</v>
      </c>
      <c r="X221" s="618">
        <v>3.5900000000000001E-2</v>
      </c>
      <c r="Y221" s="620">
        <v>96</v>
      </c>
    </row>
    <row r="222" spans="1:25" ht="12.75">
      <c r="A222" s="36" t="str">
        <f ca="1">IFERROR(__xludf.DUMMYFUNCTION("""COMPUTED_VALUE"""),"Козлюк Мирослава")</f>
        <v>Козлюк Мирослава</v>
      </c>
      <c r="B222" s="114">
        <f ca="1">IFERROR(__xludf.DUMMYFUNCTION("""COMPUTED_VALUE"""),0.115384615384615)</f>
        <v>0.115384615384615</v>
      </c>
      <c r="C222" s="114">
        <f ca="1">IFERROR(__xludf.DUMMYFUNCTION("""COMPUTED_VALUE"""),0.388888888888888)</f>
        <v>0.38888888888888801</v>
      </c>
      <c r="D222" s="114">
        <f ca="1">IFERROR(__xludf.DUMMYFUNCTION("""COMPUTED_VALUE"""),0.0807692307692307)</f>
        <v>8.0769230769230704E-2</v>
      </c>
      <c r="E222" s="36"/>
      <c r="F222" s="36"/>
      <c r="G222" s="36"/>
      <c r="H222" s="36"/>
      <c r="I222" s="36"/>
      <c r="J222" s="36"/>
      <c r="R222" s="117" t="s">
        <v>1100</v>
      </c>
      <c r="S222" s="116"/>
      <c r="T222" s="116"/>
      <c r="U222" s="616">
        <v>97</v>
      </c>
      <c r="V222" s="618">
        <v>0.1905</v>
      </c>
      <c r="W222" s="619">
        <v>19</v>
      </c>
      <c r="X222" s="618">
        <v>0</v>
      </c>
      <c r="Y222" s="620">
        <v>100</v>
      </c>
    </row>
    <row r="223" spans="1:25" ht="12.75">
      <c r="A223" s="36" t="str">
        <f ca="1">IFERROR(__xludf.DUMMYFUNCTION("""COMPUTED_VALUE"""),"Колеснік Дмитро")</f>
        <v>Колеснік Дмитро</v>
      </c>
      <c r="B223" s="114">
        <f ca="1">IFERROR(__xludf.DUMMYFUNCTION("""COMPUTED_VALUE"""),0.242857142857142)</f>
        <v>0.24285714285714199</v>
      </c>
      <c r="C223" s="114">
        <f ca="1">IFERROR(__xludf.DUMMYFUNCTION("""COMPUTED_VALUE"""),1.52631578947368)</f>
        <v>1.5263157894736801</v>
      </c>
      <c r="D223" s="114">
        <f ca="1">IFERROR(__xludf.DUMMYFUNCTION("""COMPUTED_VALUE"""),0.169999999999999)</f>
        <v>0.16999999999999901</v>
      </c>
      <c r="E223" s="36"/>
      <c r="F223" s="36"/>
      <c r="G223" s="36"/>
      <c r="H223" s="36"/>
      <c r="I223" s="36"/>
      <c r="J223" s="36"/>
      <c r="R223" s="117" t="s">
        <v>1103</v>
      </c>
      <c r="S223" s="116"/>
      <c r="T223" s="116"/>
      <c r="U223" s="616">
        <v>94</v>
      </c>
      <c r="V223" s="618">
        <v>0.76080000000000003</v>
      </c>
      <c r="W223" s="619">
        <v>76</v>
      </c>
      <c r="X223" s="618">
        <v>4.24E-2</v>
      </c>
      <c r="Y223" s="620">
        <v>96</v>
      </c>
    </row>
    <row r="224" spans="1:25" ht="12.75">
      <c r="A224" s="36" t="str">
        <f ca="1">IFERROR(__xludf.DUMMYFUNCTION("""COMPUTED_VALUE"""),"Конасова Ольга")</f>
        <v>Конасова Ольга</v>
      </c>
      <c r="B224" s="114">
        <f ca="1">IFERROR(__xludf.DUMMYFUNCTION("""COMPUTED_VALUE"""),0.166666666666666)</f>
        <v>0.16666666666666599</v>
      </c>
      <c r="C224" s="114">
        <f ca="1">IFERROR(__xludf.DUMMYFUNCTION("""COMPUTED_VALUE"""),0.928571428571428)</f>
        <v>0.92857142857142805</v>
      </c>
      <c r="D224" s="114">
        <f ca="1">IFERROR(__xludf.DUMMYFUNCTION("""COMPUTED_VALUE"""),0.116666666666666)</f>
        <v>0.116666666666666</v>
      </c>
      <c r="E224" s="36"/>
      <c r="F224" s="36"/>
      <c r="G224" s="36"/>
      <c r="H224" s="36"/>
      <c r="I224" s="36"/>
      <c r="J224" s="36"/>
      <c r="R224" s="117" t="s">
        <v>1106</v>
      </c>
      <c r="S224" s="116"/>
      <c r="T224" s="116"/>
      <c r="U224" s="616">
        <v>84</v>
      </c>
      <c r="V224" s="618">
        <v>0.56830000000000003</v>
      </c>
      <c r="W224" s="619">
        <v>57</v>
      </c>
      <c r="X224" s="618">
        <v>0.1138</v>
      </c>
      <c r="Y224" s="620">
        <v>89</v>
      </c>
    </row>
    <row r="225" spans="1:25" ht="12.75">
      <c r="A225" s="36" t="str">
        <f ca="1">IFERROR(__xludf.DUMMYFUNCTION("""COMPUTED_VALUE"""),"Кондратюк Богдан")</f>
        <v>Кондратюк Богдан</v>
      </c>
      <c r="B225" s="114">
        <f ca="1">IFERROR(__xludf.DUMMYFUNCTION("""COMPUTED_VALUE"""),0.179166666666666)</f>
        <v>0.179166666666666</v>
      </c>
      <c r="C225" s="114">
        <f ca="1">IFERROR(__xludf.DUMMYFUNCTION("""COMPUTED_VALUE"""),0.810496420790538)</f>
        <v>0.81049642079053796</v>
      </c>
      <c r="D225" s="114">
        <f ca="1">IFERROR(__xludf.DUMMYFUNCTION("""COMPUTED_VALUE"""),0.125416666666666)</f>
        <v>0.12541666666666601</v>
      </c>
      <c r="E225" s="36"/>
      <c r="F225" s="36"/>
      <c r="G225" s="36"/>
      <c r="H225" s="36"/>
      <c r="I225" s="36"/>
      <c r="J225" s="36"/>
      <c r="R225" s="117" t="s">
        <v>1109</v>
      </c>
      <c r="S225" s="116"/>
      <c r="T225" s="116"/>
      <c r="U225" s="616">
        <v>100</v>
      </c>
      <c r="V225" s="618">
        <v>1.3185</v>
      </c>
      <c r="W225" s="619">
        <v>132</v>
      </c>
      <c r="X225" s="618">
        <v>5.5599999999999997E-2</v>
      </c>
      <c r="Y225" s="620">
        <v>94</v>
      </c>
    </row>
    <row r="226" spans="1:25" ht="12.75">
      <c r="A226" s="36" t="str">
        <f ca="1">IFERROR(__xludf.DUMMYFUNCTION("""COMPUTED_VALUE"""),"Кондратюк Олександр")</f>
        <v>Кондратюк Олександр</v>
      </c>
      <c r="B226" s="114">
        <f ca="1">IFERROR(__xludf.DUMMYFUNCTION("""COMPUTED_VALUE"""),-0.0333333333333333)</f>
        <v>-3.3333333333333298E-2</v>
      </c>
      <c r="C226" s="114">
        <f ca="1">IFERROR(__xludf.DUMMYFUNCTION("""COMPUTED_VALUE"""),0.565313111545988)</f>
        <v>0.56531311154598796</v>
      </c>
      <c r="D226" s="114">
        <f ca="1">IFERROR(__xludf.DUMMYFUNCTION("""COMPUTED_VALUE"""),-0.0233333333333333)</f>
        <v>-2.33333333333333E-2</v>
      </c>
      <c r="E226" s="36"/>
      <c r="F226" s="36"/>
      <c r="G226" s="36"/>
      <c r="H226" s="36"/>
      <c r="I226" s="36"/>
      <c r="J226" s="36"/>
      <c r="R226" s="117" t="s">
        <v>1113</v>
      </c>
      <c r="S226" s="116"/>
      <c r="T226" s="116"/>
      <c r="U226" s="616">
        <v>98</v>
      </c>
      <c r="V226" s="618">
        <v>0.74529999999999996</v>
      </c>
      <c r="W226" s="619">
        <v>75</v>
      </c>
      <c r="X226" s="618">
        <v>-1.43E-2</v>
      </c>
      <c r="Y226" s="620">
        <v>101</v>
      </c>
    </row>
    <row r="227" spans="1:25" ht="12.75">
      <c r="A227" s="36" t="str">
        <f ca="1">IFERROR(__xludf.DUMMYFUNCTION("""COMPUTED_VALUE"""),"Кондюк Катерина")</f>
        <v>Кондюк Катерина</v>
      </c>
      <c r="B227" s="114">
        <f ca="1">IFERROR(__xludf.DUMMYFUNCTION("""COMPUTED_VALUE"""),0)</f>
        <v>0</v>
      </c>
      <c r="C227" s="114">
        <f ca="1">IFERROR(__xludf.DUMMYFUNCTION("""COMPUTED_VALUE"""),0.875)</f>
        <v>0.875</v>
      </c>
      <c r="D227" s="114">
        <f ca="1">IFERROR(__xludf.DUMMYFUNCTION("""COMPUTED_VALUE"""),0)</f>
        <v>0</v>
      </c>
      <c r="E227" s="36"/>
      <c r="F227" s="36"/>
      <c r="G227" s="36"/>
      <c r="H227" s="36"/>
      <c r="I227" s="36"/>
      <c r="J227" s="36"/>
      <c r="R227" s="117" t="s">
        <v>1116</v>
      </c>
      <c r="S227" s="116"/>
      <c r="T227" s="116"/>
      <c r="U227" s="616">
        <v>100</v>
      </c>
      <c r="V227" s="618">
        <v>0.63649999999999995</v>
      </c>
      <c r="W227" s="619">
        <v>64</v>
      </c>
      <c r="X227" s="618">
        <v>1.83E-2</v>
      </c>
      <c r="Y227" s="620">
        <v>98</v>
      </c>
    </row>
    <row r="228" spans="1:25" ht="12.75">
      <c r="A228" s="36" t="str">
        <f ca="1">IFERROR(__xludf.DUMMYFUNCTION("""COMPUTED_VALUE"""),"Коник Олександр")</f>
        <v>Коник Олександр</v>
      </c>
      <c r="B228" s="114">
        <f ca="1">IFERROR(__xludf.DUMMYFUNCTION("""COMPUTED_VALUE"""),0)</f>
        <v>0</v>
      </c>
      <c r="C228" s="114">
        <f ca="1">IFERROR(__xludf.DUMMYFUNCTION("""COMPUTED_VALUE"""),0.885714285714285)</f>
        <v>0.88571428571428501</v>
      </c>
      <c r="D228" s="114">
        <f ca="1">IFERROR(__xludf.DUMMYFUNCTION("""COMPUTED_VALUE"""),0)</f>
        <v>0</v>
      </c>
      <c r="E228" s="36"/>
      <c r="F228" s="36"/>
      <c r="G228" s="36"/>
      <c r="H228" s="36"/>
      <c r="I228" s="36"/>
      <c r="J228" s="36"/>
      <c r="R228" s="117" t="s">
        <v>1119</v>
      </c>
      <c r="S228" s="116"/>
      <c r="T228" s="116"/>
      <c r="U228" s="616">
        <v>100</v>
      </c>
      <c r="V228" s="618">
        <v>0.54100000000000004</v>
      </c>
      <c r="W228" s="619">
        <v>54</v>
      </c>
      <c r="X228" s="618">
        <v>3.5999999999999999E-3</v>
      </c>
      <c r="Y228" s="620">
        <v>100</v>
      </c>
    </row>
    <row r="229" spans="1:25" ht="12.75">
      <c r="A229" s="36" t="str">
        <f ca="1">IFERROR(__xludf.DUMMYFUNCTION("""COMPUTED_VALUE"""),"Копина Христина")</f>
        <v>Копина Христина</v>
      </c>
      <c r="B229" s="114">
        <f ca="1">IFERROR(__xludf.DUMMYFUNCTION("""COMPUTED_VALUE"""),0)</f>
        <v>0</v>
      </c>
      <c r="C229" s="114">
        <f ca="1">IFERROR(__xludf.DUMMYFUNCTION("""COMPUTED_VALUE"""),0.964285714285714)</f>
        <v>0.96428571428571397</v>
      </c>
      <c r="D229" s="114">
        <f ca="1">IFERROR(__xludf.DUMMYFUNCTION("""COMPUTED_VALUE"""),0)</f>
        <v>0</v>
      </c>
      <c r="E229" s="36"/>
      <c r="F229" s="36"/>
      <c r="G229" s="36"/>
      <c r="H229" s="36"/>
      <c r="I229" s="36"/>
      <c r="J229" s="36"/>
      <c r="R229" s="117" t="s">
        <v>1125</v>
      </c>
      <c r="S229" s="116"/>
      <c r="T229" s="116"/>
      <c r="U229" s="616">
        <v>94</v>
      </c>
      <c r="V229" s="618">
        <v>0.40860000000000002</v>
      </c>
      <c r="W229" s="619">
        <v>41</v>
      </c>
      <c r="X229" s="618">
        <v>6.7500000000000004E-2</v>
      </c>
      <c r="Y229" s="620">
        <v>93</v>
      </c>
    </row>
    <row r="230" spans="1:25" ht="12.75">
      <c r="A230" s="36" t="str">
        <f ca="1">IFERROR(__xludf.DUMMYFUNCTION("""COMPUTED_VALUE"""),"Коркішко Ілля")</f>
        <v>Коркішко Ілля</v>
      </c>
      <c r="B230" s="114">
        <f ca="1">IFERROR(__xludf.DUMMYFUNCTION("""COMPUTED_VALUE"""),0)</f>
        <v>0</v>
      </c>
      <c r="C230" s="114">
        <f ca="1">IFERROR(__xludf.DUMMYFUNCTION("""COMPUTED_VALUE"""),0.458333333333333)</f>
        <v>0.45833333333333298</v>
      </c>
      <c r="D230" s="114">
        <f ca="1">IFERROR(__xludf.DUMMYFUNCTION("""COMPUTED_VALUE"""),0)</f>
        <v>0</v>
      </c>
      <c r="E230" s="36"/>
      <c r="F230" s="36"/>
      <c r="G230" s="36"/>
      <c r="H230" s="36"/>
      <c r="I230" s="36"/>
      <c r="J230" s="36"/>
      <c r="R230" s="117" t="s">
        <v>1128</v>
      </c>
      <c r="S230" s="116"/>
      <c r="T230" s="116"/>
      <c r="U230" s="616">
        <v>86</v>
      </c>
      <c r="V230" s="618">
        <v>0.52500000000000002</v>
      </c>
      <c r="W230" s="619">
        <v>53</v>
      </c>
      <c r="X230" s="618">
        <v>2.0199999999999999E-2</v>
      </c>
      <c r="Y230" s="620">
        <v>98</v>
      </c>
    </row>
    <row r="231" spans="1:25" ht="12.75">
      <c r="A231" s="36" t="str">
        <f ca="1">IFERROR(__xludf.DUMMYFUNCTION("""COMPUTED_VALUE"""),"Корнелюк Наталія")</f>
        <v>Корнелюк Наталія</v>
      </c>
      <c r="B231" s="114">
        <f ca="1">IFERROR(__xludf.DUMMYFUNCTION("""COMPUTED_VALUE"""),0)</f>
        <v>0</v>
      </c>
      <c r="C231" s="114">
        <f ca="1">IFERROR(__xludf.DUMMYFUNCTION("""COMPUTED_VALUE"""),0.755555555555555)</f>
        <v>0.75555555555555498</v>
      </c>
      <c r="D231" s="114">
        <f ca="1">IFERROR(__xludf.DUMMYFUNCTION("""COMPUTED_VALUE"""),0)</f>
        <v>0</v>
      </c>
      <c r="E231" s="36"/>
      <c r="F231" s="36"/>
      <c r="G231" s="36"/>
      <c r="H231" s="36"/>
      <c r="I231" s="36"/>
      <c r="J231" s="36"/>
      <c r="R231" s="117" t="s">
        <v>1131</v>
      </c>
      <c r="S231" s="116"/>
      <c r="T231" s="116"/>
      <c r="U231" s="156"/>
      <c r="V231" s="116" t="s">
        <v>9806</v>
      </c>
      <c r="W231" s="617" t="s">
        <v>9806</v>
      </c>
      <c r="X231" s="116" t="s">
        <v>9806</v>
      </c>
      <c r="Y231" s="116" t="s">
        <v>9806</v>
      </c>
    </row>
    <row r="232" spans="1:25" ht="12.75">
      <c r="A232" s="36" t="str">
        <f ca="1">IFERROR(__xludf.DUMMYFUNCTION("""COMPUTED_VALUE"""),"Корнієнко Юлія")</f>
        <v>Корнієнко Юлія</v>
      </c>
      <c r="B232" s="114">
        <f ca="1">IFERROR(__xludf.DUMMYFUNCTION("""COMPUTED_VALUE"""),0)</f>
        <v>0</v>
      </c>
      <c r="C232" s="114" t="str">
        <f ca="1">IFERROR(__xludf.DUMMYFUNCTION("""COMPUTED_VALUE"""),"#DIV/0!")</f>
        <v>#DIV/0!</v>
      </c>
      <c r="D232" s="114">
        <f ca="1">IFERROR(__xludf.DUMMYFUNCTION("""COMPUTED_VALUE"""),0)</f>
        <v>0</v>
      </c>
      <c r="E232" s="36"/>
      <c r="F232" s="36"/>
      <c r="G232" s="36"/>
      <c r="H232" s="36"/>
      <c r="I232" s="36"/>
      <c r="J232" s="36"/>
      <c r="R232" s="117" t="s">
        <v>1138</v>
      </c>
      <c r="S232" s="116"/>
      <c r="T232" s="116"/>
      <c r="U232" s="616">
        <v>100</v>
      </c>
      <c r="V232" s="618">
        <v>0.63819999999999999</v>
      </c>
      <c r="W232" s="619">
        <v>64</v>
      </c>
      <c r="X232" s="618">
        <v>-7.4999999999999997E-3</v>
      </c>
      <c r="Y232" s="620">
        <v>101</v>
      </c>
    </row>
    <row r="233" spans="1:25" ht="12.75">
      <c r="A233" s="36" t="str">
        <f ca="1">IFERROR(__xludf.DUMMYFUNCTION("""COMPUTED_VALUE"""),"Корнійчук Олександра")</f>
        <v>Корнійчук Олександра</v>
      </c>
      <c r="B233" s="114">
        <f ca="1">IFERROR(__xludf.DUMMYFUNCTION("""COMPUTED_VALUE"""),0.0625)</f>
        <v>6.25E-2</v>
      </c>
      <c r="C233" s="114">
        <f ca="1">IFERROR(__xludf.DUMMYFUNCTION("""COMPUTED_VALUE"""),1)</f>
        <v>1</v>
      </c>
      <c r="D233" s="114">
        <f ca="1">IFERROR(__xludf.DUMMYFUNCTION("""COMPUTED_VALUE"""),0.04375)</f>
        <v>4.3749999999999997E-2</v>
      </c>
      <c r="E233" s="36"/>
      <c r="F233" s="36"/>
      <c r="G233" s="36"/>
      <c r="H233" s="36"/>
      <c r="I233" s="36"/>
      <c r="J233" s="36"/>
      <c r="R233" s="117" t="s">
        <v>1141</v>
      </c>
      <c r="S233" s="116"/>
      <c r="T233" s="116"/>
      <c r="U233" s="616">
        <v>93</v>
      </c>
      <c r="V233" s="618">
        <v>0.51849999999999996</v>
      </c>
      <c r="W233" s="619">
        <v>52</v>
      </c>
      <c r="X233" s="618">
        <v>0</v>
      </c>
      <c r="Y233" s="620">
        <v>100</v>
      </c>
    </row>
    <row r="234" spans="1:25" ht="12.75">
      <c r="A234" s="36" t="str">
        <f ca="1">IFERROR(__xludf.DUMMYFUNCTION("""COMPUTED_VALUE"""),"Корнюк Владислав")</f>
        <v>Корнюк Владислав</v>
      </c>
      <c r="B234" s="114">
        <f ca="1">IFERROR(__xludf.DUMMYFUNCTION("""COMPUTED_VALUE"""),0.0416666666666666)</f>
        <v>4.1666666666666602E-2</v>
      </c>
      <c r="C234" s="114">
        <f ca="1">IFERROR(__xludf.DUMMYFUNCTION("""COMPUTED_VALUE"""),0.76068376068376)</f>
        <v>0.76068376068375998</v>
      </c>
      <c r="D234" s="114">
        <f ca="1">IFERROR(__xludf.DUMMYFUNCTION("""COMPUTED_VALUE"""),0.0291666666666666)</f>
        <v>2.9166666666666601E-2</v>
      </c>
      <c r="E234" s="36"/>
      <c r="F234" s="36"/>
      <c r="G234" s="36"/>
      <c r="H234" s="36"/>
      <c r="I234" s="36"/>
      <c r="J234" s="36"/>
      <c r="R234" s="117" t="s">
        <v>33</v>
      </c>
      <c r="S234" s="116"/>
      <c r="T234" s="116"/>
      <c r="U234" s="616">
        <v>97</v>
      </c>
      <c r="V234" s="618">
        <v>0.7147</v>
      </c>
      <c r="W234" s="619">
        <v>71</v>
      </c>
      <c r="X234" s="618">
        <v>-1.32E-2</v>
      </c>
      <c r="Y234" s="620">
        <v>101</v>
      </c>
    </row>
    <row r="235" spans="1:25" ht="12.75">
      <c r="A235" s="36" t="str">
        <f ca="1">IFERROR(__xludf.DUMMYFUNCTION("""COMPUTED_VALUE"""),"Корчовий Максим")</f>
        <v>Корчовий Максим</v>
      </c>
      <c r="B235" s="114">
        <f ca="1">IFERROR(__xludf.DUMMYFUNCTION("""COMPUTED_VALUE"""),0)</f>
        <v>0</v>
      </c>
      <c r="C235" s="114">
        <f ca="1">IFERROR(__xludf.DUMMYFUNCTION("""COMPUTED_VALUE"""),0.975)</f>
        <v>0.97499999999999998</v>
      </c>
      <c r="D235" s="114">
        <f ca="1">IFERROR(__xludf.DUMMYFUNCTION("""COMPUTED_VALUE"""),0)</f>
        <v>0</v>
      </c>
      <c r="E235" s="36"/>
      <c r="F235" s="36"/>
      <c r="G235" s="36"/>
      <c r="H235" s="36"/>
      <c r="I235" s="36"/>
      <c r="J235" s="36"/>
      <c r="R235" s="117" t="s">
        <v>1152</v>
      </c>
      <c r="S235" s="116"/>
      <c r="T235" s="116"/>
      <c r="U235" s="616">
        <v>88</v>
      </c>
      <c r="V235" s="618">
        <v>0.21709999999999999</v>
      </c>
      <c r="W235" s="619">
        <v>22</v>
      </c>
      <c r="X235" s="618">
        <v>5.7700000000000001E-2</v>
      </c>
      <c r="Y235" s="620">
        <v>94</v>
      </c>
    </row>
    <row r="236" spans="1:25" ht="12.75">
      <c r="A236" s="36" t="str">
        <f ca="1">IFERROR(__xludf.DUMMYFUNCTION("""COMPUTED_VALUE"""),"Косточка Вікторія")</f>
        <v>Косточка Вікторія</v>
      </c>
      <c r="B236" s="114">
        <f ca="1">IFERROR(__xludf.DUMMYFUNCTION("""COMPUTED_VALUE"""),0)</f>
        <v>0</v>
      </c>
      <c r="C236" s="114">
        <f ca="1">IFERROR(__xludf.DUMMYFUNCTION("""COMPUTED_VALUE"""),1)</f>
        <v>1</v>
      </c>
      <c r="D236" s="114">
        <f ca="1">IFERROR(__xludf.DUMMYFUNCTION("""COMPUTED_VALUE"""),0)</f>
        <v>0</v>
      </c>
      <c r="E236" s="36"/>
      <c r="F236" s="36"/>
      <c r="G236" s="36"/>
      <c r="H236" s="36"/>
      <c r="I236" s="36"/>
      <c r="J236" s="36"/>
      <c r="R236" s="117" t="s">
        <v>1155</v>
      </c>
      <c r="S236" s="116"/>
      <c r="T236" s="116"/>
      <c r="U236" s="616">
        <v>83</v>
      </c>
      <c r="V236" s="618">
        <v>0.33169999999999999</v>
      </c>
      <c r="W236" s="619">
        <v>33</v>
      </c>
      <c r="X236" s="618">
        <v>3.0599999999999999E-2</v>
      </c>
      <c r="Y236" s="620">
        <v>97</v>
      </c>
    </row>
    <row r="237" spans="1:25" ht="12.75">
      <c r="A237" s="36" t="str">
        <f ca="1">IFERROR(__xludf.DUMMYFUNCTION("""COMPUTED_VALUE"""),"Кравченко Юлія")</f>
        <v>Кравченко Юлія</v>
      </c>
      <c r="B237" s="114">
        <f ca="1">IFERROR(__xludf.DUMMYFUNCTION("""COMPUTED_VALUE"""),-0.00529100529100529)</f>
        <v>-5.2910052910052898E-3</v>
      </c>
      <c r="C237" s="114">
        <f ca="1">IFERROR(__xludf.DUMMYFUNCTION("""COMPUTED_VALUE"""),1.07814771648104)</f>
        <v>1.07814771648104</v>
      </c>
      <c r="D237" s="114">
        <f ca="1">IFERROR(__xludf.DUMMYFUNCTION("""COMPUTED_VALUE"""),-0.0037037037037037)</f>
        <v>-3.7037037037036999E-3</v>
      </c>
      <c r="E237" s="36"/>
      <c r="F237" s="36"/>
      <c r="G237" s="36"/>
      <c r="H237" s="36"/>
      <c r="I237" s="36"/>
      <c r="J237" s="36"/>
      <c r="R237" s="117" t="s">
        <v>1158</v>
      </c>
      <c r="S237" s="116"/>
      <c r="T237" s="116"/>
      <c r="U237" s="616">
        <v>97</v>
      </c>
      <c r="V237" s="618">
        <v>0.47670000000000001</v>
      </c>
      <c r="W237" s="619">
        <v>48</v>
      </c>
      <c r="X237" s="618">
        <v>2.8999999999999998E-3</v>
      </c>
      <c r="Y237" s="620">
        <v>100</v>
      </c>
    </row>
    <row r="238" spans="1:25" ht="12.75">
      <c r="A238" s="36" t="str">
        <f ca="1">IFERROR(__xludf.DUMMYFUNCTION("""COMPUTED_VALUE"""),"Кривенко Михайло")</f>
        <v>Кривенко Михайло</v>
      </c>
      <c r="B238" s="114">
        <f ca="1">IFERROR(__xludf.DUMMYFUNCTION("""COMPUTED_VALUE"""),0.181818181818181)</f>
        <v>0.18181818181818099</v>
      </c>
      <c r="C238" s="114">
        <f ca="1">IFERROR(__xludf.DUMMYFUNCTION("""COMPUTED_VALUE"""),0.285714285714285)</f>
        <v>0.28571428571428498</v>
      </c>
      <c r="D238" s="114">
        <f ca="1">IFERROR(__xludf.DUMMYFUNCTION("""COMPUTED_VALUE"""),0.127272727272727)</f>
        <v>0.12727272727272701</v>
      </c>
      <c r="E238" s="36"/>
      <c r="F238" s="36"/>
      <c r="G238" s="36"/>
      <c r="H238" s="36"/>
      <c r="I238" s="36"/>
      <c r="J238" s="36"/>
      <c r="R238" s="117" t="s">
        <v>1162</v>
      </c>
      <c r="S238" s="116"/>
      <c r="T238" s="116"/>
      <c r="U238" s="616">
        <v>93</v>
      </c>
      <c r="V238" s="618">
        <v>0.71309999999999996</v>
      </c>
      <c r="W238" s="619">
        <v>71</v>
      </c>
      <c r="X238" s="618">
        <v>0</v>
      </c>
      <c r="Y238" s="620">
        <v>100</v>
      </c>
    </row>
    <row r="239" spans="1:25" ht="12.75">
      <c r="A239" s="36" t="str">
        <f ca="1">IFERROR(__xludf.DUMMYFUNCTION("""COMPUTED_VALUE"""),"Криловська Анастасія")</f>
        <v>Криловська Анастасія</v>
      </c>
      <c r="B239" s="114">
        <f ca="1">IFERROR(__xludf.DUMMYFUNCTION("""COMPUTED_VALUE"""),0.0846560846560846)</f>
        <v>8.4656084656084596E-2</v>
      </c>
      <c r="C239" s="114">
        <f ca="1">IFERROR(__xludf.DUMMYFUNCTION("""COMPUTED_VALUE"""),0.412598204264871)</f>
        <v>0.41259820426487098</v>
      </c>
      <c r="D239" s="114">
        <f ca="1">IFERROR(__xludf.DUMMYFUNCTION("""COMPUTED_VALUE"""),0.0592592592592592)</f>
        <v>5.9259259259259199E-2</v>
      </c>
      <c r="E239" s="36"/>
      <c r="F239" s="36"/>
      <c r="G239" s="36"/>
      <c r="H239" s="36"/>
      <c r="I239" s="36"/>
      <c r="J239" s="36"/>
      <c r="R239" s="117" t="s">
        <v>1166</v>
      </c>
      <c r="S239" s="116"/>
      <c r="T239" s="116"/>
      <c r="U239" s="616">
        <v>86</v>
      </c>
      <c r="V239" s="618">
        <v>0.3634</v>
      </c>
      <c r="W239" s="619">
        <v>36</v>
      </c>
      <c r="X239" s="618">
        <v>3.3000000000000002E-2</v>
      </c>
      <c r="Y239" s="620">
        <v>97</v>
      </c>
    </row>
    <row r="240" spans="1:25" ht="12.75">
      <c r="A240" s="36" t="str">
        <f ca="1">IFERROR(__xludf.DUMMYFUNCTION("""COMPUTED_VALUE"""),"Кришталь Олександр")</f>
        <v>Кришталь Олександр</v>
      </c>
      <c r="B240" s="114">
        <f ca="1">IFERROR(__xludf.DUMMYFUNCTION("""COMPUTED_VALUE"""),0.114285714285714)</f>
        <v>0.114285714285714</v>
      </c>
      <c r="C240" s="114">
        <f ca="1">IFERROR(__xludf.DUMMYFUNCTION("""COMPUTED_VALUE"""),0.709677419354838)</f>
        <v>0.70967741935483797</v>
      </c>
      <c r="D240" s="114">
        <f ca="1">IFERROR(__xludf.DUMMYFUNCTION("""COMPUTED_VALUE"""),0.0799999999999999)</f>
        <v>7.9999999999999905E-2</v>
      </c>
      <c r="E240" s="36"/>
      <c r="F240" s="36"/>
      <c r="G240" s="36"/>
      <c r="H240" s="36"/>
      <c r="I240" s="36"/>
      <c r="J240" s="36"/>
      <c r="R240" s="117" t="s">
        <v>1169</v>
      </c>
      <c r="S240" s="116"/>
      <c r="T240" s="116"/>
      <c r="U240" s="616">
        <v>92</v>
      </c>
      <c r="V240" s="618">
        <v>0.53129999999999999</v>
      </c>
      <c r="W240" s="619">
        <v>53</v>
      </c>
      <c r="X240" s="618">
        <v>0</v>
      </c>
      <c r="Y240" s="620">
        <v>100</v>
      </c>
    </row>
    <row r="241" spans="1:25" ht="12.75">
      <c r="A241" s="36" t="str">
        <f ca="1">IFERROR(__xludf.DUMMYFUNCTION("""COMPUTED_VALUE"""),"Кропивко Влад")</f>
        <v>Кропивко Влад</v>
      </c>
      <c r="B241" s="114">
        <f ca="1">IFERROR(__xludf.DUMMYFUNCTION("""COMPUTED_VALUE"""),0.232142857142857)</f>
        <v>0.23214285714285701</v>
      </c>
      <c r="C241" s="114">
        <f ca="1">IFERROR(__xludf.DUMMYFUNCTION("""COMPUTED_VALUE"""),0.869791666666666)</f>
        <v>0.86979166666666596</v>
      </c>
      <c r="D241" s="114">
        <f ca="1">IFERROR(__xludf.DUMMYFUNCTION("""COMPUTED_VALUE"""),0.162499999999999)</f>
        <v>0.16249999999999901</v>
      </c>
      <c r="E241" s="36"/>
      <c r="F241" s="36"/>
      <c r="G241" s="36"/>
      <c r="H241" s="36"/>
      <c r="I241" s="36"/>
      <c r="J241" s="36"/>
      <c r="R241" s="117" t="s">
        <v>1172</v>
      </c>
      <c r="S241" s="116"/>
      <c r="T241" s="116"/>
      <c r="U241" s="616">
        <v>100</v>
      </c>
      <c r="V241" s="618">
        <v>0.77270000000000005</v>
      </c>
      <c r="W241" s="619">
        <v>77</v>
      </c>
      <c r="X241" s="618">
        <v>3.0300000000000001E-2</v>
      </c>
      <c r="Y241" s="620">
        <v>97</v>
      </c>
    </row>
    <row r="242" spans="1:25" ht="12.75">
      <c r="A242" s="36" t="str">
        <f ca="1">IFERROR(__xludf.DUMMYFUNCTION("""COMPUTED_VALUE"""),"Крючкова Юлія")</f>
        <v>Крючкова Юлія</v>
      </c>
      <c r="B242" s="114">
        <f ca="1">IFERROR(__xludf.DUMMYFUNCTION("""COMPUTED_VALUE"""),0.0277777777777777)</f>
        <v>2.77777777777777E-2</v>
      </c>
      <c r="C242" s="114">
        <f ca="1">IFERROR(__xludf.DUMMYFUNCTION("""COMPUTED_VALUE"""),0.515357142857142)</f>
        <v>0.51535714285714196</v>
      </c>
      <c r="D242" s="114">
        <f ca="1">IFERROR(__xludf.DUMMYFUNCTION("""COMPUTED_VALUE"""),0.0194444444444444)</f>
        <v>1.94444444444444E-2</v>
      </c>
      <c r="E242" s="36"/>
      <c r="F242" s="36"/>
      <c r="G242" s="36"/>
      <c r="H242" s="36"/>
      <c r="I242" s="36"/>
      <c r="J242" s="36"/>
      <c r="R242" s="117" t="s">
        <v>1175</v>
      </c>
      <c r="S242" s="116"/>
      <c r="T242" s="116"/>
      <c r="U242" s="616">
        <v>100</v>
      </c>
      <c r="V242" s="618">
        <v>0.37659999999999999</v>
      </c>
      <c r="W242" s="619">
        <v>38</v>
      </c>
      <c r="X242" s="618">
        <v>5.4000000000000003E-3</v>
      </c>
      <c r="Y242" s="620">
        <v>99</v>
      </c>
    </row>
    <row r="243" spans="1:25" ht="12.75">
      <c r="A243" s="36" t="str">
        <f ca="1">IFERROR(__xludf.DUMMYFUNCTION("""COMPUTED_VALUE"""),"Кузовкіна Олександра")</f>
        <v>Кузовкіна Олександра</v>
      </c>
      <c r="B243" s="114">
        <f ca="1">IFERROR(__xludf.DUMMYFUNCTION("""COMPUTED_VALUE"""),0)</f>
        <v>0</v>
      </c>
      <c r="C243" s="114">
        <f ca="1">IFERROR(__xludf.DUMMYFUNCTION("""COMPUTED_VALUE"""),0.975)</f>
        <v>0.97499999999999998</v>
      </c>
      <c r="D243" s="114">
        <f ca="1">IFERROR(__xludf.DUMMYFUNCTION("""COMPUTED_VALUE"""),0)</f>
        <v>0</v>
      </c>
      <c r="E243" s="36"/>
      <c r="F243" s="36"/>
      <c r="G243" s="36"/>
      <c r="H243" s="36"/>
      <c r="I243" s="36"/>
      <c r="J243" s="36"/>
      <c r="R243" s="117" t="s">
        <v>1179</v>
      </c>
      <c r="S243" s="116"/>
      <c r="T243" s="116"/>
      <c r="U243" s="616">
        <v>91</v>
      </c>
      <c r="V243" s="618">
        <v>0.75139999999999996</v>
      </c>
      <c r="W243" s="619">
        <v>75</v>
      </c>
      <c r="X243" s="618">
        <v>3.9699999999999999E-2</v>
      </c>
      <c r="Y243" s="620">
        <v>96</v>
      </c>
    </row>
    <row r="244" spans="1:25" ht="12.75">
      <c r="A244" s="36" t="str">
        <f ca="1">IFERROR(__xludf.DUMMYFUNCTION("""COMPUTED_VALUE"""),"Кулеш Іван")</f>
        <v>Кулеш Іван</v>
      </c>
      <c r="B244" s="114">
        <f ca="1">IFERROR(__xludf.DUMMYFUNCTION("""COMPUTED_VALUE"""),0.0732323232323232)</f>
        <v>7.3232323232323204E-2</v>
      </c>
      <c r="C244" s="114">
        <f ca="1">IFERROR(__xludf.DUMMYFUNCTION("""COMPUTED_VALUE"""),0.727083333333333)</f>
        <v>0.72708333333333297</v>
      </c>
      <c r="D244" s="114">
        <f ca="1">IFERROR(__xludf.DUMMYFUNCTION("""COMPUTED_VALUE"""),0.0512626262626262)</f>
        <v>5.1262626262626197E-2</v>
      </c>
      <c r="E244" s="36"/>
      <c r="F244" s="36"/>
      <c r="G244" s="36"/>
      <c r="H244" s="36"/>
      <c r="I244" s="36"/>
      <c r="J244" s="36"/>
      <c r="R244" s="117" t="s">
        <v>1190</v>
      </c>
      <c r="S244" s="116"/>
      <c r="T244" s="116"/>
      <c r="U244" s="616">
        <v>100</v>
      </c>
      <c r="V244" s="618">
        <v>0.77559999999999996</v>
      </c>
      <c r="W244" s="619">
        <v>78</v>
      </c>
      <c r="X244" s="618">
        <v>2.23E-2</v>
      </c>
      <c r="Y244" s="620">
        <v>98</v>
      </c>
    </row>
    <row r="245" spans="1:25" ht="12.75">
      <c r="A245" s="36" t="str">
        <f ca="1">IFERROR(__xludf.DUMMYFUNCTION("""COMPUTED_VALUE"""),"Кулєєв Владислав")</f>
        <v>Кулєєв Владислав</v>
      </c>
      <c r="B245" s="114">
        <f ca="1">IFERROR(__xludf.DUMMYFUNCTION("""COMPUTED_VALUE"""),0)</f>
        <v>0</v>
      </c>
      <c r="C245" s="114">
        <f ca="1">IFERROR(__xludf.DUMMYFUNCTION("""COMPUTED_VALUE"""),0.56)</f>
        <v>0.56000000000000005</v>
      </c>
      <c r="D245" s="114">
        <f ca="1">IFERROR(__xludf.DUMMYFUNCTION("""COMPUTED_VALUE"""),0)</f>
        <v>0</v>
      </c>
      <c r="E245" s="36"/>
      <c r="F245" s="36"/>
      <c r="G245" s="36"/>
      <c r="H245" s="36"/>
      <c r="I245" s="36"/>
      <c r="J245" s="36"/>
      <c r="R245" s="117" t="s">
        <v>1205</v>
      </c>
      <c r="S245" s="116"/>
      <c r="T245" s="116"/>
      <c r="U245" s="616">
        <v>81</v>
      </c>
      <c r="V245" s="618">
        <v>0.33729999999999999</v>
      </c>
      <c r="W245" s="619">
        <v>34</v>
      </c>
      <c r="X245" s="618">
        <v>4.3799999999999999E-2</v>
      </c>
      <c r="Y245" s="620">
        <v>96</v>
      </c>
    </row>
    <row r="246" spans="1:25" ht="12.75">
      <c r="A246" s="36" t="str">
        <f ca="1">IFERROR(__xludf.DUMMYFUNCTION("""COMPUTED_VALUE"""),"Кулібабіна Анна")</f>
        <v>Кулібабіна Анна</v>
      </c>
      <c r="B246" s="114">
        <f ca="1">IFERROR(__xludf.DUMMYFUNCTION("""COMPUTED_VALUE"""),0.0905483405483405)</f>
        <v>9.0548340548340503E-2</v>
      </c>
      <c r="C246" s="114">
        <f ca="1">IFERROR(__xludf.DUMMYFUNCTION("""COMPUTED_VALUE"""),0.86046973052787)</f>
        <v>0.86046973052787001</v>
      </c>
      <c r="D246" s="114">
        <f ca="1">IFERROR(__xludf.DUMMYFUNCTION("""COMPUTED_VALUE"""),0.0633838383838383)</f>
        <v>6.3383838383838306E-2</v>
      </c>
      <c r="E246" s="36"/>
      <c r="F246" s="36"/>
      <c r="G246" s="36"/>
      <c r="H246" s="36"/>
      <c r="I246" s="36"/>
      <c r="J246" s="36"/>
      <c r="R246" s="117" t="s">
        <v>1209</v>
      </c>
      <c r="S246" s="116"/>
      <c r="T246" s="116"/>
      <c r="U246" s="616">
        <v>98</v>
      </c>
      <c r="V246" s="618">
        <v>0.64870000000000005</v>
      </c>
      <c r="W246" s="619">
        <v>65</v>
      </c>
      <c r="X246" s="618">
        <v>7.0000000000000001E-3</v>
      </c>
      <c r="Y246" s="620">
        <v>99</v>
      </c>
    </row>
    <row r="247" spans="1:25" ht="12.75">
      <c r="A247" s="36" t="str">
        <f ca="1">IFERROR(__xludf.DUMMYFUNCTION("""COMPUTED_VALUE"""),"Куценко Олександр")</f>
        <v>Куценко Олександр</v>
      </c>
      <c r="B247" s="114">
        <f ca="1">IFERROR(__xludf.DUMMYFUNCTION("""COMPUTED_VALUE"""),0.0625)</f>
        <v>6.25E-2</v>
      </c>
      <c r="C247" s="114">
        <f ca="1">IFERROR(__xludf.DUMMYFUNCTION("""COMPUTED_VALUE"""),0.377049180327868)</f>
        <v>0.37704918032786799</v>
      </c>
      <c r="D247" s="114">
        <f ca="1">IFERROR(__xludf.DUMMYFUNCTION("""COMPUTED_VALUE"""),0.04375)</f>
        <v>4.3749999999999997E-2</v>
      </c>
      <c r="E247" s="36"/>
      <c r="F247" s="36"/>
      <c r="G247" s="36"/>
      <c r="H247" s="36"/>
      <c r="I247" s="36"/>
      <c r="J247" s="36"/>
      <c r="R247" s="117" t="s">
        <v>1212</v>
      </c>
      <c r="S247" s="116"/>
      <c r="T247" s="116"/>
      <c r="U247" s="616">
        <v>93</v>
      </c>
      <c r="V247" s="618">
        <v>0.28129999999999999</v>
      </c>
      <c r="W247" s="619">
        <v>28</v>
      </c>
      <c r="X247" s="618">
        <v>0</v>
      </c>
      <c r="Y247" s="620">
        <v>100</v>
      </c>
    </row>
    <row r="248" spans="1:25" ht="12.75">
      <c r="A248" s="36" t="str">
        <f ca="1">IFERROR(__xludf.DUMMYFUNCTION("""COMPUTED_VALUE"""),"Кучер Наталя")</f>
        <v>Кучер Наталя</v>
      </c>
      <c r="B248" s="114">
        <f ca="1">IFERROR(__xludf.DUMMYFUNCTION("""COMPUTED_VALUE"""),0)</f>
        <v>0</v>
      </c>
      <c r="C248" s="114">
        <f ca="1">IFERROR(__xludf.DUMMYFUNCTION("""COMPUTED_VALUE"""),0.902777777777777)</f>
        <v>0.90277777777777701</v>
      </c>
      <c r="D248" s="114">
        <f ca="1">IFERROR(__xludf.DUMMYFUNCTION("""COMPUTED_VALUE"""),0)</f>
        <v>0</v>
      </c>
      <c r="E248" s="36"/>
      <c r="F248" s="36"/>
      <c r="G248" s="36"/>
      <c r="H248" s="36"/>
      <c r="I248" s="36"/>
      <c r="J248" s="36"/>
      <c r="R248" s="117" t="s">
        <v>1216</v>
      </c>
      <c r="S248" s="116"/>
      <c r="T248" s="116"/>
      <c r="U248" s="616">
        <v>100</v>
      </c>
      <c r="V248" s="618">
        <v>0.7</v>
      </c>
      <c r="W248" s="619">
        <v>70</v>
      </c>
      <c r="X248" s="618">
        <v>0.17499999999999999</v>
      </c>
      <c r="Y248" s="620">
        <v>83</v>
      </c>
    </row>
    <row r="249" spans="1:25" ht="12.75">
      <c r="A249" s="36" t="str">
        <f ca="1">IFERROR(__xludf.DUMMYFUNCTION("""COMPUTED_VALUE"""),"Кучеренко Максим")</f>
        <v>Кучеренко Максим</v>
      </c>
      <c r="B249" s="114">
        <f ca="1">IFERROR(__xludf.DUMMYFUNCTION("""COMPUTED_VALUE"""),-0.0710227272727272)</f>
        <v>-7.1022727272727196E-2</v>
      </c>
      <c r="C249" s="114">
        <f ca="1">IFERROR(__xludf.DUMMYFUNCTION("""COMPUTED_VALUE"""),0.488509214567792)</f>
        <v>0.48850921456779201</v>
      </c>
      <c r="D249" s="114">
        <f ca="1">IFERROR(__xludf.DUMMYFUNCTION("""COMPUTED_VALUE"""),-0.049715909090909)</f>
        <v>-4.9715909090908998E-2</v>
      </c>
      <c r="E249" s="36"/>
      <c r="F249" s="36"/>
      <c r="G249" s="36"/>
      <c r="H249" s="36"/>
      <c r="I249" s="36"/>
      <c r="J249" s="36"/>
      <c r="R249" s="117" t="s">
        <v>1219</v>
      </c>
      <c r="S249" s="116"/>
      <c r="T249" s="116"/>
      <c r="U249" s="616">
        <v>94</v>
      </c>
      <c r="V249" s="618">
        <v>0.74780000000000002</v>
      </c>
      <c r="W249" s="619">
        <v>75</v>
      </c>
      <c r="X249" s="618">
        <v>8.7300000000000003E-2</v>
      </c>
      <c r="Y249" s="620">
        <v>91</v>
      </c>
    </row>
    <row r="250" spans="1:25" ht="12.75">
      <c r="A250" s="36" t="str">
        <f ca="1">IFERROR(__xludf.DUMMYFUNCTION("""COMPUTED_VALUE"""),"Кучерук Ольга")</f>
        <v>Кучерук Ольга</v>
      </c>
      <c r="B250" s="114">
        <f ca="1">IFERROR(__xludf.DUMMYFUNCTION("""COMPUTED_VALUE"""),0)</f>
        <v>0</v>
      </c>
      <c r="C250" s="114">
        <f ca="1">IFERROR(__xludf.DUMMYFUNCTION("""COMPUTED_VALUE"""),0.970833333333333)</f>
        <v>0.97083333333333299</v>
      </c>
      <c r="D250" s="114">
        <f ca="1">IFERROR(__xludf.DUMMYFUNCTION("""COMPUTED_VALUE"""),0)</f>
        <v>0</v>
      </c>
      <c r="E250" s="36"/>
      <c r="F250" s="36"/>
      <c r="G250" s="36"/>
      <c r="H250" s="36"/>
      <c r="I250" s="36"/>
      <c r="J250" s="36"/>
      <c r="R250" s="117" t="s">
        <v>1222</v>
      </c>
      <c r="S250" s="116"/>
      <c r="T250" s="116"/>
      <c r="U250" s="616">
        <v>95</v>
      </c>
      <c r="V250" s="618">
        <v>0.54779999999999995</v>
      </c>
      <c r="W250" s="619">
        <v>55</v>
      </c>
      <c r="X250" s="618">
        <v>-1.46E-2</v>
      </c>
      <c r="Y250" s="620">
        <v>101</v>
      </c>
    </row>
    <row r="251" spans="1:25" ht="12.75">
      <c r="A251" s="36" t="str">
        <f ca="1">IFERROR(__xludf.DUMMYFUNCTION("""COMPUTED_VALUE"""),"Кушнір Дмитро")</f>
        <v>Кушнір Дмитро</v>
      </c>
      <c r="B251" s="114">
        <f ca="1">IFERROR(__xludf.DUMMYFUNCTION("""COMPUTED_VALUE"""),-0.0212962962962962)</f>
        <v>-2.1296296296296199E-2</v>
      </c>
      <c r="C251" s="114">
        <f ca="1">IFERROR(__xludf.DUMMYFUNCTION("""COMPUTED_VALUE"""),0.56074074074074)</f>
        <v>0.56074074074073998</v>
      </c>
      <c r="D251" s="114">
        <f ca="1">IFERROR(__xludf.DUMMYFUNCTION("""COMPUTED_VALUE"""),-0.0149074074074074)</f>
        <v>-1.49074074074074E-2</v>
      </c>
      <c r="E251" s="36"/>
      <c r="F251" s="36"/>
      <c r="G251" s="36"/>
      <c r="H251" s="36"/>
      <c r="I251" s="36"/>
      <c r="J251" s="36"/>
      <c r="R251" s="117" t="s">
        <v>1225</v>
      </c>
      <c r="S251" s="116"/>
      <c r="T251" s="116"/>
      <c r="U251" s="616">
        <v>94</v>
      </c>
      <c r="V251" s="618">
        <v>0.73070000000000002</v>
      </c>
      <c r="W251" s="619">
        <v>73</v>
      </c>
      <c r="X251" s="618">
        <v>3.5099999999999999E-2</v>
      </c>
      <c r="Y251" s="620">
        <v>96</v>
      </c>
    </row>
    <row r="252" spans="1:25" ht="12.75">
      <c r="A252" s="36" t="str">
        <f ca="1">IFERROR(__xludf.DUMMYFUNCTION("""COMPUTED_VALUE"""),"Легостинова Анна")</f>
        <v>Легостинова Анна</v>
      </c>
      <c r="B252" s="114">
        <f ca="1">IFERROR(__xludf.DUMMYFUNCTION("""COMPUTED_VALUE"""),0.214285714285714)</f>
        <v>0.214285714285714</v>
      </c>
      <c r="C252" s="114">
        <f ca="1">IFERROR(__xludf.DUMMYFUNCTION("""COMPUTED_VALUE"""),0.692307692307692)</f>
        <v>0.69230769230769196</v>
      </c>
      <c r="D252" s="114">
        <f ca="1">IFERROR(__xludf.DUMMYFUNCTION("""COMPUTED_VALUE"""),0.15)</f>
        <v>0.15</v>
      </c>
      <c r="E252" s="36"/>
      <c r="F252" s="36"/>
      <c r="G252" s="36"/>
      <c r="H252" s="36"/>
      <c r="I252" s="36"/>
      <c r="J252" s="36"/>
      <c r="R252" s="117" t="s">
        <v>1228</v>
      </c>
      <c r="S252" s="116"/>
      <c r="T252" s="116"/>
      <c r="U252" s="616">
        <v>92</v>
      </c>
      <c r="V252" s="618">
        <v>0.75729999999999997</v>
      </c>
      <c r="W252" s="619">
        <v>76</v>
      </c>
      <c r="X252" s="618">
        <v>1.32E-2</v>
      </c>
      <c r="Y252" s="620">
        <v>99</v>
      </c>
    </row>
    <row r="253" spans="1:25" ht="12.75">
      <c r="A253" s="36" t="str">
        <f ca="1">IFERROR(__xludf.DUMMYFUNCTION("""COMPUTED_VALUE"""),"Лисенко Ілля")</f>
        <v>Лисенко Ілля</v>
      </c>
      <c r="B253" s="114">
        <f ca="1">IFERROR(__xludf.DUMMYFUNCTION("""COMPUTED_VALUE"""),0)</f>
        <v>0</v>
      </c>
      <c r="C253" s="114">
        <f ca="1">IFERROR(__xludf.DUMMYFUNCTION("""COMPUTED_VALUE"""),0.484829059829059)</f>
        <v>0.48482905982905899</v>
      </c>
      <c r="D253" s="114">
        <f ca="1">IFERROR(__xludf.DUMMYFUNCTION("""COMPUTED_VALUE"""),0)</f>
        <v>0</v>
      </c>
      <c r="E253" s="36"/>
      <c r="F253" s="36"/>
      <c r="G253" s="36"/>
      <c r="H253" s="36"/>
      <c r="I253" s="36"/>
      <c r="J253" s="36"/>
      <c r="R253" s="117" t="s">
        <v>1231</v>
      </c>
      <c r="S253" s="116"/>
      <c r="T253" s="116"/>
      <c r="U253" s="616">
        <v>91</v>
      </c>
      <c r="V253" s="618">
        <v>0.74399999999999999</v>
      </c>
      <c r="W253" s="619">
        <v>74</v>
      </c>
      <c r="X253" s="618">
        <v>8.7499999999999994E-2</v>
      </c>
      <c r="Y253" s="620">
        <v>91</v>
      </c>
    </row>
    <row r="254" spans="1:25" ht="12.75">
      <c r="A254" s="36" t="str">
        <f ca="1">IFERROR(__xludf.DUMMYFUNCTION("""COMPUTED_VALUE"""),"Лисін Богдан")</f>
        <v>Лисін Богдан</v>
      </c>
      <c r="B254" s="114">
        <f ca="1">IFERROR(__xludf.DUMMYFUNCTION("""COMPUTED_VALUE"""),0.155555555555555)</f>
        <v>0.155555555555555</v>
      </c>
      <c r="C254" s="114">
        <f ca="1">IFERROR(__xludf.DUMMYFUNCTION("""COMPUTED_VALUE"""),0.664021164021164)</f>
        <v>0.66402116402116396</v>
      </c>
      <c r="D254" s="114">
        <f ca="1">IFERROR(__xludf.DUMMYFUNCTION("""COMPUTED_VALUE"""),0.108888888888888)</f>
        <v>0.10888888888888799</v>
      </c>
      <c r="E254" s="36"/>
      <c r="F254" s="36"/>
      <c r="G254" s="36"/>
      <c r="H254" s="36"/>
      <c r="I254" s="36"/>
      <c r="J254" s="36"/>
      <c r="R254" s="117" t="s">
        <v>1237</v>
      </c>
      <c r="S254" s="116"/>
      <c r="T254" s="116"/>
      <c r="U254" s="616">
        <v>100</v>
      </c>
      <c r="V254" s="618">
        <v>1.0741000000000001</v>
      </c>
      <c r="W254" s="619">
        <v>107</v>
      </c>
      <c r="X254" s="618">
        <v>4.2900000000000001E-2</v>
      </c>
      <c r="Y254" s="620">
        <v>96</v>
      </c>
    </row>
    <row r="255" spans="1:25" ht="12.75">
      <c r="A255" s="36" t="str">
        <f ca="1">IFERROR(__xludf.DUMMYFUNCTION("""COMPUTED_VALUE"""),"Литвин Олександр")</f>
        <v>Литвин Олександр</v>
      </c>
      <c r="B255" s="114">
        <f ca="1">IFERROR(__xludf.DUMMYFUNCTION("""COMPUTED_VALUE"""),0.1)</f>
        <v>0.1</v>
      </c>
      <c r="C255" s="114">
        <f ca="1">IFERROR(__xludf.DUMMYFUNCTION("""COMPUTED_VALUE"""),0.517241379310344)</f>
        <v>0.51724137931034397</v>
      </c>
      <c r="D255" s="114">
        <f ca="1">IFERROR(__xludf.DUMMYFUNCTION("""COMPUTED_VALUE"""),0.0699999999999999)</f>
        <v>6.9999999999999896E-2</v>
      </c>
      <c r="E255" s="36"/>
      <c r="F255" s="36"/>
      <c r="G255" s="36"/>
      <c r="H255" s="36"/>
      <c r="I255" s="36"/>
      <c r="J255" s="36"/>
      <c r="R255" s="117" t="s">
        <v>1240</v>
      </c>
      <c r="S255" s="116"/>
      <c r="T255" s="116"/>
      <c r="U255" s="616">
        <v>95</v>
      </c>
      <c r="V255" s="618">
        <v>0.28260000000000002</v>
      </c>
      <c r="W255" s="619">
        <v>28</v>
      </c>
      <c r="X255" s="618">
        <v>6.9199999999999998E-2</v>
      </c>
      <c r="Y255" s="620">
        <v>93</v>
      </c>
    </row>
    <row r="256" spans="1:25" ht="12.75">
      <c r="A256" s="36" t="str">
        <f ca="1">IFERROR(__xludf.DUMMYFUNCTION("""COMPUTED_VALUE"""),"Лихач Віктор")</f>
        <v>Лихач Віктор</v>
      </c>
      <c r="B256" s="114">
        <f ca="1">IFERROR(__xludf.DUMMYFUNCTION("""COMPUTED_VALUE"""),0.0942460317460317)</f>
        <v>9.4246031746031703E-2</v>
      </c>
      <c r="C256" s="114">
        <f ca="1">IFERROR(__xludf.DUMMYFUNCTION("""COMPUTED_VALUE"""),0.678393505550368)</f>
        <v>0.67839350555036804</v>
      </c>
      <c r="D256" s="114">
        <f ca="1">IFERROR(__xludf.DUMMYFUNCTION("""COMPUTED_VALUE"""),0.0659722222222222)</f>
        <v>6.5972222222222196E-2</v>
      </c>
      <c r="E256" s="36"/>
      <c r="F256" s="36"/>
      <c r="G256" s="36"/>
      <c r="H256" s="36"/>
      <c r="I256" s="36"/>
      <c r="J256" s="36"/>
      <c r="R256" s="117" t="s">
        <v>1243</v>
      </c>
      <c r="S256" s="116"/>
      <c r="T256" s="116"/>
      <c r="U256" s="616">
        <v>85</v>
      </c>
      <c r="V256" s="618">
        <v>0.3448</v>
      </c>
      <c r="W256" s="619">
        <v>34</v>
      </c>
      <c r="X256" s="618">
        <v>7.0000000000000007E-2</v>
      </c>
      <c r="Y256" s="620">
        <v>93</v>
      </c>
    </row>
    <row r="257" spans="1:25" ht="12.75">
      <c r="A257" s="36" t="str">
        <f ca="1">IFERROR(__xludf.DUMMYFUNCTION("""COMPUTED_VALUE"""),"Логвиненко Олександр")</f>
        <v>Логвиненко Олександр</v>
      </c>
      <c r="B257" s="114">
        <f ca="1">IFERROR(__xludf.DUMMYFUNCTION("""COMPUTED_VALUE"""),0.0153846153846153)</f>
        <v>1.53846153846153E-2</v>
      </c>
      <c r="C257" s="114">
        <f ca="1">IFERROR(__xludf.DUMMYFUNCTION("""COMPUTED_VALUE"""),1.09858054226475)</f>
        <v>1.0985805422647501</v>
      </c>
      <c r="D257" s="114">
        <f ca="1">IFERROR(__xludf.DUMMYFUNCTION("""COMPUTED_VALUE"""),0.0107692307692307)</f>
        <v>1.0769230769230699E-2</v>
      </c>
      <c r="E257" s="36"/>
      <c r="F257" s="36"/>
      <c r="G257" s="36"/>
      <c r="H257" s="36"/>
      <c r="I257" s="36"/>
      <c r="J257" s="36"/>
      <c r="R257" s="117" t="s">
        <v>1248</v>
      </c>
      <c r="S257" s="116"/>
      <c r="T257" s="116"/>
      <c r="U257" s="616">
        <v>90</v>
      </c>
      <c r="V257" s="618">
        <v>0.55789999999999995</v>
      </c>
      <c r="W257" s="619">
        <v>56</v>
      </c>
      <c r="X257" s="618">
        <v>1.23E-2</v>
      </c>
      <c r="Y257" s="620">
        <v>99</v>
      </c>
    </row>
    <row r="258" spans="1:25" ht="12.75">
      <c r="A258" s="36" t="str">
        <f ca="1">IFERROR(__xludf.DUMMYFUNCTION("""COMPUTED_VALUE"""),"Лук'янець Аліса")</f>
        <v>Лук'янець Аліса</v>
      </c>
      <c r="B258" s="114">
        <f ca="1">IFERROR(__xludf.DUMMYFUNCTION("""COMPUTED_VALUE"""),0.142857142857142)</f>
        <v>0.14285714285714199</v>
      </c>
      <c r="C258" s="114">
        <f ca="1">IFERROR(__xludf.DUMMYFUNCTION("""COMPUTED_VALUE"""),0.851851851851851)</f>
        <v>0.85185185185185097</v>
      </c>
      <c r="D258" s="114">
        <f ca="1">IFERROR(__xludf.DUMMYFUNCTION("""COMPUTED_VALUE"""),0.0999999999999999)</f>
        <v>9.9999999999999895E-2</v>
      </c>
      <c r="E258" s="36"/>
      <c r="F258" s="36"/>
      <c r="G258" s="36"/>
      <c r="H258" s="36"/>
      <c r="I258" s="36"/>
      <c r="J258" s="36"/>
      <c r="R258" s="117" t="s">
        <v>1251</v>
      </c>
      <c r="S258" s="116"/>
      <c r="T258" s="116"/>
      <c r="U258" s="616">
        <v>84</v>
      </c>
      <c r="V258" s="618">
        <v>0.51149999999999995</v>
      </c>
      <c r="W258" s="619">
        <v>51</v>
      </c>
      <c r="X258" s="618">
        <v>2.1600000000000001E-2</v>
      </c>
      <c r="Y258" s="620">
        <v>98</v>
      </c>
    </row>
    <row r="259" spans="1:25" ht="12.75">
      <c r="A259" s="36" t="str">
        <f ca="1">IFERROR(__xludf.DUMMYFUNCTION("""COMPUTED_VALUE"""),"Лупій Анастасія")</f>
        <v>Лупій Анастасія</v>
      </c>
      <c r="B259" s="114">
        <f ca="1">IFERROR(__xludf.DUMMYFUNCTION("""COMPUTED_VALUE"""),-0.0852272727272727)</f>
        <v>-8.5227272727272693E-2</v>
      </c>
      <c r="C259" s="114">
        <f ca="1">IFERROR(__xludf.DUMMYFUNCTION("""COMPUTED_VALUE"""),0.68701923076923)</f>
        <v>0.68701923076922999</v>
      </c>
      <c r="D259" s="114">
        <f ca="1">IFERROR(__xludf.DUMMYFUNCTION("""COMPUTED_VALUE"""),-0.0596590909090909)</f>
        <v>-5.9659090909090898E-2</v>
      </c>
      <c r="E259" s="36"/>
      <c r="F259" s="36"/>
      <c r="G259" s="36"/>
      <c r="H259" s="36"/>
      <c r="I259" s="36"/>
      <c r="J259" s="36"/>
      <c r="R259" s="117" t="s">
        <v>1254</v>
      </c>
      <c r="S259" s="116"/>
      <c r="T259" s="116"/>
      <c r="U259" s="616">
        <v>92</v>
      </c>
      <c r="V259" s="618">
        <v>1.1201000000000001</v>
      </c>
      <c r="W259" s="619">
        <v>112</v>
      </c>
      <c r="X259" s="618">
        <v>3.4500000000000003E-2</v>
      </c>
      <c r="Y259" s="620">
        <v>97</v>
      </c>
    </row>
    <row r="260" spans="1:25" ht="12.75">
      <c r="A260" s="36" t="str">
        <f ca="1">IFERROR(__xludf.DUMMYFUNCTION("""COMPUTED_VALUE"""),"Лучкіна Ярина")</f>
        <v>Лучкіна Ярина</v>
      </c>
      <c r="B260" s="114">
        <f ca="1">IFERROR(__xludf.DUMMYFUNCTION("""COMPUTED_VALUE"""),0)</f>
        <v>0</v>
      </c>
      <c r="C260" s="114">
        <f ca="1">IFERROR(__xludf.DUMMYFUNCTION("""COMPUTED_VALUE"""),0.580026455026455)</f>
        <v>0.580026455026455</v>
      </c>
      <c r="D260" s="114">
        <f ca="1">IFERROR(__xludf.DUMMYFUNCTION("""COMPUTED_VALUE"""),0)</f>
        <v>0</v>
      </c>
      <c r="E260" s="36"/>
      <c r="F260" s="36"/>
      <c r="G260" s="36"/>
      <c r="H260" s="36"/>
      <c r="I260" s="36"/>
      <c r="J260" s="36"/>
      <c r="R260" s="117" t="s">
        <v>1257</v>
      </c>
      <c r="S260" s="116"/>
      <c r="T260" s="116"/>
      <c r="U260" s="616">
        <v>75</v>
      </c>
      <c r="V260" s="618">
        <v>0.29249999999999998</v>
      </c>
      <c r="W260" s="619">
        <v>29</v>
      </c>
      <c r="X260" s="618">
        <v>1.67E-2</v>
      </c>
      <c r="Y260" s="620">
        <v>98</v>
      </c>
    </row>
    <row r="261" spans="1:25" ht="12.75">
      <c r="A261" s="36" t="str">
        <f ca="1">IFERROR(__xludf.DUMMYFUNCTION("""COMPUTED_VALUE"""),"Ляшенко Анжеліка")</f>
        <v>Ляшенко Анжеліка</v>
      </c>
      <c r="B261" s="114">
        <f ca="1">IFERROR(__xludf.DUMMYFUNCTION("""COMPUTED_VALUE"""),-0.0384615384615384)</f>
        <v>-3.8461538461538401E-2</v>
      </c>
      <c r="C261" s="114">
        <f ca="1">IFERROR(__xludf.DUMMYFUNCTION("""COMPUTED_VALUE"""),0.96875)</f>
        <v>0.96875</v>
      </c>
      <c r="D261" s="114">
        <f ca="1">IFERROR(__xludf.DUMMYFUNCTION("""COMPUTED_VALUE"""),-0.0269230769230769)</f>
        <v>-2.69230769230769E-2</v>
      </c>
      <c r="E261" s="36"/>
      <c r="F261" s="36"/>
      <c r="G261" s="36"/>
      <c r="H261" s="36"/>
      <c r="I261" s="36"/>
      <c r="J261" s="36"/>
      <c r="R261" s="117" t="s">
        <v>1263</v>
      </c>
      <c r="S261" s="116"/>
      <c r="T261" s="116"/>
      <c r="U261" s="616">
        <v>97</v>
      </c>
      <c r="V261" s="618">
        <v>0.89249999999999996</v>
      </c>
      <c r="W261" s="619">
        <v>89</v>
      </c>
      <c r="X261" s="618">
        <v>4.87E-2</v>
      </c>
      <c r="Y261" s="620">
        <v>95</v>
      </c>
    </row>
    <row r="262" spans="1:25" ht="12.75">
      <c r="A262" s="36" t="str">
        <f ca="1">IFERROR(__xludf.DUMMYFUNCTION("""COMPUTED_VALUE"""),"Магар Владислав")</f>
        <v>Магар Владислав</v>
      </c>
      <c r="B262" s="114">
        <f ca="1">IFERROR(__xludf.DUMMYFUNCTION("""COMPUTED_VALUE"""),0.0416666666666666)</f>
        <v>4.1666666666666602E-2</v>
      </c>
      <c r="C262" s="114">
        <f ca="1">IFERROR(__xludf.DUMMYFUNCTION("""COMPUTED_VALUE"""),1.17546583850931)</f>
        <v>1.17546583850931</v>
      </c>
      <c r="D262" s="114">
        <f ca="1">IFERROR(__xludf.DUMMYFUNCTION("""COMPUTED_VALUE"""),0.0291666666666666)</f>
        <v>2.9166666666666601E-2</v>
      </c>
      <c r="E262" s="36"/>
      <c r="F262" s="36"/>
      <c r="G262" s="36"/>
      <c r="H262" s="36"/>
      <c r="I262" s="36"/>
      <c r="J262" s="36"/>
      <c r="R262" s="117" t="s">
        <v>1269</v>
      </c>
      <c r="S262" s="116"/>
      <c r="T262" s="116"/>
      <c r="U262" s="616">
        <v>85</v>
      </c>
      <c r="V262" s="618">
        <v>0.93879999999999997</v>
      </c>
      <c r="W262" s="619">
        <v>94</v>
      </c>
      <c r="X262" s="618">
        <v>0.1</v>
      </c>
      <c r="Y262" s="620">
        <v>90</v>
      </c>
    </row>
    <row r="263" spans="1:25" ht="12.75">
      <c r="A263" s="36" t="str">
        <f ca="1">IFERROR(__xludf.DUMMYFUNCTION("""COMPUTED_VALUE"""),"Маєш Єлизавета")</f>
        <v>Маєш Єлизавета</v>
      </c>
      <c r="B263" s="114">
        <f ca="1">IFERROR(__xludf.DUMMYFUNCTION("""COMPUTED_VALUE"""),0.1)</f>
        <v>0.1</v>
      </c>
      <c r="C263" s="114">
        <f ca="1">IFERROR(__xludf.DUMMYFUNCTION("""COMPUTED_VALUE"""),0.514285714285714)</f>
        <v>0.51428571428571401</v>
      </c>
      <c r="D263" s="114">
        <f ca="1">IFERROR(__xludf.DUMMYFUNCTION("""COMPUTED_VALUE"""),0.0699999999999999)</f>
        <v>6.9999999999999896E-2</v>
      </c>
      <c r="E263" s="36"/>
      <c r="F263" s="36"/>
      <c r="G263" s="36"/>
      <c r="H263" s="36"/>
      <c r="I263" s="36"/>
      <c r="J263" s="36"/>
      <c r="R263" s="117" t="s">
        <v>1272</v>
      </c>
      <c r="S263" s="116"/>
      <c r="T263" s="116"/>
      <c r="U263" s="616">
        <v>95</v>
      </c>
      <c r="V263" s="618">
        <v>0.4</v>
      </c>
      <c r="W263" s="619">
        <v>40</v>
      </c>
      <c r="X263" s="618">
        <v>0</v>
      </c>
      <c r="Y263" s="620">
        <v>100</v>
      </c>
    </row>
    <row r="264" spans="1:25" ht="12.75">
      <c r="A264" s="36" t="str">
        <f ca="1">IFERROR(__xludf.DUMMYFUNCTION("""COMPUTED_VALUE"""),"Макарцов Ігор")</f>
        <v>Макарцов Ігор</v>
      </c>
      <c r="B264" s="114">
        <f ca="1">IFERROR(__xludf.DUMMYFUNCTION("""COMPUTED_VALUE"""),0)</f>
        <v>0</v>
      </c>
      <c r="C264" s="114">
        <f ca="1">IFERROR(__xludf.DUMMYFUNCTION("""COMPUTED_VALUE"""),0.282142857142857)</f>
        <v>0.28214285714285697</v>
      </c>
      <c r="D264" s="114">
        <f ca="1">IFERROR(__xludf.DUMMYFUNCTION("""COMPUTED_VALUE"""),0)</f>
        <v>0</v>
      </c>
      <c r="E264" s="36"/>
      <c r="F264" s="36"/>
      <c r="G264" s="36"/>
      <c r="H264" s="36"/>
      <c r="I264" s="36"/>
      <c r="J264" s="36"/>
      <c r="R264" s="117" t="s">
        <v>1275</v>
      </c>
      <c r="S264" s="116"/>
      <c r="T264" s="116"/>
      <c r="U264" s="616">
        <v>93</v>
      </c>
      <c r="V264" s="618">
        <v>0.60419999999999996</v>
      </c>
      <c r="W264" s="619">
        <v>60</v>
      </c>
      <c r="X264" s="618">
        <v>0</v>
      </c>
      <c r="Y264" s="620">
        <v>100</v>
      </c>
    </row>
    <row r="265" spans="1:25" ht="12.75">
      <c r="A265" s="36" t="str">
        <f ca="1">IFERROR(__xludf.DUMMYFUNCTION("""COMPUTED_VALUE"""),"Макогон Ірина")</f>
        <v>Макогон Ірина</v>
      </c>
      <c r="B265" s="114">
        <f ca="1">IFERROR(__xludf.DUMMYFUNCTION("""COMPUTED_VALUE"""),0.0625)</f>
        <v>6.25E-2</v>
      </c>
      <c r="C265" s="114">
        <f ca="1">IFERROR(__xludf.DUMMYFUNCTION("""COMPUTED_VALUE"""),0.612903225806451)</f>
        <v>0.61290322580645096</v>
      </c>
      <c r="D265" s="114">
        <f ca="1">IFERROR(__xludf.DUMMYFUNCTION("""COMPUTED_VALUE"""),0.04375)</f>
        <v>4.3749999999999997E-2</v>
      </c>
      <c r="E265" s="36"/>
      <c r="F265" s="36"/>
      <c r="G265" s="36"/>
      <c r="H265" s="36"/>
      <c r="I265" s="36"/>
      <c r="J265" s="36"/>
      <c r="R265" s="117" t="s">
        <v>1279</v>
      </c>
      <c r="S265" s="116"/>
      <c r="T265" s="116"/>
      <c r="U265" s="616">
        <v>90</v>
      </c>
      <c r="V265" s="618">
        <v>0.9667</v>
      </c>
      <c r="W265" s="619">
        <v>97</v>
      </c>
      <c r="X265" s="618">
        <v>0</v>
      </c>
      <c r="Y265" s="620">
        <v>100</v>
      </c>
    </row>
    <row r="266" spans="1:25" ht="12.75">
      <c r="A266" s="36" t="str">
        <f ca="1">IFERROR(__xludf.DUMMYFUNCTION("""COMPUTED_VALUE"""),"Максименко Аліна")</f>
        <v>Максименко Аліна</v>
      </c>
      <c r="B266" s="114">
        <f ca="1">IFERROR(__xludf.DUMMYFUNCTION("""COMPUTED_VALUE"""),0)</f>
        <v>0</v>
      </c>
      <c r="C266" s="114">
        <f ca="1">IFERROR(__xludf.DUMMYFUNCTION("""COMPUTED_VALUE"""),1)</f>
        <v>1</v>
      </c>
      <c r="D266" s="114">
        <f ca="1">IFERROR(__xludf.DUMMYFUNCTION("""COMPUTED_VALUE"""),0)</f>
        <v>0</v>
      </c>
      <c r="E266" s="36"/>
      <c r="F266" s="36"/>
      <c r="G266" s="36"/>
      <c r="H266" s="36"/>
      <c r="I266" s="36"/>
      <c r="J266" s="36"/>
      <c r="R266" s="117" t="s">
        <v>1282</v>
      </c>
      <c r="S266" s="116"/>
      <c r="T266" s="116"/>
      <c r="U266" s="616">
        <v>94</v>
      </c>
      <c r="V266" s="618">
        <v>1.25</v>
      </c>
      <c r="W266" s="619">
        <v>125</v>
      </c>
      <c r="X266" s="618">
        <v>0</v>
      </c>
      <c r="Y266" s="620">
        <v>100</v>
      </c>
    </row>
    <row r="267" spans="1:25" ht="12.75">
      <c r="A267" s="36" t="str">
        <f ca="1">IFERROR(__xludf.DUMMYFUNCTION("""COMPUTED_VALUE"""),"Максимець Юлія")</f>
        <v>Максимець Юлія</v>
      </c>
      <c r="B267" s="114">
        <f ca="1">IFERROR(__xludf.DUMMYFUNCTION("""COMPUTED_VALUE"""),0.0787037037037037)</f>
        <v>7.8703703703703706E-2</v>
      </c>
      <c r="C267" s="114">
        <f ca="1">IFERROR(__xludf.DUMMYFUNCTION("""COMPUTED_VALUE"""),0.589880952380952)</f>
        <v>0.58988095238095195</v>
      </c>
      <c r="D267" s="114">
        <f ca="1">IFERROR(__xludf.DUMMYFUNCTION("""COMPUTED_VALUE"""),0.0550925925925925)</f>
        <v>5.5092592592592499E-2</v>
      </c>
      <c r="E267" s="36"/>
      <c r="F267" s="36"/>
      <c r="G267" s="36"/>
      <c r="H267" s="36"/>
      <c r="I267" s="36"/>
      <c r="J267" s="36"/>
      <c r="R267" s="117" t="s">
        <v>1285</v>
      </c>
      <c r="S267" s="116"/>
      <c r="T267" s="116"/>
      <c r="U267" s="616">
        <v>87</v>
      </c>
      <c r="V267" s="618">
        <v>1.0139</v>
      </c>
      <c r="W267" s="619">
        <v>101</v>
      </c>
      <c r="X267" s="618">
        <v>0.17499999999999999</v>
      </c>
      <c r="Y267" s="620">
        <v>83</v>
      </c>
    </row>
    <row r="268" spans="1:25" ht="12.75">
      <c r="A268" s="36" t="str">
        <f ca="1">IFERROR(__xludf.DUMMYFUNCTION("""COMPUTED_VALUE"""),"Максимів Яна")</f>
        <v>Максимів Яна</v>
      </c>
      <c r="B268" s="114">
        <f ca="1">IFERROR(__xludf.DUMMYFUNCTION("""COMPUTED_VALUE"""),0.0211640211640211)</f>
        <v>2.11640211640211E-2</v>
      </c>
      <c r="C268" s="114">
        <f ca="1">IFERROR(__xludf.DUMMYFUNCTION("""COMPUTED_VALUE"""),0.907752504519745)</f>
        <v>0.90775250451974498</v>
      </c>
      <c r="D268" s="114">
        <f ca="1">IFERROR(__xludf.DUMMYFUNCTION("""COMPUTED_VALUE"""),0.0148148148148148)</f>
        <v>1.48148148148148E-2</v>
      </c>
      <c r="E268" s="36"/>
      <c r="F268" s="36"/>
      <c r="G268" s="36"/>
      <c r="H268" s="36"/>
      <c r="I268" s="36"/>
      <c r="J268" s="36"/>
      <c r="R268" s="117" t="s">
        <v>1288</v>
      </c>
      <c r="S268" s="116"/>
      <c r="T268" s="116"/>
      <c r="U268" s="616">
        <v>97</v>
      </c>
      <c r="V268" s="618">
        <v>0.55920000000000003</v>
      </c>
      <c r="W268" s="619">
        <v>56</v>
      </c>
      <c r="X268" s="618">
        <v>1.2E-2</v>
      </c>
      <c r="Y268" s="620">
        <v>99</v>
      </c>
    </row>
    <row r="269" spans="1:25" ht="12.75">
      <c r="A269" s="36" t="str">
        <f ca="1">IFERROR(__xludf.DUMMYFUNCTION("""COMPUTED_VALUE"""),"Маланюк Ростислав")</f>
        <v>Маланюк Ростислав</v>
      </c>
      <c r="B269" s="114">
        <f ca="1">IFERROR(__xludf.DUMMYFUNCTION("""COMPUTED_VALUE"""),0.151515151515151)</f>
        <v>0.15151515151515099</v>
      </c>
      <c r="C269" s="114">
        <f ca="1">IFERROR(__xludf.DUMMYFUNCTION("""COMPUTED_VALUE"""),0.22089947089947)</f>
        <v>0.22089947089947001</v>
      </c>
      <c r="D269" s="114">
        <f ca="1">IFERROR(__xludf.DUMMYFUNCTION("""COMPUTED_VALUE"""),0.106060606060606)</f>
        <v>0.10606060606060599</v>
      </c>
      <c r="E269" s="36"/>
      <c r="F269" s="36"/>
      <c r="G269" s="36"/>
      <c r="H269" s="36"/>
      <c r="I269" s="36"/>
      <c r="J269" s="36"/>
      <c r="R269" s="117" t="s">
        <v>1292</v>
      </c>
      <c r="S269" s="116"/>
      <c r="T269" s="116"/>
      <c r="U269" s="616">
        <v>100</v>
      </c>
      <c r="V269" s="618">
        <v>0.4103</v>
      </c>
      <c r="W269" s="619">
        <v>41</v>
      </c>
      <c r="X269" s="618">
        <v>-7.0000000000000007E-2</v>
      </c>
      <c r="Y269" s="620">
        <v>107</v>
      </c>
    </row>
    <row r="270" spans="1:25" ht="12.75">
      <c r="A270" s="36" t="str">
        <f ca="1">IFERROR(__xludf.DUMMYFUNCTION("""COMPUTED_VALUE"""),"Малахова Зоя")</f>
        <v>Малахова Зоя</v>
      </c>
      <c r="B270" s="114">
        <f ca="1">IFERROR(__xludf.DUMMYFUNCTION("""COMPUTED_VALUE"""),0.1)</f>
        <v>0.1</v>
      </c>
      <c r="C270" s="114">
        <f ca="1">IFERROR(__xludf.DUMMYFUNCTION("""COMPUTED_VALUE"""),0.894736842105263)</f>
        <v>0.89473684210526305</v>
      </c>
      <c r="D270" s="114">
        <f ca="1">IFERROR(__xludf.DUMMYFUNCTION("""COMPUTED_VALUE"""),0.0699999999999999)</f>
        <v>6.9999999999999896E-2</v>
      </c>
      <c r="E270" s="36"/>
      <c r="F270" s="36"/>
      <c r="G270" s="36"/>
      <c r="H270" s="36"/>
      <c r="I270" s="36"/>
      <c r="J270" s="36"/>
      <c r="R270" s="117" t="s">
        <v>1295</v>
      </c>
      <c r="S270" s="116"/>
      <c r="T270" s="116"/>
      <c r="U270" s="616">
        <v>100</v>
      </c>
      <c r="V270" s="618">
        <v>0.21429999999999999</v>
      </c>
      <c r="W270" s="619">
        <v>21</v>
      </c>
      <c r="X270" s="618">
        <v>0</v>
      </c>
      <c r="Y270" s="620">
        <v>100</v>
      </c>
    </row>
    <row r="271" spans="1:25" ht="12.75">
      <c r="A271" s="36" t="str">
        <f ca="1">IFERROR(__xludf.DUMMYFUNCTION("""COMPUTED_VALUE"""),"Малишенко Катерина")</f>
        <v>Малишенко Катерина</v>
      </c>
      <c r="B271" s="114">
        <f ca="1">IFERROR(__xludf.DUMMYFUNCTION("""COMPUTED_VALUE"""),0.121212121212121)</f>
        <v>0.12121212121212099</v>
      </c>
      <c r="C271" s="114">
        <f ca="1">IFERROR(__xludf.DUMMYFUNCTION("""COMPUTED_VALUE"""),0.797653654485049)</f>
        <v>0.79765365448504899</v>
      </c>
      <c r="D271" s="114">
        <f ca="1">IFERROR(__xludf.DUMMYFUNCTION("""COMPUTED_VALUE"""),0.0848484848484848)</f>
        <v>8.4848484848484798E-2</v>
      </c>
      <c r="E271" s="36"/>
      <c r="F271" s="36"/>
      <c r="G271" s="36"/>
      <c r="H271" s="36"/>
      <c r="I271" s="36"/>
      <c r="J271" s="36"/>
      <c r="R271" s="117" t="s">
        <v>1305</v>
      </c>
      <c r="S271" s="116"/>
      <c r="T271" s="116"/>
      <c r="U271" s="616">
        <v>84</v>
      </c>
      <c r="V271" s="618">
        <v>0.31309999999999999</v>
      </c>
      <c r="W271" s="619">
        <v>31</v>
      </c>
      <c r="X271" s="618">
        <v>2.8500000000000001E-2</v>
      </c>
      <c r="Y271" s="620">
        <v>97</v>
      </c>
    </row>
    <row r="272" spans="1:25" ht="12.75">
      <c r="A272" s="36" t="str">
        <f ca="1">IFERROR(__xludf.DUMMYFUNCTION("""COMPUTED_VALUE"""),"Малік Дмитро")</f>
        <v>Малік Дмитро</v>
      </c>
      <c r="B272" s="114">
        <f ca="1">IFERROR(__xludf.DUMMYFUNCTION("""COMPUTED_VALUE"""),0)</f>
        <v>0</v>
      </c>
      <c r="C272" s="114">
        <f ca="1">IFERROR(__xludf.DUMMYFUNCTION("""COMPUTED_VALUE"""),0.9375)</f>
        <v>0.9375</v>
      </c>
      <c r="D272" s="114">
        <f ca="1">IFERROR(__xludf.DUMMYFUNCTION("""COMPUTED_VALUE"""),0)</f>
        <v>0</v>
      </c>
      <c r="E272" s="36"/>
      <c r="F272" s="36"/>
      <c r="G272" s="36"/>
      <c r="H272" s="36"/>
      <c r="I272" s="36"/>
      <c r="J272" s="36"/>
      <c r="R272" s="117" t="s">
        <v>1309</v>
      </c>
      <c r="S272" s="116"/>
      <c r="T272" s="116"/>
      <c r="U272" s="616">
        <v>77</v>
      </c>
      <c r="V272" s="618">
        <v>0.48170000000000002</v>
      </c>
      <c r="W272" s="619">
        <v>48</v>
      </c>
      <c r="X272" s="618">
        <v>9.1000000000000004E-3</v>
      </c>
      <c r="Y272" s="620">
        <v>99</v>
      </c>
    </row>
    <row r="273" spans="1:25" ht="12.75">
      <c r="A273" s="36" t="str">
        <f ca="1">IFERROR(__xludf.DUMMYFUNCTION("""COMPUTED_VALUE"""),"Мамченко Владислава")</f>
        <v>Мамченко Владислава</v>
      </c>
      <c r="B273" s="114">
        <f ca="1">IFERROR(__xludf.DUMMYFUNCTION("""COMPUTED_VALUE"""),0.15)</f>
        <v>0.15</v>
      </c>
      <c r="C273" s="114">
        <f ca="1">IFERROR(__xludf.DUMMYFUNCTION("""COMPUTED_VALUE"""),0.63873987854251)</f>
        <v>0.63873987854251002</v>
      </c>
      <c r="D273" s="114">
        <f ca="1">IFERROR(__xludf.DUMMYFUNCTION("""COMPUTED_VALUE"""),0.105)</f>
        <v>0.105</v>
      </c>
      <c r="E273" s="36"/>
      <c r="F273" s="36"/>
      <c r="G273" s="36"/>
      <c r="H273" s="36"/>
      <c r="I273" s="36"/>
      <c r="J273" s="36"/>
      <c r="R273" s="117" t="s">
        <v>1319</v>
      </c>
      <c r="S273" s="116"/>
      <c r="T273" s="116"/>
      <c r="U273" s="616">
        <v>98</v>
      </c>
      <c r="V273" s="618">
        <v>0.5907</v>
      </c>
      <c r="W273" s="619">
        <v>59</v>
      </c>
      <c r="X273" s="618">
        <v>2.3800000000000002E-2</v>
      </c>
      <c r="Y273" s="620">
        <v>98</v>
      </c>
    </row>
    <row r="274" spans="1:25" ht="12.75">
      <c r="A274" s="36" t="str">
        <f ca="1">IFERROR(__xludf.DUMMYFUNCTION("""COMPUTED_VALUE"""),"Мандзя Андрій")</f>
        <v>Мандзя Андрій</v>
      </c>
      <c r="B274" s="114">
        <f ca="1">IFERROR(__xludf.DUMMYFUNCTION("""COMPUTED_VALUE"""),0)</f>
        <v>0</v>
      </c>
      <c r="C274" s="114">
        <f ca="1">IFERROR(__xludf.DUMMYFUNCTION("""COMPUTED_VALUE"""),1)</f>
        <v>1</v>
      </c>
      <c r="D274" s="114">
        <f ca="1">IFERROR(__xludf.DUMMYFUNCTION("""COMPUTED_VALUE"""),0)</f>
        <v>0</v>
      </c>
      <c r="E274" s="36"/>
      <c r="F274" s="36"/>
      <c r="G274" s="36"/>
      <c r="H274" s="36"/>
      <c r="I274" s="36"/>
      <c r="J274" s="36"/>
      <c r="R274" s="117" t="s">
        <v>1322</v>
      </c>
      <c r="S274" s="116"/>
      <c r="T274" s="116"/>
      <c r="U274" s="616">
        <v>95</v>
      </c>
      <c r="V274" s="618">
        <v>0.63439999999999996</v>
      </c>
      <c r="W274" s="619">
        <v>63</v>
      </c>
      <c r="X274" s="618">
        <v>3.6200000000000003E-2</v>
      </c>
      <c r="Y274" s="620">
        <v>96</v>
      </c>
    </row>
    <row r="275" spans="1:25" ht="12.75">
      <c r="A275" s="36" t="str">
        <f ca="1">IFERROR(__xludf.DUMMYFUNCTION("""COMPUTED_VALUE"""),"Маніленко Наталія")</f>
        <v>Маніленко Наталія</v>
      </c>
      <c r="B275" s="114">
        <f ca="1">IFERROR(__xludf.DUMMYFUNCTION("""COMPUTED_VALUE"""),0.142857142857142)</f>
        <v>0.14285714285714199</v>
      </c>
      <c r="C275" s="114">
        <f ca="1">IFERROR(__xludf.DUMMYFUNCTION("""COMPUTED_VALUE"""),0.761904761904761)</f>
        <v>0.76190476190476097</v>
      </c>
      <c r="D275" s="114">
        <f ca="1">IFERROR(__xludf.DUMMYFUNCTION("""COMPUTED_VALUE"""),0.0999999999999999)</f>
        <v>9.9999999999999895E-2</v>
      </c>
      <c r="E275" s="36"/>
      <c r="F275" s="36"/>
      <c r="G275" s="36"/>
      <c r="H275" s="36"/>
      <c r="I275" s="36"/>
      <c r="J275" s="36"/>
      <c r="R275" s="117" t="s">
        <v>1325</v>
      </c>
      <c r="S275" s="116"/>
      <c r="T275" s="116"/>
      <c r="U275" s="616">
        <v>93</v>
      </c>
      <c r="V275" s="618">
        <v>0.32800000000000001</v>
      </c>
      <c r="W275" s="619">
        <v>33</v>
      </c>
      <c r="X275" s="618">
        <v>1.43E-2</v>
      </c>
      <c r="Y275" s="620">
        <v>99</v>
      </c>
    </row>
    <row r="276" spans="1:25" ht="12.75">
      <c r="A276" s="36" t="str">
        <f ca="1">IFERROR(__xludf.DUMMYFUNCTION("""COMPUTED_VALUE"""),"Манько Сергій")</f>
        <v>Манько Сергій</v>
      </c>
      <c r="B276" s="114">
        <f ca="1">IFERROR(__xludf.DUMMYFUNCTION("""COMPUTED_VALUE"""),0)</f>
        <v>0</v>
      </c>
      <c r="C276" s="114">
        <f ca="1">IFERROR(__xludf.DUMMYFUNCTION("""COMPUTED_VALUE"""),0.444444444444444)</f>
        <v>0.44444444444444398</v>
      </c>
      <c r="D276" s="114">
        <f ca="1">IFERROR(__xludf.DUMMYFUNCTION("""COMPUTED_VALUE"""),0)</f>
        <v>0</v>
      </c>
      <c r="E276" s="36"/>
      <c r="F276" s="36"/>
      <c r="G276" s="36"/>
      <c r="H276" s="36"/>
      <c r="I276" s="36"/>
      <c r="J276" s="36"/>
      <c r="R276" s="117" t="s">
        <v>1336</v>
      </c>
      <c r="S276" s="116"/>
      <c r="T276" s="116"/>
      <c r="U276" s="616">
        <v>80</v>
      </c>
      <c r="V276" s="618">
        <v>0.96430000000000005</v>
      </c>
      <c r="W276" s="619">
        <v>96</v>
      </c>
      <c r="X276" s="618">
        <v>0</v>
      </c>
      <c r="Y276" s="620">
        <v>100</v>
      </c>
    </row>
    <row r="277" spans="1:25" ht="12.75">
      <c r="A277" s="114" t="str">
        <f ca="1">IFERROR(__xludf.DUMMYFUNCTION("""COMPUTED_VALUE"""),"Мартинюк Вікторія")</f>
        <v>Мартинюк Вікторія</v>
      </c>
      <c r="B277" s="114">
        <f ca="1">IFERROR(__xludf.DUMMYFUNCTION("""COMPUTED_VALUE"""),0.1)</f>
        <v>0.1</v>
      </c>
      <c r="C277" s="114">
        <f ca="1">IFERROR(__xludf.DUMMYFUNCTION("""COMPUTED_VALUE"""),0.532428355957767)</f>
        <v>0.53242835595776705</v>
      </c>
      <c r="D277" s="114">
        <f ca="1">IFERROR(__xludf.DUMMYFUNCTION("""COMPUTED_VALUE"""),0.0699999999999999)</f>
        <v>6.9999999999999896E-2</v>
      </c>
      <c r="E277" s="36"/>
      <c r="F277" s="36"/>
      <c r="G277" s="36"/>
      <c r="H277" s="36"/>
      <c r="I277" s="36"/>
      <c r="J277" s="36"/>
      <c r="R277" s="117" t="s">
        <v>1340</v>
      </c>
      <c r="S277" s="116"/>
      <c r="T277" s="116"/>
      <c r="U277" s="616">
        <v>86</v>
      </c>
      <c r="V277" s="618">
        <v>0.61890000000000001</v>
      </c>
      <c r="W277" s="619">
        <v>62</v>
      </c>
      <c r="X277" s="618">
        <v>0</v>
      </c>
      <c r="Y277" s="620">
        <v>100</v>
      </c>
    </row>
    <row r="278" spans="1:25" ht="12.75">
      <c r="A278" s="36" t="str">
        <f ca="1">IFERROR(__xludf.DUMMYFUNCTION("""COMPUTED_VALUE"""),"Матвієнко Володимир")</f>
        <v>Матвієнко Володимир</v>
      </c>
      <c r="B278" s="114">
        <f ca="1">IFERROR(__xludf.DUMMYFUNCTION("""COMPUTED_VALUE"""),0.0455555555555555)</f>
        <v>4.5555555555555502E-2</v>
      </c>
      <c r="C278" s="114">
        <f ca="1">IFERROR(__xludf.DUMMYFUNCTION("""COMPUTED_VALUE"""),0.86284749034749)</f>
        <v>0.86284749034748998</v>
      </c>
      <c r="D278" s="114">
        <f ca="1">IFERROR(__xludf.DUMMYFUNCTION("""COMPUTED_VALUE"""),0.0318888888888888)</f>
        <v>3.18888888888888E-2</v>
      </c>
      <c r="E278" s="36"/>
      <c r="F278" s="36"/>
      <c r="G278" s="36"/>
      <c r="H278" s="36"/>
      <c r="I278" s="36"/>
      <c r="J278" s="36"/>
      <c r="R278" s="117" t="s">
        <v>1344</v>
      </c>
      <c r="S278" s="116"/>
      <c r="T278" s="116"/>
      <c r="U278" s="616">
        <v>100</v>
      </c>
      <c r="V278" s="618">
        <v>0.59509999999999996</v>
      </c>
      <c r="W278" s="619">
        <v>60</v>
      </c>
      <c r="X278" s="618">
        <v>0.1</v>
      </c>
      <c r="Y278" s="620">
        <v>90</v>
      </c>
    </row>
    <row r="279" spans="1:25" ht="12.75">
      <c r="A279" s="36" t="str">
        <f ca="1">IFERROR(__xludf.DUMMYFUNCTION("""COMPUTED_VALUE"""),"Матвійчук Леся")</f>
        <v>Матвійчук Леся</v>
      </c>
      <c r="B279" s="114">
        <f ca="1">IFERROR(__xludf.DUMMYFUNCTION("""COMPUTED_VALUE"""),0)</f>
        <v>0</v>
      </c>
      <c r="C279" s="114">
        <f ca="1">IFERROR(__xludf.DUMMYFUNCTION("""COMPUTED_VALUE"""),0.633333333333333)</f>
        <v>0.63333333333333297</v>
      </c>
      <c r="D279" s="114">
        <f ca="1">IFERROR(__xludf.DUMMYFUNCTION("""COMPUTED_VALUE"""),0)</f>
        <v>0</v>
      </c>
      <c r="E279" s="36"/>
      <c r="F279" s="36"/>
      <c r="G279" s="36"/>
      <c r="H279" s="36"/>
      <c r="I279" s="36"/>
      <c r="J279" s="36"/>
      <c r="R279" s="117" t="s">
        <v>1347</v>
      </c>
      <c r="S279" s="116"/>
      <c r="T279" s="116"/>
      <c r="U279" s="616">
        <v>98</v>
      </c>
      <c r="V279" s="618">
        <v>1.1364000000000001</v>
      </c>
      <c r="W279" s="619">
        <v>114</v>
      </c>
      <c r="X279" s="618">
        <v>0.2</v>
      </c>
      <c r="Y279" s="620">
        <v>80</v>
      </c>
    </row>
    <row r="280" spans="1:25" ht="12.75">
      <c r="A280" s="36" t="str">
        <f ca="1">IFERROR(__xludf.DUMMYFUNCTION("""COMPUTED_VALUE"""),"Матяш Вікторія")</f>
        <v>Матяш Вікторія</v>
      </c>
      <c r="B280" s="114">
        <f ca="1">IFERROR(__xludf.DUMMYFUNCTION("""COMPUTED_VALUE"""),0)</f>
        <v>0</v>
      </c>
      <c r="C280" s="114">
        <f ca="1">IFERROR(__xludf.DUMMYFUNCTION("""COMPUTED_VALUE"""),0.416666666666666)</f>
        <v>0.41666666666666602</v>
      </c>
      <c r="D280" s="114">
        <f ca="1">IFERROR(__xludf.DUMMYFUNCTION("""COMPUTED_VALUE"""),0)</f>
        <v>0</v>
      </c>
      <c r="E280" s="36"/>
      <c r="F280" s="36"/>
      <c r="G280" s="36"/>
      <c r="H280" s="36"/>
      <c r="I280" s="36"/>
      <c r="J280" s="36"/>
      <c r="R280" s="117" t="s">
        <v>1350</v>
      </c>
      <c r="S280" s="116"/>
      <c r="T280" s="116"/>
      <c r="U280" s="616">
        <v>97</v>
      </c>
      <c r="V280" s="618">
        <v>0.45369999999999999</v>
      </c>
      <c r="W280" s="619">
        <v>45</v>
      </c>
      <c r="X280" s="618">
        <v>-8.3000000000000001E-3</v>
      </c>
      <c r="Y280" s="620">
        <v>101</v>
      </c>
    </row>
    <row r="281" spans="1:25" ht="12.75">
      <c r="A281" s="36" t="str">
        <f ca="1">IFERROR(__xludf.DUMMYFUNCTION("""COMPUTED_VALUE"""),"Махниборода Анастасія")</f>
        <v>Махниборода Анастасія</v>
      </c>
      <c r="B281" s="114">
        <f ca="1">IFERROR(__xludf.DUMMYFUNCTION("""COMPUTED_VALUE"""),0)</f>
        <v>0</v>
      </c>
      <c r="C281" s="114">
        <f ca="1">IFERROR(__xludf.DUMMYFUNCTION("""COMPUTED_VALUE"""),0.5)</f>
        <v>0.5</v>
      </c>
      <c r="D281" s="114">
        <f ca="1">IFERROR(__xludf.DUMMYFUNCTION("""COMPUTED_VALUE"""),0)</f>
        <v>0</v>
      </c>
      <c r="E281" s="36"/>
      <c r="F281" s="36"/>
      <c r="G281" s="36"/>
      <c r="H281" s="36"/>
      <c r="I281" s="36"/>
      <c r="J281" s="36"/>
      <c r="R281" s="117" t="s">
        <v>1353</v>
      </c>
      <c r="S281" s="116"/>
      <c r="T281" s="116"/>
      <c r="U281" s="616">
        <v>94</v>
      </c>
      <c r="V281" s="618">
        <v>0.66859999999999997</v>
      </c>
      <c r="W281" s="619">
        <v>67</v>
      </c>
      <c r="X281" s="618">
        <v>4.3799999999999999E-2</v>
      </c>
      <c r="Y281" s="620">
        <v>96</v>
      </c>
    </row>
    <row r="282" spans="1:25" ht="12.75">
      <c r="A282" s="36" t="str">
        <f ca="1">IFERROR(__xludf.DUMMYFUNCTION("""COMPUTED_VALUE"""),"Мегель Ірина")</f>
        <v>Мегель Ірина</v>
      </c>
      <c r="B282" s="114">
        <f ca="1">IFERROR(__xludf.DUMMYFUNCTION("""COMPUTED_VALUE"""),0)</f>
        <v>0</v>
      </c>
      <c r="C282" s="114">
        <f ca="1">IFERROR(__xludf.DUMMYFUNCTION("""COMPUTED_VALUE"""),0.765079365079365)</f>
        <v>0.76507936507936503</v>
      </c>
      <c r="D282" s="114">
        <f ca="1">IFERROR(__xludf.DUMMYFUNCTION("""COMPUTED_VALUE"""),0)</f>
        <v>0</v>
      </c>
      <c r="E282" s="36"/>
      <c r="F282" s="36"/>
      <c r="G282" s="36"/>
      <c r="H282" s="36"/>
      <c r="I282" s="36"/>
      <c r="J282" s="36"/>
      <c r="R282" s="117" t="s">
        <v>1357</v>
      </c>
      <c r="S282" s="116"/>
      <c r="T282" s="116"/>
      <c r="U282" s="616">
        <v>98</v>
      </c>
      <c r="V282" s="618">
        <v>0.78129999999999999</v>
      </c>
      <c r="W282" s="619">
        <v>78</v>
      </c>
      <c r="X282" s="618">
        <v>0</v>
      </c>
      <c r="Y282" s="620">
        <v>100</v>
      </c>
    </row>
    <row r="283" spans="1:25" ht="12.75">
      <c r="A283" s="36" t="str">
        <f ca="1">IFERROR(__xludf.DUMMYFUNCTION("""COMPUTED_VALUE"""),"Мельніков Роман")</f>
        <v>Мельніков Роман</v>
      </c>
      <c r="B283" s="114">
        <f ca="1">IFERROR(__xludf.DUMMYFUNCTION("""COMPUTED_VALUE"""),0.0747474747474747)</f>
        <v>7.4747474747474701E-2</v>
      </c>
      <c r="C283" s="114">
        <f ca="1">IFERROR(__xludf.DUMMYFUNCTION("""COMPUTED_VALUE"""),0.919986308093725)</f>
        <v>0.91998630809372495</v>
      </c>
      <c r="D283" s="114">
        <f ca="1">IFERROR(__xludf.DUMMYFUNCTION("""COMPUTED_VALUE"""),0.0523232323232323)</f>
        <v>5.2323232323232299E-2</v>
      </c>
      <c r="E283" s="36"/>
      <c r="F283" s="36"/>
      <c r="G283" s="36"/>
      <c r="H283" s="36"/>
      <c r="I283" s="36"/>
      <c r="J283" s="36"/>
      <c r="R283" s="117" t="s">
        <v>1361</v>
      </c>
      <c r="S283" s="116"/>
      <c r="T283" s="116"/>
      <c r="U283" s="616">
        <v>87</v>
      </c>
      <c r="V283" s="618">
        <v>0.4667</v>
      </c>
      <c r="W283" s="619">
        <v>47</v>
      </c>
      <c r="X283" s="618">
        <v>3.9800000000000002E-2</v>
      </c>
      <c r="Y283" s="620">
        <v>96</v>
      </c>
    </row>
    <row r="284" spans="1:25" ht="12.75">
      <c r="A284" s="36" t="str">
        <f ca="1">IFERROR(__xludf.DUMMYFUNCTION("""COMPUTED_VALUE"""),"Мельнічук Анастасія")</f>
        <v>Мельнічук Анастасія</v>
      </c>
      <c r="B284" s="114">
        <f ca="1">IFERROR(__xludf.DUMMYFUNCTION("""COMPUTED_VALUE"""),0)</f>
        <v>0</v>
      </c>
      <c r="C284" s="114">
        <f ca="1">IFERROR(__xludf.DUMMYFUNCTION("""COMPUTED_VALUE"""),0.5)</f>
        <v>0.5</v>
      </c>
      <c r="D284" s="114">
        <f ca="1">IFERROR(__xludf.DUMMYFUNCTION("""COMPUTED_VALUE"""),0)</f>
        <v>0</v>
      </c>
      <c r="E284" s="36"/>
      <c r="F284" s="36"/>
      <c r="G284" s="36"/>
      <c r="H284" s="36"/>
      <c r="I284" s="36"/>
      <c r="J284" s="36"/>
      <c r="R284" s="117" t="s">
        <v>1364</v>
      </c>
      <c r="S284" s="116"/>
      <c r="T284" s="116"/>
      <c r="U284" s="616">
        <v>86</v>
      </c>
      <c r="V284" s="618">
        <v>0.62549999999999994</v>
      </c>
      <c r="W284" s="619">
        <v>63</v>
      </c>
      <c r="X284" s="618">
        <v>0</v>
      </c>
      <c r="Y284" s="620">
        <v>100</v>
      </c>
    </row>
    <row r="285" spans="1:25" ht="12.75">
      <c r="A285" s="36" t="str">
        <f ca="1">IFERROR(__xludf.DUMMYFUNCTION("""COMPUTED_VALUE"""),"Мендалюк Наталія")</f>
        <v>Мендалюк Наталія</v>
      </c>
      <c r="B285" s="114">
        <f ca="1">IFERROR(__xludf.DUMMYFUNCTION("""COMPUTED_VALUE"""),0.0185185185185185)</f>
        <v>1.85185185185185E-2</v>
      </c>
      <c r="C285" s="114">
        <f ca="1">IFERROR(__xludf.DUMMYFUNCTION("""COMPUTED_VALUE"""),0.515701219512195)</f>
        <v>0.51570121951219505</v>
      </c>
      <c r="D285" s="114">
        <f ca="1">IFERROR(__xludf.DUMMYFUNCTION("""COMPUTED_VALUE"""),0.0129629629629629)</f>
        <v>1.29629629629629E-2</v>
      </c>
      <c r="E285" s="36"/>
      <c r="F285" s="36"/>
      <c r="G285" s="36"/>
      <c r="H285" s="36"/>
      <c r="I285" s="36"/>
      <c r="J285" s="36"/>
      <c r="R285" s="117" t="s">
        <v>1368</v>
      </c>
      <c r="S285" s="116"/>
      <c r="T285" s="116"/>
      <c r="U285" s="616">
        <v>79</v>
      </c>
      <c r="V285" s="618">
        <v>0.79490000000000005</v>
      </c>
      <c r="W285" s="619">
        <v>79</v>
      </c>
      <c r="X285" s="618">
        <v>0.17499999999999999</v>
      </c>
      <c r="Y285" s="620">
        <v>83</v>
      </c>
    </row>
    <row r="286" spans="1:25" ht="12.75">
      <c r="A286" s="36" t="str">
        <f ca="1">IFERROR(__xludf.DUMMYFUNCTION("""COMPUTED_VALUE"""),"Миколаєнко Вікторія")</f>
        <v>Миколаєнко Вікторія</v>
      </c>
      <c r="B286" s="114">
        <f ca="1">IFERROR(__xludf.DUMMYFUNCTION("""COMPUTED_VALUE"""),0.222222222222222)</f>
        <v>0.22222222222222199</v>
      </c>
      <c r="C286" s="114">
        <f ca="1">IFERROR(__xludf.DUMMYFUNCTION("""COMPUTED_VALUE"""),0.688034188034188)</f>
        <v>0.68803418803418803</v>
      </c>
      <c r="D286" s="114">
        <f ca="1">IFERROR(__xludf.DUMMYFUNCTION("""COMPUTED_VALUE"""),0.155555555555555)</f>
        <v>0.155555555555555</v>
      </c>
      <c r="E286" s="36"/>
      <c r="F286" s="36"/>
      <c r="G286" s="36"/>
      <c r="H286" s="36"/>
      <c r="I286" s="36"/>
      <c r="J286" s="36"/>
      <c r="R286" s="117" t="s">
        <v>1379</v>
      </c>
      <c r="S286" s="116"/>
      <c r="T286" s="116"/>
      <c r="U286" s="616">
        <v>92</v>
      </c>
      <c r="V286" s="618">
        <v>0.71919999999999995</v>
      </c>
      <c r="W286" s="619">
        <v>72</v>
      </c>
      <c r="X286" s="618">
        <v>0</v>
      </c>
      <c r="Y286" s="620">
        <v>100</v>
      </c>
    </row>
    <row r="287" spans="1:25" ht="12.75">
      <c r="A287" s="36" t="str">
        <f ca="1">IFERROR(__xludf.DUMMYFUNCTION("""COMPUTED_VALUE"""),"Мисан Марія")</f>
        <v>Мисан Марія</v>
      </c>
      <c r="B287" s="114">
        <f ca="1">IFERROR(__xludf.DUMMYFUNCTION("""COMPUTED_VALUE"""),0.1)</f>
        <v>0.1</v>
      </c>
      <c r="C287" s="114">
        <f ca="1">IFERROR(__xludf.DUMMYFUNCTION("""COMPUTED_VALUE"""),0.798241758241758)</f>
        <v>0.79824175824175803</v>
      </c>
      <c r="D287" s="114">
        <f ca="1">IFERROR(__xludf.DUMMYFUNCTION("""COMPUTED_VALUE"""),0.0699999999999999)</f>
        <v>6.9999999999999896E-2</v>
      </c>
      <c r="E287" s="36"/>
      <c r="F287" s="36"/>
      <c r="G287" s="36"/>
      <c r="H287" s="36"/>
      <c r="I287" s="36"/>
      <c r="J287" s="36"/>
      <c r="R287" s="117" t="s">
        <v>1382</v>
      </c>
      <c r="S287" s="116"/>
      <c r="T287" s="116"/>
      <c r="U287" s="616">
        <v>95</v>
      </c>
      <c r="V287" s="618">
        <v>0.47220000000000001</v>
      </c>
      <c r="W287" s="619">
        <v>47</v>
      </c>
      <c r="X287" s="618">
        <v>0</v>
      </c>
      <c r="Y287" s="620">
        <v>100</v>
      </c>
    </row>
    <row r="288" spans="1:25" ht="12.75">
      <c r="A288" s="36" t="str">
        <f ca="1">IFERROR(__xludf.DUMMYFUNCTION("""COMPUTED_VALUE"""),"Михайленко Людмила")</f>
        <v>Михайленко Людмила</v>
      </c>
      <c r="B288" s="114">
        <f ca="1">IFERROR(__xludf.DUMMYFUNCTION("""COMPUTED_VALUE"""),0.0714285714285714)</f>
        <v>7.1428571428571397E-2</v>
      </c>
      <c r="C288" s="114">
        <f ca="1">IFERROR(__xludf.DUMMYFUNCTION("""COMPUTED_VALUE"""),0.7)</f>
        <v>0.7</v>
      </c>
      <c r="D288" s="114">
        <f ca="1">IFERROR(__xludf.DUMMYFUNCTION("""COMPUTED_VALUE"""),0.0499999999999999)</f>
        <v>4.9999999999999899E-2</v>
      </c>
      <c r="E288" s="36"/>
      <c r="F288" s="36"/>
      <c r="G288" s="36"/>
      <c r="H288" s="36"/>
      <c r="I288" s="36"/>
      <c r="J288" s="36"/>
      <c r="R288" s="117" t="s">
        <v>1385</v>
      </c>
      <c r="S288" s="116"/>
      <c r="T288" s="116"/>
      <c r="U288" s="616">
        <v>97</v>
      </c>
      <c r="V288" s="618">
        <v>0.63070000000000004</v>
      </c>
      <c r="W288" s="619">
        <v>63</v>
      </c>
      <c r="X288" s="618">
        <v>1.01E-2</v>
      </c>
      <c r="Y288" s="620">
        <v>99</v>
      </c>
    </row>
    <row r="289" spans="1:25" ht="12.75">
      <c r="A289" s="36" t="str">
        <f ca="1">IFERROR(__xludf.DUMMYFUNCTION("""COMPUTED_VALUE"""),"Михайленко Юлія")</f>
        <v>Михайленко Юлія</v>
      </c>
      <c r="B289" s="114">
        <f ca="1">IFERROR(__xludf.DUMMYFUNCTION("""COMPUTED_VALUE"""),0.0571428571428571)</f>
        <v>5.7142857142857099E-2</v>
      </c>
      <c r="C289" s="114">
        <f ca="1">IFERROR(__xludf.DUMMYFUNCTION("""COMPUTED_VALUE"""),0.405629209500177)</f>
        <v>0.405629209500177</v>
      </c>
      <c r="D289" s="114">
        <f ca="1">IFERROR(__xludf.DUMMYFUNCTION("""COMPUTED_VALUE"""),0.0399999999999999)</f>
        <v>3.9999999999999897E-2</v>
      </c>
      <c r="E289" s="36"/>
      <c r="F289" s="36"/>
      <c r="G289" s="36"/>
      <c r="H289" s="36"/>
      <c r="I289" s="36"/>
      <c r="J289" s="36"/>
      <c r="R289" s="117" t="s">
        <v>1388</v>
      </c>
      <c r="S289" s="116"/>
      <c r="T289" s="116"/>
      <c r="U289" s="616">
        <v>86</v>
      </c>
      <c r="V289" s="618">
        <v>0.63190000000000002</v>
      </c>
      <c r="W289" s="619">
        <v>63</v>
      </c>
      <c r="X289" s="618">
        <v>0</v>
      </c>
      <c r="Y289" s="620">
        <v>100</v>
      </c>
    </row>
    <row r="290" spans="1:25" ht="12.75">
      <c r="A290" s="36" t="str">
        <f ca="1">IFERROR(__xludf.DUMMYFUNCTION("""COMPUTED_VALUE"""),"Миц Віталій")</f>
        <v>Миц Віталій</v>
      </c>
      <c r="B290" s="114">
        <f ca="1">IFERROR(__xludf.DUMMYFUNCTION("""COMPUTED_VALUE"""),0.0416666666666666)</f>
        <v>4.1666666666666602E-2</v>
      </c>
      <c r="C290" s="114">
        <f ca="1">IFERROR(__xludf.DUMMYFUNCTION("""COMPUTED_VALUE"""),0.611237373737373)</f>
        <v>0.61123737373737297</v>
      </c>
      <c r="D290" s="114">
        <f ca="1">IFERROR(__xludf.DUMMYFUNCTION("""COMPUTED_VALUE"""),0.0291666666666666)</f>
        <v>2.9166666666666601E-2</v>
      </c>
      <c r="E290" s="36"/>
      <c r="F290" s="36"/>
      <c r="G290" s="36"/>
      <c r="H290" s="36"/>
      <c r="I290" s="36"/>
      <c r="J290" s="36"/>
      <c r="R290" s="117" t="s">
        <v>1392</v>
      </c>
      <c r="S290" s="116"/>
      <c r="T290" s="116"/>
      <c r="U290" s="616">
        <v>81</v>
      </c>
      <c r="V290" s="618">
        <v>0.70540000000000003</v>
      </c>
      <c r="W290" s="619">
        <v>71</v>
      </c>
      <c r="X290" s="618">
        <v>4.7999999999999996E-3</v>
      </c>
      <c r="Y290" s="620">
        <v>100</v>
      </c>
    </row>
    <row r="291" spans="1:25" ht="12.75">
      <c r="A291" s="36" t="str">
        <f ca="1">IFERROR(__xludf.DUMMYFUNCTION("""COMPUTED_VALUE"""),"Мількова Анастасія")</f>
        <v>Мількова Анастасія</v>
      </c>
      <c r="B291" s="114">
        <f ca="1">IFERROR(__xludf.DUMMYFUNCTION("""COMPUTED_VALUE"""),0)</f>
        <v>0</v>
      </c>
      <c r="C291" s="114">
        <f ca="1">IFERROR(__xludf.DUMMYFUNCTION("""COMPUTED_VALUE"""),0.75)</f>
        <v>0.75</v>
      </c>
      <c r="D291" s="114">
        <f ca="1">IFERROR(__xludf.DUMMYFUNCTION("""COMPUTED_VALUE"""),0)</f>
        <v>0</v>
      </c>
      <c r="E291" s="36"/>
      <c r="F291" s="36"/>
      <c r="G291" s="36"/>
      <c r="H291" s="36"/>
      <c r="I291" s="36"/>
      <c r="J291" s="36"/>
      <c r="R291" s="117" t="s">
        <v>1395</v>
      </c>
      <c r="S291" s="116"/>
      <c r="T291" s="116"/>
      <c r="U291" s="616">
        <v>93</v>
      </c>
      <c r="V291" s="618">
        <v>1.3695999999999999</v>
      </c>
      <c r="W291" s="619">
        <v>137</v>
      </c>
      <c r="X291" s="618">
        <v>6.0999999999999999E-2</v>
      </c>
      <c r="Y291" s="620">
        <v>94</v>
      </c>
    </row>
    <row r="292" spans="1:25" ht="12.75">
      <c r="A292" s="36" t="str">
        <f ca="1">IFERROR(__xludf.DUMMYFUNCTION("""COMPUTED_VALUE"""),"Мірошник Софія")</f>
        <v>Мірошник Софія</v>
      </c>
      <c r="B292" s="114">
        <f ca="1">IFERROR(__xludf.DUMMYFUNCTION("""COMPUTED_VALUE"""),0)</f>
        <v>0</v>
      </c>
      <c r="C292" s="114">
        <f ca="1">IFERROR(__xludf.DUMMYFUNCTION("""COMPUTED_VALUE"""),0.785714285714285)</f>
        <v>0.78571428571428503</v>
      </c>
      <c r="D292" s="114">
        <f ca="1">IFERROR(__xludf.DUMMYFUNCTION("""COMPUTED_VALUE"""),0)</f>
        <v>0</v>
      </c>
      <c r="E292" s="36"/>
      <c r="F292" s="36"/>
      <c r="G292" s="36"/>
      <c r="H292" s="36"/>
      <c r="I292" s="36"/>
      <c r="J292" s="36"/>
      <c r="R292" s="117" t="s">
        <v>1398</v>
      </c>
      <c r="S292" s="116"/>
      <c r="T292" s="116"/>
      <c r="U292" s="616">
        <v>98</v>
      </c>
      <c r="V292" s="618">
        <v>0.28749999999999998</v>
      </c>
      <c r="W292" s="619">
        <v>29</v>
      </c>
      <c r="X292" s="618">
        <v>2.7300000000000001E-2</v>
      </c>
      <c r="Y292" s="620">
        <v>97</v>
      </c>
    </row>
    <row r="293" spans="1:25" ht="12.75">
      <c r="A293" s="36" t="str">
        <f ca="1">IFERROR(__xludf.DUMMYFUNCTION("""COMPUTED_VALUE"""),"Мірошникова Рената")</f>
        <v>Мірошникова Рената</v>
      </c>
      <c r="B293" s="114">
        <f ca="1">IFERROR(__xludf.DUMMYFUNCTION("""COMPUTED_VALUE"""),0.0333333333333333)</f>
        <v>3.3333333333333298E-2</v>
      </c>
      <c r="C293" s="114">
        <f ca="1">IFERROR(__xludf.DUMMYFUNCTION("""COMPUTED_VALUE"""),0.744011544011543)</f>
        <v>0.74401154401154301</v>
      </c>
      <c r="D293" s="114">
        <f ca="1">IFERROR(__xludf.DUMMYFUNCTION("""COMPUTED_VALUE"""),0.0233333333333333)</f>
        <v>2.33333333333333E-2</v>
      </c>
      <c r="E293" s="36"/>
      <c r="F293" s="36"/>
      <c r="G293" s="36"/>
      <c r="H293" s="36"/>
      <c r="I293" s="36"/>
      <c r="J293" s="36"/>
      <c r="R293" s="117" t="s">
        <v>1401</v>
      </c>
      <c r="S293" s="116"/>
      <c r="T293" s="116"/>
      <c r="U293" s="616">
        <v>81</v>
      </c>
      <c r="V293" s="618">
        <v>1.1904999999999999</v>
      </c>
      <c r="W293" s="619">
        <v>119</v>
      </c>
      <c r="X293" s="618">
        <v>0</v>
      </c>
      <c r="Y293" s="620">
        <v>100</v>
      </c>
    </row>
    <row r="294" spans="1:25" ht="12.75">
      <c r="A294" s="36" t="str">
        <f ca="1">IFERROR(__xludf.DUMMYFUNCTION("""COMPUTED_VALUE"""),"Мірошниченко Максим")</f>
        <v>Мірошниченко Максим</v>
      </c>
      <c r="B294" s="114">
        <f ca="1">IFERROR(__xludf.DUMMYFUNCTION("""COMPUTED_VALUE"""),0)</f>
        <v>0</v>
      </c>
      <c r="C294" s="114" t="str">
        <f ca="1">IFERROR(__xludf.DUMMYFUNCTION("""COMPUTED_VALUE"""),"#DIV/0!")</f>
        <v>#DIV/0!</v>
      </c>
      <c r="D294" s="114">
        <f ca="1">IFERROR(__xludf.DUMMYFUNCTION("""COMPUTED_VALUE"""),0)</f>
        <v>0</v>
      </c>
      <c r="E294" s="36"/>
      <c r="F294" s="36"/>
      <c r="G294" s="36"/>
      <c r="H294" s="36"/>
      <c r="I294" s="36"/>
      <c r="J294" s="36"/>
      <c r="R294" s="117" t="s">
        <v>1404</v>
      </c>
      <c r="S294" s="116"/>
      <c r="T294" s="116"/>
      <c r="U294" s="616">
        <v>100</v>
      </c>
      <c r="V294" s="618">
        <v>0.78779999999999994</v>
      </c>
      <c r="W294" s="619">
        <v>79</v>
      </c>
      <c r="X294" s="618">
        <v>1.3299999999999999E-2</v>
      </c>
      <c r="Y294" s="620">
        <v>99</v>
      </c>
    </row>
    <row r="295" spans="1:25" ht="12.75">
      <c r="A295" s="36" t="str">
        <f ca="1">IFERROR(__xludf.DUMMYFUNCTION("""COMPUTED_VALUE"""),"Моздалевський Микита")</f>
        <v>Моздалевський Микита</v>
      </c>
      <c r="B295" s="114">
        <f ca="1">IFERROR(__xludf.DUMMYFUNCTION("""COMPUTED_VALUE"""),0.142857142857142)</f>
        <v>0.14285714285714199</v>
      </c>
      <c r="C295" s="114">
        <f ca="1">IFERROR(__xludf.DUMMYFUNCTION("""COMPUTED_VALUE"""),1.08333333333333)</f>
        <v>1.0833333333333299</v>
      </c>
      <c r="D295" s="114">
        <f ca="1">IFERROR(__xludf.DUMMYFUNCTION("""COMPUTED_VALUE"""),0.0999999999999999)</f>
        <v>9.9999999999999895E-2</v>
      </c>
      <c r="E295" s="36"/>
      <c r="F295" s="36"/>
      <c r="G295" s="36"/>
      <c r="H295" s="36"/>
      <c r="I295" s="36"/>
      <c r="J295" s="36"/>
      <c r="R295" s="117" t="s">
        <v>1412</v>
      </c>
      <c r="S295" s="116"/>
      <c r="T295" s="116"/>
      <c r="U295" s="616">
        <v>97</v>
      </c>
      <c r="V295" s="618">
        <v>0.33950000000000002</v>
      </c>
      <c r="W295" s="619">
        <v>34</v>
      </c>
      <c r="X295" s="618">
        <v>5.5999999999999999E-3</v>
      </c>
      <c r="Y295" s="620">
        <v>99</v>
      </c>
    </row>
    <row r="296" spans="1:25" ht="12.75">
      <c r="A296" s="36" t="str">
        <f ca="1">IFERROR(__xludf.DUMMYFUNCTION("""COMPUTED_VALUE"""),"Моісеєва Тетяна")</f>
        <v>Моісеєва Тетяна</v>
      </c>
      <c r="B296" s="114">
        <f ca="1">IFERROR(__xludf.DUMMYFUNCTION("""COMPUTED_VALUE"""),0)</f>
        <v>0</v>
      </c>
      <c r="C296" s="114">
        <f ca="1">IFERROR(__xludf.DUMMYFUNCTION("""COMPUTED_VALUE"""),1.4375)</f>
        <v>1.4375</v>
      </c>
      <c r="D296" s="114">
        <f ca="1">IFERROR(__xludf.DUMMYFUNCTION("""COMPUTED_VALUE"""),0)</f>
        <v>0</v>
      </c>
      <c r="E296" s="36"/>
      <c r="F296" s="36"/>
      <c r="G296" s="36"/>
      <c r="H296" s="36"/>
      <c r="I296" s="36"/>
      <c r="J296" s="36"/>
      <c r="R296" s="117" t="s">
        <v>1415</v>
      </c>
      <c r="S296" s="116"/>
      <c r="T296" s="116"/>
      <c r="U296" s="616">
        <v>91</v>
      </c>
      <c r="V296" s="618">
        <v>0.2278</v>
      </c>
      <c r="W296" s="619">
        <v>23</v>
      </c>
      <c r="X296" s="618">
        <v>5.4000000000000003E-3</v>
      </c>
      <c r="Y296" s="620">
        <v>99</v>
      </c>
    </row>
    <row r="297" spans="1:25" ht="12.75">
      <c r="A297" s="36" t="str">
        <f ca="1">IFERROR(__xludf.DUMMYFUNCTION("""COMPUTED_VALUE"""),"Мороз Єва")</f>
        <v>Мороз Єва</v>
      </c>
      <c r="B297" s="114">
        <f ca="1">IFERROR(__xludf.DUMMYFUNCTION("""COMPUTED_VALUE"""),0.0277777777777777)</f>
        <v>2.77777777777777E-2</v>
      </c>
      <c r="C297" s="114">
        <f ca="1">IFERROR(__xludf.DUMMYFUNCTION("""COMPUTED_VALUE"""),0.527389277389277)</f>
        <v>0.52738927738927699</v>
      </c>
      <c r="D297" s="114">
        <f ca="1">IFERROR(__xludf.DUMMYFUNCTION("""COMPUTED_VALUE"""),0.0194444444444444)</f>
        <v>1.94444444444444E-2</v>
      </c>
      <c r="E297" s="36"/>
      <c r="F297" s="36"/>
      <c r="G297" s="36"/>
      <c r="H297" s="36"/>
      <c r="I297" s="36"/>
      <c r="J297" s="36"/>
      <c r="R297" s="117" t="s">
        <v>1422</v>
      </c>
      <c r="S297" s="116"/>
      <c r="T297" s="116"/>
      <c r="U297" s="616">
        <v>97</v>
      </c>
      <c r="V297" s="618">
        <v>0.37790000000000001</v>
      </c>
      <c r="W297" s="619">
        <v>38</v>
      </c>
      <c r="X297" s="618">
        <v>1.7899999999999999E-2</v>
      </c>
      <c r="Y297" s="620">
        <v>98</v>
      </c>
    </row>
    <row r="298" spans="1:25" ht="12.75">
      <c r="A298" s="36" t="str">
        <f ca="1">IFERROR(__xludf.DUMMYFUNCTION("""COMPUTED_VALUE"""),"Мороз Ольга")</f>
        <v>Мороз Ольга</v>
      </c>
      <c r="B298" s="114">
        <f ca="1">IFERROR(__xludf.DUMMYFUNCTION("""COMPUTED_VALUE"""),0.0408163265306122)</f>
        <v>4.08163265306122E-2</v>
      </c>
      <c r="C298" s="114">
        <f ca="1">IFERROR(__xludf.DUMMYFUNCTION("""COMPUTED_VALUE"""),0.831709183673469)</f>
        <v>0.83170918367346902</v>
      </c>
      <c r="D298" s="114">
        <f ca="1">IFERROR(__xludf.DUMMYFUNCTION("""COMPUTED_VALUE"""),0.0285714285714285)</f>
        <v>2.8571428571428501E-2</v>
      </c>
      <c r="E298" s="36"/>
      <c r="F298" s="36"/>
      <c r="G298" s="36"/>
      <c r="H298" s="36"/>
      <c r="I298" s="36"/>
      <c r="J298" s="36"/>
      <c r="R298" s="117" t="s">
        <v>1429</v>
      </c>
      <c r="S298" s="116"/>
      <c r="T298" s="116"/>
      <c r="U298" s="616">
        <v>94</v>
      </c>
      <c r="V298" s="618">
        <v>0.16669999999999999</v>
      </c>
      <c r="W298" s="619">
        <v>17</v>
      </c>
      <c r="X298" s="618">
        <v>0</v>
      </c>
      <c r="Y298" s="620">
        <v>100</v>
      </c>
    </row>
    <row r="299" spans="1:25" ht="12.75">
      <c r="A299" s="36" t="str">
        <f ca="1">IFERROR(__xludf.DUMMYFUNCTION("""COMPUTED_VALUE"""),"Москальова Марина")</f>
        <v>Москальова Марина</v>
      </c>
      <c r="B299" s="114">
        <f ca="1">IFERROR(__xludf.DUMMYFUNCTION("""COMPUTED_VALUE"""),0)</f>
        <v>0</v>
      </c>
      <c r="C299" s="114">
        <f ca="1">IFERROR(__xludf.DUMMYFUNCTION("""COMPUTED_VALUE"""),0.908333333333333)</f>
        <v>0.90833333333333299</v>
      </c>
      <c r="D299" s="114">
        <f ca="1">IFERROR(__xludf.DUMMYFUNCTION("""COMPUTED_VALUE"""),0)</f>
        <v>0</v>
      </c>
      <c r="E299" s="36"/>
      <c r="F299" s="36"/>
      <c r="G299" s="36"/>
      <c r="H299" s="36"/>
      <c r="I299" s="36"/>
      <c r="J299" s="36"/>
      <c r="R299" s="117" t="s">
        <v>1439</v>
      </c>
      <c r="S299" s="116"/>
      <c r="T299" s="116"/>
      <c r="U299" s="616">
        <v>95</v>
      </c>
      <c r="V299" s="618">
        <v>0.51090000000000002</v>
      </c>
      <c r="W299" s="619">
        <v>51</v>
      </c>
      <c r="X299" s="618">
        <v>-8.0999999999999996E-3</v>
      </c>
      <c r="Y299" s="620">
        <v>101</v>
      </c>
    </row>
    <row r="300" spans="1:25" ht="12.75">
      <c r="A300" s="36" t="str">
        <f ca="1">IFERROR(__xludf.DUMMYFUNCTION("""COMPUTED_VALUE"""),"Мостовий Віталій")</f>
        <v>Мостовий Віталій</v>
      </c>
      <c r="B300" s="114">
        <f ca="1">IFERROR(__xludf.DUMMYFUNCTION("""COMPUTED_VALUE"""),0.125)</f>
        <v>0.125</v>
      </c>
      <c r="C300" s="114">
        <f ca="1">IFERROR(__xludf.DUMMYFUNCTION("""COMPUTED_VALUE"""),0.640625)</f>
        <v>0.640625</v>
      </c>
      <c r="D300" s="114">
        <f ca="1">IFERROR(__xludf.DUMMYFUNCTION("""COMPUTED_VALUE"""),0.0875)</f>
        <v>8.7499999999999994E-2</v>
      </c>
      <c r="E300" s="36"/>
      <c r="F300" s="36"/>
      <c r="G300" s="36"/>
      <c r="H300" s="36"/>
      <c r="I300" s="36"/>
      <c r="J300" s="36"/>
      <c r="R300" s="117" t="s">
        <v>1442</v>
      </c>
      <c r="S300" s="116"/>
      <c r="T300" s="116"/>
      <c r="U300" s="616">
        <v>98</v>
      </c>
      <c r="V300" s="618">
        <v>0.43269999999999997</v>
      </c>
      <c r="W300" s="619">
        <v>43</v>
      </c>
      <c r="X300" s="618">
        <v>2.1399999999999999E-2</v>
      </c>
      <c r="Y300" s="620">
        <v>98</v>
      </c>
    </row>
    <row r="301" spans="1:25" ht="12.75">
      <c r="A301" s="36" t="str">
        <f ca="1">IFERROR(__xludf.DUMMYFUNCTION("""COMPUTED_VALUE"""),"Мякота Ярослав")</f>
        <v>Мякота Ярослав</v>
      </c>
      <c r="B301" s="114">
        <f ca="1">IFERROR(__xludf.DUMMYFUNCTION("""COMPUTED_VALUE"""),0.037037037037037)</f>
        <v>3.7037037037037E-2</v>
      </c>
      <c r="C301" s="114">
        <f ca="1">IFERROR(__xludf.DUMMYFUNCTION("""COMPUTED_VALUE"""),0.70699074074074)</f>
        <v>0.70699074074073998</v>
      </c>
      <c r="D301" s="114">
        <f ca="1">IFERROR(__xludf.DUMMYFUNCTION("""COMPUTED_VALUE"""),0.0259259259259259)</f>
        <v>2.5925925925925901E-2</v>
      </c>
      <c r="E301" s="36"/>
      <c r="F301" s="36"/>
      <c r="G301" s="36"/>
      <c r="H301" s="36"/>
      <c r="I301" s="36"/>
      <c r="J301" s="36"/>
      <c r="R301" s="117" t="s">
        <v>1446</v>
      </c>
      <c r="S301" s="116"/>
      <c r="T301" s="116"/>
      <c r="U301" s="616">
        <v>93</v>
      </c>
      <c r="V301" s="618">
        <v>0.42109999999999997</v>
      </c>
      <c r="W301" s="619">
        <v>42</v>
      </c>
      <c r="X301" s="618">
        <v>1.8E-3</v>
      </c>
      <c r="Y301" s="620">
        <v>100</v>
      </c>
    </row>
    <row r="302" spans="1:25" ht="12.75">
      <c r="A302" s="36" t="str">
        <f ca="1">IFERROR(__xludf.DUMMYFUNCTION("""COMPUTED_VALUE"""),"Назаренко Сергій")</f>
        <v>Назаренко Сергій</v>
      </c>
      <c r="B302" s="114">
        <f ca="1">IFERROR(__xludf.DUMMYFUNCTION("""COMPUTED_VALUE"""),0.144300144300144)</f>
        <v>0.14430014430014401</v>
      </c>
      <c r="C302" s="114">
        <f ca="1">IFERROR(__xludf.DUMMYFUNCTION("""COMPUTED_VALUE"""),0.857655502392344)</f>
        <v>0.857655502392344</v>
      </c>
      <c r="D302" s="114">
        <f ca="1">IFERROR(__xludf.DUMMYFUNCTION("""COMPUTED_VALUE"""),0.101010101010101)</f>
        <v>0.10101010101010099</v>
      </c>
      <c r="E302" s="36"/>
      <c r="F302" s="36"/>
      <c r="G302" s="36"/>
      <c r="H302" s="36"/>
      <c r="I302" s="36"/>
      <c r="J302" s="36"/>
      <c r="R302" s="117" t="s">
        <v>1449</v>
      </c>
      <c r="S302" s="116"/>
      <c r="T302" s="116"/>
      <c r="U302" s="616">
        <v>93</v>
      </c>
      <c r="V302" s="618">
        <v>0.29649999999999999</v>
      </c>
      <c r="W302" s="619">
        <v>30</v>
      </c>
      <c r="X302" s="618">
        <v>4.0899999999999999E-2</v>
      </c>
      <c r="Y302" s="620">
        <v>96</v>
      </c>
    </row>
    <row r="303" spans="1:25" ht="12.75">
      <c r="A303" s="36" t="str">
        <f ca="1">IFERROR(__xludf.DUMMYFUNCTION("""COMPUTED_VALUE"""),"Нарадько Юліана")</f>
        <v>Нарадько Юліана</v>
      </c>
      <c r="B303" s="114">
        <f ca="1">IFERROR(__xludf.DUMMYFUNCTION("""COMPUTED_VALUE"""),0.0606060606060606)</f>
        <v>6.0606060606060601E-2</v>
      </c>
      <c r="C303" s="114">
        <f ca="1">IFERROR(__xludf.DUMMYFUNCTION("""COMPUTED_VALUE"""),0.359210526315789)</f>
        <v>0.35921052631578898</v>
      </c>
      <c r="D303" s="114">
        <f ca="1">IFERROR(__xludf.DUMMYFUNCTION("""COMPUTED_VALUE"""),0.0424242424242424)</f>
        <v>4.2424242424242399E-2</v>
      </c>
      <c r="E303" s="36"/>
      <c r="F303" s="36"/>
      <c r="G303" s="36"/>
      <c r="H303" s="36"/>
      <c r="I303" s="36"/>
      <c r="J303" s="36"/>
      <c r="R303" s="117" t="s">
        <v>1452</v>
      </c>
      <c r="S303" s="116"/>
      <c r="T303" s="116"/>
      <c r="U303" s="616">
        <v>93</v>
      </c>
      <c r="V303" s="618">
        <v>0.33560000000000001</v>
      </c>
      <c r="W303" s="619">
        <v>34</v>
      </c>
      <c r="X303" s="618">
        <v>5.3600000000000002E-2</v>
      </c>
      <c r="Y303" s="620">
        <v>95</v>
      </c>
    </row>
    <row r="304" spans="1:25" ht="12.75">
      <c r="A304" s="36" t="str">
        <f ca="1">IFERROR(__xludf.DUMMYFUNCTION("""COMPUTED_VALUE"""),"Наумова Марія")</f>
        <v>Наумова Марія</v>
      </c>
      <c r="B304" s="114">
        <f ca="1">IFERROR(__xludf.DUMMYFUNCTION("""COMPUTED_VALUE"""),0)</f>
        <v>0</v>
      </c>
      <c r="C304" s="114">
        <f ca="1">IFERROR(__xludf.DUMMYFUNCTION("""COMPUTED_VALUE"""),0.696428571428571)</f>
        <v>0.69642857142857095</v>
      </c>
      <c r="D304" s="114">
        <f ca="1">IFERROR(__xludf.DUMMYFUNCTION("""COMPUTED_VALUE"""),0)</f>
        <v>0</v>
      </c>
      <c r="E304" s="36"/>
      <c r="F304" s="36"/>
      <c r="G304" s="36"/>
      <c r="H304" s="36"/>
      <c r="I304" s="36"/>
      <c r="J304" s="36"/>
      <c r="R304" s="117" t="s">
        <v>1455</v>
      </c>
      <c r="S304" s="116"/>
      <c r="T304" s="116"/>
      <c r="U304" s="156" t="s">
        <v>9805</v>
      </c>
      <c r="V304" s="116" t="s">
        <v>9805</v>
      </c>
      <c r="W304" s="617" t="s">
        <v>9805</v>
      </c>
      <c r="X304" s="116" t="s">
        <v>9805</v>
      </c>
      <c r="Y304" s="116" t="s">
        <v>9805</v>
      </c>
    </row>
    <row r="305" spans="1:25" ht="12.75">
      <c r="A305" s="36" t="str">
        <f ca="1">IFERROR(__xludf.DUMMYFUNCTION("""COMPUTED_VALUE"""),"Ненадович Тетяна")</f>
        <v>Ненадович Тетяна</v>
      </c>
      <c r="B305" s="114">
        <f ca="1">IFERROR(__xludf.DUMMYFUNCTION("""COMPUTED_VALUE"""),0.0625)</f>
        <v>6.25E-2</v>
      </c>
      <c r="C305" s="114">
        <f ca="1">IFERROR(__xludf.DUMMYFUNCTION("""COMPUTED_VALUE"""),0.604166666666666)</f>
        <v>0.60416666666666596</v>
      </c>
      <c r="D305" s="114">
        <f ca="1">IFERROR(__xludf.DUMMYFUNCTION("""COMPUTED_VALUE"""),0.04375)</f>
        <v>4.3749999999999997E-2</v>
      </c>
      <c r="E305" s="36"/>
      <c r="F305" s="36"/>
      <c r="G305" s="36"/>
      <c r="H305" s="36"/>
      <c r="I305" s="36"/>
      <c r="J305" s="36"/>
      <c r="R305" s="117" t="s">
        <v>1458</v>
      </c>
      <c r="S305" s="116"/>
      <c r="T305" s="116"/>
      <c r="U305" s="616">
        <v>100</v>
      </c>
      <c r="V305" s="618">
        <v>0.73160000000000003</v>
      </c>
      <c r="W305" s="619">
        <v>73</v>
      </c>
      <c r="X305" s="618">
        <v>9.1000000000000004E-3</v>
      </c>
      <c r="Y305" s="620">
        <v>99</v>
      </c>
    </row>
    <row r="306" spans="1:25" ht="12.75">
      <c r="A306" s="36" t="str">
        <f ca="1">IFERROR(__xludf.DUMMYFUNCTION("""COMPUTED_VALUE"""),"Нестругіна Юлія")</f>
        <v>Нестругіна Юлія</v>
      </c>
      <c r="B306" s="114">
        <f ca="1">IFERROR(__xludf.DUMMYFUNCTION("""COMPUTED_VALUE"""),0)</f>
        <v>0</v>
      </c>
      <c r="C306" s="114">
        <f ca="1">IFERROR(__xludf.DUMMYFUNCTION("""COMPUTED_VALUE"""),1.5)</f>
        <v>1.5</v>
      </c>
      <c r="D306" s="114">
        <f ca="1">IFERROR(__xludf.DUMMYFUNCTION("""COMPUTED_VALUE"""),0)</f>
        <v>0</v>
      </c>
      <c r="E306" s="36"/>
      <c r="F306" s="36"/>
      <c r="G306" s="36"/>
      <c r="H306" s="36"/>
      <c r="I306" s="36"/>
      <c r="J306" s="36"/>
      <c r="R306" s="117" t="s">
        <v>1461</v>
      </c>
      <c r="S306" s="116"/>
      <c r="T306" s="116"/>
      <c r="U306" s="616">
        <v>90</v>
      </c>
      <c r="V306" s="618">
        <v>0.6915</v>
      </c>
      <c r="W306" s="619">
        <v>69</v>
      </c>
      <c r="X306" s="618">
        <v>0.1</v>
      </c>
      <c r="Y306" s="620">
        <v>90</v>
      </c>
    </row>
    <row r="307" spans="1:25" ht="12.75">
      <c r="A307" s="36" t="str">
        <f ca="1">IFERROR(__xludf.DUMMYFUNCTION("""COMPUTED_VALUE"""),"Нечипуренко Міхаела")</f>
        <v>Нечипуренко Міхаела</v>
      </c>
      <c r="B307" s="114">
        <f ca="1">IFERROR(__xludf.DUMMYFUNCTION("""COMPUTED_VALUE"""),0.0625)</f>
        <v>6.25E-2</v>
      </c>
      <c r="C307" s="114">
        <f ca="1">IFERROR(__xludf.DUMMYFUNCTION("""COMPUTED_VALUE"""),0.573084677419354)</f>
        <v>0.57308467741935398</v>
      </c>
      <c r="D307" s="114">
        <f ca="1">IFERROR(__xludf.DUMMYFUNCTION("""COMPUTED_VALUE"""),0.04375)</f>
        <v>4.3749999999999997E-2</v>
      </c>
      <c r="E307" s="36"/>
      <c r="F307" s="36"/>
      <c r="G307" s="36"/>
      <c r="H307" s="36"/>
      <c r="I307" s="36"/>
      <c r="J307" s="36"/>
      <c r="R307" s="117" t="s">
        <v>1464</v>
      </c>
      <c r="S307" s="116"/>
      <c r="T307" s="116"/>
      <c r="U307" s="616">
        <v>98</v>
      </c>
      <c r="V307" s="618">
        <v>0.86960000000000004</v>
      </c>
      <c r="W307" s="619">
        <v>87</v>
      </c>
      <c r="X307" s="618">
        <v>0.16669999999999999</v>
      </c>
      <c r="Y307" s="620">
        <v>83</v>
      </c>
    </row>
    <row r="308" spans="1:25" ht="12.75">
      <c r="A308" s="36" t="str">
        <f ca="1">IFERROR(__xludf.DUMMYFUNCTION("""COMPUTED_VALUE"""),"Николенко Андрій")</f>
        <v>Николенко Андрій</v>
      </c>
      <c r="B308" s="114">
        <f ca="1">IFERROR(__xludf.DUMMYFUNCTION("""COMPUTED_VALUE"""),0.148989898989898)</f>
        <v>0.14898989898989801</v>
      </c>
      <c r="C308" s="114">
        <f ca="1">IFERROR(__xludf.DUMMYFUNCTION("""COMPUTED_VALUE"""),0.866959064327485)</f>
        <v>0.86695906432748504</v>
      </c>
      <c r="D308" s="114">
        <f ca="1">IFERROR(__xludf.DUMMYFUNCTION("""COMPUTED_VALUE"""),0.104292929292929)</f>
        <v>0.10429292929292901</v>
      </c>
      <c r="E308" s="36"/>
      <c r="F308" s="36"/>
      <c r="G308" s="36"/>
      <c r="H308" s="36"/>
      <c r="I308" s="36"/>
      <c r="J308" s="36"/>
      <c r="R308" s="117" t="s">
        <v>1467</v>
      </c>
      <c r="S308" s="116"/>
      <c r="T308" s="116"/>
      <c r="U308" s="156" t="s">
        <v>9805</v>
      </c>
      <c r="V308" s="116" t="s">
        <v>9805</v>
      </c>
      <c r="W308" s="617" t="s">
        <v>9805</v>
      </c>
      <c r="X308" s="116" t="s">
        <v>9805</v>
      </c>
      <c r="Y308" s="116" t="s">
        <v>9805</v>
      </c>
    </row>
    <row r="309" spans="1:25" ht="12.75">
      <c r="A309" s="36" t="str">
        <f ca="1">IFERROR(__xludf.DUMMYFUNCTION("""COMPUTED_VALUE"""),"Ніжник Кирило")</f>
        <v>Ніжник Кирило</v>
      </c>
      <c r="B309" s="114">
        <f ca="1">IFERROR(__xludf.DUMMYFUNCTION("""COMPUTED_VALUE"""),0)</f>
        <v>0</v>
      </c>
      <c r="C309" s="114">
        <f ca="1">IFERROR(__xludf.DUMMYFUNCTION("""COMPUTED_VALUE"""),0.78)</f>
        <v>0.78</v>
      </c>
      <c r="D309" s="114">
        <f ca="1">IFERROR(__xludf.DUMMYFUNCTION("""COMPUTED_VALUE"""),0)</f>
        <v>0</v>
      </c>
      <c r="E309" s="36"/>
      <c r="F309" s="36"/>
      <c r="G309" s="36"/>
      <c r="H309" s="36"/>
      <c r="I309" s="36"/>
      <c r="J309" s="36"/>
      <c r="R309" s="117" t="s">
        <v>1474</v>
      </c>
      <c r="S309" s="116"/>
      <c r="T309" s="116"/>
      <c r="U309" s="616">
        <v>95</v>
      </c>
      <c r="V309" s="618">
        <v>0.48199999999999998</v>
      </c>
      <c r="W309" s="619">
        <v>48</v>
      </c>
      <c r="X309" s="618">
        <v>0</v>
      </c>
      <c r="Y309" s="620">
        <v>100</v>
      </c>
    </row>
    <row r="310" spans="1:25" ht="12.75">
      <c r="A310" s="36" t="str">
        <f ca="1">IFERROR(__xludf.DUMMYFUNCTION("""COMPUTED_VALUE"""),"Нільга Софія")</f>
        <v>Нільга Софія</v>
      </c>
      <c r="B310" s="114">
        <f ca="1">IFERROR(__xludf.DUMMYFUNCTION("""COMPUTED_VALUE"""),0.02)</f>
        <v>0.02</v>
      </c>
      <c r="C310" s="114">
        <f ca="1">IFERROR(__xludf.DUMMYFUNCTION("""COMPUTED_VALUE"""),0.78596251266464)</f>
        <v>0.78596251266464001</v>
      </c>
      <c r="D310" s="114">
        <f ca="1">IFERROR(__xludf.DUMMYFUNCTION("""COMPUTED_VALUE"""),0.0139999999999999)</f>
        <v>1.39999999999999E-2</v>
      </c>
      <c r="E310" s="36"/>
      <c r="F310" s="36"/>
      <c r="G310" s="36"/>
      <c r="H310" s="36"/>
      <c r="I310" s="36"/>
      <c r="J310" s="36"/>
      <c r="R310" s="117" t="s">
        <v>1486</v>
      </c>
      <c r="S310" s="116"/>
      <c r="T310" s="116"/>
      <c r="U310" s="616">
        <v>84</v>
      </c>
      <c r="V310" s="618">
        <v>0.79279999999999995</v>
      </c>
      <c r="W310" s="619">
        <v>79</v>
      </c>
      <c r="X310" s="618">
        <v>3.6400000000000002E-2</v>
      </c>
      <c r="Y310" s="620">
        <v>96</v>
      </c>
    </row>
    <row r="311" spans="1:25" ht="12.75">
      <c r="A311" s="36" t="str">
        <f ca="1">IFERROR(__xludf.DUMMYFUNCTION("""COMPUTED_VALUE"""),"Новак Дмитро")</f>
        <v>Новак Дмитро</v>
      </c>
      <c r="B311" s="114">
        <f ca="1">IFERROR(__xludf.DUMMYFUNCTION("""COMPUTED_VALUE"""),0.0666666666666666)</f>
        <v>6.6666666666666596E-2</v>
      </c>
      <c r="C311" s="114">
        <f ca="1">IFERROR(__xludf.DUMMYFUNCTION("""COMPUTED_VALUE"""),0.492303872889771)</f>
        <v>0.49230387288977101</v>
      </c>
      <c r="D311" s="114">
        <f ca="1">IFERROR(__xludf.DUMMYFUNCTION("""COMPUTED_VALUE"""),0.0466666666666666)</f>
        <v>4.6666666666666599E-2</v>
      </c>
      <c r="E311" s="36"/>
      <c r="F311" s="36"/>
      <c r="G311" s="36"/>
      <c r="H311" s="36"/>
      <c r="I311" s="36"/>
      <c r="J311" s="36"/>
      <c r="R311" s="117" t="s">
        <v>1490</v>
      </c>
      <c r="S311" s="116"/>
      <c r="T311" s="116"/>
      <c r="U311" s="616">
        <v>87</v>
      </c>
      <c r="V311" s="116" t="s">
        <v>9806</v>
      </c>
      <c r="W311" s="617" t="s">
        <v>9806</v>
      </c>
      <c r="X311" s="618">
        <v>0</v>
      </c>
      <c r="Y311" s="620">
        <v>100</v>
      </c>
    </row>
    <row r="312" spans="1:25" ht="12.75">
      <c r="A312" s="36" t="str">
        <f ca="1">IFERROR(__xludf.DUMMYFUNCTION("""COMPUTED_VALUE"""),"Новак Олена")</f>
        <v>Новак Олена</v>
      </c>
      <c r="B312" s="114">
        <f ca="1">IFERROR(__xludf.DUMMYFUNCTION("""COMPUTED_VALUE"""),0.25)</f>
        <v>0.25</v>
      </c>
      <c r="C312" s="114">
        <f ca="1">IFERROR(__xludf.DUMMYFUNCTION("""COMPUTED_VALUE"""),1.14285714285714)</f>
        <v>1.1428571428571399</v>
      </c>
      <c r="D312" s="114">
        <f ca="1">IFERROR(__xludf.DUMMYFUNCTION("""COMPUTED_VALUE"""),0.175)</f>
        <v>0.17499999999999999</v>
      </c>
      <c r="E312" s="36"/>
      <c r="F312" s="36"/>
      <c r="G312" s="36"/>
      <c r="H312" s="36"/>
      <c r="I312" s="36"/>
      <c r="J312" s="36"/>
      <c r="R312" s="117" t="s">
        <v>1501</v>
      </c>
      <c r="S312" s="116"/>
      <c r="T312" s="116"/>
      <c r="U312" s="616">
        <v>91</v>
      </c>
      <c r="V312" s="618">
        <v>0.66759999999999997</v>
      </c>
      <c r="W312" s="619">
        <v>67</v>
      </c>
      <c r="X312" s="618">
        <v>-3.6799999999999999E-2</v>
      </c>
      <c r="Y312" s="620">
        <v>104</v>
      </c>
    </row>
    <row r="313" spans="1:25" ht="12.75">
      <c r="A313" s="36" t="str">
        <f ca="1">IFERROR(__xludf.DUMMYFUNCTION("""COMPUTED_VALUE"""),"Новоженова Марина")</f>
        <v>Новоженова Марина</v>
      </c>
      <c r="B313" s="114">
        <f ca="1">IFERROR(__xludf.DUMMYFUNCTION("""COMPUTED_VALUE"""),0)</f>
        <v>0</v>
      </c>
      <c r="C313" s="114">
        <f ca="1">IFERROR(__xludf.DUMMYFUNCTION("""COMPUTED_VALUE"""),1)</f>
        <v>1</v>
      </c>
      <c r="D313" s="114">
        <f ca="1">IFERROR(__xludf.DUMMYFUNCTION("""COMPUTED_VALUE"""),0)</f>
        <v>0</v>
      </c>
      <c r="E313" s="36"/>
      <c r="F313" s="36"/>
      <c r="G313" s="36"/>
      <c r="H313" s="36"/>
      <c r="I313" s="36"/>
      <c r="J313" s="36"/>
      <c r="R313" s="117" t="s">
        <v>1504</v>
      </c>
      <c r="S313" s="116"/>
      <c r="T313" s="116"/>
      <c r="U313" s="616">
        <v>87</v>
      </c>
      <c r="V313" s="618">
        <v>0.79290000000000005</v>
      </c>
      <c r="W313" s="619">
        <v>79</v>
      </c>
      <c r="X313" s="618">
        <v>0</v>
      </c>
      <c r="Y313" s="620">
        <v>100</v>
      </c>
    </row>
    <row r="314" spans="1:25" ht="12.75">
      <c r="A314" s="36" t="str">
        <f ca="1">IFERROR(__xludf.DUMMYFUNCTION("""COMPUTED_VALUE"""),"Нурієва Валерія")</f>
        <v>Нурієва Валерія</v>
      </c>
      <c r="B314" s="114">
        <f ca="1">IFERROR(__xludf.DUMMYFUNCTION("""COMPUTED_VALUE"""),0)</f>
        <v>0</v>
      </c>
      <c r="C314" s="114">
        <f ca="1">IFERROR(__xludf.DUMMYFUNCTION("""COMPUTED_VALUE"""),1)</f>
        <v>1</v>
      </c>
      <c r="D314" s="114">
        <f ca="1">IFERROR(__xludf.DUMMYFUNCTION("""COMPUTED_VALUE"""),0)</f>
        <v>0</v>
      </c>
      <c r="E314" s="36"/>
      <c r="F314" s="36"/>
      <c r="G314" s="36"/>
      <c r="H314" s="36"/>
      <c r="I314" s="36"/>
      <c r="J314" s="36"/>
      <c r="R314" s="117" t="s">
        <v>1508</v>
      </c>
      <c r="S314" s="116"/>
      <c r="T314" s="116"/>
      <c r="U314" s="616">
        <v>91</v>
      </c>
      <c r="V314" s="618">
        <v>0.79169999999999996</v>
      </c>
      <c r="W314" s="619">
        <v>79</v>
      </c>
      <c r="X314" s="618">
        <v>0</v>
      </c>
      <c r="Y314" s="620">
        <v>100</v>
      </c>
    </row>
    <row r="315" spans="1:25" ht="12.75">
      <c r="A315" s="36" t="str">
        <f ca="1">IFERROR(__xludf.DUMMYFUNCTION("""COMPUTED_VALUE"""),"Обенко Олександр")</f>
        <v>Обенко Олександр</v>
      </c>
      <c r="B315" s="114">
        <f ca="1">IFERROR(__xludf.DUMMYFUNCTION("""COMPUTED_VALUE"""),0.00216450216450216)</f>
        <v>2.1645021645021602E-3</v>
      </c>
      <c r="C315" s="114">
        <f ca="1">IFERROR(__xludf.DUMMYFUNCTION("""COMPUTED_VALUE"""),0.990395802980344)</f>
        <v>0.99039580298034402</v>
      </c>
      <c r="D315" s="114">
        <f ca="1">IFERROR(__xludf.DUMMYFUNCTION("""COMPUTED_VALUE"""),0.00151515151515151)</f>
        <v>1.5151515151515099E-3</v>
      </c>
      <c r="E315" s="36"/>
      <c r="F315" s="36"/>
      <c r="G315" s="36"/>
      <c r="H315" s="36"/>
      <c r="I315" s="36"/>
      <c r="J315" s="36"/>
      <c r="R315" s="117" t="s">
        <v>1515</v>
      </c>
      <c r="S315" s="116"/>
      <c r="T315" s="116"/>
      <c r="U315" s="616">
        <v>92</v>
      </c>
      <c r="V315" s="618">
        <v>0.60650000000000004</v>
      </c>
      <c r="W315" s="619">
        <v>61</v>
      </c>
      <c r="X315" s="618">
        <v>0</v>
      </c>
      <c r="Y315" s="620">
        <v>100</v>
      </c>
    </row>
    <row r="316" spans="1:25" ht="12.75">
      <c r="A316" s="36" t="str">
        <f ca="1">IFERROR(__xludf.DUMMYFUNCTION("""COMPUTED_VALUE"""),"Образцова Богдана")</f>
        <v>Образцова Богдана</v>
      </c>
      <c r="B316" s="114">
        <f ca="1">IFERROR(__xludf.DUMMYFUNCTION("""COMPUTED_VALUE"""),-0.0833333333333333)</f>
        <v>-8.3333333333333301E-2</v>
      </c>
      <c r="C316" s="114">
        <f ca="1">IFERROR(__xludf.DUMMYFUNCTION("""COMPUTED_VALUE"""),1.23333333333333)</f>
        <v>1.2333333333333301</v>
      </c>
      <c r="D316" s="114">
        <f ca="1">IFERROR(__xludf.DUMMYFUNCTION("""COMPUTED_VALUE"""),-0.0583333333333333)</f>
        <v>-5.83333333333333E-2</v>
      </c>
      <c r="E316" s="36"/>
      <c r="F316" s="36"/>
      <c r="G316" s="36"/>
      <c r="H316" s="36"/>
      <c r="I316" s="36"/>
      <c r="J316" s="36"/>
      <c r="R316" s="117" t="s">
        <v>1536</v>
      </c>
      <c r="S316" s="116"/>
      <c r="T316" s="116"/>
      <c r="U316" s="156" t="s">
        <v>9805</v>
      </c>
      <c r="V316" s="116" t="s">
        <v>9805</v>
      </c>
      <c r="W316" s="617" t="s">
        <v>9805</v>
      </c>
      <c r="X316" s="116" t="s">
        <v>9805</v>
      </c>
      <c r="Y316" s="116" t="s">
        <v>9805</v>
      </c>
    </row>
    <row r="317" spans="1:25" ht="12.75">
      <c r="A317" s="36" t="str">
        <f ca="1">IFERROR(__xludf.DUMMYFUNCTION("""COMPUTED_VALUE"""),"Овечко Анастасія")</f>
        <v>Овечко Анастасія</v>
      </c>
      <c r="B317" s="114">
        <f ca="1">IFERROR(__xludf.DUMMYFUNCTION("""COMPUTED_VALUE"""),0)</f>
        <v>0</v>
      </c>
      <c r="C317" s="114">
        <f ca="1">IFERROR(__xludf.DUMMYFUNCTION("""COMPUTED_VALUE"""),0.4)</f>
        <v>0.4</v>
      </c>
      <c r="D317" s="114">
        <f ca="1">IFERROR(__xludf.DUMMYFUNCTION("""COMPUTED_VALUE"""),0)</f>
        <v>0</v>
      </c>
      <c r="E317" s="36"/>
      <c r="F317" s="36"/>
      <c r="G317" s="36"/>
      <c r="H317" s="36"/>
      <c r="I317" s="36"/>
      <c r="J317" s="36"/>
      <c r="R317" s="117" t="s">
        <v>1554</v>
      </c>
      <c r="S317" s="116"/>
      <c r="T317" s="116"/>
      <c r="U317" s="616">
        <v>90</v>
      </c>
      <c r="V317" s="618">
        <v>0.84530000000000005</v>
      </c>
      <c r="W317" s="619">
        <v>85</v>
      </c>
      <c r="X317" s="618">
        <v>8.0799999999999997E-2</v>
      </c>
      <c r="Y317" s="620">
        <v>92</v>
      </c>
    </row>
    <row r="318" spans="1:25" ht="12.75">
      <c r="A318" s="36" t="str">
        <f ca="1">IFERROR(__xludf.DUMMYFUNCTION("""COMPUTED_VALUE"""),"Огороднік Микола")</f>
        <v>Огороднік Микола</v>
      </c>
      <c r="B318" s="114">
        <f ca="1">IFERROR(__xludf.DUMMYFUNCTION("""COMPUTED_VALUE"""),0.0833333333333333)</f>
        <v>8.3333333333333301E-2</v>
      </c>
      <c r="C318" s="114">
        <f ca="1">IFERROR(__xludf.DUMMYFUNCTION("""COMPUTED_VALUE"""),1.12765957446808)</f>
        <v>1.12765957446808</v>
      </c>
      <c r="D318" s="114">
        <f ca="1">IFERROR(__xludf.DUMMYFUNCTION("""COMPUTED_VALUE"""),0.0583333333333333)</f>
        <v>5.83333333333333E-2</v>
      </c>
      <c r="E318" s="36"/>
      <c r="F318" s="36"/>
      <c r="G318" s="36"/>
      <c r="H318" s="36"/>
      <c r="I318" s="36"/>
      <c r="J318" s="36"/>
      <c r="R318" s="117" t="s">
        <v>1557</v>
      </c>
      <c r="S318" s="116"/>
      <c r="T318" s="116"/>
      <c r="U318" s="156" t="s">
        <v>9805</v>
      </c>
      <c r="V318" s="116" t="s">
        <v>9805</v>
      </c>
      <c r="W318" s="617" t="s">
        <v>9805</v>
      </c>
      <c r="X318" s="116" t="s">
        <v>9805</v>
      </c>
      <c r="Y318" s="116" t="s">
        <v>9805</v>
      </c>
    </row>
    <row r="319" spans="1:25" ht="12.75">
      <c r="A319" s="36" t="str">
        <f ca="1">IFERROR(__xludf.DUMMYFUNCTION("""COMPUTED_VALUE"""),"Оджиковська Анна")</f>
        <v>Оджиковська Анна</v>
      </c>
      <c r="B319" s="114" t="str">
        <f ca="1">IFERROR(__xludf.DUMMYFUNCTION("""COMPUTED_VALUE"""),"#DIV/0!")</f>
        <v>#DIV/0!</v>
      </c>
      <c r="C319" s="114" t="str">
        <f ca="1">IFERROR(__xludf.DUMMYFUNCTION("""COMPUTED_VALUE"""),"#DIV/0!")</f>
        <v>#DIV/0!</v>
      </c>
      <c r="D319" s="114" t="str">
        <f ca="1">IFERROR(__xludf.DUMMYFUNCTION("""COMPUTED_VALUE"""),"#DIV/0!")</f>
        <v>#DIV/0!</v>
      </c>
      <c r="E319" s="36"/>
      <c r="F319" s="36"/>
      <c r="G319" s="36"/>
      <c r="H319" s="36"/>
      <c r="I319" s="36"/>
      <c r="J319" s="36"/>
      <c r="R319" s="117" t="s">
        <v>1569</v>
      </c>
      <c r="S319" s="116"/>
      <c r="T319" s="116"/>
      <c r="U319" s="616">
        <v>86</v>
      </c>
      <c r="V319" s="618">
        <v>0.71719999999999995</v>
      </c>
      <c r="W319" s="619">
        <v>72</v>
      </c>
      <c r="X319" s="618">
        <v>4.6699999999999998E-2</v>
      </c>
      <c r="Y319" s="620">
        <v>95</v>
      </c>
    </row>
    <row r="320" spans="1:25" ht="12.75">
      <c r="A320" s="36" t="str">
        <f ca="1">IFERROR(__xludf.DUMMYFUNCTION("""COMPUTED_VALUE"""),"Опімах Данило")</f>
        <v>Опімах Данило</v>
      </c>
      <c r="B320" s="114" t="str">
        <f ca="1">IFERROR(__xludf.DUMMYFUNCTION("""COMPUTED_VALUE"""),"#DIV/0!")</f>
        <v>#DIV/0!</v>
      </c>
      <c r="C320" s="114" t="str">
        <f ca="1">IFERROR(__xludf.DUMMYFUNCTION("""COMPUTED_VALUE"""),"#DIV/0!")</f>
        <v>#DIV/0!</v>
      </c>
      <c r="D320" s="114" t="str">
        <f ca="1">IFERROR(__xludf.DUMMYFUNCTION("""COMPUTED_VALUE"""),"#DIV/0!")</f>
        <v>#DIV/0!</v>
      </c>
      <c r="E320" s="36"/>
      <c r="F320" s="36"/>
      <c r="G320" s="36"/>
      <c r="H320" s="36"/>
      <c r="I320" s="36"/>
      <c r="J320" s="36"/>
      <c r="R320" s="117" t="s">
        <v>1572</v>
      </c>
      <c r="S320" s="116"/>
      <c r="T320" s="116"/>
      <c r="U320" s="616">
        <v>88</v>
      </c>
      <c r="V320" s="618">
        <v>0.87060000000000004</v>
      </c>
      <c r="W320" s="619">
        <v>87</v>
      </c>
      <c r="X320" s="618">
        <v>0</v>
      </c>
      <c r="Y320" s="620">
        <v>100</v>
      </c>
    </row>
    <row r="321" spans="1:25" ht="12.75">
      <c r="A321" s="36" t="str">
        <f ca="1">IFERROR(__xludf.DUMMYFUNCTION("""COMPUTED_VALUE"""),"Осипенко Ганна")</f>
        <v>Осипенко Ганна</v>
      </c>
      <c r="B321" s="114">
        <f ca="1">IFERROR(__xludf.DUMMYFUNCTION("""COMPUTED_VALUE"""),0.142857142857142)</f>
        <v>0.14285714285714199</v>
      </c>
      <c r="C321" s="114">
        <f ca="1">IFERROR(__xludf.DUMMYFUNCTION("""COMPUTED_VALUE"""),0.566199436763952)</f>
        <v>0.56619943676395201</v>
      </c>
      <c r="D321" s="114">
        <f ca="1">IFERROR(__xludf.DUMMYFUNCTION("""COMPUTED_VALUE"""),0.0999999999999999)</f>
        <v>9.9999999999999895E-2</v>
      </c>
      <c r="E321" s="36"/>
      <c r="F321" s="36"/>
      <c r="G321" s="36"/>
      <c r="H321" s="36"/>
      <c r="I321" s="36"/>
      <c r="J321" s="36"/>
      <c r="R321" s="117" t="s">
        <v>1582</v>
      </c>
      <c r="S321" s="116"/>
      <c r="T321" s="116"/>
      <c r="U321" s="616">
        <v>83</v>
      </c>
      <c r="V321" s="618">
        <v>1.0369999999999999</v>
      </c>
      <c r="W321" s="619">
        <v>104</v>
      </c>
      <c r="X321" s="618">
        <v>6.6699999999999995E-2</v>
      </c>
      <c r="Y321" s="620">
        <v>93</v>
      </c>
    </row>
    <row r="322" spans="1:25" ht="12.75">
      <c r="A322" s="36" t="str">
        <f ca="1">IFERROR(__xludf.DUMMYFUNCTION("""COMPUTED_VALUE"""),"Оспанова Віта")</f>
        <v>Оспанова Віта</v>
      </c>
      <c r="B322" s="114">
        <f ca="1">IFERROR(__xludf.DUMMYFUNCTION("""COMPUTED_VALUE"""),0)</f>
        <v>0</v>
      </c>
      <c r="C322" s="114">
        <f ca="1">IFERROR(__xludf.DUMMYFUNCTION("""COMPUTED_VALUE"""),1.1)</f>
        <v>1.1000000000000001</v>
      </c>
      <c r="D322" s="114">
        <f ca="1">IFERROR(__xludf.DUMMYFUNCTION("""COMPUTED_VALUE"""),0)</f>
        <v>0</v>
      </c>
      <c r="E322" s="36"/>
      <c r="F322" s="36"/>
      <c r="G322" s="36"/>
      <c r="H322" s="36"/>
      <c r="I322" s="36"/>
      <c r="J322" s="36"/>
      <c r="R322" s="117" t="s">
        <v>1585</v>
      </c>
      <c r="S322" s="116"/>
      <c r="T322" s="116"/>
      <c r="U322" s="616">
        <v>73</v>
      </c>
      <c r="V322" s="618">
        <v>1.0832999999999999</v>
      </c>
      <c r="W322" s="619">
        <v>108</v>
      </c>
      <c r="X322" s="618">
        <v>7.0000000000000007E-2</v>
      </c>
      <c r="Y322" s="620">
        <v>93</v>
      </c>
    </row>
    <row r="323" spans="1:25" ht="12.75">
      <c r="A323" s="36" t="str">
        <f ca="1">IFERROR(__xludf.DUMMYFUNCTION("""COMPUTED_VALUE"""),"Охотніков Едуард")</f>
        <v>Охотніков Едуард</v>
      </c>
      <c r="B323" s="114">
        <f ca="1">IFERROR(__xludf.DUMMYFUNCTION("""COMPUTED_VALUE"""),0)</f>
        <v>0</v>
      </c>
      <c r="C323" s="114">
        <f ca="1">IFERROR(__xludf.DUMMYFUNCTION("""COMPUTED_VALUE"""),1.8)</f>
        <v>1.8</v>
      </c>
      <c r="D323" s="114">
        <f ca="1">IFERROR(__xludf.DUMMYFUNCTION("""COMPUTED_VALUE"""),0)</f>
        <v>0</v>
      </c>
      <c r="E323" s="36"/>
      <c r="F323" s="36"/>
      <c r="G323" s="36"/>
      <c r="H323" s="36"/>
      <c r="I323" s="36"/>
      <c r="J323" s="36"/>
      <c r="R323" s="117" t="s">
        <v>1595</v>
      </c>
      <c r="S323" s="116"/>
      <c r="T323" s="116"/>
      <c r="U323" s="616">
        <v>89</v>
      </c>
      <c r="V323" s="618">
        <v>0.80210000000000004</v>
      </c>
      <c r="W323" s="619">
        <v>80</v>
      </c>
      <c r="X323" s="618">
        <v>0.10249999999999999</v>
      </c>
      <c r="Y323" s="620">
        <v>90</v>
      </c>
    </row>
    <row r="324" spans="1:25" ht="12.75">
      <c r="A324" s="36" t="str">
        <f ca="1">IFERROR(__xludf.DUMMYFUNCTION("""COMPUTED_VALUE"""),"Павленко Тарас")</f>
        <v>Павленко Тарас</v>
      </c>
      <c r="B324" s="114">
        <f ca="1">IFERROR(__xludf.DUMMYFUNCTION("""COMPUTED_VALUE"""),-0.138888888888888)</f>
        <v>-0.13888888888888801</v>
      </c>
      <c r="C324" s="114">
        <f ca="1">IFERROR(__xludf.DUMMYFUNCTION("""COMPUTED_VALUE"""),0.666666666666666)</f>
        <v>0.66666666666666596</v>
      </c>
      <c r="D324" s="114">
        <f ca="1">IFERROR(__xludf.DUMMYFUNCTION("""COMPUTED_VALUE"""),-0.0972222222222222)</f>
        <v>-9.7222222222222196E-2</v>
      </c>
      <c r="E324" s="36"/>
      <c r="F324" s="36"/>
      <c r="G324" s="36"/>
      <c r="H324" s="36"/>
      <c r="I324" s="36"/>
      <c r="J324" s="36"/>
      <c r="R324" s="117" t="s">
        <v>1598</v>
      </c>
      <c r="S324" s="116"/>
      <c r="T324" s="116"/>
      <c r="U324" s="616">
        <v>87</v>
      </c>
      <c r="V324" s="618">
        <v>0.21879999999999999</v>
      </c>
      <c r="W324" s="619">
        <v>22</v>
      </c>
      <c r="X324" s="618">
        <v>0</v>
      </c>
      <c r="Y324" s="620">
        <v>100</v>
      </c>
    </row>
    <row r="325" spans="1:25" ht="12.75">
      <c r="A325" s="36" t="str">
        <f ca="1">IFERROR(__xludf.DUMMYFUNCTION("""COMPUTED_VALUE"""),"Пайдик Карина")</f>
        <v>Пайдик Карина</v>
      </c>
      <c r="B325" s="114">
        <f ca="1">IFERROR(__xludf.DUMMYFUNCTION("""COMPUTED_VALUE"""),0.05)</f>
        <v>0.05</v>
      </c>
      <c r="C325" s="114">
        <f ca="1">IFERROR(__xludf.DUMMYFUNCTION("""COMPUTED_VALUE"""),0.857083333333333)</f>
        <v>0.85708333333333298</v>
      </c>
      <c r="D325" s="114">
        <f ca="1">IFERROR(__xludf.DUMMYFUNCTION("""COMPUTED_VALUE"""),0.0349999999999999)</f>
        <v>3.4999999999999899E-2</v>
      </c>
      <c r="E325" s="36"/>
      <c r="F325" s="36"/>
      <c r="G325" s="36"/>
      <c r="H325" s="36"/>
      <c r="I325" s="36"/>
      <c r="J325" s="36"/>
      <c r="R325" s="117" t="s">
        <v>1605</v>
      </c>
      <c r="S325" s="116"/>
      <c r="T325" s="116"/>
      <c r="U325" s="616">
        <v>76</v>
      </c>
      <c r="V325" s="618">
        <v>0.94699999999999995</v>
      </c>
      <c r="W325" s="619">
        <v>95</v>
      </c>
      <c r="X325" s="618">
        <v>0</v>
      </c>
      <c r="Y325" s="620">
        <v>100</v>
      </c>
    </row>
    <row r="326" spans="1:25" ht="12.75">
      <c r="A326" s="36" t="str">
        <f ca="1">IFERROR(__xludf.DUMMYFUNCTION("""COMPUTED_VALUE"""),"Палиха Марина")</f>
        <v>Палиха Марина</v>
      </c>
      <c r="B326" s="114">
        <f ca="1">IFERROR(__xludf.DUMMYFUNCTION("""COMPUTED_VALUE"""),0)</f>
        <v>0</v>
      </c>
      <c r="C326" s="114">
        <f ca="1">IFERROR(__xludf.DUMMYFUNCTION("""COMPUTED_VALUE"""),0.841666666666666)</f>
        <v>0.84166666666666601</v>
      </c>
      <c r="D326" s="114">
        <f ca="1">IFERROR(__xludf.DUMMYFUNCTION("""COMPUTED_VALUE"""),0)</f>
        <v>0</v>
      </c>
      <c r="E326" s="36"/>
      <c r="F326" s="36"/>
      <c r="G326" s="36"/>
      <c r="H326" s="36"/>
      <c r="I326" s="36"/>
      <c r="J326" s="36"/>
      <c r="R326" s="117" t="s">
        <v>1608</v>
      </c>
      <c r="S326" s="116"/>
      <c r="T326" s="116"/>
      <c r="U326" s="616">
        <v>91</v>
      </c>
      <c r="V326" s="618">
        <v>1.0435000000000001</v>
      </c>
      <c r="W326" s="619">
        <v>104</v>
      </c>
      <c r="X326" s="618">
        <v>-4.4400000000000002E-2</v>
      </c>
      <c r="Y326" s="620">
        <v>104</v>
      </c>
    </row>
    <row r="327" spans="1:25" ht="12.75">
      <c r="A327" s="36" t="str">
        <f ca="1">IFERROR(__xludf.DUMMYFUNCTION("""COMPUTED_VALUE"""),"Палій Андрій")</f>
        <v>Палій Андрій</v>
      </c>
      <c r="B327" s="114">
        <f ca="1">IFERROR(__xludf.DUMMYFUNCTION("""COMPUTED_VALUE"""),0.0416666666666666)</f>
        <v>4.1666666666666602E-2</v>
      </c>
      <c r="C327" s="114">
        <f ca="1">IFERROR(__xludf.DUMMYFUNCTION("""COMPUTED_VALUE"""),0.685612535612535)</f>
        <v>0.68561253561253499</v>
      </c>
      <c r="D327" s="114">
        <f ca="1">IFERROR(__xludf.DUMMYFUNCTION("""COMPUTED_VALUE"""),0.0291666666666666)</f>
        <v>2.9166666666666601E-2</v>
      </c>
      <c r="E327" s="36"/>
      <c r="F327" s="36"/>
      <c r="G327" s="36"/>
      <c r="H327" s="36"/>
      <c r="I327" s="36"/>
      <c r="J327" s="36"/>
      <c r="R327" s="117" t="s">
        <v>1611</v>
      </c>
      <c r="S327" s="116"/>
      <c r="T327" s="116"/>
      <c r="U327" s="616">
        <v>87</v>
      </c>
      <c r="V327" s="618">
        <v>1.0671999999999999</v>
      </c>
      <c r="W327" s="619">
        <v>107</v>
      </c>
      <c r="X327" s="618">
        <v>2.5399999999999999E-2</v>
      </c>
      <c r="Y327" s="620">
        <v>97</v>
      </c>
    </row>
    <row r="328" spans="1:25" ht="12.75">
      <c r="A328" s="36" t="str">
        <f ca="1">IFERROR(__xludf.DUMMYFUNCTION("""COMPUTED_VALUE"""),"Панчишин Данило")</f>
        <v>Панчишин Данило</v>
      </c>
      <c r="B328" s="114">
        <f ca="1">IFERROR(__xludf.DUMMYFUNCTION("""COMPUTED_VALUE"""),0.0581349206349206)</f>
        <v>5.8134920634920602E-2</v>
      </c>
      <c r="C328" s="114">
        <f ca="1">IFERROR(__xludf.DUMMYFUNCTION("""COMPUTED_VALUE"""),0.797410284652523)</f>
        <v>0.79741028465252295</v>
      </c>
      <c r="D328" s="114">
        <f ca="1">IFERROR(__xludf.DUMMYFUNCTION("""COMPUTED_VALUE"""),0.0406944444444444)</f>
        <v>4.0694444444444401E-2</v>
      </c>
      <c r="E328" s="36"/>
      <c r="F328" s="36"/>
      <c r="G328" s="36"/>
      <c r="H328" s="36"/>
      <c r="I328" s="36"/>
      <c r="J328" s="36"/>
      <c r="R328" s="117" t="s">
        <v>1620</v>
      </c>
      <c r="S328" s="116"/>
      <c r="T328" s="116"/>
      <c r="U328" s="616">
        <v>93</v>
      </c>
      <c r="V328" s="618">
        <v>0.7</v>
      </c>
      <c r="W328" s="619">
        <v>70</v>
      </c>
      <c r="X328" s="618">
        <v>0</v>
      </c>
      <c r="Y328" s="620">
        <v>100</v>
      </c>
    </row>
    <row r="329" spans="1:25" ht="12.75">
      <c r="A329" s="36" t="str">
        <f ca="1">IFERROR(__xludf.DUMMYFUNCTION("""COMPUTED_VALUE"""),"Панчишин Святослав")</f>
        <v>Панчишин Святослав</v>
      </c>
      <c r="B329" s="114">
        <f ca="1">IFERROR(__xludf.DUMMYFUNCTION("""COMPUTED_VALUE"""),0.0769230769230769)</f>
        <v>7.69230769230769E-2</v>
      </c>
      <c r="C329" s="114">
        <f ca="1">IFERROR(__xludf.DUMMYFUNCTION("""COMPUTED_VALUE"""),0.692307692307692)</f>
        <v>0.69230769230769196</v>
      </c>
      <c r="D329" s="114">
        <f ca="1">IFERROR(__xludf.DUMMYFUNCTION("""COMPUTED_VALUE"""),0.0538461538461538)</f>
        <v>5.3846153846153801E-2</v>
      </c>
      <c r="E329" s="36"/>
      <c r="F329" s="36"/>
      <c r="G329" s="36"/>
      <c r="H329" s="36"/>
      <c r="I329" s="36"/>
      <c r="J329" s="36"/>
      <c r="R329" s="117" t="s">
        <v>1627</v>
      </c>
      <c r="S329" s="116"/>
      <c r="T329" s="116"/>
      <c r="U329" s="616">
        <v>78</v>
      </c>
      <c r="V329" s="116" t="s">
        <v>9805</v>
      </c>
      <c r="W329" s="617" t="s">
        <v>9805</v>
      </c>
      <c r="X329" s="116" t="s">
        <v>9805</v>
      </c>
      <c r="Y329" s="116" t="s">
        <v>9805</v>
      </c>
    </row>
    <row r="330" spans="1:25" ht="12.75">
      <c r="A330" s="36" t="str">
        <f ca="1">IFERROR(__xludf.DUMMYFUNCTION("""COMPUTED_VALUE"""),"Парахненко Тетяна")</f>
        <v>Парахненко Тетяна</v>
      </c>
      <c r="B330" s="114">
        <f ca="1">IFERROR(__xludf.DUMMYFUNCTION("""COMPUTED_VALUE"""),0.0618742368742368)</f>
        <v>6.18742368742368E-2</v>
      </c>
      <c r="C330" s="114">
        <f ca="1">IFERROR(__xludf.DUMMYFUNCTION("""COMPUTED_VALUE"""),0.768640456748415)</f>
        <v>0.76864045674841497</v>
      </c>
      <c r="D330" s="114">
        <f ca="1">IFERROR(__xludf.DUMMYFUNCTION("""COMPUTED_VALUE"""),0.0433119658119658)</f>
        <v>4.3311965811965801E-2</v>
      </c>
      <c r="E330" s="36"/>
      <c r="F330" s="36"/>
      <c r="G330" s="36"/>
      <c r="H330" s="36"/>
      <c r="I330" s="36"/>
      <c r="J330" s="36"/>
      <c r="R330" s="117" t="s">
        <v>1630</v>
      </c>
      <c r="S330" s="116"/>
      <c r="T330" s="116"/>
      <c r="U330" s="616">
        <v>90</v>
      </c>
      <c r="V330" s="618">
        <v>1.125</v>
      </c>
      <c r="W330" s="619">
        <v>113</v>
      </c>
      <c r="X330" s="618">
        <v>0</v>
      </c>
      <c r="Y330" s="620">
        <v>100</v>
      </c>
    </row>
    <row r="331" spans="1:25" ht="12.75">
      <c r="A331" s="36" t="str">
        <f ca="1">IFERROR(__xludf.DUMMYFUNCTION("""COMPUTED_VALUE"""),"Пелячик Юлія")</f>
        <v>Пелячик Юлія</v>
      </c>
      <c r="B331" s="114">
        <f ca="1">IFERROR(__xludf.DUMMYFUNCTION("""COMPUTED_VALUE"""),0.108465608465608)</f>
        <v>0.108465608465608</v>
      </c>
      <c r="C331" s="114">
        <f ca="1">IFERROR(__xludf.DUMMYFUNCTION("""COMPUTED_VALUE"""),0.871682422969187)</f>
        <v>0.87168242296918697</v>
      </c>
      <c r="D331" s="114">
        <f ca="1">IFERROR(__xludf.DUMMYFUNCTION("""COMPUTED_VALUE"""),0.0759259259259259)</f>
        <v>7.5925925925925897E-2</v>
      </c>
      <c r="E331" s="36"/>
      <c r="F331" s="36"/>
      <c r="G331" s="36"/>
      <c r="H331" s="36"/>
      <c r="I331" s="36"/>
      <c r="J331" s="36"/>
      <c r="R331" s="117" t="s">
        <v>1637</v>
      </c>
      <c r="S331" s="116"/>
      <c r="T331" s="116"/>
      <c r="U331" s="616">
        <v>96</v>
      </c>
      <c r="V331" s="618">
        <v>0.65629999999999999</v>
      </c>
      <c r="W331" s="619">
        <v>66</v>
      </c>
      <c r="X331" s="618">
        <v>0.15559999999999999</v>
      </c>
      <c r="Y331" s="620">
        <v>84</v>
      </c>
    </row>
    <row r="332" spans="1:25" ht="12.75">
      <c r="A332" s="36" t="str">
        <f ca="1">IFERROR(__xludf.DUMMYFUNCTION("""COMPUTED_VALUE"""),"Переверзева Емілія")</f>
        <v>Переверзева Емілія</v>
      </c>
      <c r="B332" s="114">
        <f ca="1">IFERROR(__xludf.DUMMYFUNCTION("""COMPUTED_VALUE"""),0)</f>
        <v>0</v>
      </c>
      <c r="C332" s="114">
        <f ca="1">IFERROR(__xludf.DUMMYFUNCTION("""COMPUTED_VALUE"""),0.166666666666666)</f>
        <v>0.16666666666666599</v>
      </c>
      <c r="D332" s="114">
        <f ca="1">IFERROR(__xludf.DUMMYFUNCTION("""COMPUTED_VALUE"""),0)</f>
        <v>0</v>
      </c>
      <c r="E332" s="36"/>
      <c r="F332" s="36"/>
      <c r="G332" s="36"/>
      <c r="H332" s="36"/>
      <c r="I332" s="36"/>
      <c r="J332" s="36"/>
      <c r="R332" s="117" t="s">
        <v>1641</v>
      </c>
      <c r="S332" s="116"/>
      <c r="T332" s="116"/>
      <c r="U332" s="616">
        <v>79</v>
      </c>
      <c r="V332" s="618">
        <v>0.58330000000000004</v>
      </c>
      <c r="W332" s="619">
        <v>58</v>
      </c>
      <c r="X332" s="618">
        <v>1.9400000000000001E-2</v>
      </c>
      <c r="Y332" s="620">
        <v>98</v>
      </c>
    </row>
    <row r="333" spans="1:25" ht="12.75">
      <c r="A333" s="36" t="str">
        <f ca="1">IFERROR(__xludf.DUMMYFUNCTION("""COMPUTED_VALUE"""),"Переверзєва Діана")</f>
        <v>Переверзєва Діана</v>
      </c>
      <c r="B333" s="114">
        <f ca="1">IFERROR(__xludf.DUMMYFUNCTION("""COMPUTED_VALUE"""),0)</f>
        <v>0</v>
      </c>
      <c r="C333" s="114">
        <f ca="1">IFERROR(__xludf.DUMMYFUNCTION("""COMPUTED_VALUE"""),0.7)</f>
        <v>0.7</v>
      </c>
      <c r="D333" s="114">
        <f ca="1">IFERROR(__xludf.DUMMYFUNCTION("""COMPUTED_VALUE"""),0)</f>
        <v>0</v>
      </c>
      <c r="E333" s="36"/>
      <c r="F333" s="36"/>
      <c r="G333" s="36"/>
      <c r="H333" s="36"/>
      <c r="I333" s="36"/>
      <c r="J333" s="36"/>
      <c r="R333" s="117" t="s">
        <v>1644</v>
      </c>
      <c r="S333" s="116"/>
      <c r="T333" s="116"/>
      <c r="U333" s="616">
        <v>95</v>
      </c>
      <c r="V333" s="618">
        <v>0.41120000000000001</v>
      </c>
      <c r="W333" s="619">
        <v>41</v>
      </c>
      <c r="X333" s="618">
        <v>1.2699999999999999E-2</v>
      </c>
      <c r="Y333" s="620">
        <v>99</v>
      </c>
    </row>
    <row r="334" spans="1:25" ht="12.75">
      <c r="A334" s="36" t="str">
        <f ca="1">IFERROR(__xludf.DUMMYFUNCTION("""COMPUTED_VALUE"""),"Перекрест Станіслав")</f>
        <v>Перекрест Станіслав</v>
      </c>
      <c r="B334" s="114">
        <f ca="1">IFERROR(__xludf.DUMMYFUNCTION("""COMPUTED_VALUE"""),0.0606060606060606)</f>
        <v>6.0606060606060601E-2</v>
      </c>
      <c r="C334" s="114" t="str">
        <f ca="1">IFERROR(__xludf.DUMMYFUNCTION("""COMPUTED_VALUE"""),"#DIV/0!")</f>
        <v>#DIV/0!</v>
      </c>
      <c r="D334" s="114">
        <f ca="1">IFERROR(__xludf.DUMMYFUNCTION("""COMPUTED_VALUE"""),0.0424242424242424)</f>
        <v>4.2424242424242399E-2</v>
      </c>
      <c r="E334" s="36"/>
      <c r="F334" s="36"/>
      <c r="G334" s="36"/>
      <c r="H334" s="36"/>
      <c r="I334" s="36"/>
      <c r="J334" s="36"/>
      <c r="R334" s="117" t="s">
        <v>1653</v>
      </c>
      <c r="S334" s="116"/>
      <c r="T334" s="116"/>
      <c r="U334" s="616">
        <v>98</v>
      </c>
      <c r="V334" s="618">
        <v>0.78749999999999998</v>
      </c>
      <c r="W334" s="619">
        <v>79</v>
      </c>
      <c r="X334" s="618">
        <v>9.5100000000000004E-2</v>
      </c>
      <c r="Y334" s="620">
        <v>90</v>
      </c>
    </row>
    <row r="335" spans="1:25" ht="12.75">
      <c r="A335" s="36" t="str">
        <f ca="1">IFERROR(__xludf.DUMMYFUNCTION("""COMPUTED_VALUE"""),"Перепелиця Тимур")</f>
        <v>Перепелиця Тимур</v>
      </c>
      <c r="B335" s="114">
        <f ca="1">IFERROR(__xludf.DUMMYFUNCTION("""COMPUTED_VALUE"""),-0.142857142857142)</f>
        <v>-0.14285714285714199</v>
      </c>
      <c r="C335" s="114">
        <f ca="1">IFERROR(__xludf.DUMMYFUNCTION("""COMPUTED_VALUE"""),1)</f>
        <v>1</v>
      </c>
      <c r="D335" s="114">
        <f ca="1">IFERROR(__xludf.DUMMYFUNCTION("""COMPUTED_VALUE"""),-0.0999999999999999)</f>
        <v>-9.9999999999999895E-2</v>
      </c>
      <c r="E335" s="36"/>
      <c r="F335" s="36"/>
      <c r="G335" s="36"/>
      <c r="H335" s="36"/>
      <c r="I335" s="36"/>
      <c r="J335" s="36"/>
      <c r="R335" s="117" t="s">
        <v>1663</v>
      </c>
      <c r="S335" s="116"/>
      <c r="T335" s="116"/>
      <c r="U335" s="616">
        <v>94</v>
      </c>
      <c r="V335" s="618">
        <v>0.63890000000000002</v>
      </c>
      <c r="W335" s="619">
        <v>64</v>
      </c>
      <c r="X335" s="618">
        <v>0</v>
      </c>
      <c r="Y335" s="620">
        <v>100</v>
      </c>
    </row>
    <row r="336" spans="1:25" ht="12.75">
      <c r="A336" s="36" t="str">
        <f ca="1">IFERROR(__xludf.DUMMYFUNCTION("""COMPUTED_VALUE"""),"Перловська Анна")</f>
        <v>Перловська Анна</v>
      </c>
      <c r="B336" s="114">
        <f ca="1">IFERROR(__xludf.DUMMYFUNCTION("""COMPUTED_VALUE"""),-0.0833333333333333)</f>
        <v>-8.3333333333333301E-2</v>
      </c>
      <c r="C336" s="114">
        <f ca="1">IFERROR(__xludf.DUMMYFUNCTION("""COMPUTED_VALUE"""),1.11071428571428)</f>
        <v>1.11071428571428</v>
      </c>
      <c r="D336" s="114">
        <f ca="1">IFERROR(__xludf.DUMMYFUNCTION("""COMPUTED_VALUE"""),-0.0583333333333333)</f>
        <v>-5.83333333333333E-2</v>
      </c>
      <c r="E336" s="36"/>
      <c r="F336" s="36"/>
      <c r="G336" s="36"/>
      <c r="H336" s="36"/>
      <c r="I336" s="36"/>
      <c r="J336" s="36"/>
      <c r="R336" s="117" t="s">
        <v>1666</v>
      </c>
      <c r="S336" s="116"/>
      <c r="T336" s="116"/>
      <c r="U336" s="616">
        <v>89</v>
      </c>
      <c r="V336" s="618">
        <v>0.59350000000000003</v>
      </c>
      <c r="W336" s="619">
        <v>59</v>
      </c>
      <c r="X336" s="618">
        <v>3.3300000000000003E-2</v>
      </c>
      <c r="Y336" s="620">
        <v>97</v>
      </c>
    </row>
    <row r="337" spans="1:25" ht="12.75">
      <c r="A337" s="36" t="str">
        <f ca="1">IFERROR(__xludf.DUMMYFUNCTION("""COMPUTED_VALUE"""),"Петришин Оксана")</f>
        <v>Петришин Оксана</v>
      </c>
      <c r="B337" s="114">
        <f ca="1">IFERROR(__xludf.DUMMYFUNCTION("""COMPUTED_VALUE"""),0)</f>
        <v>0</v>
      </c>
      <c r="C337" s="114">
        <f ca="1">IFERROR(__xludf.DUMMYFUNCTION("""COMPUTED_VALUE"""),0.923015873015873)</f>
        <v>0.92301587301587296</v>
      </c>
      <c r="D337" s="114">
        <f ca="1">IFERROR(__xludf.DUMMYFUNCTION("""COMPUTED_VALUE"""),0)</f>
        <v>0</v>
      </c>
      <c r="E337" s="36"/>
      <c r="F337" s="36"/>
      <c r="G337" s="36"/>
      <c r="H337" s="36"/>
      <c r="I337" s="36"/>
      <c r="J337" s="36"/>
      <c r="R337" s="117" t="s">
        <v>1669</v>
      </c>
      <c r="S337" s="116"/>
      <c r="T337" s="116"/>
      <c r="U337" s="616">
        <v>97</v>
      </c>
      <c r="V337" s="618">
        <v>0.86050000000000004</v>
      </c>
      <c r="W337" s="619">
        <v>86</v>
      </c>
      <c r="X337" s="618">
        <v>5.2400000000000002E-2</v>
      </c>
      <c r="Y337" s="620">
        <v>95</v>
      </c>
    </row>
    <row r="338" spans="1:25" ht="12.75">
      <c r="A338" s="36" t="str">
        <f ca="1">IFERROR(__xludf.DUMMYFUNCTION("""COMPUTED_VALUE"""),"Пипченко Наталія")</f>
        <v>Пипченко Наталія</v>
      </c>
      <c r="B338" s="114">
        <f ca="1">IFERROR(__xludf.DUMMYFUNCTION("""COMPUTED_VALUE"""),0)</f>
        <v>0</v>
      </c>
      <c r="C338" s="114">
        <f ca="1">IFERROR(__xludf.DUMMYFUNCTION("""COMPUTED_VALUE"""),0.388888888888888)</f>
        <v>0.38888888888888801</v>
      </c>
      <c r="D338" s="114">
        <f ca="1">IFERROR(__xludf.DUMMYFUNCTION("""COMPUTED_VALUE"""),0)</f>
        <v>0</v>
      </c>
      <c r="E338" s="36"/>
      <c r="F338" s="36"/>
      <c r="G338" s="36"/>
      <c r="H338" s="36"/>
      <c r="I338" s="36"/>
      <c r="J338" s="36"/>
      <c r="R338" s="117" t="s">
        <v>1672</v>
      </c>
      <c r="S338" s="116"/>
      <c r="T338" s="116"/>
      <c r="U338" s="616">
        <v>80</v>
      </c>
      <c r="V338" s="618">
        <v>0.84819999999999995</v>
      </c>
      <c r="W338" s="619">
        <v>85</v>
      </c>
      <c r="X338" s="618">
        <v>7.5200000000000003E-2</v>
      </c>
      <c r="Y338" s="620">
        <v>92</v>
      </c>
    </row>
    <row r="339" spans="1:25" ht="12.75">
      <c r="A339" s="36" t="str">
        <f ca="1">IFERROR(__xludf.DUMMYFUNCTION("""COMPUTED_VALUE"""),"Пирогова Анастасія")</f>
        <v>Пирогова Анастасія</v>
      </c>
      <c r="B339" s="114">
        <f ca="1">IFERROR(__xludf.DUMMYFUNCTION("""COMPUTED_VALUE"""),0.037037037037037)</f>
        <v>3.7037037037037E-2</v>
      </c>
      <c r="C339" s="114">
        <f ca="1">IFERROR(__xludf.DUMMYFUNCTION("""COMPUTED_VALUE"""),0.926797385620915)</f>
        <v>0.92679738562091496</v>
      </c>
      <c r="D339" s="114">
        <f ca="1">IFERROR(__xludf.DUMMYFUNCTION("""COMPUTED_VALUE"""),0.0259259259259259)</f>
        <v>2.5925925925925901E-2</v>
      </c>
      <c r="E339" s="36"/>
      <c r="F339" s="36"/>
      <c r="G339" s="36"/>
      <c r="H339" s="36"/>
      <c r="I339" s="36"/>
      <c r="J339" s="36"/>
      <c r="R339" s="117" t="s">
        <v>1677</v>
      </c>
      <c r="S339" s="116"/>
      <c r="T339" s="116"/>
      <c r="U339" s="616">
        <v>99</v>
      </c>
      <c r="V339" s="618">
        <v>0.64480000000000004</v>
      </c>
      <c r="W339" s="619">
        <v>64</v>
      </c>
      <c r="X339" s="618">
        <v>9.7699999999999995E-2</v>
      </c>
      <c r="Y339" s="620">
        <v>90</v>
      </c>
    </row>
    <row r="340" spans="1:25" ht="12.75">
      <c r="A340" s="36" t="str">
        <f ca="1">IFERROR(__xludf.DUMMYFUNCTION("""COMPUTED_VALUE"""),"Писаренко Марія")</f>
        <v>Писаренко Марія</v>
      </c>
      <c r="B340" s="114">
        <f ca="1">IFERROR(__xludf.DUMMYFUNCTION("""COMPUTED_VALUE"""),-0.235087719298245)</f>
        <v>-0.23508771929824501</v>
      </c>
      <c r="C340" s="114">
        <f ca="1">IFERROR(__xludf.DUMMYFUNCTION("""COMPUTED_VALUE"""),1.12837837837837)</f>
        <v>1.1283783783783701</v>
      </c>
      <c r="D340" s="114">
        <f ca="1">IFERROR(__xludf.DUMMYFUNCTION("""COMPUTED_VALUE"""),-0.164561403508771)</f>
        <v>-0.16456140350877099</v>
      </c>
      <c r="E340" s="36"/>
      <c r="F340" s="36"/>
      <c r="G340" s="36"/>
      <c r="H340" s="36"/>
      <c r="I340" s="36"/>
      <c r="J340" s="36"/>
      <c r="R340" s="117" t="s">
        <v>1680</v>
      </c>
      <c r="S340" s="116"/>
      <c r="T340" s="116"/>
      <c r="U340" s="616">
        <v>94</v>
      </c>
      <c r="V340" s="618">
        <v>0.50209999999999999</v>
      </c>
      <c r="W340" s="619">
        <v>50</v>
      </c>
      <c r="X340" s="618">
        <v>1.38E-2</v>
      </c>
      <c r="Y340" s="620">
        <v>99</v>
      </c>
    </row>
    <row r="341" spans="1:25" ht="12.75">
      <c r="A341" s="36" t="str">
        <f ca="1">IFERROR(__xludf.DUMMYFUNCTION("""COMPUTED_VALUE"""),"Підвальна Олександра")</f>
        <v>Підвальна Олександра</v>
      </c>
      <c r="B341" s="114">
        <f ca="1">IFERROR(__xludf.DUMMYFUNCTION("""COMPUTED_VALUE"""),0.10204081632653)</f>
        <v>0.10204081632653</v>
      </c>
      <c r="C341" s="114">
        <f ca="1">IFERROR(__xludf.DUMMYFUNCTION("""COMPUTED_VALUE"""),0.880237223094366)</f>
        <v>0.88023722309436603</v>
      </c>
      <c r="D341" s="114">
        <f ca="1">IFERROR(__xludf.DUMMYFUNCTION("""COMPUTED_VALUE"""),0.0714285714285714)</f>
        <v>7.1428571428571397E-2</v>
      </c>
      <c r="E341" s="36"/>
      <c r="F341" s="36"/>
      <c r="G341" s="36"/>
      <c r="H341" s="36"/>
      <c r="I341" s="36"/>
      <c r="J341" s="36"/>
      <c r="R341" s="117" t="s">
        <v>1684</v>
      </c>
      <c r="S341" s="116"/>
      <c r="T341" s="116"/>
      <c r="U341" s="616">
        <v>67</v>
      </c>
      <c r="V341" s="618">
        <v>0.66669999999999996</v>
      </c>
      <c r="W341" s="619">
        <v>67</v>
      </c>
      <c r="X341" s="618">
        <v>0.14000000000000001</v>
      </c>
      <c r="Y341" s="620">
        <v>86</v>
      </c>
    </row>
    <row r="342" spans="1:25" ht="12.75">
      <c r="A342" s="36" t="str">
        <f ca="1">IFERROR(__xludf.DUMMYFUNCTION("""COMPUTED_VALUE"""),"Пінчук Максим")</f>
        <v>Пінчук Максим</v>
      </c>
      <c r="B342" s="114">
        <f ca="1">IFERROR(__xludf.DUMMYFUNCTION("""COMPUTED_VALUE"""),0)</f>
        <v>0</v>
      </c>
      <c r="C342" s="114" t="str">
        <f ca="1">IFERROR(__xludf.DUMMYFUNCTION("""COMPUTED_VALUE"""),"#DIV/0!")</f>
        <v>#DIV/0!</v>
      </c>
      <c r="D342" s="114">
        <f ca="1">IFERROR(__xludf.DUMMYFUNCTION("""COMPUTED_VALUE"""),0)</f>
        <v>0</v>
      </c>
      <c r="E342" s="36"/>
      <c r="F342" s="36"/>
      <c r="G342" s="36"/>
      <c r="H342" s="36"/>
      <c r="I342" s="36"/>
      <c r="J342" s="36"/>
      <c r="R342" s="117" t="s">
        <v>1693</v>
      </c>
      <c r="S342" s="116"/>
      <c r="T342" s="116"/>
      <c r="U342" s="616">
        <v>72</v>
      </c>
      <c r="V342" s="618">
        <v>0.79749999999999999</v>
      </c>
      <c r="W342" s="619">
        <v>80</v>
      </c>
      <c r="X342" s="618">
        <v>-1.21E-2</v>
      </c>
      <c r="Y342" s="620">
        <v>101</v>
      </c>
    </row>
    <row r="343" spans="1:25" ht="12.75">
      <c r="A343" s="36" t="str">
        <f ca="1">IFERROR(__xludf.DUMMYFUNCTION("""COMPUTED_VALUE"""),"Піскова Юлія")</f>
        <v>Піскова Юлія</v>
      </c>
      <c r="B343" s="114">
        <f ca="1">IFERROR(__xludf.DUMMYFUNCTION("""COMPUTED_VALUE"""),0.0238095238095238)</f>
        <v>2.3809523809523801E-2</v>
      </c>
      <c r="C343" s="114">
        <f ca="1">IFERROR(__xludf.DUMMYFUNCTION("""COMPUTED_VALUE"""),0.920072784358498)</f>
        <v>0.92007278435849804</v>
      </c>
      <c r="D343" s="114">
        <f ca="1">IFERROR(__xludf.DUMMYFUNCTION("""COMPUTED_VALUE"""),0.0166666666666666)</f>
        <v>1.6666666666666601E-2</v>
      </c>
      <c r="E343" s="36"/>
      <c r="F343" s="36"/>
      <c r="G343" s="36"/>
      <c r="H343" s="36"/>
      <c r="I343" s="36"/>
      <c r="J343" s="36"/>
      <c r="R343" s="117" t="s">
        <v>1696</v>
      </c>
      <c r="S343" s="116"/>
      <c r="T343" s="116"/>
      <c r="U343" s="616">
        <v>96</v>
      </c>
      <c r="V343" s="618">
        <v>0.72130000000000005</v>
      </c>
      <c r="W343" s="619">
        <v>72</v>
      </c>
      <c r="X343" s="618">
        <v>0.13700000000000001</v>
      </c>
      <c r="Y343" s="620">
        <v>86</v>
      </c>
    </row>
    <row r="344" spans="1:25" ht="12.75">
      <c r="A344" s="36" t="str">
        <f ca="1">IFERROR(__xludf.DUMMYFUNCTION("""COMPUTED_VALUE"""),"Плаз Анна")</f>
        <v>Плаз Анна</v>
      </c>
      <c r="B344" s="114">
        <f ca="1">IFERROR(__xludf.DUMMYFUNCTION("""COMPUTED_VALUE"""),0)</f>
        <v>0</v>
      </c>
      <c r="C344" s="114">
        <f ca="1">IFERROR(__xludf.DUMMYFUNCTION("""COMPUTED_VALUE"""),0.556320512820512)</f>
        <v>0.55632051282051198</v>
      </c>
      <c r="D344" s="114">
        <f ca="1">IFERROR(__xludf.DUMMYFUNCTION("""COMPUTED_VALUE"""),0)</f>
        <v>0</v>
      </c>
      <c r="E344" s="36"/>
      <c r="F344" s="36"/>
      <c r="G344" s="36"/>
      <c r="H344" s="36"/>
      <c r="I344" s="36"/>
      <c r="J344" s="36"/>
      <c r="R344" s="117" t="s">
        <v>1699</v>
      </c>
      <c r="S344" s="116"/>
      <c r="T344" s="116"/>
      <c r="U344" s="616">
        <v>78</v>
      </c>
      <c r="V344" s="618">
        <v>1</v>
      </c>
      <c r="W344" s="619">
        <v>100</v>
      </c>
      <c r="X344" s="618">
        <v>0</v>
      </c>
      <c r="Y344" s="620">
        <v>100</v>
      </c>
    </row>
    <row r="345" spans="1:25" ht="12.75">
      <c r="A345" s="36" t="str">
        <f ca="1">IFERROR(__xludf.DUMMYFUNCTION("""COMPUTED_VALUE"""),"Плаксій
Ярослав")</f>
        <v>Плаксій
Ярослав</v>
      </c>
      <c r="B345" s="114">
        <f ca="1">IFERROR(__xludf.DUMMYFUNCTION("""COMPUTED_VALUE"""),0)</f>
        <v>0</v>
      </c>
      <c r="C345" s="114">
        <f ca="1">IFERROR(__xludf.DUMMYFUNCTION("""COMPUTED_VALUE"""),0.37037037037037)</f>
        <v>0.37037037037037002</v>
      </c>
      <c r="D345" s="114">
        <f ca="1">IFERROR(__xludf.DUMMYFUNCTION("""COMPUTED_VALUE"""),0)</f>
        <v>0</v>
      </c>
      <c r="E345" s="36"/>
      <c r="F345" s="36"/>
      <c r="G345" s="36"/>
      <c r="H345" s="36"/>
      <c r="I345" s="36"/>
      <c r="J345" s="36"/>
      <c r="R345" s="117" t="s">
        <v>1702</v>
      </c>
      <c r="S345" s="116"/>
      <c r="T345" s="116"/>
      <c r="U345" s="616">
        <v>92</v>
      </c>
      <c r="V345" s="618">
        <v>0.71879999999999999</v>
      </c>
      <c r="W345" s="619">
        <v>72</v>
      </c>
      <c r="X345" s="618">
        <v>0</v>
      </c>
      <c r="Y345" s="620">
        <v>100</v>
      </c>
    </row>
    <row r="346" spans="1:25" ht="12.75">
      <c r="A346" s="36" t="str">
        <f ca="1">IFERROR(__xludf.DUMMYFUNCTION("""COMPUTED_VALUE"""),"Плаксій Ярослав")</f>
        <v>Плаксій Ярослав</v>
      </c>
      <c r="B346" s="114">
        <f ca="1">IFERROR(__xludf.DUMMYFUNCTION("""COMPUTED_VALUE"""),0.05)</f>
        <v>0.05</v>
      </c>
      <c r="C346" s="114">
        <f ca="1">IFERROR(__xludf.DUMMYFUNCTION("""COMPUTED_VALUE"""),0.706333333333333)</f>
        <v>0.70633333333333304</v>
      </c>
      <c r="D346" s="114">
        <f ca="1">IFERROR(__xludf.DUMMYFUNCTION("""COMPUTED_VALUE"""),0.0349999999999999)</f>
        <v>3.4999999999999899E-2</v>
      </c>
      <c r="E346" s="36"/>
      <c r="F346" s="36"/>
      <c r="G346" s="36"/>
      <c r="H346" s="36"/>
      <c r="I346" s="36"/>
      <c r="J346" s="36"/>
      <c r="R346" s="117" t="s">
        <v>1708</v>
      </c>
      <c r="S346" s="116"/>
      <c r="T346" s="116"/>
      <c r="U346" s="616">
        <v>91</v>
      </c>
      <c r="V346" s="116" t="s">
        <v>9805</v>
      </c>
      <c r="W346" s="617" t="s">
        <v>9805</v>
      </c>
      <c r="X346" s="116" t="s">
        <v>9805</v>
      </c>
      <c r="Y346" s="116" t="s">
        <v>9805</v>
      </c>
    </row>
    <row r="347" spans="1:25" ht="12.75">
      <c r="A347" s="36" t="str">
        <f ca="1">IFERROR(__xludf.DUMMYFUNCTION("""COMPUTED_VALUE"""),"Погрібний Анатолій")</f>
        <v>Погрібний Анатолій</v>
      </c>
      <c r="B347" s="114">
        <f ca="1">IFERROR(__xludf.DUMMYFUNCTION("""COMPUTED_VALUE"""),0.0952380952380952)</f>
        <v>9.5238095238095205E-2</v>
      </c>
      <c r="C347" s="114">
        <f ca="1">IFERROR(__xludf.DUMMYFUNCTION("""COMPUTED_VALUE"""),0.818181818181818)</f>
        <v>0.81818181818181801</v>
      </c>
      <c r="D347" s="114">
        <f ca="1">IFERROR(__xludf.DUMMYFUNCTION("""COMPUTED_VALUE"""),0.0666666666666666)</f>
        <v>6.6666666666666596E-2</v>
      </c>
      <c r="E347" s="36"/>
      <c r="F347" s="36"/>
      <c r="G347" s="36"/>
      <c r="H347" s="36"/>
      <c r="I347" s="36"/>
      <c r="J347" s="36"/>
      <c r="R347" s="117" t="s">
        <v>1711</v>
      </c>
      <c r="S347" s="116"/>
      <c r="T347" s="116"/>
      <c r="U347" s="616">
        <v>100</v>
      </c>
      <c r="V347" s="618">
        <v>1.0871999999999999</v>
      </c>
      <c r="W347" s="619">
        <v>109</v>
      </c>
      <c r="X347" s="618">
        <v>1.7100000000000001E-2</v>
      </c>
      <c r="Y347" s="620">
        <v>98</v>
      </c>
    </row>
    <row r="348" spans="1:25" ht="12.75">
      <c r="A348" s="36" t="str">
        <f ca="1">IFERROR(__xludf.DUMMYFUNCTION("""COMPUTED_VALUE"""),"Полєєва Тетяна")</f>
        <v>Полєєва Тетяна</v>
      </c>
      <c r="B348" s="114">
        <f ca="1">IFERROR(__xludf.DUMMYFUNCTION("""COMPUTED_VALUE"""),0.0515873015873015)</f>
        <v>5.1587301587301501E-2</v>
      </c>
      <c r="C348" s="114">
        <f ca="1">IFERROR(__xludf.DUMMYFUNCTION("""COMPUTED_VALUE"""),0.59780643738977)</f>
        <v>0.59780643738977002</v>
      </c>
      <c r="D348" s="114">
        <f ca="1">IFERROR(__xludf.DUMMYFUNCTION("""COMPUTED_VALUE"""),0.0361111111111111)</f>
        <v>3.6111111111111101E-2</v>
      </c>
      <c r="E348" s="36"/>
      <c r="F348" s="36"/>
      <c r="G348" s="36"/>
      <c r="H348" s="36"/>
      <c r="I348" s="36"/>
      <c r="J348" s="36"/>
      <c r="R348" s="117" t="s">
        <v>1723</v>
      </c>
      <c r="S348" s="116"/>
      <c r="T348" s="116"/>
      <c r="U348" s="156" t="s">
        <v>9805</v>
      </c>
      <c r="V348" s="116" t="s">
        <v>9805</v>
      </c>
      <c r="W348" s="617" t="s">
        <v>9805</v>
      </c>
      <c r="X348" s="116" t="s">
        <v>9805</v>
      </c>
      <c r="Y348" s="116" t="s">
        <v>9805</v>
      </c>
    </row>
    <row r="349" spans="1:25" ht="12.75">
      <c r="A349" s="36" t="str">
        <f ca="1">IFERROR(__xludf.DUMMYFUNCTION("""COMPUTED_VALUE"""),"Полєшко Аліна")</f>
        <v>Полєшко Аліна</v>
      </c>
      <c r="B349" s="114">
        <f ca="1">IFERROR(__xludf.DUMMYFUNCTION("""COMPUTED_VALUE"""),0.238095238095238)</f>
        <v>0.238095238095238</v>
      </c>
      <c r="C349" s="114">
        <f ca="1">IFERROR(__xludf.DUMMYFUNCTION("""COMPUTED_VALUE"""),0.625833333333333)</f>
        <v>0.62583333333333302</v>
      </c>
      <c r="D349" s="114">
        <f ca="1">IFERROR(__xludf.DUMMYFUNCTION("""COMPUTED_VALUE"""),0.166666666666666)</f>
        <v>0.16666666666666599</v>
      </c>
      <c r="E349" s="36"/>
      <c r="F349" s="36"/>
      <c r="G349" s="36"/>
      <c r="H349" s="36"/>
      <c r="I349" s="36"/>
      <c r="J349" s="36"/>
      <c r="R349" s="117" t="s">
        <v>1732</v>
      </c>
      <c r="S349" s="116"/>
      <c r="T349" s="116"/>
      <c r="U349" s="616">
        <v>92</v>
      </c>
      <c r="V349" s="618">
        <v>0.83399999999999996</v>
      </c>
      <c r="W349" s="619">
        <v>83</v>
      </c>
      <c r="X349" s="618">
        <v>0.15670000000000001</v>
      </c>
      <c r="Y349" s="620">
        <v>84</v>
      </c>
    </row>
    <row r="350" spans="1:25" ht="12.75">
      <c r="A350" s="36" t="str">
        <f ca="1">IFERROR(__xludf.DUMMYFUNCTION("""COMPUTED_VALUE"""),"Полєщук Єгор")</f>
        <v>Полєщук Єгор</v>
      </c>
      <c r="B350" s="114">
        <f ca="1">IFERROR(__xludf.DUMMYFUNCTION("""COMPUTED_VALUE"""),-0.1)</f>
        <v>-0.1</v>
      </c>
      <c r="C350" s="114">
        <f ca="1">IFERROR(__xludf.DUMMYFUNCTION("""COMPUTED_VALUE"""),1.425)</f>
        <v>1.425</v>
      </c>
      <c r="D350" s="114">
        <f ca="1">IFERROR(__xludf.DUMMYFUNCTION("""COMPUTED_VALUE"""),-0.0699999999999999)</f>
        <v>-6.9999999999999896E-2</v>
      </c>
      <c r="E350" s="36"/>
      <c r="F350" s="36"/>
      <c r="G350" s="36"/>
      <c r="H350" s="36"/>
      <c r="I350" s="36"/>
      <c r="J350" s="36"/>
      <c r="R350" s="117" t="s">
        <v>1739</v>
      </c>
      <c r="S350" s="116"/>
      <c r="T350" s="116"/>
      <c r="U350" s="616">
        <v>89</v>
      </c>
      <c r="V350" s="618">
        <v>0.3967</v>
      </c>
      <c r="W350" s="619">
        <v>40</v>
      </c>
      <c r="X350" s="618">
        <v>3.0499999999999999E-2</v>
      </c>
      <c r="Y350" s="620">
        <v>97</v>
      </c>
    </row>
    <row r="351" spans="1:25" ht="12.75">
      <c r="A351" s="36" t="str">
        <f ca="1">IFERROR(__xludf.DUMMYFUNCTION("""COMPUTED_VALUE"""),"Поліщук Остап")</f>
        <v>Поліщук Остап</v>
      </c>
      <c r="B351" s="114">
        <f ca="1">IFERROR(__xludf.DUMMYFUNCTION("""COMPUTED_VALUE"""),0.0555555555555555)</f>
        <v>5.5555555555555497E-2</v>
      </c>
      <c r="C351" s="114">
        <f ca="1">IFERROR(__xludf.DUMMYFUNCTION("""COMPUTED_VALUE"""),0.423611111111111)</f>
        <v>0.42361111111111099</v>
      </c>
      <c r="D351" s="114">
        <f ca="1">IFERROR(__xludf.DUMMYFUNCTION("""COMPUTED_VALUE"""),0.0388888888888888)</f>
        <v>3.8888888888888799E-2</v>
      </c>
      <c r="E351" s="36"/>
      <c r="F351" s="36"/>
      <c r="G351" s="36"/>
      <c r="H351" s="36"/>
      <c r="I351" s="36"/>
      <c r="J351" s="36"/>
      <c r="R351" s="117" t="s">
        <v>1745</v>
      </c>
      <c r="S351" s="116"/>
      <c r="T351" s="116"/>
      <c r="U351" s="616">
        <v>64</v>
      </c>
      <c r="V351" s="618">
        <v>0.90910000000000002</v>
      </c>
      <c r="W351" s="619">
        <v>91</v>
      </c>
      <c r="X351" s="618">
        <v>0</v>
      </c>
      <c r="Y351" s="620">
        <v>100</v>
      </c>
    </row>
    <row r="352" spans="1:25" ht="12.75">
      <c r="A352" s="36" t="str">
        <f ca="1">IFERROR(__xludf.DUMMYFUNCTION("""COMPUTED_VALUE"""),"Полов'ян Денис")</f>
        <v>Полов'ян Денис</v>
      </c>
      <c r="B352" s="114">
        <f ca="1">IFERROR(__xludf.DUMMYFUNCTION("""COMPUTED_VALUE"""),-0.0416666666666666)</f>
        <v>-4.1666666666666602E-2</v>
      </c>
      <c r="C352" s="114">
        <f ca="1">IFERROR(__xludf.DUMMYFUNCTION("""COMPUTED_VALUE"""),0.58639846743295)</f>
        <v>0.58639846743294999</v>
      </c>
      <c r="D352" s="114">
        <f ca="1">IFERROR(__xludf.DUMMYFUNCTION("""COMPUTED_VALUE"""),-0.0291666666666666)</f>
        <v>-2.9166666666666601E-2</v>
      </c>
      <c r="E352" s="36"/>
      <c r="F352" s="36"/>
      <c r="G352" s="36"/>
      <c r="H352" s="36"/>
      <c r="I352" s="36"/>
      <c r="J352" s="36"/>
      <c r="R352" s="117" t="s">
        <v>1768</v>
      </c>
      <c r="S352" s="116"/>
      <c r="T352" s="116"/>
      <c r="U352" s="616">
        <v>98</v>
      </c>
      <c r="V352" s="618">
        <v>1.4615</v>
      </c>
      <c r="W352" s="619">
        <v>146</v>
      </c>
      <c r="X352" s="618">
        <v>7.7799999999999994E-2</v>
      </c>
      <c r="Y352" s="620">
        <v>92</v>
      </c>
    </row>
    <row r="353" spans="1:25" ht="12.75">
      <c r="A353" s="36" t="str">
        <f ca="1">IFERROR(__xludf.DUMMYFUNCTION("""COMPUTED_VALUE"""),"Полосьмак Вероніка")</f>
        <v>Полосьмак Вероніка</v>
      </c>
      <c r="B353" s="114">
        <f ca="1">IFERROR(__xludf.DUMMYFUNCTION("""COMPUTED_VALUE"""),0.00137362637362637)</f>
        <v>1.37362637362637E-3</v>
      </c>
      <c r="C353" s="114">
        <f ca="1">IFERROR(__xludf.DUMMYFUNCTION("""COMPUTED_VALUE"""),0.751916132097885)</f>
        <v>0.75191613209788499</v>
      </c>
      <c r="D353" s="114">
        <f ca="1">IFERROR(__xludf.DUMMYFUNCTION("""COMPUTED_VALUE"""),0.000961538461538462)</f>
        <v>9.6153846153846203E-4</v>
      </c>
      <c r="E353" s="36"/>
      <c r="F353" s="36"/>
      <c r="G353" s="36"/>
      <c r="H353" s="36"/>
      <c r="I353" s="36"/>
      <c r="J353" s="36"/>
      <c r="R353" s="117" t="s">
        <v>1771</v>
      </c>
      <c r="S353" s="116"/>
      <c r="T353" s="116"/>
      <c r="U353" s="616">
        <v>90</v>
      </c>
      <c r="V353" s="618">
        <v>0.76029999999999998</v>
      </c>
      <c r="W353" s="619">
        <v>76</v>
      </c>
      <c r="X353" s="618">
        <v>-1.2999999999999999E-3</v>
      </c>
      <c r="Y353" s="620">
        <v>100</v>
      </c>
    </row>
    <row r="354" spans="1:25" ht="12.75">
      <c r="A354" s="36" t="str">
        <f ca="1">IFERROR(__xludf.DUMMYFUNCTION("""COMPUTED_VALUE"""),"Полюхович Анастасія")</f>
        <v>Полюхович Анастасія</v>
      </c>
      <c r="B354" s="114">
        <f ca="1">IFERROR(__xludf.DUMMYFUNCTION("""COMPUTED_VALUE"""),0.11574074074074)</f>
        <v>0.11574074074074001</v>
      </c>
      <c r="C354" s="114">
        <f ca="1">IFERROR(__xludf.DUMMYFUNCTION("""COMPUTED_VALUE"""),0.658333333333333)</f>
        <v>0.65833333333333299</v>
      </c>
      <c r="D354" s="114">
        <f ca="1">IFERROR(__xludf.DUMMYFUNCTION("""COMPUTED_VALUE"""),0.0810185185185185)</f>
        <v>8.1018518518518504E-2</v>
      </c>
      <c r="E354" s="36"/>
      <c r="F354" s="36"/>
      <c r="G354" s="36"/>
      <c r="H354" s="36"/>
      <c r="I354" s="36"/>
      <c r="J354" s="36"/>
      <c r="R354" s="117" t="s">
        <v>1778</v>
      </c>
      <c r="S354" s="116"/>
      <c r="T354" s="116"/>
      <c r="U354" s="616">
        <v>78</v>
      </c>
      <c r="V354" s="618">
        <v>0.97189999999999999</v>
      </c>
      <c r="W354" s="619">
        <v>97</v>
      </c>
      <c r="X354" s="618">
        <v>1.4E-3</v>
      </c>
      <c r="Y354" s="620">
        <v>100</v>
      </c>
    </row>
    <row r="355" spans="1:25" ht="12.75">
      <c r="A355" s="36" t="str">
        <f ca="1">IFERROR(__xludf.DUMMYFUNCTION("""COMPUTED_VALUE"""),"Поляков Михайло")</f>
        <v>Поляков Михайло</v>
      </c>
      <c r="B355" s="114">
        <f ca="1">IFERROR(__xludf.DUMMYFUNCTION("""COMPUTED_VALUE"""),-0.00146520146520146)</f>
        <v>-1.46520146520146E-3</v>
      </c>
      <c r="C355" s="114">
        <f ca="1">IFERROR(__xludf.DUMMYFUNCTION("""COMPUTED_VALUE"""),0.843780414987311)</f>
        <v>0.84378041498731104</v>
      </c>
      <c r="D355" s="114">
        <f ca="1">IFERROR(__xludf.DUMMYFUNCTION("""COMPUTED_VALUE"""),-0.00102564102564102)</f>
        <v>-1.02564102564102E-3</v>
      </c>
      <c r="E355" s="36"/>
      <c r="F355" s="36"/>
      <c r="G355" s="36"/>
      <c r="H355" s="36"/>
      <c r="I355" s="36"/>
      <c r="J355" s="36"/>
      <c r="R355" s="117" t="s">
        <v>1781</v>
      </c>
      <c r="S355" s="116"/>
      <c r="T355" s="116"/>
      <c r="U355" s="616">
        <v>89</v>
      </c>
      <c r="V355" s="618">
        <v>1.5385</v>
      </c>
      <c r="W355" s="619">
        <v>154</v>
      </c>
      <c r="X355" s="618">
        <v>2.12E-2</v>
      </c>
      <c r="Y355" s="620">
        <v>98</v>
      </c>
    </row>
    <row r="356" spans="1:25" ht="12.75">
      <c r="A356" s="36" t="str">
        <f ca="1">IFERROR(__xludf.DUMMYFUNCTION("""COMPUTED_VALUE"""),"Полякова Альбіна")</f>
        <v>Полякова Альбіна</v>
      </c>
      <c r="B356" s="114">
        <f ca="1">IFERROR(__xludf.DUMMYFUNCTION("""COMPUTED_VALUE"""),0)</f>
        <v>0</v>
      </c>
      <c r="C356" s="114">
        <f ca="1">IFERROR(__xludf.DUMMYFUNCTION("""COMPUTED_VALUE"""),0.9375)</f>
        <v>0.9375</v>
      </c>
      <c r="D356" s="114">
        <f ca="1">IFERROR(__xludf.DUMMYFUNCTION("""COMPUTED_VALUE"""),0)</f>
        <v>0</v>
      </c>
      <c r="E356" s="36"/>
      <c r="F356" s="36"/>
      <c r="G356" s="36"/>
      <c r="H356" s="36"/>
      <c r="I356" s="36"/>
      <c r="J356" s="36"/>
      <c r="R356" s="117" t="s">
        <v>1790</v>
      </c>
      <c r="S356" s="116"/>
      <c r="T356" s="116"/>
      <c r="U356" s="616">
        <v>94</v>
      </c>
      <c r="V356" s="618">
        <v>1.1376999999999999</v>
      </c>
      <c r="W356" s="619">
        <v>114</v>
      </c>
      <c r="X356" s="618">
        <v>1.7899999999999999E-2</v>
      </c>
      <c r="Y356" s="620">
        <v>98</v>
      </c>
    </row>
    <row r="357" spans="1:25" ht="12.75">
      <c r="A357" s="36" t="str">
        <f ca="1">IFERROR(__xludf.DUMMYFUNCTION("""COMPUTED_VALUE"""),"Полянічкін Антон")</f>
        <v>Полянічкін Антон</v>
      </c>
      <c r="B357" s="114">
        <f ca="1">IFERROR(__xludf.DUMMYFUNCTION("""COMPUTED_VALUE"""),0.0586850649350649)</f>
        <v>5.8685064935064903E-2</v>
      </c>
      <c r="C357" s="114">
        <f ca="1">IFERROR(__xludf.DUMMYFUNCTION("""COMPUTED_VALUE"""),0.934965402006955)</f>
        <v>0.93496540200695499</v>
      </c>
      <c r="D357" s="114">
        <f ca="1">IFERROR(__xludf.DUMMYFUNCTION("""COMPUTED_VALUE"""),0.0410795454545454)</f>
        <v>4.1079545454545403E-2</v>
      </c>
      <c r="E357" s="36"/>
      <c r="F357" s="36"/>
      <c r="G357" s="36"/>
      <c r="H357" s="36"/>
      <c r="I357" s="36"/>
      <c r="J357" s="36"/>
      <c r="R357" s="117" t="s">
        <v>1796</v>
      </c>
      <c r="S357" s="116"/>
      <c r="T357" s="116"/>
      <c r="U357" s="616">
        <v>90</v>
      </c>
      <c r="V357" s="618">
        <v>0.7117</v>
      </c>
      <c r="W357" s="619">
        <v>71</v>
      </c>
      <c r="X357" s="618">
        <v>2.8000000000000001E-2</v>
      </c>
      <c r="Y357" s="620">
        <v>97</v>
      </c>
    </row>
    <row r="358" spans="1:25" ht="12.75">
      <c r="A358" s="36" t="str">
        <f ca="1">IFERROR(__xludf.DUMMYFUNCTION("""COMPUTED_VALUE"""),"Помогаєв Костянтин")</f>
        <v>Помогаєв Костянтин</v>
      </c>
      <c r="B358" s="114">
        <f ca="1">IFERROR(__xludf.DUMMYFUNCTION("""COMPUTED_VALUE"""),0.375)</f>
        <v>0.375</v>
      </c>
      <c r="C358" s="114">
        <f ca="1">IFERROR(__xludf.DUMMYFUNCTION("""COMPUTED_VALUE"""),1.08543417366946)</f>
        <v>1.0854341736694599</v>
      </c>
      <c r="D358" s="114">
        <f ca="1">IFERROR(__xludf.DUMMYFUNCTION("""COMPUTED_VALUE"""),0.262499999999999)</f>
        <v>0.26249999999999901</v>
      </c>
      <c r="E358" s="36"/>
      <c r="F358" s="36"/>
      <c r="G358" s="36"/>
      <c r="H358" s="36"/>
      <c r="I358" s="36"/>
      <c r="J358" s="36"/>
      <c r="R358" s="117" t="s">
        <v>1805</v>
      </c>
      <c r="S358" s="116"/>
      <c r="T358" s="116"/>
      <c r="U358" s="616">
        <v>81</v>
      </c>
      <c r="V358" s="116" t="s">
        <v>9806</v>
      </c>
      <c r="W358" s="617" t="s">
        <v>9806</v>
      </c>
      <c r="X358" s="618">
        <v>-0.1167</v>
      </c>
      <c r="Y358" s="620">
        <v>112</v>
      </c>
    </row>
    <row r="359" spans="1:25" ht="12.75">
      <c r="A359" s="36" t="str">
        <f ca="1">IFERROR(__xludf.DUMMYFUNCTION("""COMPUTED_VALUE"""),"Попов Олег")</f>
        <v>Попов Олег</v>
      </c>
      <c r="B359" s="114">
        <f ca="1">IFERROR(__xludf.DUMMYFUNCTION("""COMPUTED_VALUE"""),0.0357142857142857)</f>
        <v>3.5714285714285698E-2</v>
      </c>
      <c r="C359" s="114">
        <f ca="1">IFERROR(__xludf.DUMMYFUNCTION("""COMPUTED_VALUE"""),0.765292046262195)</f>
        <v>0.76529204626219505</v>
      </c>
      <c r="D359" s="114">
        <f ca="1">IFERROR(__xludf.DUMMYFUNCTION("""COMPUTED_VALUE"""),0.0249999999999999)</f>
        <v>2.4999999999999901E-2</v>
      </c>
      <c r="E359" s="36"/>
      <c r="F359" s="36"/>
      <c r="G359" s="36"/>
      <c r="H359" s="36"/>
      <c r="I359" s="36"/>
      <c r="J359" s="36"/>
      <c r="R359" s="117" t="s">
        <v>1808</v>
      </c>
      <c r="S359" s="116"/>
      <c r="T359" s="116"/>
      <c r="U359" s="616">
        <v>88</v>
      </c>
      <c r="V359" s="618">
        <v>0.96989999999999998</v>
      </c>
      <c r="W359" s="619">
        <v>97</v>
      </c>
      <c r="X359" s="618">
        <v>4.3E-3</v>
      </c>
      <c r="Y359" s="620">
        <v>100</v>
      </c>
    </row>
    <row r="360" spans="1:25" ht="12.75">
      <c r="A360" s="36" t="str">
        <f ca="1">IFERROR(__xludf.DUMMYFUNCTION("""COMPUTED_VALUE"""),"Поротіков Михайло")</f>
        <v>Поротіков Михайло</v>
      </c>
      <c r="B360" s="114">
        <f ca="1">IFERROR(__xludf.DUMMYFUNCTION("""COMPUTED_VALUE"""),0.094017094017094)</f>
        <v>9.4017094017094002E-2</v>
      </c>
      <c r="C360" s="114">
        <f ca="1">IFERROR(__xludf.DUMMYFUNCTION("""COMPUTED_VALUE"""),0.511904761904761)</f>
        <v>0.51190476190476097</v>
      </c>
      <c r="D360" s="114">
        <f ca="1">IFERROR(__xludf.DUMMYFUNCTION("""COMPUTED_VALUE"""),0.0658119658119658)</f>
        <v>6.58119658119658E-2</v>
      </c>
      <c r="E360" s="36"/>
      <c r="F360" s="36"/>
      <c r="G360" s="36"/>
      <c r="H360" s="36"/>
      <c r="I360" s="36"/>
      <c r="J360" s="36"/>
      <c r="R360" s="117" t="s">
        <v>1817</v>
      </c>
      <c r="S360" s="116"/>
      <c r="T360" s="116"/>
      <c r="U360" s="616">
        <v>98</v>
      </c>
      <c r="V360" s="618">
        <v>1.05</v>
      </c>
      <c r="W360" s="619">
        <v>105</v>
      </c>
      <c r="X360" s="618">
        <v>0</v>
      </c>
      <c r="Y360" s="620">
        <v>100</v>
      </c>
    </row>
    <row r="361" spans="1:25" ht="12.75">
      <c r="A361" s="36" t="str">
        <f ca="1">IFERROR(__xludf.DUMMYFUNCTION("""COMPUTED_VALUE"""),"Посацький Роман")</f>
        <v>Посацький Роман</v>
      </c>
      <c r="B361" s="114">
        <f ca="1">IFERROR(__xludf.DUMMYFUNCTION("""COMPUTED_VALUE"""),0)</f>
        <v>0</v>
      </c>
      <c r="C361" s="114">
        <f ca="1">IFERROR(__xludf.DUMMYFUNCTION("""COMPUTED_VALUE"""),0.666666666666666)</f>
        <v>0.66666666666666596</v>
      </c>
      <c r="D361" s="114">
        <f ca="1">IFERROR(__xludf.DUMMYFUNCTION("""COMPUTED_VALUE"""),0)</f>
        <v>0</v>
      </c>
      <c r="E361" s="36"/>
      <c r="F361" s="36"/>
      <c r="G361" s="36"/>
      <c r="H361" s="36"/>
      <c r="I361" s="36"/>
      <c r="J361" s="36"/>
      <c r="R361" s="117" t="s">
        <v>1823</v>
      </c>
      <c r="S361" s="116"/>
      <c r="T361" s="116"/>
      <c r="U361" s="616">
        <v>93</v>
      </c>
      <c r="V361" s="618">
        <v>1.1694</v>
      </c>
      <c r="W361" s="619">
        <v>117</v>
      </c>
      <c r="X361" s="618">
        <v>2.75E-2</v>
      </c>
      <c r="Y361" s="620">
        <v>97</v>
      </c>
    </row>
    <row r="362" spans="1:25" ht="12.75">
      <c r="A362" s="36" t="str">
        <f ca="1">IFERROR(__xludf.DUMMYFUNCTION("""COMPUTED_VALUE"""),"Постоєнко Олег")</f>
        <v>Постоєнко Олег</v>
      </c>
      <c r="B362" s="114">
        <f ca="1">IFERROR(__xludf.DUMMYFUNCTION("""COMPUTED_VALUE"""),-0.0166666666666666)</f>
        <v>-1.6666666666666601E-2</v>
      </c>
      <c r="C362" s="114">
        <f ca="1">IFERROR(__xludf.DUMMYFUNCTION("""COMPUTED_VALUE"""),0.742424242424242)</f>
        <v>0.74242424242424199</v>
      </c>
      <c r="D362" s="114">
        <f ca="1">IFERROR(__xludf.DUMMYFUNCTION("""COMPUTED_VALUE"""),-0.0116666666666666)</f>
        <v>-1.16666666666666E-2</v>
      </c>
      <c r="E362" s="36"/>
      <c r="F362" s="36"/>
      <c r="G362" s="36"/>
      <c r="H362" s="36"/>
      <c r="I362" s="36"/>
      <c r="J362" s="36"/>
      <c r="R362" s="117" t="s">
        <v>1826</v>
      </c>
      <c r="S362" s="116"/>
      <c r="T362" s="116"/>
      <c r="U362" s="616">
        <v>98</v>
      </c>
      <c r="V362" s="618">
        <v>1.1727000000000001</v>
      </c>
      <c r="W362" s="619">
        <v>117</v>
      </c>
      <c r="X362" s="618">
        <v>7.5700000000000003E-2</v>
      </c>
      <c r="Y362" s="620">
        <v>92</v>
      </c>
    </row>
    <row r="363" spans="1:25" ht="12.75">
      <c r="A363" s="36" t="str">
        <f ca="1">IFERROR(__xludf.DUMMYFUNCTION("""COMPUTED_VALUE"""),"Примак Дарина")</f>
        <v>Примак Дарина</v>
      </c>
      <c r="B363" s="114">
        <f ca="1">IFERROR(__xludf.DUMMYFUNCTION("""COMPUTED_VALUE"""),0.195833333333333)</f>
        <v>0.195833333333333</v>
      </c>
      <c r="C363" s="114">
        <f ca="1">IFERROR(__xludf.DUMMYFUNCTION("""COMPUTED_VALUE"""),0.98531172379533)</f>
        <v>0.98531172379533005</v>
      </c>
      <c r="D363" s="114">
        <f ca="1">IFERROR(__xludf.DUMMYFUNCTION("""COMPUTED_VALUE"""),0.137083333333333)</f>
        <v>0.137083333333333</v>
      </c>
      <c r="E363" s="36"/>
      <c r="F363" s="36"/>
      <c r="G363" s="36"/>
      <c r="H363" s="36"/>
      <c r="I363" s="36"/>
      <c r="J363" s="36"/>
      <c r="R363" s="117" t="s">
        <v>1833</v>
      </c>
      <c r="S363" s="116"/>
      <c r="T363" s="116"/>
      <c r="U363" s="616">
        <v>86</v>
      </c>
      <c r="V363" s="618">
        <v>0.51570000000000005</v>
      </c>
      <c r="W363" s="619">
        <v>52</v>
      </c>
      <c r="X363" s="618">
        <v>0</v>
      </c>
      <c r="Y363" s="620">
        <v>100</v>
      </c>
    </row>
    <row r="364" spans="1:25" ht="12.75">
      <c r="A364" s="36" t="str">
        <f ca="1">IFERROR(__xludf.DUMMYFUNCTION("""COMPUTED_VALUE"""),"Притуленко Артем")</f>
        <v>Притуленко Артем</v>
      </c>
      <c r="B364" s="114">
        <f ca="1">IFERROR(__xludf.DUMMYFUNCTION("""COMPUTED_VALUE"""),-0.0454545454545454)</f>
        <v>-4.54545454545454E-2</v>
      </c>
      <c r="C364" s="114" t="str">
        <f ca="1">IFERROR(__xludf.DUMMYFUNCTION("""COMPUTED_VALUE"""),"#DIV/0!")</f>
        <v>#DIV/0!</v>
      </c>
      <c r="D364" s="114">
        <f ca="1">IFERROR(__xludf.DUMMYFUNCTION("""COMPUTED_VALUE"""),-0.0318181818181818)</f>
        <v>-3.1818181818181801E-2</v>
      </c>
      <c r="E364" s="36"/>
      <c r="F364" s="36"/>
      <c r="G364" s="36"/>
      <c r="H364" s="36"/>
      <c r="I364" s="36"/>
      <c r="J364" s="36"/>
      <c r="R364" s="117" t="s">
        <v>1836</v>
      </c>
      <c r="S364" s="116"/>
      <c r="T364" s="116"/>
      <c r="U364" s="616">
        <v>97</v>
      </c>
      <c r="V364" s="618">
        <v>0.93569999999999998</v>
      </c>
      <c r="W364" s="619">
        <v>94</v>
      </c>
      <c r="X364" s="618">
        <v>3.1800000000000002E-2</v>
      </c>
      <c r="Y364" s="620">
        <v>97</v>
      </c>
    </row>
    <row r="365" spans="1:25" ht="12.75">
      <c r="A365" s="36" t="str">
        <f ca="1">IFERROR(__xludf.DUMMYFUNCTION("""COMPUTED_VALUE"""),"Прокопенко Валентин")</f>
        <v>Прокопенко Валентин</v>
      </c>
      <c r="B365" s="114">
        <f ca="1">IFERROR(__xludf.DUMMYFUNCTION("""COMPUTED_VALUE"""),0.103296703296703)</f>
        <v>0.103296703296703</v>
      </c>
      <c r="C365" s="114">
        <f ca="1">IFERROR(__xludf.DUMMYFUNCTION("""COMPUTED_VALUE"""),1.29518013795755)</f>
        <v>1.29518013795755</v>
      </c>
      <c r="D365" s="114">
        <f ca="1">IFERROR(__xludf.DUMMYFUNCTION("""COMPUTED_VALUE"""),0.0723076923076923)</f>
        <v>7.2307692307692295E-2</v>
      </c>
      <c r="E365" s="36"/>
      <c r="F365" s="36"/>
      <c r="G365" s="36"/>
      <c r="H365" s="36"/>
      <c r="I365" s="36"/>
      <c r="J365" s="36"/>
      <c r="R365" s="117" t="s">
        <v>1839</v>
      </c>
      <c r="S365" s="116"/>
      <c r="T365" s="116"/>
      <c r="U365" s="616">
        <v>81</v>
      </c>
      <c r="V365" s="618">
        <v>0.8125</v>
      </c>
      <c r="W365" s="619">
        <v>81</v>
      </c>
      <c r="X365" s="618">
        <v>0</v>
      </c>
      <c r="Y365" s="620">
        <v>100</v>
      </c>
    </row>
    <row r="366" spans="1:25" ht="12.75">
      <c r="A366" s="36" t="str">
        <f ca="1">IFERROR(__xludf.DUMMYFUNCTION("""COMPUTED_VALUE"""),"Прокопчук Олександр")</f>
        <v>Прокопчук Олександр</v>
      </c>
      <c r="B366" s="114">
        <f ca="1">IFERROR(__xludf.DUMMYFUNCTION("""COMPUTED_VALUE"""),-0.1)</f>
        <v>-0.1</v>
      </c>
      <c r="C366" s="114">
        <f ca="1">IFERROR(__xludf.DUMMYFUNCTION("""COMPUTED_VALUE"""),1.61224489795918)</f>
        <v>1.6122448979591799</v>
      </c>
      <c r="D366" s="114">
        <f ca="1">IFERROR(__xludf.DUMMYFUNCTION("""COMPUTED_VALUE"""),-0.0699999999999999)</f>
        <v>-6.9999999999999896E-2</v>
      </c>
      <c r="E366" s="36"/>
      <c r="F366" s="36"/>
      <c r="G366" s="36"/>
      <c r="H366" s="36"/>
      <c r="I366" s="36"/>
      <c r="J366" s="36"/>
      <c r="R366" s="117" t="s">
        <v>1848</v>
      </c>
      <c r="S366" s="116"/>
      <c r="T366" s="116"/>
      <c r="U366" s="616">
        <v>89</v>
      </c>
      <c r="V366" s="618">
        <v>0.74170000000000003</v>
      </c>
      <c r="W366" s="619">
        <v>74</v>
      </c>
      <c r="X366" s="618">
        <v>6.8400000000000002E-2</v>
      </c>
      <c r="Y366" s="620">
        <v>93</v>
      </c>
    </row>
    <row r="367" spans="1:25" ht="12.75">
      <c r="A367" s="36" t="str">
        <f ca="1">IFERROR(__xludf.DUMMYFUNCTION("""COMPUTED_VALUE"""),"Пташко Катерина")</f>
        <v>Пташко Катерина</v>
      </c>
      <c r="B367" s="114">
        <f ca="1">IFERROR(__xludf.DUMMYFUNCTION("""COMPUTED_VALUE"""),0)</f>
        <v>0</v>
      </c>
      <c r="C367" s="114">
        <f ca="1">IFERROR(__xludf.DUMMYFUNCTION("""COMPUTED_VALUE"""),0.535714285714285)</f>
        <v>0.53571428571428503</v>
      </c>
      <c r="D367" s="114">
        <f ca="1">IFERROR(__xludf.DUMMYFUNCTION("""COMPUTED_VALUE"""),0)</f>
        <v>0</v>
      </c>
      <c r="E367" s="36"/>
      <c r="F367" s="36"/>
      <c r="G367" s="36"/>
      <c r="H367" s="36"/>
      <c r="I367" s="36"/>
      <c r="J367" s="36"/>
      <c r="R367" s="117" t="s">
        <v>1851</v>
      </c>
      <c r="S367" s="116"/>
      <c r="T367" s="116"/>
      <c r="U367" s="616">
        <v>91</v>
      </c>
      <c r="V367" s="618">
        <v>0.95830000000000004</v>
      </c>
      <c r="W367" s="619">
        <v>96</v>
      </c>
      <c r="X367" s="618">
        <v>2.3300000000000001E-2</v>
      </c>
      <c r="Y367" s="620">
        <v>98</v>
      </c>
    </row>
    <row r="368" spans="1:25" ht="12.75">
      <c r="A368" s="36" t="str">
        <f ca="1">IFERROR(__xludf.DUMMYFUNCTION("""COMPUTED_VALUE"""),"Пушкарьова Дарʼя")</f>
        <v>Пушкарьова Дарʼя</v>
      </c>
      <c r="B368" s="114">
        <f ca="1">IFERROR(__xludf.DUMMYFUNCTION("""COMPUTED_VALUE"""),0)</f>
        <v>0</v>
      </c>
      <c r="C368" s="114">
        <f ca="1">IFERROR(__xludf.DUMMYFUNCTION("""COMPUTED_VALUE"""),0.9)</f>
        <v>0.9</v>
      </c>
      <c r="D368" s="114">
        <f ca="1">IFERROR(__xludf.DUMMYFUNCTION("""COMPUTED_VALUE"""),0)</f>
        <v>0</v>
      </c>
      <c r="E368" s="36"/>
      <c r="F368" s="36"/>
      <c r="G368" s="36"/>
      <c r="H368" s="36"/>
      <c r="I368" s="36"/>
      <c r="J368" s="36"/>
      <c r="R368" s="117" t="s">
        <v>1864</v>
      </c>
      <c r="S368" s="116"/>
      <c r="T368" s="116"/>
      <c r="U368" s="616">
        <v>91</v>
      </c>
      <c r="V368" s="618">
        <v>0.46850000000000003</v>
      </c>
      <c r="W368" s="619">
        <v>47</v>
      </c>
      <c r="X368" s="618">
        <v>0.24</v>
      </c>
      <c r="Y368" s="620">
        <v>76</v>
      </c>
    </row>
    <row r="369" spans="1:25" ht="12.75">
      <c r="A369" s="36" t="str">
        <f ca="1">IFERROR(__xludf.DUMMYFUNCTION("""COMPUTED_VALUE"""),"Рамський Ігор")</f>
        <v>Рамський Ігор</v>
      </c>
      <c r="B369" s="114">
        <f ca="1">IFERROR(__xludf.DUMMYFUNCTION("""COMPUTED_VALUE"""),0.75)</f>
        <v>0.75</v>
      </c>
      <c r="C369" s="114" t="str">
        <f ca="1">IFERROR(__xludf.DUMMYFUNCTION("""COMPUTED_VALUE"""),"#DIV/0!")</f>
        <v>#DIV/0!</v>
      </c>
      <c r="D369" s="114">
        <f ca="1">IFERROR(__xludf.DUMMYFUNCTION("""COMPUTED_VALUE"""),0.524999999999999)</f>
        <v>0.52499999999999902</v>
      </c>
      <c r="E369" s="36"/>
      <c r="F369" s="36"/>
      <c r="G369" s="36"/>
      <c r="H369" s="36"/>
      <c r="I369" s="36"/>
      <c r="J369" s="36"/>
      <c r="R369" s="117" t="s">
        <v>1867</v>
      </c>
      <c r="S369" s="116"/>
      <c r="T369" s="116"/>
      <c r="U369" s="616">
        <v>97</v>
      </c>
      <c r="V369" s="618">
        <v>0.85350000000000004</v>
      </c>
      <c r="W369" s="619">
        <v>85</v>
      </c>
      <c r="X369" s="618">
        <v>7.7999999999999996E-3</v>
      </c>
      <c r="Y369" s="620">
        <v>99</v>
      </c>
    </row>
    <row r="370" spans="1:25" ht="12.75">
      <c r="A370" s="36" t="str">
        <f ca="1">IFERROR(__xludf.DUMMYFUNCTION("""COMPUTED_VALUE"""),"Раскіна Анастасія")</f>
        <v>Раскіна Анастасія</v>
      </c>
      <c r="B370" s="114">
        <f ca="1">IFERROR(__xludf.DUMMYFUNCTION("""COMPUTED_VALUE"""),0.2)</f>
        <v>0.2</v>
      </c>
      <c r="C370" s="114">
        <f ca="1">IFERROR(__xludf.DUMMYFUNCTION("""COMPUTED_VALUE"""),0.71875)</f>
        <v>0.71875</v>
      </c>
      <c r="D370" s="114">
        <f ca="1">IFERROR(__xludf.DUMMYFUNCTION("""COMPUTED_VALUE"""),0.139999999999999)</f>
        <v>0.13999999999999899</v>
      </c>
      <c r="E370" s="36"/>
      <c r="F370" s="36"/>
      <c r="G370" s="36"/>
      <c r="H370" s="36"/>
      <c r="I370" s="36"/>
      <c r="J370" s="36"/>
      <c r="R370" s="117" t="s">
        <v>1870</v>
      </c>
      <c r="S370" s="116"/>
      <c r="T370" s="116"/>
      <c r="U370" s="616">
        <v>93</v>
      </c>
      <c r="V370" s="618">
        <v>0.746</v>
      </c>
      <c r="W370" s="619">
        <v>75</v>
      </c>
      <c r="X370" s="618">
        <v>-2.4500000000000001E-2</v>
      </c>
      <c r="Y370" s="620">
        <v>102</v>
      </c>
    </row>
    <row r="371" spans="1:25" ht="12.75">
      <c r="A371" s="36" t="str">
        <f ca="1">IFERROR(__xludf.DUMMYFUNCTION("""COMPUTED_VALUE"""),"Ратушна Наталія")</f>
        <v>Ратушна Наталія</v>
      </c>
      <c r="B371" s="114">
        <f ca="1">IFERROR(__xludf.DUMMYFUNCTION("""COMPUTED_VALUE"""),0.0277777777777777)</f>
        <v>2.77777777777777E-2</v>
      </c>
      <c r="C371" s="114">
        <f ca="1">IFERROR(__xludf.DUMMYFUNCTION("""COMPUTED_VALUE"""),0.762770562770562)</f>
        <v>0.76277056277056199</v>
      </c>
      <c r="D371" s="114">
        <f ca="1">IFERROR(__xludf.DUMMYFUNCTION("""COMPUTED_VALUE"""),0.0194444444444444)</f>
        <v>1.94444444444444E-2</v>
      </c>
      <c r="E371" s="36"/>
      <c r="F371" s="36"/>
      <c r="G371" s="36"/>
      <c r="H371" s="36"/>
      <c r="I371" s="36"/>
      <c r="J371" s="36"/>
      <c r="R371" s="117" t="s">
        <v>1878</v>
      </c>
      <c r="S371" s="116"/>
      <c r="T371" s="116"/>
      <c r="U371" s="616">
        <v>100</v>
      </c>
      <c r="V371" s="618">
        <v>0.84130000000000005</v>
      </c>
      <c r="W371" s="619">
        <v>84</v>
      </c>
      <c r="X371" s="618">
        <v>9.1999999999999998E-3</v>
      </c>
      <c r="Y371" s="620">
        <v>99</v>
      </c>
    </row>
    <row r="372" spans="1:25" ht="12.75">
      <c r="A372" s="36" t="str">
        <f ca="1">IFERROR(__xludf.DUMMYFUNCTION("""COMPUTED_VALUE"""),"Рибаков Владислав")</f>
        <v>Рибаков Владислав</v>
      </c>
      <c r="B372" s="114">
        <f ca="1">IFERROR(__xludf.DUMMYFUNCTION("""COMPUTED_VALUE"""),0)</f>
        <v>0</v>
      </c>
      <c r="C372" s="114">
        <f ca="1">IFERROR(__xludf.DUMMYFUNCTION("""COMPUTED_VALUE"""),0.466666666666666)</f>
        <v>0.46666666666666601</v>
      </c>
      <c r="D372" s="114">
        <f ca="1">IFERROR(__xludf.DUMMYFUNCTION("""COMPUTED_VALUE"""),0)</f>
        <v>0</v>
      </c>
      <c r="E372" s="36"/>
      <c r="F372" s="36"/>
      <c r="G372" s="36"/>
      <c r="H372" s="36"/>
      <c r="I372" s="36"/>
      <c r="J372" s="36"/>
      <c r="R372" s="117" t="s">
        <v>1881</v>
      </c>
      <c r="S372" s="116"/>
      <c r="T372" s="116"/>
      <c r="U372" s="616">
        <v>87</v>
      </c>
      <c r="V372" s="618">
        <v>0.47220000000000001</v>
      </c>
      <c r="W372" s="619">
        <v>47</v>
      </c>
      <c r="X372" s="618">
        <v>0</v>
      </c>
      <c r="Y372" s="620">
        <v>100</v>
      </c>
    </row>
    <row r="373" spans="1:25" ht="12.75">
      <c r="A373" s="36" t="str">
        <f ca="1">IFERROR(__xludf.DUMMYFUNCTION("""COMPUTED_VALUE"""),"Рибальченко Катерина")</f>
        <v>Рибальченко Катерина</v>
      </c>
      <c r="B373" s="114">
        <f ca="1">IFERROR(__xludf.DUMMYFUNCTION("""COMPUTED_VALUE"""),0.333333333333333)</f>
        <v>0.33333333333333298</v>
      </c>
      <c r="C373" s="114">
        <f ca="1">IFERROR(__xludf.DUMMYFUNCTION("""COMPUTED_VALUE"""),0.641025641025641)</f>
        <v>0.64102564102564097</v>
      </c>
      <c r="D373" s="114">
        <f ca="1">IFERROR(__xludf.DUMMYFUNCTION("""COMPUTED_VALUE"""),0.233333333333333)</f>
        <v>0.233333333333333</v>
      </c>
      <c r="E373" s="36"/>
      <c r="F373" s="36"/>
      <c r="G373" s="36"/>
      <c r="H373" s="36"/>
      <c r="I373" s="36"/>
      <c r="J373" s="36"/>
      <c r="R373" s="117" t="s">
        <v>1887</v>
      </c>
      <c r="S373" s="116"/>
      <c r="T373" s="116"/>
      <c r="U373" s="616">
        <v>98</v>
      </c>
      <c r="V373" s="618">
        <v>0.56779999999999997</v>
      </c>
      <c r="W373" s="619">
        <v>57</v>
      </c>
      <c r="X373" s="618">
        <v>0.21249999999999999</v>
      </c>
      <c r="Y373" s="620">
        <v>79</v>
      </c>
    </row>
    <row r="374" spans="1:25" ht="12.75">
      <c r="A374" s="36" t="str">
        <f ca="1">IFERROR(__xludf.DUMMYFUNCTION("""COMPUTED_VALUE"""),"Рибіна Юлія")</f>
        <v>Рибіна Юлія</v>
      </c>
      <c r="B374" s="114">
        <f ca="1">IFERROR(__xludf.DUMMYFUNCTION("""COMPUTED_VALUE"""),0)</f>
        <v>0</v>
      </c>
      <c r="C374" s="114">
        <f ca="1">IFERROR(__xludf.DUMMYFUNCTION("""COMPUTED_VALUE"""),0.913205980066445)</f>
        <v>0.91320598006644504</v>
      </c>
      <c r="D374" s="114">
        <f ca="1">IFERROR(__xludf.DUMMYFUNCTION("""COMPUTED_VALUE"""),0)</f>
        <v>0</v>
      </c>
      <c r="E374" s="36"/>
      <c r="F374" s="36"/>
      <c r="G374" s="36"/>
      <c r="H374" s="36"/>
      <c r="I374" s="36"/>
      <c r="J374" s="36"/>
      <c r="R374" s="117" t="s">
        <v>1890</v>
      </c>
      <c r="S374" s="116"/>
      <c r="T374" s="116"/>
      <c r="U374" s="616">
        <v>89</v>
      </c>
      <c r="V374" s="618">
        <v>1.0385</v>
      </c>
      <c r="W374" s="619">
        <v>104</v>
      </c>
      <c r="X374" s="618">
        <v>-1.04E-2</v>
      </c>
      <c r="Y374" s="620">
        <v>101</v>
      </c>
    </row>
    <row r="375" spans="1:25" ht="12.75">
      <c r="A375" s="36" t="str">
        <f ca="1">IFERROR(__xludf.DUMMYFUNCTION("""COMPUTED_VALUE"""),"Рибінський Валентин")</f>
        <v>Рибінський Валентин</v>
      </c>
      <c r="B375" s="114">
        <f ca="1">IFERROR(__xludf.DUMMYFUNCTION("""COMPUTED_VALUE"""),0)</f>
        <v>0</v>
      </c>
      <c r="C375" s="114">
        <f ca="1">IFERROR(__xludf.DUMMYFUNCTION("""COMPUTED_VALUE"""),1.2)</f>
        <v>1.2</v>
      </c>
      <c r="D375" s="114">
        <f ca="1">IFERROR(__xludf.DUMMYFUNCTION("""COMPUTED_VALUE"""),0)</f>
        <v>0</v>
      </c>
      <c r="E375" s="36"/>
      <c r="F375" s="36"/>
      <c r="G375" s="36"/>
      <c r="H375" s="36"/>
      <c r="I375" s="36"/>
      <c r="J375" s="36"/>
      <c r="R375" s="117" t="s">
        <v>1894</v>
      </c>
      <c r="S375" s="116"/>
      <c r="T375" s="116"/>
      <c r="U375" s="616">
        <v>97</v>
      </c>
      <c r="V375" s="618">
        <v>0.62519999999999998</v>
      </c>
      <c r="W375" s="619">
        <v>63</v>
      </c>
      <c r="X375" s="618">
        <v>5.2499999999999998E-2</v>
      </c>
      <c r="Y375" s="620">
        <v>95</v>
      </c>
    </row>
    <row r="376" spans="1:25" ht="12.75">
      <c r="A376" s="36" t="str">
        <f ca="1">IFERROR(__xludf.DUMMYFUNCTION("""COMPUTED_VALUE"""),"Рибкіна Олена")</f>
        <v>Рибкіна Олена</v>
      </c>
      <c r="B376" s="114">
        <f ca="1">IFERROR(__xludf.DUMMYFUNCTION("""COMPUTED_VALUE"""),0.0625)</f>
        <v>6.25E-2</v>
      </c>
      <c r="C376" s="114">
        <f ca="1">IFERROR(__xludf.DUMMYFUNCTION("""COMPUTED_VALUE"""),0.796816239316239)</f>
        <v>0.79681623931623902</v>
      </c>
      <c r="D376" s="114">
        <f ca="1">IFERROR(__xludf.DUMMYFUNCTION("""COMPUTED_VALUE"""),0.04375)</f>
        <v>4.3749999999999997E-2</v>
      </c>
      <c r="E376" s="36"/>
      <c r="F376" s="36"/>
      <c r="G376" s="36"/>
      <c r="H376" s="36"/>
      <c r="I376" s="36"/>
      <c r="J376" s="36"/>
      <c r="R376" s="117" t="s">
        <v>1897</v>
      </c>
      <c r="S376" s="116"/>
      <c r="T376" s="116"/>
      <c r="U376" s="616">
        <v>84</v>
      </c>
      <c r="V376" s="618">
        <v>0.78590000000000004</v>
      </c>
      <c r="W376" s="619">
        <v>79</v>
      </c>
      <c r="X376" s="618">
        <v>3.1800000000000002E-2</v>
      </c>
      <c r="Y376" s="620">
        <v>97</v>
      </c>
    </row>
    <row r="377" spans="1:25" ht="12.75">
      <c r="A377" s="36" t="str">
        <f ca="1">IFERROR(__xludf.DUMMYFUNCTION("""COMPUTED_VALUE"""),"Рижий Юрій")</f>
        <v>Рижий Юрій</v>
      </c>
      <c r="B377" s="114">
        <f ca="1">IFERROR(__xludf.DUMMYFUNCTION("""COMPUTED_VALUE"""),0.0625)</f>
        <v>6.25E-2</v>
      </c>
      <c r="C377" s="114">
        <f ca="1">IFERROR(__xludf.DUMMYFUNCTION("""COMPUTED_VALUE"""),0.491776315789473)</f>
        <v>0.49177631578947301</v>
      </c>
      <c r="D377" s="114">
        <f ca="1">IFERROR(__xludf.DUMMYFUNCTION("""COMPUTED_VALUE"""),0.04375)</f>
        <v>4.3749999999999997E-2</v>
      </c>
      <c r="E377" s="36"/>
      <c r="F377" s="36"/>
      <c r="G377" s="36"/>
      <c r="H377" s="36"/>
      <c r="I377" s="36"/>
      <c r="J377" s="36"/>
      <c r="R377" s="117" t="s">
        <v>1900</v>
      </c>
      <c r="S377" s="116"/>
      <c r="T377" s="116"/>
      <c r="U377" s="616">
        <v>95</v>
      </c>
      <c r="V377" s="618">
        <v>0.93330000000000002</v>
      </c>
      <c r="W377" s="619">
        <v>93</v>
      </c>
      <c r="X377" s="618">
        <v>0</v>
      </c>
      <c r="Y377" s="620">
        <v>100</v>
      </c>
    </row>
    <row r="378" spans="1:25" ht="12.75">
      <c r="A378" s="36" t="str">
        <f ca="1">IFERROR(__xludf.DUMMYFUNCTION("""COMPUTED_VALUE"""),"Рижко Олена")</f>
        <v>Рижко Олена</v>
      </c>
      <c r="B378" s="114">
        <f ca="1">IFERROR(__xludf.DUMMYFUNCTION("""COMPUTED_VALUE"""),0.142857142857142)</f>
        <v>0.14285714285714199</v>
      </c>
      <c r="C378" s="114">
        <f ca="1">IFERROR(__xludf.DUMMYFUNCTION("""COMPUTED_VALUE"""),0.818181818181818)</f>
        <v>0.81818181818181801</v>
      </c>
      <c r="D378" s="114">
        <f ca="1">IFERROR(__xludf.DUMMYFUNCTION("""COMPUTED_VALUE"""),0.0999999999999999)</f>
        <v>9.9999999999999895E-2</v>
      </c>
      <c r="E378" s="36"/>
      <c r="F378" s="36"/>
      <c r="G378" s="36"/>
      <c r="H378" s="36"/>
      <c r="I378" s="36"/>
      <c r="J378" s="36"/>
      <c r="R378" s="117" t="s">
        <v>1907</v>
      </c>
      <c r="S378" s="116"/>
      <c r="T378" s="116"/>
      <c r="U378" s="616">
        <v>90</v>
      </c>
      <c r="V378" s="618">
        <v>0.83450000000000002</v>
      </c>
      <c r="W378" s="619">
        <v>83</v>
      </c>
      <c r="X378" s="618">
        <v>2.4299999999999999E-2</v>
      </c>
      <c r="Y378" s="620">
        <v>98</v>
      </c>
    </row>
    <row r="379" spans="1:25" ht="12.75">
      <c r="A379" s="36" t="str">
        <f ca="1">IFERROR(__xludf.DUMMYFUNCTION("""COMPUTED_VALUE"""),"Рихтик Даніель")</f>
        <v>Рихтик Даніель</v>
      </c>
      <c r="B379" s="114">
        <f ca="1">IFERROR(__xludf.DUMMYFUNCTION("""COMPUTED_VALUE"""),0.0909090909090909)</f>
        <v>9.0909090909090898E-2</v>
      </c>
      <c r="C379" s="114">
        <f ca="1">IFERROR(__xludf.DUMMYFUNCTION("""COMPUTED_VALUE"""),2.58962264150943)</f>
        <v>2.5896226415094299</v>
      </c>
      <c r="D379" s="114">
        <f ca="1">IFERROR(__xludf.DUMMYFUNCTION("""COMPUTED_VALUE"""),0.0636363636363636)</f>
        <v>6.3636363636363602E-2</v>
      </c>
      <c r="E379" s="36"/>
      <c r="F379" s="36"/>
      <c r="G379" s="36"/>
      <c r="H379" s="36"/>
      <c r="I379" s="36"/>
      <c r="J379" s="36"/>
      <c r="R379" s="117" t="s">
        <v>1914</v>
      </c>
      <c r="S379" s="116"/>
      <c r="T379" s="116"/>
      <c r="U379" s="616">
        <v>82</v>
      </c>
      <c r="V379" s="618">
        <v>0.93610000000000004</v>
      </c>
      <c r="W379" s="619">
        <v>94</v>
      </c>
      <c r="X379" s="618">
        <v>0</v>
      </c>
      <c r="Y379" s="620">
        <v>100</v>
      </c>
    </row>
    <row r="380" spans="1:25" ht="12.75">
      <c r="A380" s="36" t="str">
        <f ca="1">IFERROR(__xludf.DUMMYFUNCTION("""COMPUTED_VALUE"""),"Різнічок Ірина")</f>
        <v>Різнічок Ірина</v>
      </c>
      <c r="B380" s="114">
        <f ca="1">IFERROR(__xludf.DUMMYFUNCTION("""COMPUTED_VALUE"""),0.0863095238095238)</f>
        <v>8.6309523809523794E-2</v>
      </c>
      <c r="C380" s="114">
        <f ca="1">IFERROR(__xludf.DUMMYFUNCTION("""COMPUTED_VALUE"""),1.10859649122807)</f>
        <v>1.1085964912280699</v>
      </c>
      <c r="D380" s="114">
        <f ca="1">IFERROR(__xludf.DUMMYFUNCTION("""COMPUTED_VALUE"""),0.0604166666666666)</f>
        <v>6.0416666666666598E-2</v>
      </c>
      <c r="E380" s="36"/>
      <c r="F380" s="36"/>
      <c r="G380" s="36"/>
      <c r="H380" s="36"/>
      <c r="I380" s="36"/>
      <c r="J380" s="36"/>
      <c r="R380" s="117" t="s">
        <v>1926</v>
      </c>
      <c r="S380" s="116"/>
      <c r="T380" s="116"/>
      <c r="U380" s="616">
        <v>100</v>
      </c>
      <c r="V380" s="618">
        <v>0.35930000000000001</v>
      </c>
      <c r="W380" s="619">
        <v>36</v>
      </c>
      <c r="X380" s="618">
        <v>0</v>
      </c>
      <c r="Y380" s="620">
        <v>100</v>
      </c>
    </row>
    <row r="381" spans="1:25" ht="12.75">
      <c r="A381" s="36" t="str">
        <f ca="1">IFERROR(__xludf.DUMMYFUNCTION("""COMPUTED_VALUE"""),"Романцов Дмитро")</f>
        <v>Романцов Дмитро</v>
      </c>
      <c r="B381" s="114">
        <f ca="1">IFERROR(__xludf.DUMMYFUNCTION("""COMPUTED_VALUE"""),0.357142857142857)</f>
        <v>0.35714285714285698</v>
      </c>
      <c r="C381" s="114">
        <f ca="1">IFERROR(__xludf.DUMMYFUNCTION("""COMPUTED_VALUE"""),0.353846153846153)</f>
        <v>0.35384615384615298</v>
      </c>
      <c r="D381" s="114">
        <f ca="1">IFERROR(__xludf.DUMMYFUNCTION("""COMPUTED_VALUE"""),0.25)</f>
        <v>0.25</v>
      </c>
      <c r="E381" s="36"/>
      <c r="F381" s="36"/>
      <c r="G381" s="36"/>
      <c r="H381" s="36"/>
      <c r="I381" s="36"/>
      <c r="J381" s="36"/>
      <c r="R381" s="117" t="s">
        <v>1929</v>
      </c>
      <c r="S381" s="116"/>
      <c r="T381" s="116"/>
      <c r="U381" s="616">
        <v>92</v>
      </c>
      <c r="V381" s="618">
        <v>1.3968</v>
      </c>
      <c r="W381" s="619">
        <v>140</v>
      </c>
      <c r="X381" s="618">
        <v>7.4399999999999994E-2</v>
      </c>
      <c r="Y381" s="620">
        <v>93</v>
      </c>
    </row>
    <row r="382" spans="1:25" ht="12.75">
      <c r="A382" s="36" t="str">
        <f ca="1">IFERROR(__xludf.DUMMYFUNCTION("""COMPUTED_VALUE"""),"Романюк Лілія")</f>
        <v>Романюк Лілія</v>
      </c>
      <c r="B382" s="114">
        <f ca="1">IFERROR(__xludf.DUMMYFUNCTION("""COMPUTED_VALUE"""),0.0646853146853146)</f>
        <v>6.4685314685314604E-2</v>
      </c>
      <c r="C382" s="114">
        <f ca="1">IFERROR(__xludf.DUMMYFUNCTION("""COMPUTED_VALUE"""),0.648536285143428)</f>
        <v>0.64853628514342798</v>
      </c>
      <c r="D382" s="114">
        <f ca="1">IFERROR(__xludf.DUMMYFUNCTION("""COMPUTED_VALUE"""),0.0452797202797202)</f>
        <v>4.5279720279720201E-2</v>
      </c>
      <c r="E382" s="36"/>
      <c r="F382" s="36"/>
      <c r="G382" s="36"/>
      <c r="H382" s="36"/>
      <c r="I382" s="36"/>
      <c r="J382" s="36"/>
      <c r="R382" s="117" t="s">
        <v>1932</v>
      </c>
      <c r="S382" s="116"/>
      <c r="T382" s="116"/>
      <c r="U382" s="616">
        <v>97</v>
      </c>
      <c r="V382" s="116" t="s">
        <v>9805</v>
      </c>
      <c r="W382" s="617" t="s">
        <v>9805</v>
      </c>
      <c r="X382" s="116" t="s">
        <v>9805</v>
      </c>
      <c r="Y382" s="116" t="s">
        <v>9805</v>
      </c>
    </row>
    <row r="383" spans="1:25" ht="12.75">
      <c r="A383" s="36" t="str">
        <f ca="1">IFERROR(__xludf.DUMMYFUNCTION("""COMPUTED_VALUE"""),"Ромащук Анастасія")</f>
        <v>Ромащук Анастасія</v>
      </c>
      <c r="B383" s="114">
        <f ca="1">IFERROR(__xludf.DUMMYFUNCTION("""COMPUTED_VALUE"""),0.122045855379188)</f>
        <v>0.122045855379188</v>
      </c>
      <c r="C383" s="114">
        <f ca="1">IFERROR(__xludf.DUMMYFUNCTION("""COMPUTED_VALUE"""),0.577494299783703)</f>
        <v>0.57749429978370304</v>
      </c>
      <c r="D383" s="114">
        <f ca="1">IFERROR(__xludf.DUMMYFUNCTION("""COMPUTED_VALUE"""),0.085432098765432)</f>
        <v>8.5432098765431994E-2</v>
      </c>
      <c r="E383" s="36"/>
      <c r="F383" s="36"/>
      <c r="G383" s="36"/>
      <c r="H383" s="36"/>
      <c r="I383" s="36"/>
      <c r="J383" s="36"/>
      <c r="R383" s="117" t="s">
        <v>1935</v>
      </c>
      <c r="S383" s="116"/>
      <c r="T383" s="116"/>
      <c r="U383" s="616">
        <v>95</v>
      </c>
      <c r="V383" s="618">
        <v>0.87949999999999995</v>
      </c>
      <c r="W383" s="619">
        <v>88</v>
      </c>
      <c r="X383" s="618">
        <v>4.9599999999999998E-2</v>
      </c>
      <c r="Y383" s="620">
        <v>95</v>
      </c>
    </row>
    <row r="384" spans="1:25" ht="12.75">
      <c r="A384" s="36" t="str">
        <f ca="1">IFERROR(__xludf.DUMMYFUNCTION("""COMPUTED_VALUE"""),"Рубінський Ілля")</f>
        <v>Рубінський Ілля</v>
      </c>
      <c r="B384" s="114">
        <f ca="1">IFERROR(__xludf.DUMMYFUNCTION("""COMPUTED_VALUE"""),0.0454545454545454)</f>
        <v>4.54545454545454E-2</v>
      </c>
      <c r="C384" s="114">
        <f ca="1">IFERROR(__xludf.DUMMYFUNCTION("""COMPUTED_VALUE"""),0.704545454545454)</f>
        <v>0.70454545454545403</v>
      </c>
      <c r="D384" s="114">
        <f ca="1">IFERROR(__xludf.DUMMYFUNCTION("""COMPUTED_VALUE"""),0.0318181818181818)</f>
        <v>3.1818181818181801E-2</v>
      </c>
      <c r="E384" s="36"/>
      <c r="F384" s="36"/>
      <c r="G384" s="36"/>
      <c r="H384" s="36"/>
      <c r="I384" s="36"/>
      <c r="J384" s="36"/>
      <c r="R384" s="117" t="s">
        <v>1945</v>
      </c>
      <c r="S384" s="116"/>
      <c r="T384" s="116"/>
      <c r="U384" s="616">
        <v>91</v>
      </c>
      <c r="V384" s="618">
        <v>0.56320000000000003</v>
      </c>
      <c r="W384" s="619">
        <v>56</v>
      </c>
      <c r="X384" s="618">
        <v>2.5399999999999999E-2</v>
      </c>
      <c r="Y384" s="620">
        <v>97</v>
      </c>
    </row>
    <row r="385" spans="1:25" ht="12.75">
      <c r="A385" s="36" t="str">
        <f ca="1">IFERROR(__xludf.DUMMYFUNCTION("""COMPUTED_VALUE"""),"Руда Катерина")</f>
        <v>Руда Катерина</v>
      </c>
      <c r="B385" s="114">
        <f ca="1">IFERROR(__xludf.DUMMYFUNCTION("""COMPUTED_VALUE"""),0.103174603174603)</f>
        <v>0.103174603174603</v>
      </c>
      <c r="C385" s="114">
        <f ca="1">IFERROR(__xludf.DUMMYFUNCTION("""COMPUTED_VALUE"""),0.895301799649625)</f>
        <v>0.89530179964962497</v>
      </c>
      <c r="D385" s="114">
        <f ca="1">IFERROR(__xludf.DUMMYFUNCTION("""COMPUTED_VALUE"""),0.0722222222222222)</f>
        <v>7.2222222222222202E-2</v>
      </c>
      <c r="E385" s="36"/>
      <c r="F385" s="36"/>
      <c r="G385" s="36"/>
      <c r="H385" s="36"/>
      <c r="I385" s="36"/>
      <c r="J385" s="36"/>
      <c r="R385" s="117" t="s">
        <v>1955</v>
      </c>
      <c r="S385" s="116"/>
      <c r="T385" s="116"/>
      <c r="U385" s="616">
        <v>77</v>
      </c>
      <c r="V385" s="618">
        <v>0.4612</v>
      </c>
      <c r="W385" s="619">
        <v>46</v>
      </c>
      <c r="X385" s="618">
        <v>0.02</v>
      </c>
      <c r="Y385" s="620">
        <v>98</v>
      </c>
    </row>
    <row r="386" spans="1:25" ht="12.75">
      <c r="A386" s="36" t="str">
        <f ca="1">IFERROR(__xludf.DUMMYFUNCTION("""COMPUTED_VALUE"""),"Ружицький Роман")</f>
        <v>Ружицький Роман</v>
      </c>
      <c r="B386" s="114">
        <f ca="1">IFERROR(__xludf.DUMMYFUNCTION("""COMPUTED_VALUE"""),0)</f>
        <v>0</v>
      </c>
      <c r="C386" s="114">
        <f ca="1">IFERROR(__xludf.DUMMYFUNCTION("""COMPUTED_VALUE"""),0.973032407407407)</f>
        <v>0.97303240740740704</v>
      </c>
      <c r="D386" s="114">
        <f ca="1">IFERROR(__xludf.DUMMYFUNCTION("""COMPUTED_VALUE"""),0)</f>
        <v>0</v>
      </c>
      <c r="E386" s="36"/>
      <c r="F386" s="36"/>
      <c r="G386" s="36"/>
      <c r="H386" s="36"/>
      <c r="I386" s="36"/>
      <c r="J386" s="36"/>
      <c r="R386" s="117" t="s">
        <v>1958</v>
      </c>
      <c r="S386" s="116"/>
      <c r="T386" s="116"/>
      <c r="U386" s="616">
        <v>91</v>
      </c>
      <c r="V386" s="618">
        <v>0.76839999999999997</v>
      </c>
      <c r="W386" s="619">
        <v>77</v>
      </c>
      <c r="X386" s="618">
        <v>3.5000000000000003E-2</v>
      </c>
      <c r="Y386" s="620">
        <v>96</v>
      </c>
    </row>
    <row r="387" spans="1:25" ht="12.75">
      <c r="A387" s="36" t="str">
        <f ca="1">IFERROR(__xludf.DUMMYFUNCTION("""COMPUTED_VALUE"""),"Савченко Карина")</f>
        <v>Савченко Карина</v>
      </c>
      <c r="B387" s="114">
        <f ca="1">IFERROR(__xludf.DUMMYFUNCTION("""COMPUTED_VALUE"""),0.0579365079365079)</f>
        <v>5.7936507936507897E-2</v>
      </c>
      <c r="C387" s="114">
        <f ca="1">IFERROR(__xludf.DUMMYFUNCTION("""COMPUTED_VALUE"""),0.627290379843733)</f>
        <v>0.62729037984373304</v>
      </c>
      <c r="D387" s="114">
        <f ca="1">IFERROR(__xludf.DUMMYFUNCTION("""COMPUTED_VALUE"""),0.0405555555555555)</f>
        <v>4.0555555555555498E-2</v>
      </c>
      <c r="E387" s="36"/>
      <c r="F387" s="36"/>
      <c r="G387" s="36"/>
      <c r="H387" s="36"/>
      <c r="I387" s="36"/>
      <c r="J387" s="36"/>
      <c r="R387" s="117" t="s">
        <v>1961</v>
      </c>
      <c r="S387" s="116"/>
      <c r="T387" s="116"/>
      <c r="U387" s="616">
        <v>93</v>
      </c>
      <c r="V387" s="618">
        <v>0.73980000000000001</v>
      </c>
      <c r="W387" s="619">
        <v>74</v>
      </c>
      <c r="X387" s="618">
        <v>3.0499999999999999E-2</v>
      </c>
      <c r="Y387" s="620">
        <v>97</v>
      </c>
    </row>
    <row r="388" spans="1:25" ht="12.75">
      <c r="A388" s="36" t="str">
        <f ca="1">IFERROR(__xludf.DUMMYFUNCTION("""COMPUTED_VALUE"""),"Савчук Валерія")</f>
        <v>Савчук Валерія</v>
      </c>
      <c r="B388" s="114">
        <f ca="1">IFERROR(__xludf.DUMMYFUNCTION("""COMPUTED_VALUE"""),0)</f>
        <v>0</v>
      </c>
      <c r="C388" s="114">
        <f ca="1">IFERROR(__xludf.DUMMYFUNCTION("""COMPUTED_VALUE"""),1.16)</f>
        <v>1.1599999999999999</v>
      </c>
      <c r="D388" s="114">
        <f ca="1">IFERROR(__xludf.DUMMYFUNCTION("""COMPUTED_VALUE"""),0)</f>
        <v>0</v>
      </c>
      <c r="E388" s="36"/>
      <c r="F388" s="36"/>
      <c r="G388" s="36"/>
      <c r="H388" s="36"/>
      <c r="I388" s="36"/>
      <c r="J388" s="36"/>
      <c r="R388" s="117" t="s">
        <v>1969</v>
      </c>
      <c r="S388" s="116"/>
      <c r="T388" s="116"/>
      <c r="U388" s="616">
        <v>94</v>
      </c>
      <c r="V388" s="618">
        <v>0.9506</v>
      </c>
      <c r="W388" s="619">
        <v>95</v>
      </c>
      <c r="X388" s="618">
        <v>6.0100000000000001E-2</v>
      </c>
      <c r="Y388" s="620">
        <v>94</v>
      </c>
    </row>
    <row r="389" spans="1:25" ht="12.75">
      <c r="A389" s="36" t="str">
        <f ca="1">IFERROR(__xludf.DUMMYFUNCTION("""COMPUTED_VALUE"""),"Сало Ольга")</f>
        <v>Сало Ольга</v>
      </c>
      <c r="B389" s="114">
        <f ca="1">IFERROR(__xludf.DUMMYFUNCTION("""COMPUTED_VALUE"""),0.0333333333333333)</f>
        <v>3.3333333333333298E-2</v>
      </c>
      <c r="C389" s="114">
        <f ca="1">IFERROR(__xludf.DUMMYFUNCTION("""COMPUTED_VALUE"""),0.741414141414141)</f>
        <v>0.74141414141414097</v>
      </c>
      <c r="D389" s="114">
        <f ca="1">IFERROR(__xludf.DUMMYFUNCTION("""COMPUTED_VALUE"""),0.0233333333333333)</f>
        <v>2.33333333333333E-2</v>
      </c>
      <c r="E389" s="36"/>
      <c r="F389" s="36"/>
      <c r="G389" s="36"/>
      <c r="H389" s="36"/>
      <c r="I389" s="36"/>
      <c r="J389" s="36"/>
      <c r="R389" s="117" t="s">
        <v>1972</v>
      </c>
      <c r="S389" s="116"/>
      <c r="T389" s="116"/>
      <c r="U389" s="616">
        <v>89</v>
      </c>
      <c r="V389" s="618">
        <v>0.27979999999999999</v>
      </c>
      <c r="W389" s="619">
        <v>28</v>
      </c>
      <c r="X389" s="618">
        <v>2.5000000000000001E-2</v>
      </c>
      <c r="Y389" s="620">
        <v>98</v>
      </c>
    </row>
    <row r="390" spans="1:25" ht="12.75">
      <c r="A390" s="36" t="str">
        <f ca="1">IFERROR(__xludf.DUMMYFUNCTION("""COMPUTED_VALUE"""),"Сальков Андрій")</f>
        <v>Сальков Андрій</v>
      </c>
      <c r="B390" s="114">
        <f ca="1">IFERROR(__xludf.DUMMYFUNCTION("""COMPUTED_VALUE"""),0.0769230769230769)</f>
        <v>7.69230769230769E-2</v>
      </c>
      <c r="C390" s="114">
        <f ca="1">IFERROR(__xludf.DUMMYFUNCTION("""COMPUTED_VALUE"""),0.216216216216216)</f>
        <v>0.21621621621621601</v>
      </c>
      <c r="D390" s="114">
        <f ca="1">IFERROR(__xludf.DUMMYFUNCTION("""COMPUTED_VALUE"""),0.0538461538461538)</f>
        <v>5.3846153846153801E-2</v>
      </c>
      <c r="E390" s="36"/>
      <c r="F390" s="36"/>
      <c r="G390" s="36"/>
      <c r="H390" s="36"/>
      <c r="I390" s="36"/>
      <c r="J390" s="36"/>
      <c r="R390" s="117" t="s">
        <v>1975</v>
      </c>
      <c r="S390" s="116"/>
      <c r="T390" s="116"/>
      <c r="U390" s="616">
        <v>96</v>
      </c>
      <c r="V390" s="618">
        <v>0.5998</v>
      </c>
      <c r="W390" s="619">
        <v>60</v>
      </c>
      <c r="X390" s="618">
        <v>1.5E-3</v>
      </c>
      <c r="Y390" s="620">
        <v>100</v>
      </c>
    </row>
    <row r="391" spans="1:25" ht="12.75">
      <c r="A391" s="36" t="str">
        <f ca="1">IFERROR(__xludf.DUMMYFUNCTION("""COMPUTED_VALUE"""),"Самарська Софія")</f>
        <v>Самарська Софія</v>
      </c>
      <c r="B391" s="114">
        <f ca="1">IFERROR(__xludf.DUMMYFUNCTION("""COMPUTED_VALUE"""),0.266666666666666)</f>
        <v>0.266666666666666</v>
      </c>
      <c r="C391" s="114">
        <f ca="1">IFERROR(__xludf.DUMMYFUNCTION("""COMPUTED_VALUE"""),1.44186046511627)</f>
        <v>1.4418604651162701</v>
      </c>
      <c r="D391" s="114">
        <f ca="1">IFERROR(__xludf.DUMMYFUNCTION("""COMPUTED_VALUE"""),0.186666666666666)</f>
        <v>0.18666666666666601</v>
      </c>
      <c r="E391" s="36"/>
      <c r="F391" s="36"/>
      <c r="G391" s="36"/>
      <c r="H391" s="36"/>
      <c r="I391" s="36"/>
      <c r="J391" s="36"/>
      <c r="R391" s="117" t="s">
        <v>1978</v>
      </c>
      <c r="S391" s="116"/>
      <c r="T391" s="116"/>
      <c r="U391" s="616">
        <v>96</v>
      </c>
      <c r="V391" s="618">
        <v>0.55000000000000004</v>
      </c>
      <c r="W391" s="619">
        <v>55</v>
      </c>
      <c r="X391" s="618">
        <v>0</v>
      </c>
      <c r="Y391" s="620">
        <v>100</v>
      </c>
    </row>
    <row r="392" spans="1:25" ht="12.75">
      <c r="A392" s="36" t="str">
        <f ca="1">IFERROR(__xludf.DUMMYFUNCTION("""COMPUTED_VALUE"""),"Сафонов Іван")</f>
        <v>Сафонов Іван</v>
      </c>
      <c r="B392" s="114">
        <f ca="1">IFERROR(__xludf.DUMMYFUNCTION("""COMPUTED_VALUE"""),0)</f>
        <v>0</v>
      </c>
      <c r="C392" s="114">
        <f ca="1">IFERROR(__xludf.DUMMYFUNCTION("""COMPUTED_VALUE"""),0.845833333333333)</f>
        <v>0.84583333333333299</v>
      </c>
      <c r="D392" s="114">
        <f ca="1">IFERROR(__xludf.DUMMYFUNCTION("""COMPUTED_VALUE"""),0)</f>
        <v>0</v>
      </c>
      <c r="E392" s="36"/>
      <c r="F392" s="36"/>
      <c r="G392" s="36"/>
      <c r="H392" s="36"/>
      <c r="I392" s="36"/>
      <c r="J392" s="36"/>
      <c r="R392" s="117" t="s">
        <v>1981</v>
      </c>
      <c r="S392" s="116"/>
      <c r="T392" s="116"/>
      <c r="U392" s="616">
        <v>75</v>
      </c>
      <c r="V392" s="618">
        <v>0.53559999999999997</v>
      </c>
      <c r="W392" s="619">
        <v>54</v>
      </c>
      <c r="X392" s="618">
        <v>3.1800000000000002E-2</v>
      </c>
      <c r="Y392" s="620">
        <v>97</v>
      </c>
    </row>
    <row r="393" spans="1:25" ht="12.75">
      <c r="A393" s="36" t="str">
        <f ca="1">IFERROR(__xludf.DUMMYFUNCTION("""COMPUTED_VALUE"""),"Свід Ірина")</f>
        <v>Свід Ірина</v>
      </c>
      <c r="B393" s="114">
        <f ca="1">IFERROR(__xludf.DUMMYFUNCTION("""COMPUTED_VALUE"""),0.0539321789321789)</f>
        <v>5.3932178932178901E-2</v>
      </c>
      <c r="C393" s="114">
        <f ca="1">IFERROR(__xludf.DUMMYFUNCTION("""COMPUTED_VALUE"""),0.625963718820861)</f>
        <v>0.62596371882086099</v>
      </c>
      <c r="D393" s="114">
        <f ca="1">IFERROR(__xludf.DUMMYFUNCTION("""COMPUTED_VALUE"""),0.0377525252525252)</f>
        <v>3.7752525252525197E-2</v>
      </c>
      <c r="E393" s="36"/>
      <c r="F393" s="36"/>
      <c r="G393" s="36"/>
      <c r="H393" s="36"/>
      <c r="I393" s="36"/>
      <c r="J393" s="36"/>
      <c r="R393" s="117" t="s">
        <v>1987</v>
      </c>
      <c r="S393" s="116"/>
      <c r="T393" s="116"/>
      <c r="U393" s="616">
        <v>87</v>
      </c>
      <c r="V393" s="618">
        <v>0.73680000000000001</v>
      </c>
      <c r="W393" s="619">
        <v>74</v>
      </c>
      <c r="X393" s="618">
        <v>4.6699999999999998E-2</v>
      </c>
      <c r="Y393" s="620">
        <v>95</v>
      </c>
    </row>
    <row r="394" spans="1:25" ht="12.75">
      <c r="A394" s="36" t="str">
        <f ca="1">IFERROR(__xludf.DUMMYFUNCTION("""COMPUTED_VALUE"""),"Свідерський Кирил")</f>
        <v>Свідерський Кирил</v>
      </c>
      <c r="B394" s="114">
        <f ca="1">IFERROR(__xludf.DUMMYFUNCTION("""COMPUTED_VALUE"""),0)</f>
        <v>0</v>
      </c>
      <c r="C394" s="114">
        <f ca="1">IFERROR(__xludf.DUMMYFUNCTION("""COMPUTED_VALUE"""),0.833333333333333)</f>
        <v>0.83333333333333304</v>
      </c>
      <c r="D394" s="114">
        <f ca="1">IFERROR(__xludf.DUMMYFUNCTION("""COMPUTED_VALUE"""),0)</f>
        <v>0</v>
      </c>
      <c r="E394" s="36"/>
      <c r="F394" s="36"/>
      <c r="G394" s="36"/>
      <c r="H394" s="36"/>
      <c r="I394" s="36"/>
      <c r="J394" s="36"/>
      <c r="R394" s="117" t="s">
        <v>1992</v>
      </c>
      <c r="S394" s="116"/>
      <c r="T394" s="116"/>
      <c r="U394" s="616">
        <v>97</v>
      </c>
      <c r="V394" s="618">
        <v>1.3207</v>
      </c>
      <c r="W394" s="619">
        <v>132</v>
      </c>
      <c r="X394" s="618">
        <v>4.3799999999999999E-2</v>
      </c>
      <c r="Y394" s="620">
        <v>96</v>
      </c>
    </row>
    <row r="395" spans="1:25" ht="12.75">
      <c r="A395" s="36" t="str">
        <f ca="1">IFERROR(__xludf.DUMMYFUNCTION("""COMPUTED_VALUE"""),"Свідзінська Ульяна")</f>
        <v>Свідзінська Ульяна</v>
      </c>
      <c r="B395" s="114">
        <f ca="1">IFERROR(__xludf.DUMMYFUNCTION("""COMPUTED_VALUE"""),0)</f>
        <v>0</v>
      </c>
      <c r="C395" s="114">
        <f ca="1">IFERROR(__xludf.DUMMYFUNCTION("""COMPUTED_VALUE"""),0.676346153846153)</f>
        <v>0.67634615384615304</v>
      </c>
      <c r="D395" s="114">
        <f ca="1">IFERROR(__xludf.DUMMYFUNCTION("""COMPUTED_VALUE"""),0)</f>
        <v>0</v>
      </c>
      <c r="E395" s="36"/>
      <c r="F395" s="36"/>
      <c r="G395" s="36"/>
      <c r="H395" s="36"/>
      <c r="I395" s="36"/>
      <c r="J395" s="36"/>
      <c r="R395" s="117" t="s">
        <v>1995</v>
      </c>
      <c r="S395" s="116"/>
      <c r="T395" s="116"/>
      <c r="U395" s="616">
        <v>93</v>
      </c>
      <c r="V395" s="618">
        <v>0.63749999999999996</v>
      </c>
      <c r="W395" s="619">
        <v>64</v>
      </c>
      <c r="X395" s="618">
        <v>2.52E-2</v>
      </c>
      <c r="Y395" s="620">
        <v>97</v>
      </c>
    </row>
    <row r="396" spans="1:25" ht="12.75">
      <c r="A396" s="36" t="str">
        <f ca="1">IFERROR(__xludf.DUMMYFUNCTION("""COMPUTED_VALUE"""),"Святенко Андрій")</f>
        <v>Святенко Андрій</v>
      </c>
      <c r="B396" s="114">
        <f ca="1">IFERROR(__xludf.DUMMYFUNCTION("""COMPUTED_VALUE"""),-0.0555555555555555)</f>
        <v>-5.5555555555555497E-2</v>
      </c>
      <c r="C396" s="114">
        <f ca="1">IFERROR(__xludf.DUMMYFUNCTION("""COMPUTED_VALUE"""),0.4377990430622)</f>
        <v>0.43779904306220002</v>
      </c>
      <c r="D396" s="114">
        <f ca="1">IFERROR(__xludf.DUMMYFUNCTION("""COMPUTED_VALUE"""),-0.0388888888888888)</f>
        <v>-3.8888888888888799E-2</v>
      </c>
      <c r="E396" s="36"/>
      <c r="F396" s="36"/>
      <c r="G396" s="36"/>
      <c r="H396" s="36"/>
      <c r="I396" s="36"/>
      <c r="J396" s="36"/>
      <c r="R396" s="117" t="s">
        <v>1999</v>
      </c>
      <c r="S396" s="116"/>
      <c r="T396" s="116"/>
      <c r="U396" s="616">
        <v>100</v>
      </c>
      <c r="V396" s="618">
        <v>0.65910000000000002</v>
      </c>
      <c r="W396" s="619">
        <v>66</v>
      </c>
      <c r="X396" s="618">
        <v>0</v>
      </c>
      <c r="Y396" s="620">
        <v>100</v>
      </c>
    </row>
    <row r="397" spans="1:25" ht="12.75">
      <c r="A397" s="36" t="str">
        <f ca="1">IFERROR(__xludf.DUMMYFUNCTION("""COMPUTED_VALUE"""),"Севрук Антон")</f>
        <v>Севрук Антон</v>
      </c>
      <c r="B397" s="114">
        <f ca="1">IFERROR(__xludf.DUMMYFUNCTION("""COMPUTED_VALUE"""),0.0729591836734693)</f>
        <v>7.2959183673469305E-2</v>
      </c>
      <c r="C397" s="114">
        <f ca="1">IFERROR(__xludf.DUMMYFUNCTION("""COMPUTED_VALUE"""),0.633916047257061)</f>
        <v>0.63391604725706097</v>
      </c>
      <c r="D397" s="114">
        <f ca="1">IFERROR(__xludf.DUMMYFUNCTION("""COMPUTED_VALUE"""),0.0510714285714285)</f>
        <v>5.1071428571428497E-2</v>
      </c>
      <c r="E397" s="36"/>
      <c r="F397" s="36"/>
      <c r="G397" s="36"/>
      <c r="H397" s="36"/>
      <c r="I397" s="36"/>
      <c r="J397" s="36"/>
      <c r="R397" s="117" t="s">
        <v>2003</v>
      </c>
      <c r="S397" s="116"/>
      <c r="T397" s="116"/>
      <c r="U397" s="616">
        <v>94</v>
      </c>
      <c r="V397" s="618">
        <v>0.75900000000000001</v>
      </c>
      <c r="W397" s="619">
        <v>76</v>
      </c>
      <c r="X397" s="618">
        <v>1.7500000000000002E-2</v>
      </c>
      <c r="Y397" s="620">
        <v>98</v>
      </c>
    </row>
    <row r="398" spans="1:25" ht="12.75">
      <c r="A398" s="36" t="str">
        <f ca="1">IFERROR(__xludf.DUMMYFUNCTION("""COMPUTED_VALUE"""),"Севрук Ірина")</f>
        <v>Севрук Ірина</v>
      </c>
      <c r="B398" s="114">
        <f ca="1">IFERROR(__xludf.DUMMYFUNCTION("""COMPUTED_VALUE"""),-0.0021494708994709)</f>
        <v>-2.1494708994708998E-3</v>
      </c>
      <c r="C398" s="114">
        <f ca="1">IFERROR(__xludf.DUMMYFUNCTION("""COMPUTED_VALUE"""),0.879161624022958)</f>
        <v>0.87916162402295805</v>
      </c>
      <c r="D398" s="114">
        <f ca="1">IFERROR(__xludf.DUMMYFUNCTION("""COMPUTED_VALUE"""),-0.00150462962962962)</f>
        <v>-1.5046296296296201E-3</v>
      </c>
      <c r="E398" s="36"/>
      <c r="F398" s="36"/>
      <c r="G398" s="36"/>
      <c r="H398" s="36"/>
      <c r="I398" s="36"/>
      <c r="J398" s="36"/>
      <c r="R398" s="117" t="s">
        <v>2007</v>
      </c>
      <c r="S398" s="116"/>
      <c r="T398" s="116"/>
      <c r="U398" s="616">
        <v>92</v>
      </c>
      <c r="V398" s="618">
        <v>0.52780000000000005</v>
      </c>
      <c r="W398" s="619">
        <v>53</v>
      </c>
      <c r="X398" s="618">
        <v>3.8899999999999997E-2</v>
      </c>
      <c r="Y398" s="620">
        <v>96</v>
      </c>
    </row>
    <row r="399" spans="1:25" ht="12.75">
      <c r="A399" s="36" t="str">
        <f ca="1">IFERROR(__xludf.DUMMYFUNCTION("""COMPUTED_VALUE"""),"Семенов Артем")</f>
        <v>Семенов Артем</v>
      </c>
      <c r="B399" s="114">
        <f ca="1">IFERROR(__xludf.DUMMYFUNCTION("""COMPUTED_VALUE"""),0.0240384615384615)</f>
        <v>2.4038461538461502E-2</v>
      </c>
      <c r="C399" s="114">
        <f ca="1">IFERROR(__xludf.DUMMYFUNCTION("""COMPUTED_VALUE"""),0.430729550478997)</f>
        <v>0.43072955047899703</v>
      </c>
      <c r="D399" s="114">
        <f ca="1">IFERROR(__xludf.DUMMYFUNCTION("""COMPUTED_VALUE"""),0.016826923076923)</f>
        <v>1.6826923076923E-2</v>
      </c>
      <c r="E399" s="36"/>
      <c r="F399" s="36"/>
      <c r="G399" s="36"/>
      <c r="H399" s="36"/>
      <c r="I399" s="36"/>
      <c r="J399" s="36"/>
      <c r="R399" s="117" t="s">
        <v>2010</v>
      </c>
      <c r="S399" s="116"/>
      <c r="T399" s="116"/>
      <c r="U399" s="616">
        <v>87</v>
      </c>
      <c r="V399" s="618">
        <v>0.47289999999999999</v>
      </c>
      <c r="W399" s="619">
        <v>47</v>
      </c>
      <c r="X399" s="618">
        <v>2.0899999999999998E-2</v>
      </c>
      <c r="Y399" s="620">
        <v>98</v>
      </c>
    </row>
    <row r="400" spans="1:25" ht="12.75">
      <c r="A400" s="36" t="str">
        <f ca="1">IFERROR(__xludf.DUMMYFUNCTION("""COMPUTED_VALUE"""),"Семенюк Катерина")</f>
        <v>Семенюк Катерина</v>
      </c>
      <c r="B400" s="114">
        <f ca="1">IFERROR(__xludf.DUMMYFUNCTION("""COMPUTED_VALUE"""),0)</f>
        <v>0</v>
      </c>
      <c r="C400" s="114">
        <f ca="1">IFERROR(__xludf.DUMMYFUNCTION("""COMPUTED_VALUE"""),0.8125)</f>
        <v>0.8125</v>
      </c>
      <c r="D400" s="114">
        <f ca="1">IFERROR(__xludf.DUMMYFUNCTION("""COMPUTED_VALUE"""),0)</f>
        <v>0</v>
      </c>
      <c r="E400" s="36"/>
      <c r="F400" s="36"/>
      <c r="G400" s="36"/>
      <c r="H400" s="36"/>
      <c r="I400" s="36"/>
      <c r="J400" s="36"/>
      <c r="R400" s="117" t="s">
        <v>2014</v>
      </c>
      <c r="S400" s="116"/>
      <c r="T400" s="116"/>
      <c r="U400" s="156" t="s">
        <v>9805</v>
      </c>
      <c r="V400" s="116" t="s">
        <v>9805</v>
      </c>
      <c r="W400" s="617" t="s">
        <v>9805</v>
      </c>
      <c r="X400" s="116" t="s">
        <v>9805</v>
      </c>
      <c r="Y400" s="116" t="s">
        <v>9805</v>
      </c>
    </row>
    <row r="401" spans="1:25" ht="12.75">
      <c r="A401" s="36" t="str">
        <f ca="1">IFERROR(__xludf.DUMMYFUNCTION("""COMPUTED_VALUE"""),"Семченко Анастасія")</f>
        <v>Семченко Анастасія</v>
      </c>
      <c r="B401" s="114">
        <f ca="1">IFERROR(__xludf.DUMMYFUNCTION("""COMPUTED_VALUE"""),0.666666666666666)</f>
        <v>0.66666666666666596</v>
      </c>
      <c r="C401" s="114">
        <f ca="1">IFERROR(__xludf.DUMMYFUNCTION("""COMPUTED_VALUE"""),0.3)</f>
        <v>0.3</v>
      </c>
      <c r="D401" s="114">
        <f ca="1">IFERROR(__xludf.DUMMYFUNCTION("""COMPUTED_VALUE"""),0.466666666666666)</f>
        <v>0.46666666666666601</v>
      </c>
      <c r="E401" s="36"/>
      <c r="F401" s="36"/>
      <c r="G401" s="36"/>
      <c r="H401" s="36"/>
      <c r="I401" s="36"/>
      <c r="J401" s="36"/>
      <c r="R401" s="117" t="s">
        <v>2022</v>
      </c>
      <c r="S401" s="116"/>
      <c r="T401" s="116"/>
      <c r="U401" s="616">
        <v>91</v>
      </c>
      <c r="V401" s="618">
        <v>0.59599999999999997</v>
      </c>
      <c r="W401" s="619">
        <v>60</v>
      </c>
      <c r="X401" s="618">
        <v>3.4099999999999998E-2</v>
      </c>
      <c r="Y401" s="620">
        <v>97</v>
      </c>
    </row>
    <row r="402" spans="1:25" ht="12.75">
      <c r="A402" s="36" t="str">
        <f ca="1">IFERROR(__xludf.DUMMYFUNCTION("""COMPUTED_VALUE"""),"Сенечин Анатолій")</f>
        <v>Сенечин Анатолій</v>
      </c>
      <c r="B402" s="114">
        <f ca="1">IFERROR(__xludf.DUMMYFUNCTION("""COMPUTED_VALUE"""),0)</f>
        <v>0</v>
      </c>
      <c r="C402" s="114">
        <f ca="1">IFERROR(__xludf.DUMMYFUNCTION("""COMPUTED_VALUE"""),0.5)</f>
        <v>0.5</v>
      </c>
      <c r="D402" s="114">
        <f ca="1">IFERROR(__xludf.DUMMYFUNCTION("""COMPUTED_VALUE"""),0)</f>
        <v>0</v>
      </c>
      <c r="E402" s="36"/>
      <c r="F402" s="36"/>
      <c r="G402" s="36"/>
      <c r="H402" s="36"/>
      <c r="I402" s="36"/>
      <c r="J402" s="36"/>
      <c r="R402" s="117" t="s">
        <v>2028</v>
      </c>
      <c r="S402" s="116"/>
      <c r="T402" s="116"/>
      <c r="U402" s="616">
        <v>83</v>
      </c>
      <c r="V402" s="618">
        <v>1.0385</v>
      </c>
      <c r="W402" s="619">
        <v>104</v>
      </c>
      <c r="X402" s="618">
        <v>0</v>
      </c>
      <c r="Y402" s="620">
        <v>100</v>
      </c>
    </row>
    <row r="403" spans="1:25" ht="12.75">
      <c r="A403" s="36" t="str">
        <f ca="1">IFERROR(__xludf.DUMMYFUNCTION("""COMPUTED_VALUE"""),"Сенчило Андрій")</f>
        <v>Сенчило Андрій</v>
      </c>
      <c r="B403" s="114">
        <f ca="1">IFERROR(__xludf.DUMMYFUNCTION("""COMPUTED_VALUE"""),0)</f>
        <v>0</v>
      </c>
      <c r="C403" s="114" t="str">
        <f ca="1">IFERROR(__xludf.DUMMYFUNCTION("""COMPUTED_VALUE"""),"#DIV/0!")</f>
        <v>#DIV/0!</v>
      </c>
      <c r="D403" s="114">
        <f ca="1">IFERROR(__xludf.DUMMYFUNCTION("""COMPUTED_VALUE"""),0)</f>
        <v>0</v>
      </c>
      <c r="E403" s="36"/>
      <c r="F403" s="36"/>
      <c r="G403" s="36"/>
      <c r="H403" s="36"/>
      <c r="I403" s="36"/>
      <c r="J403" s="36"/>
      <c r="R403" s="117" t="s">
        <v>2045</v>
      </c>
      <c r="S403" s="116"/>
      <c r="T403" s="116"/>
      <c r="U403" s="616">
        <v>75</v>
      </c>
      <c r="V403" s="618">
        <v>0.32190000000000002</v>
      </c>
      <c r="W403" s="619">
        <v>32</v>
      </c>
      <c r="X403" s="618">
        <v>0</v>
      </c>
      <c r="Y403" s="620">
        <v>100</v>
      </c>
    </row>
    <row r="404" spans="1:25" ht="12.75">
      <c r="A404" s="36" t="str">
        <f ca="1">IFERROR(__xludf.DUMMYFUNCTION("""COMPUTED_VALUE"""),"Сербін Олександр")</f>
        <v>Сербін Олександр</v>
      </c>
      <c r="B404" s="114">
        <f ca="1">IFERROR(__xludf.DUMMYFUNCTION("""COMPUTED_VALUE"""),0.1)</f>
        <v>0.1</v>
      </c>
      <c r="C404" s="114">
        <f ca="1">IFERROR(__xludf.DUMMYFUNCTION("""COMPUTED_VALUE"""),0.794871794871794)</f>
        <v>0.79487179487179405</v>
      </c>
      <c r="D404" s="114">
        <f ca="1">IFERROR(__xludf.DUMMYFUNCTION("""COMPUTED_VALUE"""),0.0699999999999999)</f>
        <v>6.9999999999999896E-2</v>
      </c>
      <c r="E404" s="36"/>
      <c r="F404" s="36"/>
      <c r="G404" s="36"/>
      <c r="H404" s="36"/>
      <c r="I404" s="36"/>
      <c r="J404" s="36"/>
      <c r="R404" s="117" t="s">
        <v>2048</v>
      </c>
      <c r="S404" s="116"/>
      <c r="T404" s="116"/>
      <c r="U404" s="616">
        <v>93</v>
      </c>
      <c r="V404" s="116" t="s">
        <v>9805</v>
      </c>
      <c r="W404" s="617" t="s">
        <v>9805</v>
      </c>
      <c r="X404" s="116" t="s">
        <v>9805</v>
      </c>
      <c r="Y404" s="116" t="s">
        <v>9805</v>
      </c>
    </row>
    <row r="405" spans="1:25" ht="12.75">
      <c r="A405" s="36" t="str">
        <f ca="1">IFERROR(__xludf.DUMMYFUNCTION("""COMPUTED_VALUE"""),"Сергєєв Василь")</f>
        <v>Сергєєв Василь</v>
      </c>
      <c r="B405" s="114">
        <f ca="1">IFERROR(__xludf.DUMMYFUNCTION("""COMPUTED_VALUE"""),0.0454545454545454)</f>
        <v>4.54545454545454E-2</v>
      </c>
      <c r="C405" s="114">
        <f ca="1">IFERROR(__xludf.DUMMYFUNCTION("""COMPUTED_VALUE"""),0.320754716981132)</f>
        <v>0.320754716981132</v>
      </c>
      <c r="D405" s="114">
        <f ca="1">IFERROR(__xludf.DUMMYFUNCTION("""COMPUTED_VALUE"""),0.0318181818181818)</f>
        <v>3.1818181818181801E-2</v>
      </c>
      <c r="E405" s="36"/>
      <c r="F405" s="36"/>
      <c r="G405" s="36"/>
      <c r="H405" s="36"/>
      <c r="I405" s="36"/>
      <c r="J405" s="36"/>
      <c r="R405" s="117" t="s">
        <v>2051</v>
      </c>
      <c r="S405" s="116"/>
      <c r="T405" s="116"/>
      <c r="U405" s="616">
        <v>97</v>
      </c>
      <c r="V405" s="618">
        <v>0.82499999999999996</v>
      </c>
      <c r="W405" s="619">
        <v>83</v>
      </c>
      <c r="X405" s="618">
        <v>0</v>
      </c>
      <c r="Y405" s="620">
        <v>100</v>
      </c>
    </row>
    <row r="406" spans="1:25" ht="12.75">
      <c r="A406" s="36" t="str">
        <f ca="1">IFERROR(__xludf.DUMMYFUNCTION("""COMPUTED_VALUE"""),"Сергійчук Богдан")</f>
        <v>Сергійчук Богдан</v>
      </c>
      <c r="B406" s="114">
        <f ca="1">IFERROR(__xludf.DUMMYFUNCTION("""COMPUTED_VALUE"""),0.05)</f>
        <v>0.05</v>
      </c>
      <c r="C406" s="114">
        <f ca="1">IFERROR(__xludf.DUMMYFUNCTION("""COMPUTED_VALUE"""),0.873390151515151)</f>
        <v>0.87339015151515098</v>
      </c>
      <c r="D406" s="114">
        <f ca="1">IFERROR(__xludf.DUMMYFUNCTION("""COMPUTED_VALUE"""),0.0349999999999999)</f>
        <v>3.4999999999999899E-2</v>
      </c>
      <c r="E406" s="36"/>
      <c r="F406" s="36"/>
      <c r="G406" s="36"/>
      <c r="H406" s="36"/>
      <c r="I406" s="36"/>
      <c r="J406" s="36"/>
      <c r="R406" s="117" t="s">
        <v>2069</v>
      </c>
      <c r="S406" s="116"/>
      <c r="T406" s="116"/>
      <c r="U406" s="156" t="s">
        <v>9805</v>
      </c>
      <c r="V406" s="116" t="s">
        <v>9805</v>
      </c>
      <c r="W406" s="617" t="s">
        <v>9805</v>
      </c>
      <c r="X406" s="116" t="s">
        <v>9805</v>
      </c>
      <c r="Y406" s="116" t="s">
        <v>9805</v>
      </c>
    </row>
    <row r="407" spans="1:25" ht="12.75">
      <c r="A407" s="36" t="str">
        <f ca="1">IFERROR(__xludf.DUMMYFUNCTION("""COMPUTED_VALUE"""),"Середа Тетяна")</f>
        <v>Середа Тетяна</v>
      </c>
      <c r="B407" s="114">
        <f ca="1">IFERROR(__xludf.DUMMYFUNCTION("""COMPUTED_VALUE"""),0.0632716049382716)</f>
        <v>6.3271604938271594E-2</v>
      </c>
      <c r="C407" s="114">
        <f ca="1">IFERROR(__xludf.DUMMYFUNCTION("""COMPUTED_VALUE"""),0.925665757244704)</f>
        <v>0.92566575724470401</v>
      </c>
      <c r="D407" s="114">
        <f ca="1">IFERROR(__xludf.DUMMYFUNCTION("""COMPUTED_VALUE"""),0.0442901234567901)</f>
        <v>4.4290123456790099E-2</v>
      </c>
      <c r="E407" s="36"/>
      <c r="F407" s="36"/>
      <c r="G407" s="36"/>
      <c r="H407" s="36"/>
      <c r="I407" s="36"/>
      <c r="J407" s="36"/>
      <c r="R407" s="117" t="s">
        <v>2088</v>
      </c>
      <c r="S407" s="116"/>
      <c r="T407" s="116"/>
      <c r="U407" s="616">
        <v>95</v>
      </c>
      <c r="V407" s="618">
        <v>0.57140000000000002</v>
      </c>
      <c r="W407" s="619">
        <v>57</v>
      </c>
      <c r="X407" s="618">
        <v>0</v>
      </c>
      <c r="Y407" s="620">
        <v>100</v>
      </c>
    </row>
    <row r="408" spans="1:25" ht="12.75">
      <c r="A408" s="36" t="str">
        <f ca="1">IFERROR(__xludf.DUMMYFUNCTION("""COMPUTED_VALUE"""),"Середенко Євгенія")</f>
        <v>Середенко Євгенія</v>
      </c>
      <c r="B408" s="114">
        <f ca="1">IFERROR(__xludf.DUMMYFUNCTION("""COMPUTED_VALUE"""),0)</f>
        <v>0</v>
      </c>
      <c r="C408" s="114">
        <f ca="1">IFERROR(__xludf.DUMMYFUNCTION("""COMPUTED_VALUE"""),0.518526785714285)</f>
        <v>0.51852678571428501</v>
      </c>
      <c r="D408" s="114">
        <f ca="1">IFERROR(__xludf.DUMMYFUNCTION("""COMPUTED_VALUE"""),0)</f>
        <v>0</v>
      </c>
      <c r="E408" s="36"/>
      <c r="F408" s="36"/>
      <c r="G408" s="36"/>
      <c r="H408" s="36"/>
      <c r="I408" s="36"/>
      <c r="J408" s="36"/>
      <c r="R408" s="117" t="s">
        <v>2091</v>
      </c>
      <c r="S408" s="116"/>
      <c r="T408" s="116"/>
      <c r="U408" s="616">
        <v>100</v>
      </c>
      <c r="V408" s="116" t="s">
        <v>9805</v>
      </c>
      <c r="W408" s="617" t="s">
        <v>9805</v>
      </c>
      <c r="X408" s="116" t="s">
        <v>9805</v>
      </c>
      <c r="Y408" s="116" t="s">
        <v>9805</v>
      </c>
    </row>
    <row r="409" spans="1:25" ht="12.75">
      <c r="A409" s="36" t="str">
        <f ca="1">IFERROR(__xludf.DUMMYFUNCTION("""COMPUTED_VALUE"""),"Середняк Катерина")</f>
        <v>Середняк Катерина</v>
      </c>
      <c r="B409" s="114">
        <f ca="1">IFERROR(__xludf.DUMMYFUNCTION("""COMPUTED_VALUE"""),0.208333333333333)</f>
        <v>0.20833333333333301</v>
      </c>
      <c r="C409" s="114">
        <f ca="1">IFERROR(__xludf.DUMMYFUNCTION("""COMPUTED_VALUE"""),0.796666666666666)</f>
        <v>0.79666666666666597</v>
      </c>
      <c r="D409" s="114">
        <f ca="1">IFERROR(__xludf.DUMMYFUNCTION("""COMPUTED_VALUE"""),0.145833333333333)</f>
        <v>0.14583333333333301</v>
      </c>
      <c r="E409" s="36"/>
      <c r="F409" s="36"/>
      <c r="G409" s="36"/>
      <c r="H409" s="36"/>
      <c r="I409" s="36"/>
      <c r="J409" s="36"/>
      <c r="R409" s="117" t="s">
        <v>2098</v>
      </c>
      <c r="S409" s="116"/>
      <c r="T409" s="116"/>
      <c r="U409" s="616">
        <v>96</v>
      </c>
      <c r="V409" s="618">
        <v>0.92069999999999996</v>
      </c>
      <c r="W409" s="619">
        <v>92</v>
      </c>
      <c r="X409" s="618">
        <v>3.6900000000000002E-2</v>
      </c>
      <c r="Y409" s="620">
        <v>96</v>
      </c>
    </row>
    <row r="410" spans="1:25" ht="12.75">
      <c r="A410" s="36" t="str">
        <f ca="1">IFERROR(__xludf.DUMMYFUNCTION("""COMPUTED_VALUE"""),"Сітко Віта")</f>
        <v>Сітко Віта</v>
      </c>
      <c r="B410" s="114">
        <f ca="1">IFERROR(__xludf.DUMMYFUNCTION("""COMPUTED_VALUE"""),0.0899470899470899)</f>
        <v>8.99470899470899E-2</v>
      </c>
      <c r="C410" s="114">
        <f ca="1">IFERROR(__xludf.DUMMYFUNCTION("""COMPUTED_VALUE"""),0.82891304347826)</f>
        <v>0.82891304347826</v>
      </c>
      <c r="D410" s="114">
        <f ca="1">IFERROR(__xludf.DUMMYFUNCTION("""COMPUTED_VALUE"""),0.0629629629629629)</f>
        <v>6.2962962962962901E-2</v>
      </c>
      <c r="E410" s="36"/>
      <c r="F410" s="36"/>
      <c r="G410" s="36"/>
      <c r="H410" s="36"/>
      <c r="I410" s="36"/>
      <c r="J410" s="36"/>
      <c r="R410" s="117" t="s">
        <v>2105</v>
      </c>
      <c r="S410" s="116"/>
      <c r="T410" s="116"/>
      <c r="U410" s="616">
        <v>80</v>
      </c>
      <c r="V410" s="618">
        <v>0.8246</v>
      </c>
      <c r="W410" s="619">
        <v>82</v>
      </c>
      <c r="X410" s="618">
        <v>-5.8299999999999998E-2</v>
      </c>
      <c r="Y410" s="620">
        <v>106</v>
      </c>
    </row>
    <row r="411" spans="1:25" ht="12.75">
      <c r="A411" s="36" t="str">
        <f ca="1">IFERROR(__xludf.DUMMYFUNCTION("""COMPUTED_VALUE"""),"Скрипка Андрій")</f>
        <v>Скрипка Андрій</v>
      </c>
      <c r="B411" s="114">
        <f ca="1">IFERROR(__xludf.DUMMYFUNCTION("""COMPUTED_VALUE"""),0)</f>
        <v>0</v>
      </c>
      <c r="C411" s="114">
        <f ca="1">IFERROR(__xludf.DUMMYFUNCTION("""COMPUTED_VALUE"""),0.6)</f>
        <v>0.6</v>
      </c>
      <c r="D411" s="114">
        <f ca="1">IFERROR(__xludf.DUMMYFUNCTION("""COMPUTED_VALUE"""),0)</f>
        <v>0</v>
      </c>
      <c r="E411" s="36"/>
      <c r="F411" s="36"/>
      <c r="G411" s="36"/>
      <c r="H411" s="36"/>
      <c r="I411" s="36"/>
      <c r="J411" s="36"/>
      <c r="R411" s="117" t="s">
        <v>2112</v>
      </c>
      <c r="S411" s="116"/>
      <c r="T411" s="116"/>
      <c r="U411" s="616">
        <v>97</v>
      </c>
      <c r="V411" s="618">
        <v>0.4919</v>
      </c>
      <c r="W411" s="619">
        <v>49</v>
      </c>
      <c r="X411" s="618">
        <v>7.7799999999999994E-2</v>
      </c>
      <c r="Y411" s="620">
        <v>92</v>
      </c>
    </row>
    <row r="412" spans="1:25" ht="12.75">
      <c r="A412" s="36" t="str">
        <f ca="1">IFERROR(__xludf.DUMMYFUNCTION("""COMPUTED_VALUE"""),"Слюсар Володимир")</f>
        <v>Слюсар Володимир</v>
      </c>
      <c r="B412" s="114">
        <f ca="1">IFERROR(__xludf.DUMMYFUNCTION("""COMPUTED_VALUE"""),0.0833333333333333)</f>
        <v>8.3333333333333301E-2</v>
      </c>
      <c r="C412" s="114">
        <f ca="1">IFERROR(__xludf.DUMMYFUNCTION("""COMPUTED_VALUE"""),1.00833333333333)</f>
        <v>1.00833333333333</v>
      </c>
      <c r="D412" s="114">
        <f ca="1">IFERROR(__xludf.DUMMYFUNCTION("""COMPUTED_VALUE"""),0.0583333333333333)</f>
        <v>5.83333333333333E-2</v>
      </c>
      <c r="E412" s="36"/>
      <c r="F412" s="36"/>
      <c r="G412" s="36"/>
      <c r="H412" s="36"/>
      <c r="I412" s="36"/>
      <c r="J412" s="36"/>
      <c r="R412" s="117" t="s">
        <v>2115</v>
      </c>
      <c r="S412" s="116"/>
      <c r="T412" s="116"/>
      <c r="U412" s="616">
        <v>79</v>
      </c>
      <c r="V412" s="618">
        <v>0.35470000000000002</v>
      </c>
      <c r="W412" s="619">
        <v>35</v>
      </c>
      <c r="X412" s="618">
        <v>7.85E-2</v>
      </c>
      <c r="Y412" s="620">
        <v>92</v>
      </c>
    </row>
    <row r="413" spans="1:25" ht="12.75">
      <c r="A413" s="36" t="str">
        <f ca="1">IFERROR(__xludf.DUMMYFUNCTION("""COMPUTED_VALUE"""),"Смолінський Андрій")</f>
        <v>Смолінський Андрій</v>
      </c>
      <c r="B413" s="114">
        <f ca="1">IFERROR(__xludf.DUMMYFUNCTION("""COMPUTED_VALUE"""),0)</f>
        <v>0</v>
      </c>
      <c r="C413" s="114">
        <f ca="1">IFERROR(__xludf.DUMMYFUNCTION("""COMPUTED_VALUE"""),1.02903225806451)</f>
        <v>1.0290322580645099</v>
      </c>
      <c r="D413" s="114">
        <f ca="1">IFERROR(__xludf.DUMMYFUNCTION("""COMPUTED_VALUE"""),0)</f>
        <v>0</v>
      </c>
      <c r="E413" s="36"/>
      <c r="F413" s="36"/>
      <c r="G413" s="36"/>
      <c r="H413" s="36"/>
      <c r="I413" s="36"/>
      <c r="J413" s="36"/>
      <c r="R413" s="117" t="s">
        <v>2128</v>
      </c>
      <c r="S413" s="116"/>
      <c r="T413" s="116"/>
      <c r="U413" s="616">
        <v>100</v>
      </c>
      <c r="V413" s="618">
        <v>0.5393</v>
      </c>
      <c r="W413" s="619">
        <v>54</v>
      </c>
      <c r="X413" s="618">
        <v>0.03</v>
      </c>
      <c r="Y413" s="620">
        <v>97</v>
      </c>
    </row>
    <row r="414" spans="1:25" ht="12.75">
      <c r="A414" s="36" t="str">
        <f ca="1">IFERROR(__xludf.DUMMYFUNCTION("""COMPUTED_VALUE"""),"Смотрова Ольга")</f>
        <v>Смотрова Ольга</v>
      </c>
      <c r="B414" s="114">
        <f ca="1">IFERROR(__xludf.DUMMYFUNCTION("""COMPUTED_VALUE"""),0)</f>
        <v>0</v>
      </c>
      <c r="C414" s="114">
        <f ca="1">IFERROR(__xludf.DUMMYFUNCTION("""COMPUTED_VALUE"""),0.659722222222222)</f>
        <v>0.65972222222222199</v>
      </c>
      <c r="D414" s="114">
        <f ca="1">IFERROR(__xludf.DUMMYFUNCTION("""COMPUTED_VALUE"""),0)</f>
        <v>0</v>
      </c>
      <c r="E414" s="36"/>
      <c r="F414" s="36"/>
      <c r="G414" s="36"/>
      <c r="H414" s="36"/>
      <c r="I414" s="36"/>
      <c r="J414" s="36"/>
      <c r="R414" s="117" t="s">
        <v>440</v>
      </c>
      <c r="S414" s="116"/>
      <c r="T414" s="116"/>
      <c r="U414" s="616">
        <v>83</v>
      </c>
      <c r="V414" s="618">
        <v>0.25</v>
      </c>
      <c r="W414" s="619">
        <v>25</v>
      </c>
      <c r="X414" s="618">
        <v>0.28000000000000003</v>
      </c>
      <c r="Y414" s="620">
        <v>72</v>
      </c>
    </row>
    <row r="415" spans="1:25" ht="12.75">
      <c r="A415" s="36" t="str">
        <f ca="1">IFERROR(__xludf.DUMMYFUNCTION("""COMPUTED_VALUE"""),"Сокол Тетяна")</f>
        <v>Сокол Тетяна</v>
      </c>
      <c r="B415" s="114">
        <f ca="1">IFERROR(__xludf.DUMMYFUNCTION("""COMPUTED_VALUE"""),0)</f>
        <v>0</v>
      </c>
      <c r="C415" s="114">
        <f ca="1">IFERROR(__xludf.DUMMYFUNCTION("""COMPUTED_VALUE"""),0.409166666666666)</f>
        <v>0.40916666666666601</v>
      </c>
      <c r="D415" s="114">
        <f ca="1">IFERROR(__xludf.DUMMYFUNCTION("""COMPUTED_VALUE"""),0)</f>
        <v>0</v>
      </c>
      <c r="E415" s="36"/>
      <c r="F415" s="36"/>
      <c r="G415" s="36"/>
      <c r="H415" s="36"/>
      <c r="I415" s="36"/>
      <c r="J415" s="36"/>
      <c r="R415" s="117" t="s">
        <v>2143</v>
      </c>
      <c r="S415" s="116"/>
      <c r="T415" s="116"/>
      <c r="U415" s="616">
        <v>78</v>
      </c>
      <c r="V415" s="618">
        <v>0.58789999999999998</v>
      </c>
      <c r="W415" s="619">
        <v>59</v>
      </c>
      <c r="X415" s="618">
        <v>5.4399999999999997E-2</v>
      </c>
      <c r="Y415" s="620">
        <v>95</v>
      </c>
    </row>
    <row r="416" spans="1:25" ht="12.75">
      <c r="A416" s="36" t="str">
        <f ca="1">IFERROR(__xludf.DUMMYFUNCTION("""COMPUTED_VALUE"""),"Соколова Ірина")</f>
        <v>Соколова Ірина</v>
      </c>
      <c r="B416" s="114">
        <f ca="1">IFERROR(__xludf.DUMMYFUNCTION("""COMPUTED_VALUE"""),0.037037037037037)</f>
        <v>3.7037037037037E-2</v>
      </c>
      <c r="C416" s="114">
        <f ca="1">IFERROR(__xludf.DUMMYFUNCTION("""COMPUTED_VALUE"""),0.713452380952381)</f>
        <v>0.71345238095238095</v>
      </c>
      <c r="D416" s="114">
        <f ca="1">IFERROR(__xludf.DUMMYFUNCTION("""COMPUTED_VALUE"""),0.0259259259259259)</f>
        <v>2.5925925925925901E-2</v>
      </c>
      <c r="E416" s="36"/>
      <c r="F416" s="36"/>
      <c r="G416" s="36"/>
      <c r="H416" s="36"/>
      <c r="I416" s="36"/>
      <c r="J416" s="36"/>
      <c r="R416" s="117" t="s">
        <v>2146</v>
      </c>
      <c r="S416" s="116"/>
      <c r="T416" s="116"/>
      <c r="U416" s="616">
        <v>95</v>
      </c>
      <c r="V416" s="618">
        <v>0.81789999999999996</v>
      </c>
      <c r="W416" s="619">
        <v>82</v>
      </c>
      <c r="X416" s="618">
        <v>2.75E-2</v>
      </c>
      <c r="Y416" s="620">
        <v>97</v>
      </c>
    </row>
    <row r="417" spans="1:25" ht="12.75">
      <c r="A417" s="36" t="str">
        <f ca="1">IFERROR(__xludf.DUMMYFUNCTION("""COMPUTED_VALUE"""),"Солод Тетяна")</f>
        <v>Солод Тетяна</v>
      </c>
      <c r="B417" s="114">
        <f ca="1">IFERROR(__xludf.DUMMYFUNCTION("""COMPUTED_VALUE"""),0.6)</f>
        <v>0.6</v>
      </c>
      <c r="C417" s="114">
        <f ca="1">IFERROR(__xludf.DUMMYFUNCTION("""COMPUTED_VALUE"""),0.53125)</f>
        <v>0.53125</v>
      </c>
      <c r="D417" s="114">
        <f ca="1">IFERROR(__xludf.DUMMYFUNCTION("""COMPUTED_VALUE"""),0.42)</f>
        <v>0.42</v>
      </c>
      <c r="E417" s="36"/>
      <c r="F417" s="36"/>
      <c r="G417" s="36"/>
      <c r="H417" s="36"/>
      <c r="I417" s="36"/>
      <c r="J417" s="36"/>
      <c r="R417" s="117" t="s">
        <v>2149</v>
      </c>
      <c r="S417" s="116"/>
      <c r="T417" s="116"/>
      <c r="U417" s="616">
        <v>94</v>
      </c>
      <c r="V417" s="618">
        <v>0.879</v>
      </c>
      <c r="W417" s="619">
        <v>88</v>
      </c>
      <c r="X417" s="618">
        <v>0</v>
      </c>
      <c r="Y417" s="620">
        <v>100</v>
      </c>
    </row>
    <row r="418" spans="1:25" ht="12.75">
      <c r="A418" s="36" t="str">
        <f ca="1">IFERROR(__xludf.DUMMYFUNCTION("""COMPUTED_VALUE"""),"Солонинка Андрій")</f>
        <v>Солонинка Андрій</v>
      </c>
      <c r="B418" s="114">
        <f ca="1">IFERROR(__xludf.DUMMYFUNCTION("""COMPUTED_VALUE"""),0.25)</f>
        <v>0.25</v>
      </c>
      <c r="C418" s="114" t="str">
        <f ca="1">IFERROR(__xludf.DUMMYFUNCTION("""COMPUTED_VALUE"""),"#DIV/0!")</f>
        <v>#DIV/0!</v>
      </c>
      <c r="D418" s="114">
        <f ca="1">IFERROR(__xludf.DUMMYFUNCTION("""COMPUTED_VALUE"""),0.175)</f>
        <v>0.17499999999999999</v>
      </c>
      <c r="E418" s="36"/>
      <c r="F418" s="36"/>
      <c r="G418" s="36"/>
      <c r="H418" s="36"/>
      <c r="I418" s="36"/>
      <c r="J418" s="36"/>
      <c r="R418" s="117" t="s">
        <v>2158</v>
      </c>
      <c r="S418" s="116"/>
      <c r="T418" s="116"/>
      <c r="U418" s="616">
        <v>92</v>
      </c>
      <c r="V418" s="618">
        <v>0.24</v>
      </c>
      <c r="W418" s="619">
        <v>24</v>
      </c>
      <c r="X418" s="618">
        <v>-0.15559999999999999</v>
      </c>
      <c r="Y418" s="620">
        <v>116</v>
      </c>
    </row>
    <row r="419" spans="1:25" ht="12.75">
      <c r="A419" s="36" t="str">
        <f ca="1">IFERROR(__xludf.DUMMYFUNCTION("""COMPUTED_VALUE"""),"Сорока Карина")</f>
        <v>Сорока Карина</v>
      </c>
      <c r="B419" s="114">
        <f ca="1">IFERROR(__xludf.DUMMYFUNCTION("""COMPUTED_VALUE"""),0.25)</f>
        <v>0.25</v>
      </c>
      <c r="C419" s="114">
        <f ca="1">IFERROR(__xludf.DUMMYFUNCTION("""COMPUTED_VALUE"""),0.315972222222222)</f>
        <v>0.31597222222222199</v>
      </c>
      <c r="D419" s="114">
        <f ca="1">IFERROR(__xludf.DUMMYFUNCTION("""COMPUTED_VALUE"""),0.175)</f>
        <v>0.17499999999999999</v>
      </c>
      <c r="E419" s="36"/>
      <c r="F419" s="36"/>
      <c r="G419" s="36"/>
      <c r="H419" s="36"/>
      <c r="I419" s="36"/>
      <c r="J419" s="36"/>
      <c r="R419" s="117" t="s">
        <v>2164</v>
      </c>
      <c r="S419" s="116"/>
      <c r="T419" s="116"/>
      <c r="U419" s="616">
        <v>99</v>
      </c>
      <c r="V419" s="618">
        <v>0.86670000000000003</v>
      </c>
      <c r="W419" s="619">
        <v>87</v>
      </c>
      <c r="X419" s="618">
        <v>0</v>
      </c>
      <c r="Y419" s="620">
        <v>100</v>
      </c>
    </row>
    <row r="420" spans="1:25" ht="12.75">
      <c r="A420" s="36" t="str">
        <f ca="1">IFERROR(__xludf.DUMMYFUNCTION("""COMPUTED_VALUE"""),"Старокожев Святослав")</f>
        <v>Старокожев Святослав</v>
      </c>
      <c r="B420" s="114">
        <f ca="1">IFERROR(__xludf.DUMMYFUNCTION("""COMPUTED_VALUE"""),0.111111111111111)</f>
        <v>0.11111111111111099</v>
      </c>
      <c r="C420" s="114">
        <f ca="1">IFERROR(__xludf.DUMMYFUNCTION("""COMPUTED_VALUE"""),0.787878787878787)</f>
        <v>0.78787878787878696</v>
      </c>
      <c r="D420" s="114">
        <f ca="1">IFERROR(__xludf.DUMMYFUNCTION("""COMPUTED_VALUE"""),0.0777777777777777)</f>
        <v>7.7777777777777696E-2</v>
      </c>
      <c r="E420" s="36"/>
      <c r="F420" s="36"/>
      <c r="G420" s="36"/>
      <c r="H420" s="36"/>
      <c r="I420" s="36"/>
      <c r="J420" s="36"/>
      <c r="R420" s="117" t="s">
        <v>2178</v>
      </c>
      <c r="S420" s="116"/>
      <c r="T420" s="116"/>
      <c r="U420" s="616">
        <v>88</v>
      </c>
      <c r="V420" s="618">
        <v>0.18279999999999999</v>
      </c>
      <c r="W420" s="619">
        <v>18</v>
      </c>
      <c r="X420" s="618">
        <v>2.0299999999999999E-2</v>
      </c>
      <c r="Y420" s="620">
        <v>98</v>
      </c>
    </row>
    <row r="421" spans="1:25" ht="12.75">
      <c r="A421" s="36" t="str">
        <f ca="1">IFERROR(__xludf.DUMMYFUNCTION("""COMPUTED_VALUE"""),"Стасюк Роман")</f>
        <v>Стасюк Роман</v>
      </c>
      <c r="B421" s="114">
        <f ca="1">IFERROR(__xludf.DUMMYFUNCTION("""COMPUTED_VALUE"""),0)</f>
        <v>0</v>
      </c>
      <c r="C421" s="114">
        <f ca="1">IFERROR(__xludf.DUMMYFUNCTION("""COMPUTED_VALUE"""),1.10416666666666)</f>
        <v>1.1041666666666601</v>
      </c>
      <c r="D421" s="114">
        <f ca="1">IFERROR(__xludf.DUMMYFUNCTION("""COMPUTED_VALUE"""),0)</f>
        <v>0</v>
      </c>
      <c r="E421" s="36"/>
      <c r="F421" s="36"/>
      <c r="G421" s="36"/>
      <c r="H421" s="36"/>
      <c r="I421" s="36"/>
      <c r="J421" s="36"/>
      <c r="R421" s="117" t="s">
        <v>2187</v>
      </c>
      <c r="S421" s="116"/>
      <c r="T421" s="116"/>
      <c r="U421" s="616">
        <v>97</v>
      </c>
      <c r="V421" s="618">
        <v>0.79830000000000001</v>
      </c>
      <c r="W421" s="619">
        <v>80</v>
      </c>
      <c r="X421" s="618">
        <v>3.73E-2</v>
      </c>
      <c r="Y421" s="620">
        <v>96</v>
      </c>
    </row>
    <row r="422" spans="1:25" ht="12.75">
      <c r="A422" s="36" t="str">
        <f ca="1">IFERROR(__xludf.DUMMYFUNCTION("""COMPUTED_VALUE"""),"Столярова Ірина")</f>
        <v>Столярова Ірина</v>
      </c>
      <c r="B422" s="114">
        <f ca="1">IFERROR(__xludf.DUMMYFUNCTION("""COMPUTED_VALUE"""),0)</f>
        <v>0</v>
      </c>
      <c r="C422" s="114">
        <f ca="1">IFERROR(__xludf.DUMMYFUNCTION("""COMPUTED_VALUE"""),0.525)</f>
        <v>0.52500000000000002</v>
      </c>
      <c r="D422" s="114">
        <f ca="1">IFERROR(__xludf.DUMMYFUNCTION("""COMPUTED_VALUE"""),0)</f>
        <v>0</v>
      </c>
      <c r="E422" s="36"/>
      <c r="F422" s="36"/>
      <c r="G422" s="36"/>
      <c r="H422" s="36"/>
      <c r="I422" s="36"/>
      <c r="J422" s="36"/>
      <c r="R422" s="117" t="s">
        <v>2191</v>
      </c>
      <c r="S422" s="116"/>
      <c r="T422" s="116"/>
      <c r="U422" s="616">
        <v>99</v>
      </c>
      <c r="V422" s="618">
        <v>0.60129999999999995</v>
      </c>
      <c r="W422" s="619">
        <v>60</v>
      </c>
      <c r="X422" s="618">
        <v>7.0000000000000007E-2</v>
      </c>
      <c r="Y422" s="620">
        <v>93</v>
      </c>
    </row>
    <row r="423" spans="1:25" ht="12.75">
      <c r="A423" s="36" t="str">
        <f ca="1">IFERROR(__xludf.DUMMYFUNCTION("""COMPUTED_VALUE"""),"Страшок Яна")</f>
        <v>Страшок Яна</v>
      </c>
      <c r="B423" s="114">
        <f ca="1">IFERROR(__xludf.DUMMYFUNCTION("""COMPUTED_VALUE"""),0)</f>
        <v>0</v>
      </c>
      <c r="C423" s="114" t="str">
        <f ca="1">IFERROR(__xludf.DUMMYFUNCTION("""COMPUTED_VALUE"""),"#DIV/0!")</f>
        <v>#DIV/0!</v>
      </c>
      <c r="D423" s="114">
        <f ca="1">IFERROR(__xludf.DUMMYFUNCTION("""COMPUTED_VALUE"""),0)</f>
        <v>0</v>
      </c>
      <c r="E423" s="36"/>
      <c r="F423" s="36"/>
      <c r="G423" s="36"/>
      <c r="H423" s="36"/>
      <c r="I423" s="36"/>
      <c r="J423" s="36"/>
      <c r="R423" s="117" t="s">
        <v>2194</v>
      </c>
      <c r="S423" s="116"/>
      <c r="T423" s="116"/>
      <c r="U423" s="156" t="s">
        <v>9805</v>
      </c>
      <c r="V423" s="116" t="s">
        <v>9806</v>
      </c>
      <c r="W423" s="617" t="s">
        <v>9806</v>
      </c>
      <c r="X423" s="618">
        <v>8.7499999999999994E-2</v>
      </c>
      <c r="Y423" s="620">
        <v>91</v>
      </c>
    </row>
    <row r="424" spans="1:25" ht="12.75">
      <c r="A424" s="36" t="str">
        <f ca="1">IFERROR(__xludf.DUMMYFUNCTION("""COMPUTED_VALUE"""),"Стрельникова Кристина")</f>
        <v>Стрельникова Кристина</v>
      </c>
      <c r="B424" s="114">
        <f ca="1">IFERROR(__xludf.DUMMYFUNCTION("""COMPUTED_VALUE"""),0.0833333333333333)</f>
        <v>8.3333333333333301E-2</v>
      </c>
      <c r="C424" s="114">
        <f ca="1">IFERROR(__xludf.DUMMYFUNCTION("""COMPUTED_VALUE"""),0.727272727272727)</f>
        <v>0.72727272727272696</v>
      </c>
      <c r="D424" s="114">
        <f ca="1">IFERROR(__xludf.DUMMYFUNCTION("""COMPUTED_VALUE"""),0.0583333333333333)</f>
        <v>5.83333333333333E-2</v>
      </c>
      <c r="E424" s="36"/>
      <c r="F424" s="36"/>
      <c r="G424" s="36"/>
      <c r="H424" s="36"/>
      <c r="I424" s="36"/>
      <c r="J424" s="36"/>
      <c r="R424" s="117" t="s">
        <v>2197</v>
      </c>
      <c r="S424" s="116"/>
      <c r="T424" s="116"/>
      <c r="U424" s="616">
        <v>95</v>
      </c>
      <c r="V424" s="618">
        <v>1.4750000000000001</v>
      </c>
      <c r="W424" s="619">
        <v>148</v>
      </c>
      <c r="X424" s="618">
        <v>0</v>
      </c>
      <c r="Y424" s="620">
        <v>100</v>
      </c>
    </row>
    <row r="425" spans="1:25" ht="12.75">
      <c r="A425" s="36" t="str">
        <f ca="1">IFERROR(__xludf.DUMMYFUNCTION("""COMPUTED_VALUE"""),"Стрілецький Яків")</f>
        <v>Стрілецький Яків</v>
      </c>
      <c r="B425" s="114">
        <f ca="1">IFERROR(__xludf.DUMMYFUNCTION("""COMPUTED_VALUE"""),0.0741462241462241)</f>
        <v>7.4146224146224099E-2</v>
      </c>
      <c r="C425" s="114">
        <f ca="1">IFERROR(__xludf.DUMMYFUNCTION("""COMPUTED_VALUE"""),0.735677476118652)</f>
        <v>0.73567747611865197</v>
      </c>
      <c r="D425" s="114">
        <f ca="1">IFERROR(__xludf.DUMMYFUNCTION("""COMPUTED_VALUE"""),0.0519023569023568)</f>
        <v>5.1902356902356797E-2</v>
      </c>
      <c r="E425" s="36"/>
      <c r="F425" s="36"/>
      <c r="G425" s="36"/>
      <c r="H425" s="36"/>
      <c r="I425" s="36"/>
      <c r="J425" s="36"/>
      <c r="R425" s="117" t="s">
        <v>2201</v>
      </c>
      <c r="S425" s="116"/>
      <c r="T425" s="116"/>
      <c r="U425" s="616">
        <v>92</v>
      </c>
      <c r="V425" s="618">
        <v>1.26</v>
      </c>
      <c r="W425" s="619">
        <v>126</v>
      </c>
      <c r="X425" s="618">
        <v>0.14000000000000001</v>
      </c>
      <c r="Y425" s="620">
        <v>86</v>
      </c>
    </row>
    <row r="426" spans="1:25" ht="12.75">
      <c r="A426" s="36" t="str">
        <f ca="1">IFERROR(__xludf.DUMMYFUNCTION("""COMPUTED_VALUE"""),"Супчан Катерина")</f>
        <v>Супчан Катерина</v>
      </c>
      <c r="B426" s="114">
        <f ca="1">IFERROR(__xludf.DUMMYFUNCTION("""COMPUTED_VALUE"""),0.0333333333333333)</f>
        <v>3.3333333333333298E-2</v>
      </c>
      <c r="C426" s="114">
        <f ca="1">IFERROR(__xludf.DUMMYFUNCTION("""COMPUTED_VALUE"""),0.716666666666666)</f>
        <v>0.71666666666666601</v>
      </c>
      <c r="D426" s="114">
        <f ca="1">IFERROR(__xludf.DUMMYFUNCTION("""COMPUTED_VALUE"""),0.0233333333333333)</f>
        <v>2.33333333333333E-2</v>
      </c>
      <c r="E426" s="36"/>
      <c r="F426" s="36"/>
      <c r="G426" s="36"/>
      <c r="H426" s="36"/>
      <c r="I426" s="36"/>
      <c r="J426" s="36"/>
      <c r="R426" s="117" t="s">
        <v>2211</v>
      </c>
      <c r="S426" s="116"/>
      <c r="T426" s="116"/>
      <c r="U426" s="616">
        <v>95</v>
      </c>
      <c r="V426" s="618">
        <v>0.91669999999999996</v>
      </c>
      <c r="W426" s="619">
        <v>92</v>
      </c>
      <c r="X426" s="618">
        <v>0</v>
      </c>
      <c r="Y426" s="620">
        <v>100</v>
      </c>
    </row>
    <row r="427" spans="1:25" ht="12.75">
      <c r="A427" s="36" t="str">
        <f ca="1">IFERROR(__xludf.DUMMYFUNCTION("""COMPUTED_VALUE"""),"Суханова Валерія")</f>
        <v>Суханова Валерія</v>
      </c>
      <c r="B427" s="114">
        <f ca="1">IFERROR(__xludf.DUMMYFUNCTION("""COMPUTED_VALUE"""),0)</f>
        <v>0</v>
      </c>
      <c r="C427" s="114">
        <f ca="1">IFERROR(__xludf.DUMMYFUNCTION("""COMPUTED_VALUE"""),0.833333333333333)</f>
        <v>0.83333333333333304</v>
      </c>
      <c r="D427" s="114">
        <f ca="1">IFERROR(__xludf.DUMMYFUNCTION("""COMPUTED_VALUE"""),0)</f>
        <v>0</v>
      </c>
      <c r="E427" s="36"/>
      <c r="F427" s="36"/>
      <c r="G427" s="36"/>
      <c r="H427" s="36"/>
      <c r="I427" s="36"/>
      <c r="J427" s="36"/>
      <c r="R427" s="117" t="s">
        <v>2214</v>
      </c>
      <c r="S427" s="116"/>
      <c r="T427" s="116"/>
      <c r="U427" s="156" t="s">
        <v>9805</v>
      </c>
      <c r="V427" s="116" t="s">
        <v>9805</v>
      </c>
      <c r="W427" s="617" t="s">
        <v>9805</v>
      </c>
      <c r="X427" s="116" t="s">
        <v>9805</v>
      </c>
      <c r="Y427" s="116" t="s">
        <v>9805</v>
      </c>
    </row>
    <row r="428" spans="1:25" ht="12.75">
      <c r="A428" s="36" t="str">
        <f ca="1">IFERROR(__xludf.DUMMYFUNCTION("""COMPUTED_VALUE"""),"Тарасенко Кирило")</f>
        <v>Тарасенко Кирило</v>
      </c>
      <c r="B428" s="114">
        <f ca="1">IFERROR(__xludf.DUMMYFUNCTION("""COMPUTED_VALUE"""),0)</f>
        <v>0</v>
      </c>
      <c r="C428" s="114">
        <f ca="1">IFERROR(__xludf.DUMMYFUNCTION("""COMPUTED_VALUE"""),1.1590909090909)</f>
        <v>1.1590909090909001</v>
      </c>
      <c r="D428" s="114">
        <f ca="1">IFERROR(__xludf.DUMMYFUNCTION("""COMPUTED_VALUE"""),0)</f>
        <v>0</v>
      </c>
      <c r="E428" s="36"/>
      <c r="F428" s="36"/>
      <c r="G428" s="36"/>
      <c r="H428" s="36"/>
      <c r="I428" s="36"/>
      <c r="J428" s="36"/>
      <c r="R428" s="117" t="s">
        <v>2217</v>
      </c>
      <c r="S428" s="116"/>
      <c r="T428" s="116"/>
      <c r="U428" s="616">
        <v>91</v>
      </c>
      <c r="V428" s="618">
        <v>1.2</v>
      </c>
      <c r="W428" s="619">
        <v>120</v>
      </c>
      <c r="X428" s="618">
        <v>0.1</v>
      </c>
      <c r="Y428" s="620">
        <v>90</v>
      </c>
    </row>
    <row r="429" spans="1:25" ht="12.75">
      <c r="A429" s="36" t="str">
        <f ca="1">IFERROR(__xludf.DUMMYFUNCTION("""COMPUTED_VALUE"""),"Тарасович Тетяна")</f>
        <v>Тарасович Тетяна</v>
      </c>
      <c r="B429" s="114">
        <f ca="1">IFERROR(__xludf.DUMMYFUNCTION("""COMPUTED_VALUE"""),0.0292735042735042)</f>
        <v>2.9273504273504201E-2</v>
      </c>
      <c r="C429" s="114">
        <f ca="1">IFERROR(__xludf.DUMMYFUNCTION("""COMPUTED_VALUE"""),0.808894815279629)</f>
        <v>0.80889481527962903</v>
      </c>
      <c r="D429" s="114">
        <f ca="1">IFERROR(__xludf.DUMMYFUNCTION("""COMPUTED_VALUE"""),0.0204914529914529)</f>
        <v>2.0491452991452899E-2</v>
      </c>
      <c r="E429" s="36"/>
      <c r="F429" s="36"/>
      <c r="G429" s="36"/>
      <c r="H429" s="36"/>
      <c r="I429" s="36"/>
      <c r="J429" s="36"/>
      <c r="R429" s="117" t="s">
        <v>2241</v>
      </c>
      <c r="S429" s="116"/>
      <c r="T429" s="116"/>
      <c r="U429" s="616">
        <v>95</v>
      </c>
      <c r="V429" s="618">
        <v>0.44269999999999998</v>
      </c>
      <c r="W429" s="619">
        <v>44</v>
      </c>
      <c r="X429" s="618">
        <v>1.7899999999999999E-2</v>
      </c>
      <c r="Y429" s="620">
        <v>98</v>
      </c>
    </row>
    <row r="430" spans="1:25" ht="12.75">
      <c r="A430" s="36" t="str">
        <f ca="1">IFERROR(__xludf.DUMMYFUNCTION("""COMPUTED_VALUE"""),"Тарнавський Владислав")</f>
        <v>Тарнавський Владислав</v>
      </c>
      <c r="B430" s="114">
        <f ca="1">IFERROR(__xludf.DUMMYFUNCTION("""COMPUTED_VALUE"""),0)</f>
        <v>0</v>
      </c>
      <c r="C430" s="114">
        <f ca="1">IFERROR(__xludf.DUMMYFUNCTION("""COMPUTED_VALUE"""),0.826704545454545)</f>
        <v>0.82670454545454497</v>
      </c>
      <c r="D430" s="114">
        <f ca="1">IFERROR(__xludf.DUMMYFUNCTION("""COMPUTED_VALUE"""),0)</f>
        <v>0</v>
      </c>
      <c r="E430" s="36"/>
      <c r="F430" s="36"/>
      <c r="G430" s="36"/>
      <c r="H430" s="36"/>
      <c r="I430" s="36"/>
      <c r="J430" s="36"/>
      <c r="R430" s="117" t="s">
        <v>2248</v>
      </c>
      <c r="S430" s="116"/>
      <c r="T430" s="116"/>
      <c r="U430" s="616">
        <v>99</v>
      </c>
      <c r="V430" s="618">
        <v>1.1786000000000001</v>
      </c>
      <c r="W430" s="619">
        <v>118</v>
      </c>
      <c r="X430" s="618">
        <v>0</v>
      </c>
      <c r="Y430" s="620">
        <v>100</v>
      </c>
    </row>
    <row r="431" spans="1:25" ht="12.75">
      <c r="A431" s="36" t="str">
        <f ca="1">IFERROR(__xludf.DUMMYFUNCTION("""COMPUTED_VALUE"""),"Таченко Оксана")</f>
        <v>Таченко Оксана</v>
      </c>
      <c r="B431" s="114">
        <f ca="1">IFERROR(__xludf.DUMMYFUNCTION("""COMPUTED_VALUE"""),0)</f>
        <v>0</v>
      </c>
      <c r="C431" s="114">
        <f ca="1">IFERROR(__xludf.DUMMYFUNCTION("""COMPUTED_VALUE"""),1.15)</f>
        <v>1.1499999999999999</v>
      </c>
      <c r="D431" s="114">
        <f ca="1">IFERROR(__xludf.DUMMYFUNCTION("""COMPUTED_VALUE"""),0)</f>
        <v>0</v>
      </c>
      <c r="E431" s="36"/>
      <c r="F431" s="36"/>
      <c r="G431" s="36"/>
      <c r="H431" s="36"/>
      <c r="I431" s="36"/>
      <c r="J431" s="36"/>
      <c r="R431" s="117" t="s">
        <v>2251</v>
      </c>
      <c r="S431" s="116"/>
      <c r="T431" s="116"/>
      <c r="U431" s="616">
        <v>95</v>
      </c>
      <c r="V431" s="618">
        <v>0.38640000000000002</v>
      </c>
      <c r="W431" s="619">
        <v>39</v>
      </c>
      <c r="X431" s="618">
        <v>0</v>
      </c>
      <c r="Y431" s="620">
        <v>100</v>
      </c>
    </row>
    <row r="432" spans="1:25" ht="12.75">
      <c r="A432" s="36" t="str">
        <f ca="1">IFERROR(__xludf.DUMMYFUNCTION("""COMPUTED_VALUE"""),"Твердохліб Єлизавета")</f>
        <v>Твердохліб Єлизавета</v>
      </c>
      <c r="B432" s="114">
        <f ca="1">IFERROR(__xludf.DUMMYFUNCTION("""COMPUTED_VALUE"""),0)</f>
        <v>0</v>
      </c>
      <c r="C432" s="114">
        <f ca="1">IFERROR(__xludf.DUMMYFUNCTION("""COMPUTED_VALUE"""),0.1875)</f>
        <v>0.1875</v>
      </c>
      <c r="D432" s="114">
        <f ca="1">IFERROR(__xludf.DUMMYFUNCTION("""COMPUTED_VALUE"""),0)</f>
        <v>0</v>
      </c>
      <c r="E432" s="36"/>
      <c r="F432" s="36"/>
      <c r="G432" s="36"/>
      <c r="H432" s="36"/>
      <c r="I432" s="36"/>
      <c r="J432" s="36"/>
      <c r="R432" s="117" t="s">
        <v>2254</v>
      </c>
      <c r="S432" s="116"/>
      <c r="T432" s="116"/>
      <c r="U432" s="616">
        <v>95</v>
      </c>
      <c r="V432" s="618">
        <v>0.70309999999999995</v>
      </c>
      <c r="W432" s="619">
        <v>70</v>
      </c>
      <c r="X432" s="618">
        <v>0</v>
      </c>
      <c r="Y432" s="620">
        <v>100</v>
      </c>
    </row>
    <row r="433" spans="1:25" ht="12.75">
      <c r="A433" s="36" t="str">
        <f ca="1">IFERROR(__xludf.DUMMYFUNCTION("""COMPUTED_VALUE"""),"Титаренко Маргарита")</f>
        <v>Титаренко Маргарита</v>
      </c>
      <c r="B433" s="114">
        <f ca="1">IFERROR(__xludf.DUMMYFUNCTION("""COMPUTED_VALUE"""),0.0525496071829405)</f>
        <v>5.2549607182940501E-2</v>
      </c>
      <c r="C433" s="114">
        <f ca="1">IFERROR(__xludf.DUMMYFUNCTION("""COMPUTED_VALUE"""),0.754576758028793)</f>
        <v>0.75457675802879298</v>
      </c>
      <c r="D433" s="114">
        <f ca="1">IFERROR(__xludf.DUMMYFUNCTION("""COMPUTED_VALUE"""),0.0367847250280583)</f>
        <v>3.6784725028058303E-2</v>
      </c>
      <c r="E433" s="36"/>
      <c r="F433" s="36"/>
      <c r="G433" s="36"/>
      <c r="H433" s="36"/>
      <c r="I433" s="36"/>
      <c r="J433" s="36"/>
      <c r="R433" s="117" t="s">
        <v>2257</v>
      </c>
      <c r="S433" s="116"/>
      <c r="T433" s="116"/>
      <c r="U433" s="616">
        <v>87</v>
      </c>
      <c r="V433" s="618">
        <v>0.75739999999999996</v>
      </c>
      <c r="W433" s="619">
        <v>76</v>
      </c>
      <c r="X433" s="618">
        <v>4.1999999999999997E-3</v>
      </c>
      <c r="Y433" s="620">
        <v>100</v>
      </c>
    </row>
    <row r="434" spans="1:25" ht="12.75">
      <c r="A434" s="36" t="str">
        <f ca="1">IFERROR(__xludf.DUMMYFUNCTION("""COMPUTED_VALUE"""),"Титаренко Милослава")</f>
        <v>Титаренко Милослава</v>
      </c>
      <c r="B434" s="114">
        <f ca="1">IFERROR(__xludf.DUMMYFUNCTION("""COMPUTED_VALUE"""),0.0681818181818181)</f>
        <v>6.8181818181818094E-2</v>
      </c>
      <c r="C434" s="114">
        <f ca="1">IFERROR(__xludf.DUMMYFUNCTION("""COMPUTED_VALUE"""),0.740255991285403)</f>
        <v>0.74025599128540298</v>
      </c>
      <c r="D434" s="114">
        <f ca="1">IFERROR(__xludf.DUMMYFUNCTION("""COMPUTED_VALUE"""),0.0477272727272727)</f>
        <v>4.7727272727272702E-2</v>
      </c>
      <c r="E434" s="36"/>
      <c r="F434" s="36"/>
      <c r="G434" s="36"/>
      <c r="H434" s="36"/>
      <c r="I434" s="36"/>
      <c r="J434" s="36"/>
      <c r="R434" s="117" t="s">
        <v>2260</v>
      </c>
      <c r="S434" s="116"/>
      <c r="T434" s="116"/>
      <c r="U434" s="616">
        <v>86</v>
      </c>
      <c r="V434" s="618">
        <v>0.8125</v>
      </c>
      <c r="W434" s="619">
        <v>81</v>
      </c>
      <c r="X434" s="618">
        <v>0</v>
      </c>
      <c r="Y434" s="620">
        <v>100</v>
      </c>
    </row>
    <row r="435" spans="1:25" ht="12.75">
      <c r="A435" s="36" t="str">
        <f ca="1">IFERROR(__xludf.DUMMYFUNCTION("""COMPUTED_VALUE"""),"Титаренко Юлія")</f>
        <v>Титаренко Юлія</v>
      </c>
      <c r="B435" s="114">
        <f ca="1">IFERROR(__xludf.DUMMYFUNCTION("""COMPUTED_VALUE"""),-0.0357142857142857)</f>
        <v>-3.5714285714285698E-2</v>
      </c>
      <c r="C435" s="114">
        <f ca="1">IFERROR(__xludf.DUMMYFUNCTION("""COMPUTED_VALUE"""),0.707149621212121)</f>
        <v>0.70714962121212099</v>
      </c>
      <c r="D435" s="114">
        <f ca="1">IFERROR(__xludf.DUMMYFUNCTION("""COMPUTED_VALUE"""),-0.0249999999999999)</f>
        <v>-2.4999999999999901E-2</v>
      </c>
      <c r="E435" s="36"/>
      <c r="F435" s="36"/>
      <c r="G435" s="36"/>
      <c r="H435" s="36"/>
      <c r="I435" s="36"/>
      <c r="J435" s="36"/>
      <c r="R435" s="117" t="s">
        <v>2263</v>
      </c>
      <c r="S435" s="116"/>
      <c r="T435" s="116"/>
      <c r="U435" s="616">
        <v>87</v>
      </c>
      <c r="V435" s="618">
        <v>0.65790000000000004</v>
      </c>
      <c r="W435" s="619">
        <v>66</v>
      </c>
      <c r="X435" s="618">
        <v>7.0000000000000007E-2</v>
      </c>
      <c r="Y435" s="620">
        <v>93</v>
      </c>
    </row>
    <row r="436" spans="1:25" ht="12.75">
      <c r="A436" s="36" t="str">
        <f ca="1">IFERROR(__xludf.DUMMYFUNCTION("""COMPUTED_VALUE"""),"Тихонова Марія")</f>
        <v>Тихонова Марія</v>
      </c>
      <c r="B436" s="114">
        <f ca="1">IFERROR(__xludf.DUMMYFUNCTION("""COMPUTED_VALUE"""),0.0857142857142857)</f>
        <v>8.5714285714285701E-2</v>
      </c>
      <c r="C436" s="114">
        <f ca="1">IFERROR(__xludf.DUMMYFUNCTION("""COMPUTED_VALUE"""),0.736979166666666)</f>
        <v>0.73697916666666596</v>
      </c>
      <c r="D436" s="114">
        <f ca="1">IFERROR(__xludf.DUMMYFUNCTION("""COMPUTED_VALUE"""),0.06)</f>
        <v>0.06</v>
      </c>
      <c r="E436" s="36"/>
      <c r="F436" s="36"/>
      <c r="G436" s="36"/>
      <c r="H436" s="36"/>
      <c r="I436" s="36"/>
      <c r="J436" s="36"/>
      <c r="R436" s="117" t="s">
        <v>2266</v>
      </c>
      <c r="S436" s="116"/>
      <c r="T436" s="116"/>
      <c r="U436" s="616">
        <v>97</v>
      </c>
      <c r="V436" s="618">
        <v>0.86699999999999999</v>
      </c>
      <c r="W436" s="619">
        <v>87</v>
      </c>
      <c r="X436" s="618">
        <v>9.2499999999999999E-2</v>
      </c>
      <c r="Y436" s="620">
        <v>91</v>
      </c>
    </row>
    <row r="437" spans="1:25" ht="12.75">
      <c r="A437" s="36" t="str">
        <f ca="1">IFERROR(__xludf.DUMMYFUNCTION("""COMPUTED_VALUE"""),"Тищенко Сергій")</f>
        <v>Тищенко Сергій</v>
      </c>
      <c r="B437" s="114">
        <f ca="1">IFERROR(__xludf.DUMMYFUNCTION("""COMPUTED_VALUE"""),0.0138888888888888)</f>
        <v>1.38888888888888E-2</v>
      </c>
      <c r="C437" s="114">
        <f ca="1">IFERROR(__xludf.DUMMYFUNCTION("""COMPUTED_VALUE"""),0.912237274220032)</f>
        <v>0.91223727422003198</v>
      </c>
      <c r="D437" s="114">
        <f ca="1">IFERROR(__xludf.DUMMYFUNCTION("""COMPUTED_VALUE"""),0.00972222222222222)</f>
        <v>9.7222222222222206E-3</v>
      </c>
      <c r="E437" s="36"/>
      <c r="F437" s="36"/>
      <c r="G437" s="36"/>
      <c r="H437" s="36"/>
      <c r="I437" s="36"/>
      <c r="J437" s="36"/>
      <c r="R437" s="117" t="s">
        <v>2273</v>
      </c>
      <c r="S437" s="116"/>
      <c r="T437" s="116"/>
      <c r="U437" s="616">
        <v>89</v>
      </c>
      <c r="V437" s="116" t="s">
        <v>9806</v>
      </c>
      <c r="W437" s="617" t="s">
        <v>9806</v>
      </c>
      <c r="X437" s="618">
        <v>0</v>
      </c>
      <c r="Y437" s="620">
        <v>100</v>
      </c>
    </row>
    <row r="438" spans="1:25" ht="12.75">
      <c r="A438" s="36" t="str">
        <f ca="1">IFERROR(__xludf.DUMMYFUNCTION("""COMPUTED_VALUE"""),"Токар Іван")</f>
        <v>Токар Іван</v>
      </c>
      <c r="B438" s="114">
        <f ca="1">IFERROR(__xludf.DUMMYFUNCTION("""COMPUTED_VALUE"""),0)</f>
        <v>0</v>
      </c>
      <c r="C438" s="114">
        <f ca="1">IFERROR(__xludf.DUMMYFUNCTION("""COMPUTED_VALUE"""),0.466666666666666)</f>
        <v>0.46666666666666601</v>
      </c>
      <c r="D438" s="114">
        <f ca="1">IFERROR(__xludf.DUMMYFUNCTION("""COMPUTED_VALUE"""),0)</f>
        <v>0</v>
      </c>
      <c r="E438" s="36"/>
      <c r="F438" s="36"/>
      <c r="G438" s="36"/>
      <c r="H438" s="36"/>
      <c r="I438" s="36"/>
      <c r="J438" s="36"/>
      <c r="R438" s="117" t="s">
        <v>2286</v>
      </c>
      <c r="S438" s="116"/>
      <c r="T438" s="116"/>
      <c r="U438" s="616">
        <v>96</v>
      </c>
      <c r="V438" s="618">
        <v>0.3911</v>
      </c>
      <c r="W438" s="619">
        <v>39</v>
      </c>
      <c r="X438" s="618">
        <v>2.5000000000000001E-2</v>
      </c>
      <c r="Y438" s="620">
        <v>98</v>
      </c>
    </row>
    <row r="439" spans="1:25" ht="12.75">
      <c r="A439" s="36" t="str">
        <f ca="1">IFERROR(__xludf.DUMMYFUNCTION("""COMPUTED_VALUE"""),"Трифонов Денис")</f>
        <v>Трифонов Денис</v>
      </c>
      <c r="B439" s="114">
        <f ca="1">IFERROR(__xludf.DUMMYFUNCTION("""COMPUTED_VALUE"""),0.0227272727272727)</f>
        <v>2.27272727272727E-2</v>
      </c>
      <c r="C439" s="114">
        <f ca="1">IFERROR(__xludf.DUMMYFUNCTION("""COMPUTED_VALUE"""),0.504807692307692)</f>
        <v>0.50480769230769196</v>
      </c>
      <c r="D439" s="114">
        <f ca="1">IFERROR(__xludf.DUMMYFUNCTION("""COMPUTED_VALUE"""),0.0159090909090909)</f>
        <v>1.5909090909090901E-2</v>
      </c>
      <c r="E439" s="36"/>
      <c r="F439" s="36"/>
      <c r="G439" s="36"/>
      <c r="H439" s="36"/>
      <c r="I439" s="36"/>
      <c r="J439" s="36"/>
      <c r="R439" s="117" t="s">
        <v>2289</v>
      </c>
      <c r="S439" s="116"/>
      <c r="T439" s="116"/>
      <c r="U439" s="616">
        <v>84</v>
      </c>
      <c r="V439" s="618">
        <v>0.6391</v>
      </c>
      <c r="W439" s="619">
        <v>64</v>
      </c>
      <c r="X439" s="618">
        <v>0.13750000000000001</v>
      </c>
      <c r="Y439" s="620">
        <v>86</v>
      </c>
    </row>
    <row r="440" spans="1:25" ht="12.75">
      <c r="A440" s="36" t="str">
        <f ca="1">IFERROR(__xludf.DUMMYFUNCTION("""COMPUTED_VALUE"""),"Трубчанінов Павло")</f>
        <v>Трубчанінов Павло</v>
      </c>
      <c r="B440" s="114">
        <f ca="1">IFERROR(__xludf.DUMMYFUNCTION("""COMPUTED_VALUE"""),0.0204081632653061)</f>
        <v>2.04081632653061E-2</v>
      </c>
      <c r="C440" s="114">
        <f ca="1">IFERROR(__xludf.DUMMYFUNCTION("""COMPUTED_VALUE"""),0.599801587301587)</f>
        <v>0.59980158730158695</v>
      </c>
      <c r="D440" s="114">
        <f ca="1">IFERROR(__xludf.DUMMYFUNCTION("""COMPUTED_VALUE"""),0.0142857142857142)</f>
        <v>1.42857142857142E-2</v>
      </c>
      <c r="E440" s="36"/>
      <c r="F440" s="36"/>
      <c r="G440" s="36"/>
      <c r="H440" s="36"/>
      <c r="I440" s="36"/>
      <c r="J440" s="36"/>
      <c r="R440" s="117" t="s">
        <v>2295</v>
      </c>
      <c r="S440" s="116"/>
      <c r="T440" s="116"/>
      <c r="U440" s="616">
        <v>73</v>
      </c>
      <c r="V440" s="618">
        <v>0.70620000000000005</v>
      </c>
      <c r="W440" s="619">
        <v>71</v>
      </c>
      <c r="X440" s="618">
        <v>8.1799999999999998E-2</v>
      </c>
      <c r="Y440" s="620">
        <v>92</v>
      </c>
    </row>
    <row r="441" spans="1:25" ht="12.75">
      <c r="A441" s="36" t="str">
        <f ca="1">IFERROR(__xludf.DUMMYFUNCTION("""COMPUTED_VALUE"""),"Угриновська Оксана")</f>
        <v>Угриновська Оксана</v>
      </c>
      <c r="B441" s="114">
        <f ca="1">IFERROR(__xludf.DUMMYFUNCTION("""COMPUTED_VALUE"""),0.0703703703703703)</f>
        <v>7.0370370370370305E-2</v>
      </c>
      <c r="C441" s="114">
        <f ca="1">IFERROR(__xludf.DUMMYFUNCTION("""COMPUTED_VALUE"""),0.361111111111111)</f>
        <v>0.36111111111111099</v>
      </c>
      <c r="D441" s="114">
        <f ca="1">IFERROR(__xludf.DUMMYFUNCTION("""COMPUTED_VALUE"""),0.0492592592592592)</f>
        <v>4.9259259259259197E-2</v>
      </c>
      <c r="E441" s="36"/>
      <c r="F441" s="36"/>
      <c r="G441" s="36"/>
      <c r="H441" s="36"/>
      <c r="I441" s="36"/>
      <c r="J441" s="36"/>
      <c r="R441" s="117" t="s">
        <v>2298</v>
      </c>
      <c r="S441" s="116"/>
      <c r="T441" s="116"/>
      <c r="U441" s="616">
        <v>100</v>
      </c>
      <c r="V441" s="618">
        <v>0.79830000000000001</v>
      </c>
      <c r="W441" s="619">
        <v>80</v>
      </c>
      <c r="X441" s="618">
        <v>1.8499999999999999E-2</v>
      </c>
      <c r="Y441" s="620">
        <v>98</v>
      </c>
    </row>
    <row r="442" spans="1:25" ht="12.75">
      <c r="A442" s="36" t="str">
        <f ca="1">IFERROR(__xludf.DUMMYFUNCTION("""COMPUTED_VALUE"""),"Украінчук Артем")</f>
        <v>Украінчук Артем</v>
      </c>
      <c r="B442" s="114">
        <f ca="1">IFERROR(__xludf.DUMMYFUNCTION("""COMPUTED_VALUE"""),0)</f>
        <v>0</v>
      </c>
      <c r="C442" s="114">
        <f ca="1">IFERROR(__xludf.DUMMYFUNCTION("""COMPUTED_VALUE"""),0.857638888888888)</f>
        <v>0.85763888888888795</v>
      </c>
      <c r="D442" s="114">
        <f ca="1">IFERROR(__xludf.DUMMYFUNCTION("""COMPUTED_VALUE"""),0)</f>
        <v>0</v>
      </c>
      <c r="E442" s="36"/>
      <c r="F442" s="36"/>
      <c r="G442" s="36"/>
      <c r="H442" s="36"/>
      <c r="I442" s="36"/>
      <c r="J442" s="36"/>
      <c r="R442" s="117" t="s">
        <v>2301</v>
      </c>
      <c r="S442" s="116"/>
      <c r="T442" s="116"/>
      <c r="U442" s="616">
        <v>86</v>
      </c>
      <c r="V442" s="618">
        <v>0.55000000000000004</v>
      </c>
      <c r="W442" s="619">
        <v>55</v>
      </c>
      <c r="X442" s="618">
        <v>0</v>
      </c>
      <c r="Y442" s="620">
        <v>100</v>
      </c>
    </row>
    <row r="443" spans="1:25" ht="12.75">
      <c r="A443" s="36" t="str">
        <f ca="1">IFERROR(__xludf.DUMMYFUNCTION("""COMPUTED_VALUE"""),"Усенко Уляна")</f>
        <v>Усенко Уляна</v>
      </c>
      <c r="B443" s="114">
        <f ca="1">IFERROR(__xludf.DUMMYFUNCTION("""COMPUTED_VALUE"""),0.0258852258852258)</f>
        <v>2.58852258852258E-2</v>
      </c>
      <c r="C443" s="114">
        <f ca="1">IFERROR(__xludf.DUMMYFUNCTION("""COMPUTED_VALUE"""),0.789408952975129)</f>
        <v>0.78940895297512903</v>
      </c>
      <c r="D443" s="114">
        <f ca="1">IFERROR(__xludf.DUMMYFUNCTION("""COMPUTED_VALUE"""),0.0181196581196581)</f>
        <v>1.81196581196581E-2</v>
      </c>
      <c r="E443" s="36"/>
      <c r="F443" s="36"/>
      <c r="G443" s="36"/>
      <c r="H443" s="36"/>
      <c r="I443" s="36"/>
      <c r="J443" s="36"/>
      <c r="R443" s="117" t="s">
        <v>2304</v>
      </c>
      <c r="S443" s="116"/>
      <c r="T443" s="116"/>
      <c r="U443" s="616">
        <v>99</v>
      </c>
      <c r="V443" s="618">
        <v>0.58709999999999996</v>
      </c>
      <c r="W443" s="619">
        <v>59</v>
      </c>
      <c r="X443" s="618">
        <v>3.3300000000000003E-2</v>
      </c>
      <c r="Y443" s="620">
        <v>97</v>
      </c>
    </row>
    <row r="444" spans="1:25" ht="12.75">
      <c r="A444" s="36" t="str">
        <f ca="1">IFERROR(__xludf.DUMMYFUNCTION("""COMPUTED_VALUE"""),"Ухов Остап")</f>
        <v>Ухов Остап</v>
      </c>
      <c r="B444" s="114">
        <f ca="1">IFERROR(__xludf.DUMMYFUNCTION("""COMPUTED_VALUE"""),0.111111111111111)</f>
        <v>0.11111111111111099</v>
      </c>
      <c r="C444" s="114">
        <f ca="1">IFERROR(__xludf.DUMMYFUNCTION("""COMPUTED_VALUE"""),0.74718574108818)</f>
        <v>0.74718574108818003</v>
      </c>
      <c r="D444" s="114">
        <f ca="1">IFERROR(__xludf.DUMMYFUNCTION("""COMPUTED_VALUE"""),0.0777777777777777)</f>
        <v>7.7777777777777696E-2</v>
      </c>
      <c r="E444" s="36"/>
      <c r="F444" s="36"/>
      <c r="G444" s="36"/>
      <c r="H444" s="36"/>
      <c r="I444" s="36"/>
      <c r="J444" s="36"/>
      <c r="R444" s="117" t="s">
        <v>2312</v>
      </c>
      <c r="S444" s="116"/>
      <c r="T444" s="116"/>
      <c r="U444" s="616">
        <v>56</v>
      </c>
      <c r="V444" s="116" t="s">
        <v>9805</v>
      </c>
      <c r="W444" s="617" t="s">
        <v>9805</v>
      </c>
      <c r="X444" s="116" t="s">
        <v>9805</v>
      </c>
      <c r="Y444" s="116" t="s">
        <v>9805</v>
      </c>
    </row>
    <row r="445" spans="1:25" ht="12.75">
      <c r="A445" s="36" t="str">
        <f ca="1">IFERROR(__xludf.DUMMYFUNCTION("""COMPUTED_VALUE"""),"Ушакова Ольга")</f>
        <v>Ушакова Ольга</v>
      </c>
      <c r="B445" s="114">
        <f ca="1">IFERROR(__xludf.DUMMYFUNCTION("""COMPUTED_VALUE"""),0.0732600732600732)</f>
        <v>7.3260073260073194E-2</v>
      </c>
      <c r="C445" s="114">
        <f ca="1">IFERROR(__xludf.DUMMYFUNCTION("""COMPUTED_VALUE"""),0.410430839002267)</f>
        <v>0.41043083900226701</v>
      </c>
      <c r="D445" s="114">
        <f ca="1">IFERROR(__xludf.DUMMYFUNCTION("""COMPUTED_VALUE"""),0.0512820512820512)</f>
        <v>5.1282051282051197E-2</v>
      </c>
      <c r="E445" s="36"/>
      <c r="F445" s="36"/>
      <c r="G445" s="36"/>
      <c r="H445" s="36"/>
      <c r="I445" s="36"/>
      <c r="J445" s="36"/>
      <c r="R445" s="117" t="s">
        <v>2315</v>
      </c>
      <c r="S445" s="116"/>
      <c r="T445" s="116"/>
      <c r="U445" s="616">
        <v>91</v>
      </c>
      <c r="V445" s="618">
        <v>0.81399999999999995</v>
      </c>
      <c r="W445" s="619">
        <v>81</v>
      </c>
      <c r="X445" s="618">
        <v>9.1700000000000004E-2</v>
      </c>
      <c r="Y445" s="620">
        <v>91</v>
      </c>
    </row>
    <row r="446" spans="1:25" ht="12.75">
      <c r="A446" s="36" t="str">
        <f ca="1">IFERROR(__xludf.DUMMYFUNCTION("""COMPUTED_VALUE"""),"Файдюк Тарас")</f>
        <v>Файдюк Тарас</v>
      </c>
      <c r="B446" s="114">
        <f ca="1">IFERROR(__xludf.DUMMYFUNCTION("""COMPUTED_VALUE"""),0)</f>
        <v>0</v>
      </c>
      <c r="C446" s="114">
        <f ca="1">IFERROR(__xludf.DUMMYFUNCTION("""COMPUTED_VALUE"""),0.5)</f>
        <v>0.5</v>
      </c>
      <c r="D446" s="114">
        <f ca="1">IFERROR(__xludf.DUMMYFUNCTION("""COMPUTED_VALUE"""),0)</f>
        <v>0</v>
      </c>
      <c r="E446" s="36"/>
      <c r="F446" s="36"/>
      <c r="G446" s="36"/>
      <c r="H446" s="36"/>
      <c r="I446" s="36"/>
      <c r="J446" s="36"/>
      <c r="R446" s="117" t="s">
        <v>2321</v>
      </c>
      <c r="S446" s="116"/>
      <c r="T446" s="116"/>
      <c r="U446" s="616">
        <v>81</v>
      </c>
      <c r="V446" s="618">
        <v>0.9375</v>
      </c>
      <c r="W446" s="619">
        <v>94</v>
      </c>
      <c r="X446" s="618">
        <v>0</v>
      </c>
      <c r="Y446" s="620">
        <v>100</v>
      </c>
    </row>
    <row r="447" spans="1:25" ht="12.75">
      <c r="A447" s="36" t="str">
        <f ca="1">IFERROR(__xludf.DUMMYFUNCTION("""COMPUTED_VALUE"""),"Фараонова Альона")</f>
        <v>Фараонова Альона</v>
      </c>
      <c r="B447" s="114">
        <f ca="1">IFERROR(__xludf.DUMMYFUNCTION("""COMPUTED_VALUE"""),0)</f>
        <v>0</v>
      </c>
      <c r="C447" s="114">
        <f ca="1">IFERROR(__xludf.DUMMYFUNCTION("""COMPUTED_VALUE"""),0.7)</f>
        <v>0.7</v>
      </c>
      <c r="D447" s="114">
        <f ca="1">IFERROR(__xludf.DUMMYFUNCTION("""COMPUTED_VALUE"""),0)</f>
        <v>0</v>
      </c>
      <c r="E447" s="36"/>
      <c r="F447" s="36"/>
      <c r="G447" s="36"/>
      <c r="H447" s="36"/>
      <c r="I447" s="36"/>
      <c r="J447" s="36"/>
      <c r="R447" s="117" t="s">
        <v>2324</v>
      </c>
      <c r="S447" s="116"/>
      <c r="T447" s="116"/>
      <c r="U447" s="616">
        <v>94</v>
      </c>
      <c r="V447" s="618">
        <v>0.60870000000000002</v>
      </c>
      <c r="W447" s="619">
        <v>61</v>
      </c>
      <c r="X447" s="618">
        <v>-0.14000000000000001</v>
      </c>
      <c r="Y447" s="620">
        <v>114</v>
      </c>
    </row>
    <row r="448" spans="1:25" ht="12.75">
      <c r="A448" s="36" t="str">
        <f ca="1">IFERROR(__xludf.DUMMYFUNCTION("""COMPUTED_VALUE"""),"Фауст Артем")</f>
        <v>Фауст Артем</v>
      </c>
      <c r="B448" s="114">
        <f ca="1">IFERROR(__xludf.DUMMYFUNCTION("""COMPUTED_VALUE"""),0.0585034013605442)</f>
        <v>5.8503401360544202E-2</v>
      </c>
      <c r="C448" s="114">
        <f ca="1">IFERROR(__xludf.DUMMYFUNCTION("""COMPUTED_VALUE"""),0.831092561248101)</f>
        <v>0.83109256124810105</v>
      </c>
      <c r="D448" s="114">
        <f ca="1">IFERROR(__xludf.DUMMYFUNCTION("""COMPUTED_VALUE"""),0.0409523809523809)</f>
        <v>4.09523809523809E-2</v>
      </c>
      <c r="E448" s="36"/>
      <c r="F448" s="36"/>
      <c r="G448" s="36"/>
      <c r="H448" s="36"/>
      <c r="I448" s="36"/>
      <c r="J448" s="36"/>
      <c r="R448" s="117" t="s">
        <v>2327</v>
      </c>
      <c r="S448" s="116"/>
      <c r="T448" s="116"/>
      <c r="U448" s="616">
        <v>69</v>
      </c>
      <c r="V448" s="618">
        <v>0.70979999999999999</v>
      </c>
      <c r="W448" s="619">
        <v>71</v>
      </c>
      <c r="X448" s="618">
        <v>2.92E-2</v>
      </c>
      <c r="Y448" s="620">
        <v>97</v>
      </c>
    </row>
    <row r="449" spans="1:25" ht="12.75">
      <c r="A449" s="36" t="str">
        <f ca="1">IFERROR(__xludf.DUMMYFUNCTION("""COMPUTED_VALUE"""),"Філонюк Анна")</f>
        <v>Філонюк Анна</v>
      </c>
      <c r="B449" s="114">
        <f ca="1">IFERROR(__xludf.DUMMYFUNCTION("""COMPUTED_VALUE"""),0)</f>
        <v>0</v>
      </c>
      <c r="C449" s="114">
        <f ca="1">IFERROR(__xludf.DUMMYFUNCTION("""COMPUTED_VALUE"""),1.275)</f>
        <v>1.2749999999999999</v>
      </c>
      <c r="D449" s="114">
        <f ca="1">IFERROR(__xludf.DUMMYFUNCTION("""COMPUTED_VALUE"""),0)</f>
        <v>0</v>
      </c>
      <c r="E449" s="36"/>
      <c r="F449" s="36"/>
      <c r="G449" s="36"/>
      <c r="H449" s="36"/>
      <c r="I449" s="36"/>
      <c r="J449" s="36"/>
      <c r="R449" s="117" t="s">
        <v>2330</v>
      </c>
      <c r="S449" s="116"/>
      <c r="T449" s="116"/>
      <c r="U449" s="616">
        <v>98</v>
      </c>
      <c r="V449" s="618">
        <v>0.2031</v>
      </c>
      <c r="W449" s="619">
        <v>20</v>
      </c>
      <c r="X449" s="618">
        <v>0.03</v>
      </c>
      <c r="Y449" s="620">
        <v>97</v>
      </c>
    </row>
    <row r="450" spans="1:25" ht="12.75">
      <c r="A450" s="36" t="str">
        <f ca="1">IFERROR(__xludf.DUMMYFUNCTION("""COMPUTED_VALUE"""),"Фоменко Дмитро")</f>
        <v>Фоменко Дмитро</v>
      </c>
      <c r="B450" s="114">
        <f ca="1">IFERROR(__xludf.DUMMYFUNCTION("""COMPUTED_VALUE"""),0.416666666666666)</f>
        <v>0.41666666666666602</v>
      </c>
      <c r="C450" s="114">
        <f ca="1">IFERROR(__xludf.DUMMYFUNCTION("""COMPUTED_VALUE"""),0.434782608695652)</f>
        <v>0.434782608695652</v>
      </c>
      <c r="D450" s="114">
        <f ca="1">IFERROR(__xludf.DUMMYFUNCTION("""COMPUTED_VALUE"""),0.291666666666666)</f>
        <v>0.29166666666666602</v>
      </c>
      <c r="E450" s="36"/>
      <c r="F450" s="36"/>
      <c r="G450" s="36"/>
      <c r="H450" s="36"/>
      <c r="I450" s="36"/>
      <c r="J450" s="36"/>
      <c r="R450" s="117" t="s">
        <v>2333</v>
      </c>
      <c r="S450" s="116"/>
      <c r="T450" s="116"/>
      <c r="U450" s="616">
        <v>97</v>
      </c>
      <c r="V450" s="618">
        <v>0.24779999999999999</v>
      </c>
      <c r="W450" s="619">
        <v>25</v>
      </c>
      <c r="X450" s="618">
        <v>1.8200000000000001E-2</v>
      </c>
      <c r="Y450" s="620">
        <v>98</v>
      </c>
    </row>
    <row r="451" spans="1:25" ht="12.75">
      <c r="A451" s="36" t="str">
        <f ca="1">IFERROR(__xludf.DUMMYFUNCTION("""COMPUTED_VALUE"""),"Фотеско Владислав")</f>
        <v>Фотеско Владислав</v>
      </c>
      <c r="B451" s="114">
        <f ca="1">IFERROR(__xludf.DUMMYFUNCTION("""COMPUTED_VALUE"""),0.0999999999999999)</f>
        <v>9.9999999999999895E-2</v>
      </c>
      <c r="C451" s="114">
        <f ca="1">IFERROR(__xludf.DUMMYFUNCTION("""COMPUTED_VALUE"""),0.716958041958042)</f>
        <v>0.71695804195804202</v>
      </c>
      <c r="D451" s="114">
        <f ca="1">IFERROR(__xludf.DUMMYFUNCTION("""COMPUTED_VALUE"""),0.0699999999999999)</f>
        <v>6.9999999999999896E-2</v>
      </c>
      <c r="E451" s="36"/>
      <c r="F451" s="36"/>
      <c r="G451" s="36"/>
      <c r="H451" s="36"/>
      <c r="I451" s="36"/>
      <c r="J451" s="36"/>
      <c r="R451" s="117" t="s">
        <v>2336</v>
      </c>
      <c r="S451" s="116"/>
      <c r="T451" s="116"/>
      <c r="U451" s="616">
        <v>91</v>
      </c>
      <c r="V451" s="618">
        <v>0.66759999999999997</v>
      </c>
      <c r="W451" s="619">
        <v>67</v>
      </c>
      <c r="X451" s="618">
        <v>2.5600000000000001E-2</v>
      </c>
      <c r="Y451" s="620">
        <v>97</v>
      </c>
    </row>
    <row r="452" spans="1:25" ht="12.75">
      <c r="A452" s="36" t="str">
        <f ca="1">IFERROR(__xludf.DUMMYFUNCTION("""COMPUTED_VALUE"""),"Фрей Олеся")</f>
        <v>Фрей Олеся</v>
      </c>
      <c r="B452" s="114">
        <f ca="1">IFERROR(__xludf.DUMMYFUNCTION("""COMPUTED_VALUE"""),0)</f>
        <v>0</v>
      </c>
      <c r="C452" s="114">
        <f ca="1">IFERROR(__xludf.DUMMYFUNCTION("""COMPUTED_VALUE"""),0.833333333333333)</f>
        <v>0.83333333333333304</v>
      </c>
      <c r="D452" s="114">
        <f ca="1">IFERROR(__xludf.DUMMYFUNCTION("""COMPUTED_VALUE"""),0)</f>
        <v>0</v>
      </c>
      <c r="E452" s="36"/>
      <c r="F452" s="36"/>
      <c r="G452" s="36"/>
      <c r="H452" s="36"/>
      <c r="I452" s="36"/>
      <c r="J452" s="36"/>
      <c r="R452" s="117" t="s">
        <v>2339</v>
      </c>
      <c r="S452" s="116"/>
      <c r="T452" s="116"/>
      <c r="U452" s="616">
        <v>75</v>
      </c>
      <c r="V452" s="618">
        <v>0.55610000000000004</v>
      </c>
      <c r="W452" s="619">
        <v>56</v>
      </c>
      <c r="X452" s="618">
        <v>0</v>
      </c>
      <c r="Y452" s="620">
        <v>100</v>
      </c>
    </row>
    <row r="453" spans="1:25" ht="12.75">
      <c r="A453" s="36" t="str">
        <f ca="1">IFERROR(__xludf.DUMMYFUNCTION("""COMPUTED_VALUE"""),"Хайчіна Яна")</f>
        <v>Хайчіна Яна</v>
      </c>
      <c r="B453" s="114">
        <f ca="1">IFERROR(__xludf.DUMMYFUNCTION("""COMPUTED_VALUE"""),0.1)</f>
        <v>0.1</v>
      </c>
      <c r="C453" s="114" t="str">
        <f ca="1">IFERROR(__xludf.DUMMYFUNCTION("""COMPUTED_VALUE"""),"#DIV/0!")</f>
        <v>#DIV/0!</v>
      </c>
      <c r="D453" s="114">
        <f ca="1">IFERROR(__xludf.DUMMYFUNCTION("""COMPUTED_VALUE"""),0.0699999999999999)</f>
        <v>6.9999999999999896E-2</v>
      </c>
      <c r="E453" s="36"/>
      <c r="F453" s="36"/>
      <c r="G453" s="36"/>
      <c r="H453" s="36"/>
      <c r="I453" s="36"/>
      <c r="J453" s="36"/>
      <c r="R453" s="117" t="s">
        <v>2342</v>
      </c>
      <c r="S453" s="116"/>
      <c r="T453" s="116"/>
      <c r="U453" s="616">
        <v>98</v>
      </c>
      <c r="V453" s="618">
        <v>0.98140000000000005</v>
      </c>
      <c r="W453" s="619">
        <v>98</v>
      </c>
      <c r="X453" s="618">
        <v>4.6699999999999998E-2</v>
      </c>
      <c r="Y453" s="620">
        <v>95</v>
      </c>
    </row>
    <row r="454" spans="1:25" ht="12.75">
      <c r="A454" s="36" t="str">
        <f ca="1">IFERROR(__xludf.DUMMYFUNCTION("""COMPUTED_VALUE"""),"Харківський Ігор")</f>
        <v>Харківський Ігор</v>
      </c>
      <c r="B454" s="114">
        <f ca="1">IFERROR(__xludf.DUMMYFUNCTION("""COMPUTED_VALUE"""),-0.0625)</f>
        <v>-6.25E-2</v>
      </c>
      <c r="C454" s="114">
        <f ca="1">IFERROR(__xludf.DUMMYFUNCTION("""COMPUTED_VALUE"""),0.921270140196694)</f>
        <v>0.92127014019669395</v>
      </c>
      <c r="D454" s="114">
        <f ca="1">IFERROR(__xludf.DUMMYFUNCTION("""COMPUTED_VALUE"""),-0.04375)</f>
        <v>-4.3749999999999997E-2</v>
      </c>
      <c r="E454" s="36"/>
      <c r="F454" s="36"/>
      <c r="G454" s="36"/>
      <c r="H454" s="36"/>
      <c r="I454" s="36"/>
      <c r="J454" s="36"/>
      <c r="R454" s="117" t="s">
        <v>2349</v>
      </c>
      <c r="S454" s="116"/>
      <c r="T454" s="116"/>
      <c r="U454" s="616">
        <v>98</v>
      </c>
      <c r="V454" s="618">
        <v>0.66020000000000001</v>
      </c>
      <c r="W454" s="619">
        <v>66</v>
      </c>
      <c r="X454" s="618">
        <v>0</v>
      </c>
      <c r="Y454" s="620">
        <v>100</v>
      </c>
    </row>
    <row r="455" spans="1:25" ht="12.75">
      <c r="A455" s="36" t="str">
        <f ca="1">IFERROR(__xludf.DUMMYFUNCTION("""COMPUTED_VALUE"""),"Харуца Олександр")</f>
        <v>Харуца Олександр</v>
      </c>
      <c r="B455" s="114">
        <f ca="1">IFERROR(__xludf.DUMMYFUNCTION("""COMPUTED_VALUE"""),0.103174603174603)</f>
        <v>0.103174603174603</v>
      </c>
      <c r="C455" s="114">
        <f ca="1">IFERROR(__xludf.DUMMYFUNCTION("""COMPUTED_VALUE"""),0.699018232819074)</f>
        <v>0.69901823281907405</v>
      </c>
      <c r="D455" s="114">
        <f ca="1">IFERROR(__xludf.DUMMYFUNCTION("""COMPUTED_VALUE"""),0.0722222222222222)</f>
        <v>7.2222222222222202E-2</v>
      </c>
      <c r="E455" s="36"/>
      <c r="F455" s="36"/>
      <c r="G455" s="36"/>
      <c r="H455" s="36"/>
      <c r="I455" s="36"/>
      <c r="J455" s="36"/>
      <c r="R455" s="117" t="s">
        <v>2353</v>
      </c>
      <c r="S455" s="116"/>
      <c r="T455" s="116"/>
      <c r="U455" s="616">
        <v>96</v>
      </c>
      <c r="V455" s="618">
        <v>0.93330000000000002</v>
      </c>
      <c r="W455" s="619">
        <v>93</v>
      </c>
      <c r="X455" s="618">
        <v>0</v>
      </c>
      <c r="Y455" s="620">
        <v>100</v>
      </c>
    </row>
    <row r="456" spans="1:25" ht="12.75">
      <c r="A456" s="36" t="str">
        <f ca="1">IFERROR(__xludf.DUMMYFUNCTION("""COMPUTED_VALUE"""),"Хлусов Євген")</f>
        <v>Хлусов Євген</v>
      </c>
      <c r="B456" s="114">
        <f ca="1">IFERROR(__xludf.DUMMYFUNCTION("""COMPUTED_VALUE"""),0.0555555555555555)</f>
        <v>5.5555555555555497E-2</v>
      </c>
      <c r="C456" s="114">
        <f ca="1">IFERROR(__xludf.DUMMYFUNCTION("""COMPUTED_VALUE"""),0.617391304347826)</f>
        <v>0.61739130434782596</v>
      </c>
      <c r="D456" s="114">
        <f ca="1">IFERROR(__xludf.DUMMYFUNCTION("""COMPUTED_VALUE"""),0.0388888888888888)</f>
        <v>3.8888888888888799E-2</v>
      </c>
      <c r="E456" s="36"/>
      <c r="F456" s="36"/>
      <c r="G456" s="36"/>
      <c r="H456" s="36"/>
      <c r="I456" s="36"/>
      <c r="J456" s="36"/>
      <c r="R456" s="117" t="s">
        <v>2356</v>
      </c>
      <c r="S456" s="116"/>
      <c r="T456" s="116"/>
      <c r="U456" s="616">
        <v>98</v>
      </c>
      <c r="V456" s="618">
        <v>0.49390000000000001</v>
      </c>
      <c r="W456" s="619">
        <v>49</v>
      </c>
      <c r="X456" s="618">
        <v>7.0000000000000001E-3</v>
      </c>
      <c r="Y456" s="620">
        <v>99</v>
      </c>
    </row>
    <row r="457" spans="1:25" ht="12.75">
      <c r="A457" s="36" t="str">
        <f ca="1">IFERROR(__xludf.DUMMYFUNCTION("""COMPUTED_VALUE"""),"Ходіс Анна")</f>
        <v>Ходіс Анна</v>
      </c>
      <c r="B457" s="114">
        <f ca="1">IFERROR(__xludf.DUMMYFUNCTION("""COMPUTED_VALUE"""),0.225)</f>
        <v>0.22500000000000001</v>
      </c>
      <c r="C457" s="114">
        <f ca="1">IFERROR(__xludf.DUMMYFUNCTION("""COMPUTED_VALUE"""),0.330227743271221)</f>
        <v>0.33022774327122101</v>
      </c>
      <c r="D457" s="114">
        <f ca="1">IFERROR(__xludf.DUMMYFUNCTION("""COMPUTED_VALUE"""),0.1575)</f>
        <v>0.1575</v>
      </c>
      <c r="E457" s="36"/>
      <c r="F457" s="36"/>
      <c r="G457" s="36"/>
      <c r="H457" s="36"/>
      <c r="I457" s="36"/>
      <c r="J457" s="36"/>
      <c r="R457" s="117" t="s">
        <v>2363</v>
      </c>
      <c r="S457" s="116"/>
      <c r="T457" s="116"/>
      <c r="U457" s="616">
        <v>81</v>
      </c>
      <c r="V457" s="618">
        <v>0.97130000000000005</v>
      </c>
      <c r="W457" s="619">
        <v>97</v>
      </c>
      <c r="X457" s="618">
        <v>0.11360000000000001</v>
      </c>
      <c r="Y457" s="620">
        <v>89</v>
      </c>
    </row>
    <row r="458" spans="1:25" ht="12.75">
      <c r="A458" s="36" t="str">
        <f ca="1">IFERROR(__xludf.DUMMYFUNCTION("""COMPUTED_VALUE"""),"Холодняк Станіслав")</f>
        <v>Холодняк Станіслав</v>
      </c>
      <c r="B458" s="114">
        <f ca="1">IFERROR(__xludf.DUMMYFUNCTION("""COMPUTED_VALUE"""),0.166666666666666)</f>
        <v>0.16666666666666599</v>
      </c>
      <c r="C458" s="114">
        <f ca="1">IFERROR(__xludf.DUMMYFUNCTION("""COMPUTED_VALUE"""),0.492796092796092)</f>
        <v>0.49279609279609199</v>
      </c>
      <c r="D458" s="114">
        <f ca="1">IFERROR(__xludf.DUMMYFUNCTION("""COMPUTED_VALUE"""),0.116666666666666)</f>
        <v>0.116666666666666</v>
      </c>
      <c r="E458" s="36"/>
      <c r="F458" s="36"/>
      <c r="G458" s="36"/>
      <c r="H458" s="36"/>
      <c r="I458" s="36"/>
      <c r="J458" s="36"/>
      <c r="R458" s="117" t="s">
        <v>2366</v>
      </c>
      <c r="S458" s="116"/>
      <c r="T458" s="116"/>
      <c r="U458" s="616">
        <v>98</v>
      </c>
      <c r="V458" s="618">
        <v>0.98619999999999997</v>
      </c>
      <c r="W458" s="619">
        <v>99</v>
      </c>
      <c r="X458" s="618">
        <v>2.8799999999999999E-2</v>
      </c>
      <c r="Y458" s="620">
        <v>97</v>
      </c>
    </row>
    <row r="459" spans="1:25" ht="12.75">
      <c r="A459" s="36" t="str">
        <f ca="1">IFERROR(__xludf.DUMMYFUNCTION("""COMPUTED_VALUE"""),"Хруленко Єлизавета")</f>
        <v>Хруленко Єлизавета</v>
      </c>
      <c r="B459" s="114">
        <f ca="1">IFERROR(__xludf.DUMMYFUNCTION("""COMPUTED_VALUE"""),0)</f>
        <v>0</v>
      </c>
      <c r="C459" s="114">
        <f ca="1">IFERROR(__xludf.DUMMYFUNCTION("""COMPUTED_VALUE"""),0.620454545454545)</f>
        <v>0.62045454545454504</v>
      </c>
      <c r="D459" s="114">
        <f ca="1">IFERROR(__xludf.DUMMYFUNCTION("""COMPUTED_VALUE"""),0)</f>
        <v>0</v>
      </c>
      <c r="E459" s="36"/>
      <c r="F459" s="36"/>
      <c r="G459" s="36"/>
      <c r="H459" s="36"/>
      <c r="I459" s="36"/>
      <c r="J459" s="36"/>
      <c r="R459" s="117" t="s">
        <v>2369</v>
      </c>
      <c r="S459" s="116"/>
      <c r="T459" s="116"/>
      <c r="U459" s="616">
        <v>97</v>
      </c>
      <c r="V459" s="618">
        <v>0.67500000000000004</v>
      </c>
      <c r="W459" s="619">
        <v>68</v>
      </c>
      <c r="X459" s="618">
        <v>0</v>
      </c>
      <c r="Y459" s="620">
        <v>100</v>
      </c>
    </row>
    <row r="460" spans="1:25" ht="12.75">
      <c r="A460" s="36" t="str">
        <f ca="1">IFERROR(__xludf.DUMMYFUNCTION("""COMPUTED_VALUE"""),"Худий Ярослав")</f>
        <v>Худий Ярослав</v>
      </c>
      <c r="B460" s="114">
        <f ca="1">IFERROR(__xludf.DUMMYFUNCTION("""COMPUTED_VALUE"""),0)</f>
        <v>0</v>
      </c>
      <c r="C460" s="114">
        <f ca="1">IFERROR(__xludf.DUMMYFUNCTION("""COMPUTED_VALUE"""),0.875)</f>
        <v>0.875</v>
      </c>
      <c r="D460" s="114">
        <f ca="1">IFERROR(__xludf.DUMMYFUNCTION("""COMPUTED_VALUE"""),0)</f>
        <v>0</v>
      </c>
      <c r="E460" s="36"/>
      <c r="F460" s="36"/>
      <c r="G460" s="36"/>
      <c r="H460" s="36"/>
      <c r="I460" s="36"/>
      <c r="J460" s="36"/>
      <c r="R460" s="117" t="s">
        <v>2372</v>
      </c>
      <c r="S460" s="116"/>
      <c r="T460" s="116"/>
      <c r="U460" s="616">
        <v>74</v>
      </c>
      <c r="V460" s="116" t="s">
        <v>9805</v>
      </c>
      <c r="W460" s="617" t="s">
        <v>9805</v>
      </c>
      <c r="X460" s="116" t="s">
        <v>9805</v>
      </c>
      <c r="Y460" s="116" t="s">
        <v>9805</v>
      </c>
    </row>
    <row r="461" spans="1:25" ht="12.75">
      <c r="A461" s="36" t="str">
        <f ca="1">IFERROR(__xludf.DUMMYFUNCTION("""COMPUTED_VALUE"""),"Чайковський Віталій")</f>
        <v>Чайковський Віталій</v>
      </c>
      <c r="B461" s="114">
        <f ca="1">IFERROR(__xludf.DUMMYFUNCTION("""COMPUTED_VALUE"""),0.0755050505050505)</f>
        <v>7.5505050505050506E-2</v>
      </c>
      <c r="C461" s="114">
        <f ca="1">IFERROR(__xludf.DUMMYFUNCTION("""COMPUTED_VALUE"""),0.662444873463396)</f>
        <v>0.66244487346339598</v>
      </c>
      <c r="D461" s="114">
        <f ca="1">IFERROR(__xludf.DUMMYFUNCTION("""COMPUTED_VALUE"""),0.0528535353535353)</f>
        <v>5.2853535353535298E-2</v>
      </c>
      <c r="E461" s="36"/>
      <c r="F461" s="36"/>
      <c r="G461" s="36"/>
      <c r="H461" s="36"/>
      <c r="I461" s="36"/>
      <c r="J461" s="36"/>
      <c r="R461" s="117" t="s">
        <v>2376</v>
      </c>
      <c r="S461" s="116"/>
      <c r="T461" s="116"/>
      <c r="U461" s="616">
        <v>83</v>
      </c>
      <c r="V461" s="618">
        <v>0.48649999999999999</v>
      </c>
      <c r="W461" s="619">
        <v>49</v>
      </c>
      <c r="X461" s="618">
        <v>0.23330000000000001</v>
      </c>
      <c r="Y461" s="620">
        <v>77</v>
      </c>
    </row>
    <row r="462" spans="1:25" ht="12.75">
      <c r="A462" s="36" t="str">
        <f ca="1">IFERROR(__xludf.DUMMYFUNCTION("""COMPUTED_VALUE"""),"Чекун Сергій")</f>
        <v>Чекун Сергій</v>
      </c>
      <c r="B462" s="114">
        <f ca="1">IFERROR(__xludf.DUMMYFUNCTION("""COMPUTED_VALUE"""),-0.0714285714285714)</f>
        <v>-7.1428571428571397E-2</v>
      </c>
      <c r="C462" s="114">
        <f ca="1">IFERROR(__xludf.DUMMYFUNCTION("""COMPUTED_VALUE"""),0.5)</f>
        <v>0.5</v>
      </c>
      <c r="D462" s="114">
        <f ca="1">IFERROR(__xludf.DUMMYFUNCTION("""COMPUTED_VALUE"""),-0.0499999999999999)</f>
        <v>-4.9999999999999899E-2</v>
      </c>
      <c r="E462" s="36"/>
      <c r="F462" s="36"/>
      <c r="G462" s="36"/>
      <c r="H462" s="36"/>
      <c r="I462" s="36"/>
      <c r="J462" s="36"/>
      <c r="R462" s="117" t="s">
        <v>2380</v>
      </c>
      <c r="S462" s="116"/>
      <c r="T462" s="116"/>
      <c r="U462" s="616">
        <v>86</v>
      </c>
      <c r="V462" s="618">
        <v>0.71879999999999999</v>
      </c>
      <c r="W462" s="619">
        <v>72</v>
      </c>
      <c r="X462" s="618">
        <v>7.0000000000000007E-2</v>
      </c>
      <c r="Y462" s="620">
        <v>93</v>
      </c>
    </row>
    <row r="463" spans="1:25" ht="12.75">
      <c r="A463" s="36" t="str">
        <f ca="1">IFERROR(__xludf.DUMMYFUNCTION("""COMPUTED_VALUE"""),"Чернов Тимур")</f>
        <v>Чернов Тимур</v>
      </c>
      <c r="B463" s="114">
        <f ca="1">IFERROR(__xludf.DUMMYFUNCTION("""COMPUTED_VALUE"""),-0.164285714285714)</f>
        <v>-0.16428571428571401</v>
      </c>
      <c r="C463" s="114">
        <f ca="1">IFERROR(__xludf.DUMMYFUNCTION("""COMPUTED_VALUE"""),0.123798076923076)</f>
        <v>0.123798076923076</v>
      </c>
      <c r="D463" s="114">
        <f ca="1">IFERROR(__xludf.DUMMYFUNCTION("""COMPUTED_VALUE"""),-0.114999999999999)</f>
        <v>-0.11499999999999901</v>
      </c>
      <c r="E463" s="36"/>
      <c r="F463" s="36"/>
      <c r="G463" s="36"/>
      <c r="H463" s="36"/>
      <c r="I463" s="36"/>
      <c r="J463" s="36"/>
      <c r="R463" s="117" t="s">
        <v>2383</v>
      </c>
      <c r="S463" s="116"/>
      <c r="T463" s="116"/>
      <c r="U463" s="616">
        <v>95</v>
      </c>
      <c r="V463" s="618">
        <v>0.59009999999999996</v>
      </c>
      <c r="W463" s="619">
        <v>59</v>
      </c>
      <c r="X463" s="618">
        <v>3.5000000000000003E-2</v>
      </c>
      <c r="Y463" s="620">
        <v>97</v>
      </c>
    </row>
    <row r="464" spans="1:25" ht="12.75">
      <c r="A464" s="36" t="str">
        <f ca="1">IFERROR(__xludf.DUMMYFUNCTION("""COMPUTED_VALUE"""),"Чижик Ганна")</f>
        <v>Чижик Ганна</v>
      </c>
      <c r="B464" s="114">
        <f ca="1">IFERROR(__xludf.DUMMYFUNCTION("""COMPUTED_VALUE"""),0.0214285714285714)</f>
        <v>2.1428571428571401E-2</v>
      </c>
      <c r="C464" s="114">
        <f ca="1">IFERROR(__xludf.DUMMYFUNCTION("""COMPUTED_VALUE"""),1.09539270253555)</f>
        <v>1.0953927025355501</v>
      </c>
      <c r="D464" s="114">
        <f ca="1">IFERROR(__xludf.DUMMYFUNCTION("""COMPUTED_VALUE"""),0.0149999999999999)</f>
        <v>1.4999999999999901E-2</v>
      </c>
      <c r="E464" s="36"/>
      <c r="F464" s="36"/>
      <c r="G464" s="36"/>
      <c r="H464" s="36"/>
      <c r="I464" s="36"/>
      <c r="J464" s="36"/>
      <c r="R464" s="117" t="s">
        <v>2387</v>
      </c>
      <c r="S464" s="116"/>
      <c r="T464" s="116"/>
      <c r="U464" s="616">
        <v>92</v>
      </c>
      <c r="V464" s="618">
        <v>0.57499999999999996</v>
      </c>
      <c r="W464" s="619">
        <v>58</v>
      </c>
      <c r="X464" s="618">
        <v>0</v>
      </c>
      <c r="Y464" s="620">
        <v>100</v>
      </c>
    </row>
    <row r="465" spans="1:25" ht="12.75">
      <c r="A465" s="36" t="str">
        <f ca="1">IFERROR(__xludf.DUMMYFUNCTION("""COMPUTED_VALUE"""),"Чмелюк Карина")</f>
        <v>Чмелюк Карина</v>
      </c>
      <c r="B465" s="114">
        <f ca="1">IFERROR(__xludf.DUMMYFUNCTION("""COMPUTED_VALUE"""),0.0555555555555555)</f>
        <v>5.5555555555555497E-2</v>
      </c>
      <c r="C465" s="114">
        <f ca="1">IFERROR(__xludf.DUMMYFUNCTION("""COMPUTED_VALUE"""),0.61058201058201)</f>
        <v>0.61058201058201</v>
      </c>
      <c r="D465" s="114">
        <f ca="1">IFERROR(__xludf.DUMMYFUNCTION("""COMPUTED_VALUE"""),0.0388888888888888)</f>
        <v>3.8888888888888799E-2</v>
      </c>
      <c r="E465" s="36"/>
      <c r="F465" s="36"/>
      <c r="G465" s="36"/>
      <c r="H465" s="36"/>
      <c r="I465" s="36"/>
      <c r="J465" s="36"/>
      <c r="R465" s="117" t="s">
        <v>2390</v>
      </c>
      <c r="S465" s="116"/>
      <c r="T465" s="116"/>
      <c r="U465" s="616">
        <v>89</v>
      </c>
      <c r="V465" s="618">
        <v>0.95920000000000005</v>
      </c>
      <c r="W465" s="619">
        <v>96</v>
      </c>
      <c r="X465" s="618">
        <v>-0.03</v>
      </c>
      <c r="Y465" s="620">
        <v>103</v>
      </c>
    </row>
    <row r="466" spans="1:25" ht="12.75">
      <c r="A466" s="36" t="str">
        <f ca="1">IFERROR(__xludf.DUMMYFUNCTION("""COMPUTED_VALUE"""),"Чорнолуцька Світлана")</f>
        <v>Чорнолуцька Світлана</v>
      </c>
      <c r="B466" s="114">
        <f ca="1">IFERROR(__xludf.DUMMYFUNCTION("""COMPUTED_VALUE"""),0)</f>
        <v>0</v>
      </c>
      <c r="C466" s="114">
        <f ca="1">IFERROR(__xludf.DUMMYFUNCTION("""COMPUTED_VALUE"""),0.95)</f>
        <v>0.95</v>
      </c>
      <c r="D466" s="114">
        <f ca="1">IFERROR(__xludf.DUMMYFUNCTION("""COMPUTED_VALUE"""),0)</f>
        <v>0</v>
      </c>
      <c r="E466" s="36"/>
      <c r="F466" s="36"/>
      <c r="G466" s="36"/>
      <c r="H466" s="36"/>
      <c r="I466" s="36"/>
      <c r="J466" s="36"/>
      <c r="R466" s="117" t="s">
        <v>2393</v>
      </c>
      <c r="S466" s="116"/>
      <c r="T466" s="116"/>
      <c r="U466" s="156"/>
      <c r="V466" s="116" t="s">
        <v>9805</v>
      </c>
      <c r="W466" s="617" t="s">
        <v>9805</v>
      </c>
      <c r="X466" s="116" t="s">
        <v>9805</v>
      </c>
      <c r="Y466" s="116" t="s">
        <v>9805</v>
      </c>
    </row>
    <row r="467" spans="1:25" ht="12.75">
      <c r="A467" s="36" t="str">
        <f ca="1">IFERROR(__xludf.DUMMYFUNCTION("""COMPUTED_VALUE"""),"Чорноус Юлія")</f>
        <v>Чорноус Юлія</v>
      </c>
      <c r="B467" s="114">
        <f ca="1">IFERROR(__xludf.DUMMYFUNCTION("""COMPUTED_VALUE"""),0.142857142857142)</f>
        <v>0.14285714285714199</v>
      </c>
      <c r="C467" s="114">
        <f ca="1">IFERROR(__xludf.DUMMYFUNCTION("""COMPUTED_VALUE"""),1.01408450704225)</f>
        <v>1.0140845070422499</v>
      </c>
      <c r="D467" s="114">
        <f ca="1">IFERROR(__xludf.DUMMYFUNCTION("""COMPUTED_VALUE"""),0.0999999999999999)</f>
        <v>9.9999999999999895E-2</v>
      </c>
      <c r="E467" s="36"/>
      <c r="F467" s="36"/>
      <c r="G467" s="36"/>
      <c r="H467" s="36"/>
      <c r="I467" s="36"/>
      <c r="J467" s="36"/>
      <c r="R467" s="117" t="s">
        <v>2396</v>
      </c>
      <c r="S467" s="116"/>
      <c r="T467" s="116"/>
      <c r="U467" s="616">
        <v>95</v>
      </c>
      <c r="V467" s="618">
        <v>0.57779999999999998</v>
      </c>
      <c r="W467" s="619">
        <v>58</v>
      </c>
      <c r="X467" s="618">
        <v>0</v>
      </c>
      <c r="Y467" s="620">
        <v>100</v>
      </c>
    </row>
    <row r="468" spans="1:25" ht="12.75">
      <c r="A468" s="36" t="str">
        <f ca="1">IFERROR(__xludf.DUMMYFUNCTION("""COMPUTED_VALUE"""),"Шарко Максим")</f>
        <v>Шарко Максим</v>
      </c>
      <c r="B468" s="114">
        <f ca="1">IFERROR(__xludf.DUMMYFUNCTION("""COMPUTED_VALUE"""),0.0303030303030303)</f>
        <v>3.03030303030303E-2</v>
      </c>
      <c r="C468" s="114">
        <f ca="1">IFERROR(__xludf.DUMMYFUNCTION("""COMPUTED_VALUE"""),0.756172839506172)</f>
        <v>0.75617283950617198</v>
      </c>
      <c r="D468" s="114">
        <f ca="1">IFERROR(__xludf.DUMMYFUNCTION("""COMPUTED_VALUE"""),0.0212121212121212)</f>
        <v>2.12121212121212E-2</v>
      </c>
      <c r="E468" s="36"/>
      <c r="F468" s="36"/>
      <c r="G468" s="36"/>
      <c r="H468" s="36"/>
      <c r="I468" s="36"/>
      <c r="J468" s="36"/>
      <c r="R468" s="117" t="s">
        <v>2399</v>
      </c>
      <c r="S468" s="116"/>
      <c r="T468" s="116"/>
      <c r="U468" s="616">
        <v>93</v>
      </c>
      <c r="V468" s="618">
        <v>1.1426000000000001</v>
      </c>
      <c r="W468" s="619">
        <v>114</v>
      </c>
      <c r="X468" s="618">
        <v>2.5000000000000001E-2</v>
      </c>
      <c r="Y468" s="620">
        <v>98</v>
      </c>
    </row>
    <row r="469" spans="1:25" ht="12.75">
      <c r="A469" s="36" t="str">
        <f ca="1">IFERROR(__xludf.DUMMYFUNCTION("""COMPUTED_VALUE"""),"Швадченко Альона")</f>
        <v>Швадченко Альона</v>
      </c>
      <c r="B469" s="114">
        <f ca="1">IFERROR(__xludf.DUMMYFUNCTION("""COMPUTED_VALUE"""),0.0454545454545454)</f>
        <v>4.54545454545454E-2</v>
      </c>
      <c r="C469" s="114">
        <f ca="1">IFERROR(__xludf.DUMMYFUNCTION("""COMPUTED_VALUE"""),1.03774509803921)</f>
        <v>1.03774509803921</v>
      </c>
      <c r="D469" s="114">
        <f ca="1">IFERROR(__xludf.DUMMYFUNCTION("""COMPUTED_VALUE"""),0.0318181818181818)</f>
        <v>3.1818181818181801E-2</v>
      </c>
      <c r="E469" s="36"/>
      <c r="F469" s="36"/>
      <c r="G469" s="36"/>
      <c r="H469" s="36"/>
      <c r="I469" s="36"/>
      <c r="J469" s="36"/>
      <c r="R469" s="117" t="s">
        <v>2402</v>
      </c>
      <c r="S469" s="116"/>
      <c r="T469" s="116"/>
      <c r="U469" s="616">
        <v>100</v>
      </c>
      <c r="V469" s="618">
        <v>0.85440000000000005</v>
      </c>
      <c r="W469" s="619">
        <v>85</v>
      </c>
      <c r="X469" s="618">
        <v>3.4599999999999999E-2</v>
      </c>
      <c r="Y469" s="620">
        <v>97</v>
      </c>
    </row>
    <row r="470" spans="1:25" ht="12.75">
      <c r="A470" s="36" t="str">
        <f ca="1">IFERROR(__xludf.DUMMYFUNCTION("""COMPUTED_VALUE"""),"Швед Назарій")</f>
        <v>Швед Назарій</v>
      </c>
      <c r="B470" s="114">
        <f ca="1">IFERROR(__xludf.DUMMYFUNCTION("""COMPUTED_VALUE"""),0.0167207792207792)</f>
        <v>1.6720779220779199E-2</v>
      </c>
      <c r="C470" s="114">
        <f ca="1">IFERROR(__xludf.DUMMYFUNCTION("""COMPUTED_VALUE"""),0.681524166009981)</f>
        <v>0.681524166009981</v>
      </c>
      <c r="D470" s="114">
        <f ca="1">IFERROR(__xludf.DUMMYFUNCTION("""COMPUTED_VALUE"""),0.0117045454545454)</f>
        <v>1.17045454545454E-2</v>
      </c>
      <c r="E470" s="36"/>
      <c r="F470" s="36"/>
      <c r="G470" s="36"/>
      <c r="H470" s="36"/>
      <c r="I470" s="36"/>
      <c r="J470" s="36"/>
      <c r="R470" s="117" t="s">
        <v>2405</v>
      </c>
      <c r="S470" s="116"/>
      <c r="T470" s="116"/>
      <c r="U470" s="156"/>
      <c r="V470" s="116" t="s">
        <v>9805</v>
      </c>
      <c r="W470" s="617" t="s">
        <v>9805</v>
      </c>
      <c r="X470" s="116" t="s">
        <v>9805</v>
      </c>
      <c r="Y470" s="116" t="s">
        <v>9805</v>
      </c>
    </row>
    <row r="471" spans="1:25" ht="12.75">
      <c r="A471" s="36" t="str">
        <f ca="1">IFERROR(__xludf.DUMMYFUNCTION("""COMPUTED_VALUE"""),"Шевцова Вероніка")</f>
        <v>Шевцова Вероніка</v>
      </c>
      <c r="B471" s="114">
        <f ca="1">IFERROR(__xludf.DUMMYFUNCTION("""COMPUTED_VALUE"""),0.126599326599326)</f>
        <v>0.12659932659932599</v>
      </c>
      <c r="C471" s="114">
        <f ca="1">IFERROR(__xludf.DUMMYFUNCTION("""COMPUTED_VALUE"""),0.690616663745935)</f>
        <v>0.690616663745935</v>
      </c>
      <c r="D471" s="114">
        <f ca="1">IFERROR(__xludf.DUMMYFUNCTION("""COMPUTED_VALUE"""),0.0886195286195286)</f>
        <v>8.8619528619528598E-2</v>
      </c>
      <c r="E471" s="36"/>
      <c r="F471" s="36"/>
      <c r="G471" s="36"/>
      <c r="H471" s="36"/>
      <c r="I471" s="36"/>
      <c r="J471" s="36"/>
      <c r="R471" s="117" t="s">
        <v>2412</v>
      </c>
      <c r="S471" s="116"/>
      <c r="T471" s="116"/>
      <c r="U471" s="616">
        <v>89</v>
      </c>
      <c r="V471" s="618">
        <v>1.1786000000000001</v>
      </c>
      <c r="W471" s="619">
        <v>118</v>
      </c>
      <c r="X471" s="618">
        <v>0.19089999999999999</v>
      </c>
      <c r="Y471" s="620">
        <v>81</v>
      </c>
    </row>
    <row r="472" spans="1:25" ht="12.75">
      <c r="A472" s="36" t="str">
        <f ca="1">IFERROR(__xludf.DUMMYFUNCTION("""COMPUTED_VALUE"""),"Шевченко Вікторія")</f>
        <v>Шевченко Вікторія</v>
      </c>
      <c r="B472" s="114">
        <f ca="1">IFERROR(__xludf.DUMMYFUNCTION("""COMPUTED_VALUE"""),0)</f>
        <v>0</v>
      </c>
      <c r="C472" s="114">
        <f ca="1">IFERROR(__xludf.DUMMYFUNCTION("""COMPUTED_VALUE"""),0.666666666666666)</f>
        <v>0.66666666666666596</v>
      </c>
      <c r="D472" s="114">
        <f ca="1">IFERROR(__xludf.DUMMYFUNCTION("""COMPUTED_VALUE"""),0)</f>
        <v>0</v>
      </c>
      <c r="E472" s="36"/>
      <c r="F472" s="36"/>
      <c r="G472" s="36"/>
      <c r="H472" s="36"/>
      <c r="I472" s="36"/>
      <c r="J472" s="36"/>
      <c r="R472" s="117" t="s">
        <v>2416</v>
      </c>
      <c r="S472" s="116"/>
      <c r="T472" s="116"/>
      <c r="U472" s="616">
        <v>87</v>
      </c>
      <c r="V472" s="618">
        <v>0.98050000000000004</v>
      </c>
      <c r="W472" s="619">
        <v>98</v>
      </c>
      <c r="X472" s="618">
        <v>8.8900000000000007E-2</v>
      </c>
      <c r="Y472" s="620">
        <v>91</v>
      </c>
    </row>
    <row r="473" spans="1:25" ht="12.75">
      <c r="A473" s="36" t="str">
        <f ca="1">IFERROR(__xludf.DUMMYFUNCTION("""COMPUTED_VALUE"""),"Шевченко Ілля")</f>
        <v>Шевченко Ілля</v>
      </c>
      <c r="B473" s="114">
        <f ca="1">IFERROR(__xludf.DUMMYFUNCTION("""COMPUTED_VALUE"""),0.0305555555555555)</f>
        <v>3.0555555555555499E-2</v>
      </c>
      <c r="C473" s="114">
        <f ca="1">IFERROR(__xludf.DUMMYFUNCTION("""COMPUTED_VALUE"""),1.12305882352941)</f>
        <v>1.1230588235294101</v>
      </c>
      <c r="D473" s="114">
        <f ca="1">IFERROR(__xludf.DUMMYFUNCTION("""COMPUTED_VALUE"""),0.0213888888888888)</f>
        <v>2.1388888888888801E-2</v>
      </c>
      <c r="E473" s="36"/>
      <c r="F473" s="36"/>
      <c r="G473" s="36"/>
      <c r="H473" s="36"/>
      <c r="I473" s="36"/>
      <c r="J473" s="36"/>
      <c r="R473" s="117" t="s">
        <v>2419</v>
      </c>
      <c r="S473" s="116"/>
      <c r="T473" s="116"/>
      <c r="U473" s="616">
        <v>80</v>
      </c>
      <c r="V473" s="618">
        <v>0.90469999999999995</v>
      </c>
      <c r="W473" s="619">
        <v>90</v>
      </c>
      <c r="X473" s="618">
        <v>0.05</v>
      </c>
      <c r="Y473" s="620">
        <v>95</v>
      </c>
    </row>
    <row r="474" spans="1:25" ht="12.75">
      <c r="A474" s="36" t="str">
        <f ca="1">IFERROR(__xludf.DUMMYFUNCTION("""COMPUTED_VALUE"""),"Шийка Олена")</f>
        <v>Шийка Олена</v>
      </c>
      <c r="B474" s="114">
        <f ca="1">IFERROR(__xludf.DUMMYFUNCTION("""COMPUTED_VALUE"""),0.24)</f>
        <v>0.24</v>
      </c>
      <c r="C474" s="114">
        <f ca="1">IFERROR(__xludf.DUMMYFUNCTION("""COMPUTED_VALUE"""),0.912037037037037)</f>
        <v>0.91203703703703698</v>
      </c>
      <c r="D474" s="114">
        <f ca="1">IFERROR(__xludf.DUMMYFUNCTION("""COMPUTED_VALUE"""),0.167999999999999)</f>
        <v>0.16799999999999901</v>
      </c>
      <c r="E474" s="36"/>
      <c r="F474" s="36"/>
      <c r="G474" s="36"/>
      <c r="H474" s="36"/>
      <c r="I474" s="36"/>
      <c r="J474" s="36"/>
      <c r="R474" s="117" t="s">
        <v>2422</v>
      </c>
      <c r="S474" s="116"/>
      <c r="T474" s="116"/>
      <c r="U474" s="616">
        <v>86</v>
      </c>
      <c r="V474" s="116" t="s">
        <v>9805</v>
      </c>
      <c r="W474" s="617" t="s">
        <v>9805</v>
      </c>
      <c r="X474" s="116" t="s">
        <v>9805</v>
      </c>
      <c r="Y474" s="116" t="s">
        <v>9805</v>
      </c>
    </row>
    <row r="475" spans="1:25" ht="12.75">
      <c r="A475" s="36" t="str">
        <f ca="1">IFERROR(__xludf.DUMMYFUNCTION("""COMPUTED_VALUE"""),"Ширій-Ярема Вероніка")</f>
        <v>Ширій-Ярема Вероніка</v>
      </c>
      <c r="B475" s="114">
        <f ca="1">IFERROR(__xludf.DUMMYFUNCTION("""COMPUTED_VALUE"""),0.0499999999999999)</f>
        <v>4.9999999999999899E-2</v>
      </c>
      <c r="C475" s="114">
        <f ca="1">IFERROR(__xludf.DUMMYFUNCTION("""COMPUTED_VALUE"""),0.559259259259259)</f>
        <v>0.55925925925925901</v>
      </c>
      <c r="D475" s="114">
        <f ca="1">IFERROR(__xludf.DUMMYFUNCTION("""COMPUTED_VALUE"""),0.0349999999999999)</f>
        <v>3.4999999999999899E-2</v>
      </c>
      <c r="E475" s="36"/>
      <c r="F475" s="36"/>
      <c r="G475" s="36"/>
      <c r="H475" s="36"/>
      <c r="I475" s="36"/>
      <c r="J475" s="36"/>
      <c r="R475" s="117" t="s">
        <v>2425</v>
      </c>
      <c r="S475" s="116"/>
      <c r="T475" s="116"/>
      <c r="U475" s="616">
        <v>92</v>
      </c>
      <c r="V475" s="618">
        <v>0.78959999999999997</v>
      </c>
      <c r="W475" s="619">
        <v>79</v>
      </c>
      <c r="X475" s="618">
        <v>0.12920000000000001</v>
      </c>
      <c r="Y475" s="620">
        <v>87</v>
      </c>
    </row>
    <row r="476" spans="1:25" ht="12.75">
      <c r="A476" s="36" t="str">
        <f ca="1">IFERROR(__xludf.DUMMYFUNCTION("""COMPUTED_VALUE"""),"Ширяєв Микита")</f>
        <v>Ширяєв Микита</v>
      </c>
      <c r="B476" s="114">
        <f ca="1">IFERROR(__xludf.DUMMYFUNCTION("""COMPUTED_VALUE"""),0.317460317460317)</f>
        <v>0.317460317460317</v>
      </c>
      <c r="C476" s="114">
        <f ca="1">IFERROR(__xludf.DUMMYFUNCTION("""COMPUTED_VALUE"""),1.07148979273803)</f>
        <v>1.07148979273803</v>
      </c>
      <c r="D476" s="114">
        <f ca="1">IFERROR(__xludf.DUMMYFUNCTION("""COMPUTED_VALUE"""),0.222222222222222)</f>
        <v>0.22222222222222199</v>
      </c>
      <c r="E476" s="36"/>
      <c r="F476" s="36"/>
      <c r="G476" s="36"/>
      <c r="H476" s="36"/>
      <c r="I476" s="36"/>
      <c r="J476" s="36"/>
      <c r="R476" s="117" t="s">
        <v>2429</v>
      </c>
      <c r="S476" s="116"/>
      <c r="T476" s="116"/>
      <c r="U476" s="616">
        <v>95</v>
      </c>
      <c r="V476" s="618">
        <v>0.60450000000000004</v>
      </c>
      <c r="W476" s="619">
        <v>60</v>
      </c>
      <c r="X476" s="618">
        <v>3.4500000000000003E-2</v>
      </c>
      <c r="Y476" s="620">
        <v>97</v>
      </c>
    </row>
    <row r="477" spans="1:25" ht="12.75">
      <c r="A477" s="36" t="str">
        <f ca="1">IFERROR(__xludf.DUMMYFUNCTION("""COMPUTED_VALUE"""),"Шкода Дмитро")</f>
        <v>Шкода Дмитро</v>
      </c>
      <c r="B477" s="114">
        <f ca="1">IFERROR(__xludf.DUMMYFUNCTION("""COMPUTED_VALUE"""),0)</f>
        <v>0</v>
      </c>
      <c r="C477" s="114" t="str">
        <f ca="1">IFERROR(__xludf.DUMMYFUNCTION("""COMPUTED_VALUE"""),"#DIV/0!")</f>
        <v>#DIV/0!</v>
      </c>
      <c r="D477" s="114">
        <f ca="1">IFERROR(__xludf.DUMMYFUNCTION("""COMPUTED_VALUE"""),0)</f>
        <v>0</v>
      </c>
      <c r="E477" s="36"/>
      <c r="F477" s="36"/>
      <c r="G477" s="36"/>
      <c r="H477" s="36"/>
      <c r="I477" s="36"/>
      <c r="J477" s="36"/>
      <c r="R477" s="117" t="s">
        <v>2432</v>
      </c>
      <c r="S477" s="116"/>
      <c r="T477" s="116"/>
      <c r="U477" s="616">
        <v>98</v>
      </c>
      <c r="V477" s="618">
        <v>0.55759999999999998</v>
      </c>
      <c r="W477" s="619">
        <v>56</v>
      </c>
      <c r="X477" s="618">
        <v>6.0600000000000001E-2</v>
      </c>
      <c r="Y477" s="620">
        <v>94</v>
      </c>
    </row>
    <row r="478" spans="1:25" ht="12.75">
      <c r="A478" s="36" t="str">
        <f ca="1">IFERROR(__xludf.DUMMYFUNCTION("""COMPUTED_VALUE"""),"Шкумбатюк Богдана")</f>
        <v>Шкумбатюк Богдана</v>
      </c>
      <c r="B478" s="114">
        <f ca="1">IFERROR(__xludf.DUMMYFUNCTION("""COMPUTED_VALUE"""),0.0365028490028489)</f>
        <v>3.6502849002848899E-2</v>
      </c>
      <c r="C478" s="114">
        <f ca="1">IFERROR(__xludf.DUMMYFUNCTION("""COMPUTED_VALUE"""),0.840195953909189)</f>
        <v>0.840195953909189</v>
      </c>
      <c r="D478" s="114">
        <f ca="1">IFERROR(__xludf.DUMMYFUNCTION("""COMPUTED_VALUE"""),0.0255519943019942)</f>
        <v>2.5551994301994198E-2</v>
      </c>
      <c r="E478" s="36"/>
      <c r="F478" s="36"/>
      <c r="G478" s="36"/>
      <c r="H478" s="36"/>
      <c r="I478" s="36"/>
      <c r="J478" s="36"/>
      <c r="R478" s="117" t="s">
        <v>2435</v>
      </c>
      <c r="S478" s="116"/>
      <c r="T478" s="116"/>
      <c r="U478" s="616">
        <v>91</v>
      </c>
      <c r="V478" s="618">
        <v>0.42220000000000002</v>
      </c>
      <c r="W478" s="619">
        <v>42</v>
      </c>
      <c r="X478" s="618">
        <v>0</v>
      </c>
      <c r="Y478" s="620">
        <v>100</v>
      </c>
    </row>
    <row r="479" spans="1:25" ht="12.75">
      <c r="A479" s="36" t="str">
        <f ca="1">IFERROR(__xludf.DUMMYFUNCTION("""COMPUTED_VALUE"""),"Шуленко Тетяна")</f>
        <v>Шуленко Тетяна</v>
      </c>
      <c r="B479" s="114">
        <f ca="1">IFERROR(__xludf.DUMMYFUNCTION("""COMPUTED_VALUE"""),0.160714285714285)</f>
        <v>0.160714285714285</v>
      </c>
      <c r="C479" s="114">
        <f ca="1">IFERROR(__xludf.DUMMYFUNCTION("""COMPUTED_VALUE"""),0.775404044154044)</f>
        <v>0.77540404415404396</v>
      </c>
      <c r="D479" s="114">
        <f ca="1">IFERROR(__xludf.DUMMYFUNCTION("""COMPUTED_VALUE"""),0.112499999999999)</f>
        <v>0.112499999999999</v>
      </c>
      <c r="E479" s="36"/>
      <c r="F479" s="36"/>
      <c r="G479" s="36"/>
      <c r="H479" s="36"/>
      <c r="I479" s="36"/>
      <c r="J479" s="36"/>
      <c r="R479" s="117" t="s">
        <v>2438</v>
      </c>
      <c r="S479" s="116"/>
      <c r="T479" s="116"/>
      <c r="U479" s="616">
        <v>85</v>
      </c>
      <c r="V479" s="618">
        <v>0.42420000000000002</v>
      </c>
      <c r="W479" s="619">
        <v>42</v>
      </c>
      <c r="X479" s="618">
        <v>0.1167</v>
      </c>
      <c r="Y479" s="620">
        <v>88</v>
      </c>
    </row>
    <row r="480" spans="1:25" ht="12.75">
      <c r="A480" s="36" t="str">
        <f ca="1">IFERROR(__xludf.DUMMYFUNCTION("""COMPUTED_VALUE"""),"Шульга Дмитро")</f>
        <v>Шульга Дмитро</v>
      </c>
      <c r="B480" s="114">
        <f ca="1">IFERROR(__xludf.DUMMYFUNCTION("""COMPUTED_VALUE"""),0.019325912183055)</f>
        <v>1.9325912183054999E-2</v>
      </c>
      <c r="C480" s="114">
        <f ca="1">IFERROR(__xludf.DUMMYFUNCTION("""COMPUTED_VALUE"""),0.63059163059163)</f>
        <v>0.63059163059163004</v>
      </c>
      <c r="D480" s="114">
        <f ca="1">IFERROR(__xludf.DUMMYFUNCTION("""COMPUTED_VALUE"""),0.0135281385281385)</f>
        <v>1.35281385281385E-2</v>
      </c>
      <c r="E480" s="36"/>
      <c r="F480" s="36"/>
      <c r="G480" s="36"/>
      <c r="H480" s="36"/>
      <c r="I480" s="36"/>
      <c r="J480" s="36"/>
      <c r="R480" s="117" t="s">
        <v>2442</v>
      </c>
      <c r="S480" s="116"/>
      <c r="T480" s="116"/>
      <c r="U480" s="616">
        <v>98</v>
      </c>
      <c r="V480" s="618">
        <v>0.54920000000000002</v>
      </c>
      <c r="W480" s="619">
        <v>55</v>
      </c>
      <c r="X480" s="618">
        <v>1.15E-2</v>
      </c>
      <c r="Y480" s="620">
        <v>99</v>
      </c>
    </row>
    <row r="481" spans="1:25" ht="12.75">
      <c r="A481" s="36" t="str">
        <f ca="1">IFERROR(__xludf.DUMMYFUNCTION("""COMPUTED_VALUE"""),"Шуст Денис")</f>
        <v>Шуст Денис</v>
      </c>
      <c r="B481" s="114">
        <f ca="1">IFERROR(__xludf.DUMMYFUNCTION("""COMPUTED_VALUE"""),0)</f>
        <v>0</v>
      </c>
      <c r="C481" s="114">
        <f ca="1">IFERROR(__xludf.DUMMYFUNCTION("""COMPUTED_VALUE"""),0.658854166666666)</f>
        <v>0.65885416666666596</v>
      </c>
      <c r="D481" s="114">
        <f ca="1">IFERROR(__xludf.DUMMYFUNCTION("""COMPUTED_VALUE"""),0)</f>
        <v>0</v>
      </c>
      <c r="E481" s="36"/>
      <c r="F481" s="36"/>
      <c r="G481" s="36"/>
      <c r="H481" s="36"/>
      <c r="I481" s="36"/>
      <c r="J481" s="36"/>
      <c r="R481" s="117" t="s">
        <v>2445</v>
      </c>
      <c r="S481" s="116"/>
      <c r="T481" s="116"/>
      <c r="U481" s="616">
        <v>100</v>
      </c>
      <c r="V481" s="618">
        <v>0.76739999999999997</v>
      </c>
      <c r="W481" s="619">
        <v>77</v>
      </c>
      <c r="X481" s="618">
        <v>8.3000000000000004E-2</v>
      </c>
      <c r="Y481" s="620">
        <v>92</v>
      </c>
    </row>
    <row r="482" spans="1:25" ht="12.75">
      <c r="A482" s="36" t="str">
        <f ca="1">IFERROR(__xludf.DUMMYFUNCTION("""COMPUTED_VALUE"""),"Щегорцов Максим")</f>
        <v>Щегорцов Максим</v>
      </c>
      <c r="B482" s="114">
        <f ca="1">IFERROR(__xludf.DUMMYFUNCTION("""COMPUTED_VALUE"""),0)</f>
        <v>0</v>
      </c>
      <c r="C482" s="114">
        <f ca="1">IFERROR(__xludf.DUMMYFUNCTION("""COMPUTED_VALUE"""),0.625)</f>
        <v>0.625</v>
      </c>
      <c r="D482" s="114">
        <f ca="1">IFERROR(__xludf.DUMMYFUNCTION("""COMPUTED_VALUE"""),0)</f>
        <v>0</v>
      </c>
      <c r="E482" s="36"/>
      <c r="F482" s="36"/>
      <c r="G482" s="36"/>
      <c r="H482" s="36"/>
      <c r="I482" s="36"/>
      <c r="J482" s="36"/>
      <c r="R482" s="117" t="s">
        <v>2451</v>
      </c>
      <c r="S482" s="116"/>
      <c r="T482" s="116"/>
      <c r="U482" s="616">
        <v>95</v>
      </c>
      <c r="V482" s="618">
        <v>0.8518</v>
      </c>
      <c r="W482" s="619">
        <v>85</v>
      </c>
      <c r="X482" s="618">
        <v>3.1899999999999998E-2</v>
      </c>
      <c r="Y482" s="620">
        <v>97</v>
      </c>
    </row>
    <row r="483" spans="1:25" ht="12.75">
      <c r="A483" s="36" t="str">
        <f ca="1">IFERROR(__xludf.DUMMYFUNCTION("""COMPUTED_VALUE"""),"Юшманова Анастасія")</f>
        <v>Юшманова Анастасія</v>
      </c>
      <c r="B483" s="114">
        <f ca="1">IFERROR(__xludf.DUMMYFUNCTION("""COMPUTED_VALUE"""),0.0909090909090909)</f>
        <v>9.0909090909090898E-2</v>
      </c>
      <c r="C483" s="114">
        <f ca="1">IFERROR(__xludf.DUMMYFUNCTION("""COMPUTED_VALUE"""),0.902439024390243)</f>
        <v>0.90243902439024304</v>
      </c>
      <c r="D483" s="114">
        <f ca="1">IFERROR(__xludf.DUMMYFUNCTION("""COMPUTED_VALUE"""),0.0636363636363636)</f>
        <v>6.3636363636363602E-2</v>
      </c>
      <c r="E483" s="36"/>
      <c r="F483" s="36"/>
      <c r="G483" s="36"/>
      <c r="H483" s="36"/>
      <c r="I483" s="36"/>
      <c r="J483" s="36"/>
      <c r="R483" s="117" t="s">
        <v>2454</v>
      </c>
      <c r="S483" s="116"/>
      <c r="T483" s="116"/>
      <c r="U483" s="616">
        <v>95</v>
      </c>
      <c r="V483" s="618">
        <v>0.8</v>
      </c>
      <c r="W483" s="619">
        <v>80</v>
      </c>
      <c r="X483" s="618">
        <v>0</v>
      </c>
      <c r="Y483" s="620">
        <v>100</v>
      </c>
    </row>
    <row r="484" spans="1:25" ht="12.75">
      <c r="A484" s="36" t="str">
        <f ca="1">IFERROR(__xludf.DUMMYFUNCTION("""COMPUTED_VALUE"""),"Ющишин Валентин")</f>
        <v>Ющишин Валентин</v>
      </c>
      <c r="B484" s="114">
        <f ca="1">IFERROR(__xludf.DUMMYFUNCTION("""COMPUTED_VALUE"""),0.111111111111111)</f>
        <v>0.11111111111111099</v>
      </c>
      <c r="C484" s="114">
        <f ca="1">IFERROR(__xludf.DUMMYFUNCTION("""COMPUTED_VALUE"""),0.728140096618357)</f>
        <v>0.72814009661835699</v>
      </c>
      <c r="D484" s="114">
        <f ca="1">IFERROR(__xludf.DUMMYFUNCTION("""COMPUTED_VALUE"""),0.0777777777777777)</f>
        <v>7.7777777777777696E-2</v>
      </c>
      <c r="E484" s="36"/>
      <c r="F484" s="36"/>
      <c r="G484" s="36"/>
      <c r="H484" s="36"/>
      <c r="I484" s="36"/>
      <c r="J484" s="36"/>
      <c r="R484" s="117" t="s">
        <v>2458</v>
      </c>
      <c r="S484" s="116"/>
      <c r="T484" s="116"/>
      <c r="U484" s="616">
        <v>85</v>
      </c>
      <c r="V484" s="618">
        <v>1.3036000000000001</v>
      </c>
      <c r="W484" s="619">
        <v>130</v>
      </c>
      <c r="X484" s="618">
        <v>7.0000000000000007E-2</v>
      </c>
      <c r="Y484" s="620">
        <v>93</v>
      </c>
    </row>
    <row r="485" spans="1:25" ht="12.75">
      <c r="A485" s="36" t="str">
        <f ca="1">IFERROR(__xludf.DUMMYFUNCTION("""COMPUTED_VALUE"""),"Яковенко Дмитро")</f>
        <v>Яковенко Дмитро</v>
      </c>
      <c r="B485" s="114">
        <f ca="1">IFERROR(__xludf.DUMMYFUNCTION("""COMPUTED_VALUE"""),0.00347222222222222)</f>
        <v>3.4722222222222199E-3</v>
      </c>
      <c r="C485" s="114">
        <f ca="1">IFERROR(__xludf.DUMMYFUNCTION("""COMPUTED_VALUE"""),1.00844277673545)</f>
        <v>1.00844277673545</v>
      </c>
      <c r="D485" s="114">
        <f ca="1">IFERROR(__xludf.DUMMYFUNCTION("""COMPUTED_VALUE"""),0.00243055555555555)</f>
        <v>2.43055555555555E-3</v>
      </c>
      <c r="E485" s="36"/>
      <c r="F485" s="36"/>
      <c r="G485" s="36"/>
      <c r="H485" s="36"/>
      <c r="I485" s="36"/>
      <c r="J485" s="36"/>
      <c r="R485" s="117" t="s">
        <v>2461</v>
      </c>
      <c r="S485" s="116"/>
      <c r="T485" s="116"/>
      <c r="U485" s="616">
        <v>100</v>
      </c>
      <c r="V485" s="618">
        <v>0.5</v>
      </c>
      <c r="W485" s="619">
        <v>50</v>
      </c>
      <c r="X485" s="618">
        <v>0</v>
      </c>
      <c r="Y485" s="620">
        <v>100</v>
      </c>
    </row>
    <row r="486" spans="1:25" ht="12.75">
      <c r="A486" s="36" t="str">
        <f ca="1">IFERROR(__xludf.DUMMYFUNCTION("""COMPUTED_VALUE"""),"Янчук Володимир")</f>
        <v>Янчук Володимир</v>
      </c>
      <c r="B486" s="114">
        <f ca="1">IFERROR(__xludf.DUMMYFUNCTION("""COMPUTED_VALUE"""),0)</f>
        <v>0</v>
      </c>
      <c r="C486" s="114">
        <f ca="1">IFERROR(__xludf.DUMMYFUNCTION("""COMPUTED_VALUE"""),0.3)</f>
        <v>0.3</v>
      </c>
      <c r="D486" s="114">
        <f ca="1">IFERROR(__xludf.DUMMYFUNCTION("""COMPUTED_VALUE"""),0)</f>
        <v>0</v>
      </c>
      <c r="E486" s="36"/>
      <c r="F486" s="36"/>
      <c r="G486" s="36"/>
      <c r="H486" s="36"/>
      <c r="I486" s="36"/>
      <c r="J486" s="36"/>
      <c r="R486" s="117" t="s">
        <v>2464</v>
      </c>
      <c r="S486" s="116"/>
      <c r="T486" s="116"/>
      <c r="U486" s="616">
        <v>95</v>
      </c>
      <c r="V486" s="618">
        <v>0.97550000000000003</v>
      </c>
      <c r="W486" s="619">
        <v>98</v>
      </c>
      <c r="X486" s="618">
        <v>3.5000000000000003E-2</v>
      </c>
      <c r="Y486" s="620">
        <v>97</v>
      </c>
    </row>
    <row r="487" spans="1:25" ht="12.75">
      <c r="A487" s="36" t="str">
        <f ca="1">IFERROR(__xludf.DUMMYFUNCTION("""COMPUTED_VALUE"""),"Яремчук Юлія")</f>
        <v>Яремчук Юлія</v>
      </c>
      <c r="B487" s="114">
        <f ca="1">IFERROR(__xludf.DUMMYFUNCTION("""COMPUTED_VALUE"""),0.2)</f>
        <v>0.2</v>
      </c>
      <c r="C487" s="114">
        <f ca="1">IFERROR(__xludf.DUMMYFUNCTION("""COMPUTED_VALUE"""),0.789473684210526)</f>
        <v>0.78947368421052599</v>
      </c>
      <c r="D487" s="114">
        <f ca="1">IFERROR(__xludf.DUMMYFUNCTION("""COMPUTED_VALUE"""),0.139999999999999)</f>
        <v>0.13999999999999899</v>
      </c>
      <c r="E487" s="36"/>
      <c r="F487" s="36"/>
      <c r="G487" s="36"/>
      <c r="H487" s="36"/>
      <c r="I487" s="36"/>
      <c r="J487" s="36"/>
      <c r="R487" s="117" t="s">
        <v>2467</v>
      </c>
      <c r="S487" s="116"/>
      <c r="T487" s="116"/>
      <c r="U487" s="616">
        <v>77</v>
      </c>
      <c r="V487" s="618">
        <v>1.2958000000000001</v>
      </c>
      <c r="W487" s="619">
        <v>130</v>
      </c>
      <c r="X487" s="618">
        <v>-4.1700000000000001E-2</v>
      </c>
      <c r="Y487" s="620">
        <v>104</v>
      </c>
    </row>
    <row r="488" spans="1:25" ht="12.75">
      <c r="A488" s="36" t="str">
        <f ca="1">IFERROR(__xludf.DUMMYFUNCTION("""COMPUTED_VALUE"""),"Ярощук Дмитро")</f>
        <v>Ярощук Дмитро</v>
      </c>
      <c r="B488" s="114">
        <f ca="1">IFERROR(__xludf.DUMMYFUNCTION("""COMPUTED_VALUE"""),0)</f>
        <v>0</v>
      </c>
      <c r="C488" s="114">
        <f ca="1">IFERROR(__xludf.DUMMYFUNCTION("""COMPUTED_VALUE"""),0.729166666666666)</f>
        <v>0.72916666666666596</v>
      </c>
      <c r="D488" s="114">
        <f ca="1">IFERROR(__xludf.DUMMYFUNCTION("""COMPUTED_VALUE"""),0)</f>
        <v>0</v>
      </c>
      <c r="E488" s="36"/>
      <c r="F488" s="36"/>
      <c r="G488" s="36"/>
      <c r="H488" s="36"/>
      <c r="I488" s="36"/>
      <c r="J488" s="36"/>
      <c r="R488" s="117" t="s">
        <v>2471</v>
      </c>
      <c r="S488" s="116"/>
      <c r="T488" s="116"/>
      <c r="U488" s="616">
        <v>92</v>
      </c>
      <c r="V488" s="618">
        <v>0.75</v>
      </c>
      <c r="W488" s="619">
        <v>75</v>
      </c>
      <c r="X488" s="618">
        <v>-3.5000000000000003E-2</v>
      </c>
      <c r="Y488" s="620">
        <v>104</v>
      </c>
    </row>
    <row r="489" spans="1:25" ht="12.75">
      <c r="A489" s="36" t="str">
        <f ca="1">IFERROR(__xludf.DUMMYFUNCTION("""COMPUTED_VALUE"""),"Яскульська Христина")</f>
        <v>Яскульська Христина</v>
      </c>
      <c r="B489" s="114">
        <f ca="1">IFERROR(__xludf.DUMMYFUNCTION("""COMPUTED_VALUE"""),0.25)</f>
        <v>0.25</v>
      </c>
      <c r="C489" s="114">
        <f ca="1">IFERROR(__xludf.DUMMYFUNCTION("""COMPUTED_VALUE"""),0.875879917184265)</f>
        <v>0.87587991718426506</v>
      </c>
      <c r="D489" s="114">
        <f ca="1">IFERROR(__xludf.DUMMYFUNCTION("""COMPUTED_VALUE"""),0.175)</f>
        <v>0.17499999999999999</v>
      </c>
      <c r="E489" s="36"/>
      <c r="F489" s="36"/>
      <c r="G489" s="36"/>
      <c r="H489" s="36"/>
      <c r="I489" s="36"/>
      <c r="J489" s="36"/>
      <c r="R489" s="117" t="s">
        <v>2474</v>
      </c>
      <c r="S489" s="116"/>
      <c r="T489" s="116"/>
      <c r="U489" s="616">
        <v>88</v>
      </c>
      <c r="V489" s="618">
        <v>1</v>
      </c>
      <c r="W489" s="619">
        <v>100</v>
      </c>
      <c r="X489" s="618">
        <v>0</v>
      </c>
      <c r="Y489" s="620">
        <v>100</v>
      </c>
    </row>
    <row r="490" spans="1:25" ht="12.75">
      <c r="A490" s="36" t="str">
        <f ca="1">IFERROR(__xludf.DUMMYFUNCTION("""COMPUTED_VALUE"""),"Загальний результат")</f>
        <v>Загальний результат</v>
      </c>
      <c r="B490" s="114">
        <f ca="1">IFERROR(__xludf.DUMMYFUNCTION("""COMPUTED_VALUE"""),0.0590561922297243)</f>
        <v>5.9056192229724302E-2</v>
      </c>
      <c r="C490" s="114">
        <f ca="1">IFERROR(__xludf.DUMMYFUNCTION("""COMPUTED_VALUE"""),0.78163847670995)</f>
        <v>0.78163847670995001</v>
      </c>
      <c r="D490" s="114">
        <f ca="1">IFERROR(__xludf.DUMMYFUNCTION("""COMPUTED_VALUE"""),0.041339334560807)</f>
        <v>4.1339334560807003E-2</v>
      </c>
      <c r="E490" s="36"/>
      <c r="F490" s="36"/>
      <c r="G490" s="36"/>
      <c r="H490" s="36"/>
      <c r="I490" s="36"/>
      <c r="J490" s="36"/>
      <c r="R490" s="117" t="s">
        <v>1601</v>
      </c>
      <c r="S490" s="116"/>
      <c r="T490" s="116"/>
      <c r="U490" s="616">
        <v>92</v>
      </c>
      <c r="V490" s="618">
        <v>1.4355</v>
      </c>
      <c r="W490" s="619">
        <v>144</v>
      </c>
      <c r="X490" s="618">
        <v>0.17499999999999999</v>
      </c>
      <c r="Y490" s="620">
        <v>83</v>
      </c>
    </row>
    <row r="491" spans="1:25" ht="12.75">
      <c r="A491" s="36"/>
      <c r="B491" s="114"/>
      <c r="C491" s="36"/>
      <c r="D491" s="114">
        <f ca="1">IFERROR(__xludf.DUMMYFUNCTION("""COMPUTED_VALUE"""),0)</f>
        <v>0</v>
      </c>
      <c r="E491" s="36"/>
      <c r="F491" s="36"/>
      <c r="G491" s="36"/>
      <c r="H491" s="36"/>
      <c r="I491" s="36"/>
      <c r="J491" s="36"/>
      <c r="R491" s="117" t="s">
        <v>2478</v>
      </c>
      <c r="S491" s="116"/>
      <c r="T491" s="116"/>
      <c r="U491" s="616">
        <v>91</v>
      </c>
      <c r="V491" s="618">
        <v>0.80489999999999995</v>
      </c>
      <c r="W491" s="619">
        <v>80</v>
      </c>
      <c r="X491" s="618">
        <v>8.3599999999999994E-2</v>
      </c>
      <c r="Y491" s="620">
        <v>92</v>
      </c>
    </row>
    <row r="492" spans="1:25" ht="12.75">
      <c r="A492" s="36"/>
      <c r="B492" s="114"/>
      <c r="C492" s="36"/>
      <c r="D492" s="114">
        <f ca="1">IFERROR(__xludf.DUMMYFUNCTION("""COMPUTED_VALUE"""),0)</f>
        <v>0</v>
      </c>
      <c r="E492" s="36"/>
      <c r="F492" s="36"/>
      <c r="G492" s="36"/>
      <c r="H492" s="36"/>
      <c r="I492" s="36"/>
      <c r="J492" s="36"/>
      <c r="R492" s="117" t="s">
        <v>2481</v>
      </c>
      <c r="S492" s="116"/>
      <c r="T492" s="116"/>
      <c r="U492" s="616">
        <v>94</v>
      </c>
      <c r="V492" s="618">
        <v>0.50829999999999997</v>
      </c>
      <c r="W492" s="619">
        <v>51</v>
      </c>
      <c r="X492" s="618">
        <v>-1.15E-2</v>
      </c>
      <c r="Y492" s="620">
        <v>101</v>
      </c>
    </row>
    <row r="493" spans="1:25" ht="12.75">
      <c r="A493" s="36"/>
      <c r="B493" s="114"/>
      <c r="C493" s="36"/>
      <c r="D493" s="114">
        <f ca="1">IFERROR(__xludf.DUMMYFUNCTION("""COMPUTED_VALUE"""),0)</f>
        <v>0</v>
      </c>
      <c r="E493" s="36"/>
      <c r="F493" s="36"/>
      <c r="G493" s="36"/>
      <c r="H493" s="36"/>
      <c r="I493" s="36"/>
      <c r="J493" s="36"/>
      <c r="R493" s="117" t="s">
        <v>2484</v>
      </c>
      <c r="S493" s="116"/>
      <c r="T493" s="116"/>
      <c r="U493" s="616">
        <v>88</v>
      </c>
      <c r="V493" s="618">
        <v>0.84909999999999997</v>
      </c>
      <c r="W493" s="619">
        <v>85</v>
      </c>
      <c r="X493" s="618">
        <v>2.1399999999999999E-2</v>
      </c>
      <c r="Y493" s="620">
        <v>98</v>
      </c>
    </row>
    <row r="494" spans="1:25" ht="12.75">
      <c r="A494" s="36"/>
      <c r="B494" s="114"/>
      <c r="C494" s="36"/>
      <c r="D494" s="114">
        <f ca="1">IFERROR(__xludf.DUMMYFUNCTION("""COMPUTED_VALUE"""),0)</f>
        <v>0</v>
      </c>
      <c r="E494" s="36"/>
      <c r="F494" s="36"/>
      <c r="G494" s="36"/>
      <c r="H494" s="36"/>
      <c r="I494" s="36"/>
      <c r="J494" s="36"/>
      <c r="R494" s="117" t="s">
        <v>2487</v>
      </c>
      <c r="S494" s="116"/>
      <c r="T494" s="116"/>
      <c r="U494" s="616">
        <v>95</v>
      </c>
      <c r="V494" s="618">
        <v>0.98980000000000001</v>
      </c>
      <c r="W494" s="619">
        <v>99</v>
      </c>
      <c r="X494" s="618">
        <v>6.8400000000000002E-2</v>
      </c>
      <c r="Y494" s="620">
        <v>93</v>
      </c>
    </row>
    <row r="495" spans="1:25" ht="12.75">
      <c r="A495" s="36"/>
      <c r="B495" s="114"/>
      <c r="C495" s="36"/>
      <c r="D495" s="114">
        <f ca="1">IFERROR(__xludf.DUMMYFUNCTION("""COMPUTED_VALUE"""),0)</f>
        <v>0</v>
      </c>
      <c r="E495" s="36"/>
      <c r="F495" s="36"/>
      <c r="G495" s="36"/>
      <c r="H495" s="36"/>
      <c r="I495" s="36"/>
      <c r="J495" s="36"/>
      <c r="R495" s="117" t="s">
        <v>2491</v>
      </c>
      <c r="S495" s="116"/>
      <c r="T495" s="116"/>
      <c r="U495" s="616">
        <v>96</v>
      </c>
      <c r="V495" s="618">
        <v>0.74060000000000004</v>
      </c>
      <c r="W495" s="619">
        <v>74</v>
      </c>
      <c r="X495" s="618">
        <v>6.08E-2</v>
      </c>
      <c r="Y495" s="620">
        <v>94</v>
      </c>
    </row>
    <row r="496" spans="1:25" ht="12.75">
      <c r="A496" s="36"/>
      <c r="B496" s="114"/>
      <c r="C496" s="36"/>
      <c r="D496" s="36"/>
      <c r="E496" s="36"/>
      <c r="F496" s="36"/>
      <c r="G496" s="36"/>
      <c r="H496" s="36"/>
      <c r="I496" s="36"/>
      <c r="J496" s="36"/>
      <c r="R496" s="117" t="s">
        <v>2494</v>
      </c>
      <c r="S496" s="116"/>
      <c r="T496" s="116"/>
      <c r="U496" s="616">
        <v>92</v>
      </c>
      <c r="V496" s="618">
        <v>0.37430000000000002</v>
      </c>
      <c r="W496" s="619">
        <v>37</v>
      </c>
      <c r="X496" s="618">
        <v>2.23E-2</v>
      </c>
      <c r="Y496" s="620">
        <v>98</v>
      </c>
    </row>
    <row r="497" spans="1:25" ht="12.75">
      <c r="A497" s="36"/>
      <c r="B497" s="114"/>
      <c r="C497" s="36"/>
      <c r="D497" s="36"/>
      <c r="E497" s="36"/>
      <c r="F497" s="36"/>
      <c r="G497" s="36"/>
      <c r="H497" s="36"/>
      <c r="I497" s="36"/>
      <c r="J497" s="36"/>
      <c r="R497" s="117" t="s">
        <v>2497</v>
      </c>
      <c r="S497" s="116"/>
      <c r="T497" s="116"/>
      <c r="U497" s="616">
        <v>97</v>
      </c>
      <c r="V497" s="618">
        <v>0.47970000000000002</v>
      </c>
      <c r="W497" s="619">
        <v>48</v>
      </c>
      <c r="X497" s="618">
        <v>0.05</v>
      </c>
      <c r="Y497" s="620">
        <v>95</v>
      </c>
    </row>
    <row r="498" spans="1:25" ht="12.75">
      <c r="A498" s="36"/>
      <c r="B498" s="114"/>
      <c r="C498" s="36"/>
      <c r="D498" s="36"/>
      <c r="E498" s="36"/>
      <c r="F498" s="36"/>
      <c r="G498" s="36"/>
      <c r="H498" s="36"/>
      <c r="I498" s="36"/>
      <c r="J498" s="36"/>
      <c r="R498" s="117" t="s">
        <v>2503</v>
      </c>
      <c r="S498" s="116"/>
      <c r="T498" s="116"/>
      <c r="U498" s="616">
        <v>98</v>
      </c>
      <c r="V498" s="618">
        <v>0.98680000000000001</v>
      </c>
      <c r="W498" s="619">
        <v>99</v>
      </c>
      <c r="X498" s="618">
        <v>9.5500000000000002E-2</v>
      </c>
      <c r="Y498" s="620">
        <v>90</v>
      </c>
    </row>
    <row r="499" spans="1:25" ht="12.75">
      <c r="A499" s="36"/>
      <c r="B499" s="114"/>
      <c r="C499" s="36"/>
      <c r="D499" s="36"/>
      <c r="E499" s="36"/>
      <c r="F499" s="36"/>
      <c r="G499" s="36"/>
      <c r="H499" s="36"/>
      <c r="I499" s="36"/>
      <c r="J499" s="36"/>
      <c r="R499" s="117" t="s">
        <v>2506</v>
      </c>
      <c r="S499" s="116"/>
      <c r="T499" s="116"/>
      <c r="U499" s="616">
        <v>71</v>
      </c>
      <c r="V499" s="116" t="s">
        <v>9805</v>
      </c>
      <c r="W499" s="617" t="s">
        <v>9805</v>
      </c>
      <c r="X499" s="116" t="s">
        <v>9805</v>
      </c>
      <c r="Y499" s="116" t="s">
        <v>9805</v>
      </c>
    </row>
    <row r="500" spans="1:25" ht="12.75">
      <c r="A500" s="36"/>
      <c r="B500" s="114"/>
      <c r="C500" s="36"/>
      <c r="D500" s="36"/>
      <c r="E500" s="36"/>
      <c r="F500" s="36"/>
      <c r="G500" s="36"/>
      <c r="H500" s="36"/>
      <c r="I500" s="36"/>
      <c r="J500" s="36"/>
      <c r="R500" s="117" t="s">
        <v>2509</v>
      </c>
      <c r="S500" s="116"/>
      <c r="T500" s="116"/>
      <c r="U500" s="616">
        <v>96</v>
      </c>
      <c r="V500" s="618">
        <v>0.95760000000000001</v>
      </c>
      <c r="W500" s="619">
        <v>96</v>
      </c>
      <c r="X500" s="618">
        <v>5.8299999999999998E-2</v>
      </c>
      <c r="Y500" s="620">
        <v>94</v>
      </c>
    </row>
    <row r="501" spans="1:25" ht="12.75">
      <c r="A501" s="36"/>
      <c r="B501" s="114"/>
      <c r="C501" s="36"/>
      <c r="D501" s="36"/>
      <c r="E501" s="36"/>
      <c r="F501" s="36"/>
      <c r="G501" s="36"/>
      <c r="H501" s="36"/>
      <c r="I501" s="36"/>
      <c r="J501" s="36"/>
      <c r="R501" s="117" t="s">
        <v>2512</v>
      </c>
      <c r="S501" s="116"/>
      <c r="T501" s="116"/>
      <c r="U501" s="616">
        <v>90</v>
      </c>
      <c r="V501" s="618">
        <v>1.3571</v>
      </c>
      <c r="W501" s="619">
        <v>136</v>
      </c>
      <c r="X501" s="618">
        <v>0</v>
      </c>
      <c r="Y501" s="620">
        <v>100</v>
      </c>
    </row>
    <row r="502" spans="1:25" ht="12.75">
      <c r="A502" s="36"/>
      <c r="B502" s="114"/>
      <c r="C502" s="36"/>
      <c r="D502" s="36"/>
      <c r="E502" s="36"/>
      <c r="F502" s="36"/>
      <c r="G502" s="36"/>
      <c r="H502" s="36"/>
      <c r="I502" s="36"/>
      <c r="J502" s="36"/>
      <c r="R502" s="117" t="s">
        <v>2519</v>
      </c>
      <c r="S502" s="116"/>
      <c r="T502" s="116"/>
      <c r="U502" s="616">
        <v>96</v>
      </c>
      <c r="V502" s="618">
        <v>0.4919</v>
      </c>
      <c r="W502" s="619">
        <v>49</v>
      </c>
      <c r="X502" s="618">
        <v>2.1100000000000001E-2</v>
      </c>
      <c r="Y502" s="620">
        <v>98</v>
      </c>
    </row>
    <row r="503" spans="1:25" ht="12.75">
      <c r="A503" s="36"/>
      <c r="B503" s="114"/>
      <c r="C503" s="36"/>
      <c r="D503" s="36"/>
      <c r="E503" s="36"/>
      <c r="F503" s="36"/>
      <c r="G503" s="36"/>
      <c r="H503" s="36"/>
      <c r="I503" s="36"/>
      <c r="J503" s="36"/>
      <c r="R503" s="117" t="s">
        <v>2522</v>
      </c>
      <c r="S503" s="116"/>
      <c r="T503" s="116"/>
      <c r="U503" s="616">
        <v>93</v>
      </c>
      <c r="V503" s="618">
        <v>0.32840000000000003</v>
      </c>
      <c r="W503" s="619">
        <v>33</v>
      </c>
      <c r="X503" s="618">
        <v>0</v>
      </c>
      <c r="Y503" s="620">
        <v>100</v>
      </c>
    </row>
    <row r="504" spans="1:25" ht="12.75">
      <c r="A504" s="36"/>
      <c r="B504" s="114"/>
      <c r="C504" s="36"/>
      <c r="D504" s="36"/>
      <c r="E504" s="36"/>
      <c r="F504" s="36"/>
      <c r="G504" s="36"/>
      <c r="H504" s="36"/>
      <c r="I504" s="36"/>
      <c r="J504" s="36"/>
      <c r="R504" s="117" t="s">
        <v>2525</v>
      </c>
      <c r="S504" s="116"/>
      <c r="T504" s="116"/>
      <c r="U504" s="616">
        <v>95</v>
      </c>
      <c r="V504" s="618">
        <v>0.70320000000000005</v>
      </c>
      <c r="W504" s="619">
        <v>70</v>
      </c>
      <c r="X504" s="618">
        <v>1.3599999999999999E-2</v>
      </c>
      <c r="Y504" s="620">
        <v>99</v>
      </c>
    </row>
    <row r="505" spans="1:25" ht="12.75">
      <c r="A505" s="36"/>
      <c r="B505" s="114"/>
      <c r="C505" s="36"/>
      <c r="D505" s="36"/>
      <c r="E505" s="36"/>
      <c r="F505" s="36"/>
      <c r="G505" s="36"/>
      <c r="H505" s="36"/>
      <c r="I505" s="36"/>
      <c r="J505" s="36"/>
      <c r="R505" s="117" t="s">
        <v>2528</v>
      </c>
      <c r="S505" s="116"/>
      <c r="T505" s="116"/>
      <c r="U505" s="616">
        <v>92</v>
      </c>
      <c r="V505" s="618">
        <v>0.69350000000000001</v>
      </c>
      <c r="W505" s="619">
        <v>69</v>
      </c>
      <c r="X505" s="618">
        <v>1.8800000000000001E-2</v>
      </c>
      <c r="Y505" s="620">
        <v>98</v>
      </c>
    </row>
    <row r="506" spans="1:25" ht="12.75">
      <c r="A506" s="36"/>
      <c r="B506" s="114"/>
      <c r="C506" s="36"/>
      <c r="D506" s="36"/>
      <c r="E506" s="36"/>
      <c r="F506" s="36"/>
      <c r="G506" s="36"/>
      <c r="H506" s="36"/>
      <c r="I506" s="36"/>
      <c r="J506" s="36"/>
      <c r="R506" s="117" t="s">
        <v>2531</v>
      </c>
      <c r="S506" s="116"/>
      <c r="T506" s="116"/>
      <c r="U506" s="616">
        <v>82</v>
      </c>
      <c r="V506" s="618">
        <v>0.82350000000000001</v>
      </c>
      <c r="W506" s="619">
        <v>82</v>
      </c>
      <c r="X506" s="618">
        <v>0.1167</v>
      </c>
      <c r="Y506" s="620">
        <v>88</v>
      </c>
    </row>
    <row r="507" spans="1:25" ht="12.75">
      <c r="A507" s="36"/>
      <c r="B507" s="114"/>
      <c r="C507" s="36"/>
      <c r="D507" s="36"/>
      <c r="E507" s="36"/>
      <c r="F507" s="36"/>
      <c r="G507" s="36"/>
      <c r="H507" s="36"/>
      <c r="I507" s="36"/>
      <c r="J507" s="36"/>
      <c r="R507" s="117" t="s">
        <v>2534</v>
      </c>
      <c r="S507" s="116"/>
      <c r="T507" s="116"/>
      <c r="U507" s="616">
        <v>91</v>
      </c>
      <c r="V507" s="618">
        <v>0.73880000000000001</v>
      </c>
      <c r="W507" s="619">
        <v>74</v>
      </c>
      <c r="X507" s="618">
        <v>3.5900000000000001E-2</v>
      </c>
      <c r="Y507" s="620">
        <v>96</v>
      </c>
    </row>
    <row r="508" spans="1:25" ht="12.75">
      <c r="A508" s="36"/>
      <c r="B508" s="114"/>
      <c r="C508" s="36"/>
      <c r="D508" s="36"/>
      <c r="E508" s="36"/>
      <c r="F508" s="36"/>
      <c r="G508" s="36"/>
      <c r="H508" s="36"/>
      <c r="I508" s="36"/>
      <c r="J508" s="36"/>
      <c r="R508" s="117" t="s">
        <v>2537</v>
      </c>
      <c r="S508" s="116"/>
      <c r="T508" s="116"/>
      <c r="U508" s="616">
        <v>92</v>
      </c>
      <c r="V508" s="618">
        <v>0.64529999999999998</v>
      </c>
      <c r="W508" s="619">
        <v>65</v>
      </c>
      <c r="X508" s="618">
        <v>4.36E-2</v>
      </c>
      <c r="Y508" s="620">
        <v>96</v>
      </c>
    </row>
    <row r="509" spans="1:25" ht="12.75">
      <c r="A509" s="36"/>
      <c r="B509" s="114"/>
      <c r="C509" s="36"/>
      <c r="D509" s="36"/>
      <c r="E509" s="36"/>
      <c r="F509" s="36"/>
      <c r="G509" s="36"/>
      <c r="H509" s="36"/>
      <c r="I509" s="36"/>
      <c r="J509" s="36"/>
      <c r="R509" s="117" t="s">
        <v>2540</v>
      </c>
      <c r="S509" s="116"/>
      <c r="T509" s="116"/>
      <c r="U509" s="616">
        <v>100</v>
      </c>
      <c r="V509" s="618">
        <v>0.83699999999999997</v>
      </c>
      <c r="W509" s="619">
        <v>84</v>
      </c>
      <c r="X509" s="618">
        <v>5.9299999999999999E-2</v>
      </c>
      <c r="Y509" s="620">
        <v>94</v>
      </c>
    </row>
    <row r="510" spans="1:25" ht="12.75">
      <c r="A510" s="36"/>
      <c r="B510" s="114"/>
      <c r="C510" s="36"/>
      <c r="D510" s="36"/>
      <c r="E510" s="36"/>
      <c r="F510" s="36"/>
      <c r="G510" s="36"/>
      <c r="H510" s="36"/>
      <c r="I510" s="36"/>
      <c r="J510" s="36"/>
      <c r="R510" s="117" t="s">
        <v>2543</v>
      </c>
      <c r="S510" s="116"/>
      <c r="T510" s="116"/>
      <c r="U510" s="616">
        <v>91</v>
      </c>
      <c r="V510" s="618">
        <v>0.97899999999999998</v>
      </c>
      <c r="W510" s="619">
        <v>98</v>
      </c>
      <c r="X510" s="618">
        <v>2.5000000000000001E-2</v>
      </c>
      <c r="Y510" s="620">
        <v>98</v>
      </c>
    </row>
    <row r="511" spans="1:25" ht="12.75">
      <c r="A511" s="36"/>
      <c r="B511" s="114"/>
      <c r="C511" s="36"/>
      <c r="D511" s="36"/>
      <c r="E511" s="36"/>
      <c r="F511" s="36"/>
      <c r="G511" s="36"/>
      <c r="H511" s="36"/>
      <c r="I511" s="36"/>
      <c r="J511" s="36"/>
      <c r="R511" s="117" t="s">
        <v>2549</v>
      </c>
      <c r="S511" s="116"/>
      <c r="T511" s="116"/>
      <c r="U511" s="616">
        <v>88</v>
      </c>
      <c r="V511" s="618">
        <v>0.43309999999999998</v>
      </c>
      <c r="W511" s="619">
        <v>43</v>
      </c>
      <c r="X511" s="618">
        <v>0.1071</v>
      </c>
      <c r="Y511" s="620">
        <v>89</v>
      </c>
    </row>
    <row r="512" spans="1:25" ht="12.75">
      <c r="A512" s="36"/>
      <c r="B512" s="114"/>
      <c r="C512" s="36"/>
      <c r="D512" s="36"/>
      <c r="E512" s="36"/>
      <c r="F512" s="36"/>
      <c r="G512" s="36"/>
      <c r="H512" s="36"/>
      <c r="I512" s="36"/>
      <c r="J512" s="36"/>
      <c r="R512" s="117" t="s">
        <v>2553</v>
      </c>
      <c r="S512" s="116"/>
      <c r="T512" s="116"/>
      <c r="U512" s="616">
        <v>90</v>
      </c>
      <c r="V512" s="116" t="s">
        <v>9805</v>
      </c>
      <c r="W512" s="617" t="s">
        <v>9805</v>
      </c>
      <c r="X512" s="116" t="s">
        <v>9805</v>
      </c>
      <c r="Y512" s="116" t="s">
        <v>9805</v>
      </c>
    </row>
    <row r="513" spans="1:25" ht="12.75">
      <c r="A513" s="36"/>
      <c r="B513" s="114"/>
      <c r="C513" s="36"/>
      <c r="D513" s="36"/>
      <c r="E513" s="36"/>
      <c r="F513" s="36"/>
      <c r="G513" s="36"/>
      <c r="H513" s="36"/>
      <c r="I513" s="36"/>
      <c r="J513" s="36"/>
      <c r="R513" s="117" t="s">
        <v>2557</v>
      </c>
      <c r="S513" s="116"/>
      <c r="T513" s="116"/>
      <c r="U513" s="616">
        <v>77</v>
      </c>
      <c r="V513" s="116" t="s">
        <v>9805</v>
      </c>
      <c r="W513" s="617" t="s">
        <v>9805</v>
      </c>
      <c r="X513" s="116" t="s">
        <v>9805</v>
      </c>
      <c r="Y513" s="116" t="s">
        <v>9805</v>
      </c>
    </row>
    <row r="514" spans="1:25" ht="12.75">
      <c r="A514" s="36"/>
      <c r="B514" s="114"/>
      <c r="C514" s="36"/>
      <c r="D514" s="36"/>
      <c r="E514" s="36"/>
      <c r="F514" s="36"/>
      <c r="G514" s="36"/>
      <c r="H514" s="36"/>
      <c r="I514" s="36"/>
      <c r="J514" s="36"/>
      <c r="R514" s="117" t="s">
        <v>2560</v>
      </c>
      <c r="S514" s="116"/>
      <c r="T514" s="116"/>
      <c r="U514" s="616">
        <v>82</v>
      </c>
      <c r="V514" s="618">
        <v>0.18099999999999999</v>
      </c>
      <c r="W514" s="619">
        <v>18</v>
      </c>
      <c r="X514" s="618">
        <v>7.1000000000000004E-3</v>
      </c>
      <c r="Y514" s="620">
        <v>99</v>
      </c>
    </row>
    <row r="515" spans="1:25" ht="12.75">
      <c r="A515" s="36"/>
      <c r="B515" s="114"/>
      <c r="C515" s="36"/>
      <c r="D515" s="36"/>
      <c r="E515" s="36"/>
      <c r="F515" s="36"/>
      <c r="G515" s="36"/>
      <c r="H515" s="36"/>
      <c r="I515" s="36"/>
      <c r="J515" s="36"/>
      <c r="R515" s="117" t="s">
        <v>2564</v>
      </c>
      <c r="S515" s="116"/>
      <c r="T515" s="116"/>
      <c r="U515" s="616">
        <v>91</v>
      </c>
      <c r="V515" s="618">
        <v>0.54020000000000001</v>
      </c>
      <c r="W515" s="619">
        <v>54</v>
      </c>
      <c r="X515" s="618">
        <v>0.1273</v>
      </c>
      <c r="Y515" s="620">
        <v>87</v>
      </c>
    </row>
    <row r="516" spans="1:25" ht="12.75">
      <c r="A516" s="36"/>
      <c r="B516" s="114"/>
      <c r="C516" s="36"/>
      <c r="D516" s="36"/>
      <c r="E516" s="36"/>
      <c r="F516" s="36"/>
      <c r="G516" s="36"/>
      <c r="H516" s="36"/>
      <c r="I516" s="36"/>
      <c r="J516" s="36"/>
      <c r="R516" s="117" t="s">
        <v>2567</v>
      </c>
      <c r="S516" s="116"/>
      <c r="T516" s="116"/>
      <c r="U516" s="616">
        <v>95</v>
      </c>
      <c r="V516" s="116" t="s">
        <v>9805</v>
      </c>
      <c r="W516" s="617" t="s">
        <v>9805</v>
      </c>
      <c r="X516" s="116" t="s">
        <v>9805</v>
      </c>
      <c r="Y516" s="116" t="s">
        <v>9805</v>
      </c>
    </row>
    <row r="517" spans="1:25" ht="12.75">
      <c r="A517" s="36"/>
      <c r="B517" s="114"/>
      <c r="C517" s="36"/>
      <c r="D517" s="36"/>
      <c r="E517" s="36"/>
      <c r="F517" s="36"/>
      <c r="G517" s="36"/>
      <c r="H517" s="36"/>
      <c r="I517" s="36"/>
      <c r="J517" s="36"/>
      <c r="R517" s="117" t="s">
        <v>2570</v>
      </c>
      <c r="S517" s="116"/>
      <c r="T517" s="116"/>
      <c r="U517" s="616">
        <v>98</v>
      </c>
      <c r="V517" s="618">
        <v>0.70909999999999995</v>
      </c>
      <c r="W517" s="619">
        <v>71</v>
      </c>
      <c r="X517" s="618">
        <v>0</v>
      </c>
      <c r="Y517" s="620">
        <v>100</v>
      </c>
    </row>
    <row r="518" spans="1:25" ht="12.75">
      <c r="A518" s="36"/>
      <c r="B518" s="114"/>
      <c r="C518" s="36"/>
      <c r="D518" s="36"/>
      <c r="E518" s="36"/>
      <c r="F518" s="36"/>
      <c r="G518" s="36"/>
      <c r="H518" s="36"/>
      <c r="I518" s="36"/>
      <c r="J518" s="36"/>
      <c r="R518" s="117" t="s">
        <v>2574</v>
      </c>
      <c r="S518" s="116"/>
      <c r="T518" s="116"/>
      <c r="U518" s="616">
        <v>99</v>
      </c>
      <c r="V518" s="618">
        <v>0.23530000000000001</v>
      </c>
      <c r="W518" s="619">
        <v>24</v>
      </c>
      <c r="X518" s="618">
        <v>0.05</v>
      </c>
      <c r="Y518" s="620">
        <v>95</v>
      </c>
    </row>
    <row r="519" spans="1:25" ht="12.75">
      <c r="A519" s="36"/>
      <c r="B519" s="114"/>
      <c r="C519" s="36"/>
      <c r="D519" s="36"/>
      <c r="E519" s="36"/>
      <c r="F519" s="36"/>
      <c r="G519" s="36"/>
      <c r="H519" s="36"/>
      <c r="I519" s="36"/>
      <c r="J519" s="36"/>
      <c r="R519" s="117" t="s">
        <v>2578</v>
      </c>
      <c r="S519" s="116"/>
      <c r="T519" s="116"/>
      <c r="U519" s="616">
        <v>84</v>
      </c>
      <c r="V519" s="618">
        <v>0.56859999999999999</v>
      </c>
      <c r="W519" s="619">
        <v>57</v>
      </c>
      <c r="X519" s="618">
        <v>3.5000000000000003E-2</v>
      </c>
      <c r="Y519" s="620">
        <v>97</v>
      </c>
    </row>
    <row r="520" spans="1:25" ht="12.75">
      <c r="A520" s="36"/>
      <c r="B520" s="114"/>
      <c r="C520" s="36"/>
      <c r="D520" s="36"/>
      <c r="E520" s="36"/>
      <c r="F520" s="36"/>
      <c r="G520" s="36"/>
      <c r="H520" s="36"/>
      <c r="I520" s="36"/>
      <c r="J520" s="36"/>
      <c r="R520" s="117" t="s">
        <v>2581</v>
      </c>
      <c r="S520" s="116"/>
      <c r="T520" s="116"/>
      <c r="U520" s="616">
        <v>69</v>
      </c>
      <c r="V520" s="618">
        <v>0.6885</v>
      </c>
      <c r="W520" s="619">
        <v>69</v>
      </c>
      <c r="X520" s="618">
        <v>0</v>
      </c>
      <c r="Y520" s="620">
        <v>100</v>
      </c>
    </row>
    <row r="521" spans="1:25" ht="12.75">
      <c r="A521" s="36"/>
      <c r="B521" s="114"/>
      <c r="C521" s="36"/>
      <c r="D521" s="36"/>
      <c r="E521" s="36"/>
      <c r="F521" s="36"/>
      <c r="G521" s="36"/>
      <c r="H521" s="36"/>
      <c r="I521" s="36"/>
      <c r="J521" s="36"/>
      <c r="R521" s="117" t="s">
        <v>2584</v>
      </c>
      <c r="S521" s="116"/>
      <c r="T521" s="116"/>
      <c r="U521" s="616">
        <v>95</v>
      </c>
      <c r="V521" s="618">
        <v>0.57809999999999995</v>
      </c>
      <c r="W521" s="619">
        <v>58</v>
      </c>
      <c r="X521" s="618">
        <v>-1.2500000000000001E-2</v>
      </c>
      <c r="Y521" s="620">
        <v>101</v>
      </c>
    </row>
    <row r="522" spans="1:25" ht="12.75">
      <c r="A522" s="36"/>
      <c r="B522" s="114"/>
      <c r="C522" s="36"/>
      <c r="D522" s="36"/>
      <c r="E522" s="36"/>
      <c r="F522" s="36"/>
      <c r="G522" s="36"/>
      <c r="H522" s="36"/>
      <c r="I522" s="36"/>
      <c r="J522" s="36"/>
      <c r="R522" s="117" t="s">
        <v>2587</v>
      </c>
      <c r="S522" s="116"/>
      <c r="T522" s="116"/>
      <c r="U522" s="616">
        <v>95</v>
      </c>
      <c r="V522" s="618">
        <v>0.98519999999999996</v>
      </c>
      <c r="W522" s="619">
        <v>99</v>
      </c>
      <c r="X522" s="618">
        <v>0</v>
      </c>
      <c r="Y522" s="620">
        <v>100</v>
      </c>
    </row>
    <row r="523" spans="1:25" ht="12.75">
      <c r="A523" s="36"/>
      <c r="B523" s="114"/>
      <c r="C523" s="36"/>
      <c r="D523" s="36"/>
      <c r="E523" s="36"/>
      <c r="F523" s="36"/>
      <c r="G523" s="36"/>
      <c r="H523" s="36"/>
      <c r="I523" s="36"/>
      <c r="J523" s="36"/>
      <c r="R523" s="117" t="s">
        <v>2590</v>
      </c>
      <c r="S523" s="116"/>
      <c r="T523" s="116"/>
      <c r="U523" s="616">
        <v>96</v>
      </c>
      <c r="V523" s="618">
        <v>0.96</v>
      </c>
      <c r="W523" s="619">
        <v>96</v>
      </c>
      <c r="X523" s="618">
        <v>0.1</v>
      </c>
      <c r="Y523" s="620">
        <v>90</v>
      </c>
    </row>
    <row r="524" spans="1:25" ht="12.75">
      <c r="A524" s="36"/>
      <c r="B524" s="114"/>
      <c r="C524" s="36"/>
      <c r="D524" s="36"/>
      <c r="E524" s="36"/>
      <c r="F524" s="36"/>
      <c r="G524" s="36"/>
      <c r="H524" s="36"/>
      <c r="I524" s="36"/>
      <c r="J524" s="36"/>
      <c r="R524" s="117" t="s">
        <v>2593</v>
      </c>
      <c r="S524" s="116"/>
      <c r="T524" s="116"/>
      <c r="U524" s="616">
        <v>100</v>
      </c>
      <c r="V524" s="618">
        <v>0.55169999999999997</v>
      </c>
      <c r="W524" s="619">
        <v>55</v>
      </c>
      <c r="X524" s="618">
        <v>3.7499999999999999E-2</v>
      </c>
      <c r="Y524" s="620">
        <v>96</v>
      </c>
    </row>
    <row r="525" spans="1:25" ht="12.75">
      <c r="A525" s="36"/>
      <c r="B525" s="114"/>
      <c r="C525" s="36"/>
      <c r="D525" s="36"/>
      <c r="E525" s="36"/>
      <c r="F525" s="36"/>
      <c r="G525" s="36"/>
      <c r="H525" s="36"/>
      <c r="I525" s="36"/>
      <c r="J525" s="36"/>
      <c r="R525" s="117" t="s">
        <v>2596</v>
      </c>
      <c r="S525" s="116"/>
      <c r="T525" s="116"/>
      <c r="U525" s="616">
        <v>95</v>
      </c>
      <c r="V525" s="618">
        <v>0.63639999999999997</v>
      </c>
      <c r="W525" s="619">
        <v>64</v>
      </c>
      <c r="X525" s="618">
        <v>-3.3300000000000003E-2</v>
      </c>
      <c r="Y525" s="620">
        <v>103</v>
      </c>
    </row>
    <row r="526" spans="1:25" ht="12.75">
      <c r="A526" s="36"/>
      <c r="B526" s="114"/>
      <c r="C526" s="36"/>
      <c r="D526" s="36"/>
      <c r="E526" s="36"/>
      <c r="F526" s="36"/>
      <c r="G526" s="36"/>
      <c r="H526" s="36"/>
      <c r="I526" s="36"/>
      <c r="J526" s="36"/>
      <c r="R526" s="117" t="s">
        <v>2599</v>
      </c>
      <c r="S526" s="116"/>
      <c r="T526" s="116"/>
      <c r="U526" s="616">
        <v>71</v>
      </c>
      <c r="V526" s="618">
        <v>0.77270000000000005</v>
      </c>
      <c r="W526" s="619">
        <v>77</v>
      </c>
      <c r="X526" s="618">
        <v>0</v>
      </c>
      <c r="Y526" s="620">
        <v>100</v>
      </c>
    </row>
    <row r="527" spans="1:25" ht="12.75">
      <c r="A527" s="36"/>
      <c r="B527" s="114"/>
      <c r="C527" s="36"/>
      <c r="D527" s="36"/>
      <c r="E527" s="36"/>
      <c r="F527" s="36"/>
      <c r="G527" s="36"/>
      <c r="H527" s="36"/>
      <c r="I527" s="36"/>
      <c r="J527" s="36"/>
      <c r="R527" s="117" t="s">
        <v>2602</v>
      </c>
      <c r="S527" s="116"/>
      <c r="T527" s="116"/>
      <c r="U527" s="616">
        <v>90</v>
      </c>
      <c r="V527" s="618">
        <v>1.1875</v>
      </c>
      <c r="W527" s="619">
        <v>119</v>
      </c>
      <c r="X527" s="618">
        <v>0.17499999999999999</v>
      </c>
      <c r="Y527" s="620">
        <v>83</v>
      </c>
    </row>
    <row r="528" spans="1:25" ht="12.75">
      <c r="A528" s="36"/>
      <c r="B528" s="114"/>
      <c r="C528" s="36"/>
      <c r="D528" s="36"/>
      <c r="E528" s="36"/>
      <c r="F528" s="36"/>
      <c r="G528" s="36"/>
      <c r="H528" s="36"/>
      <c r="I528" s="36"/>
      <c r="J528" s="36"/>
      <c r="R528" s="117" t="s">
        <v>2605</v>
      </c>
      <c r="S528" s="116"/>
      <c r="T528" s="116"/>
      <c r="U528" s="616">
        <v>83</v>
      </c>
      <c r="V528" s="116" t="s">
        <v>9805</v>
      </c>
      <c r="W528" s="617" t="s">
        <v>9805</v>
      </c>
      <c r="X528" s="116" t="s">
        <v>9805</v>
      </c>
      <c r="Y528" s="116" t="s">
        <v>9805</v>
      </c>
    </row>
    <row r="529" spans="1:25" ht="12.75">
      <c r="A529" s="36"/>
      <c r="B529" s="114"/>
      <c r="C529" s="36"/>
      <c r="D529" s="36"/>
      <c r="E529" s="36"/>
      <c r="F529" s="36"/>
      <c r="G529" s="36"/>
      <c r="H529" s="36"/>
      <c r="I529" s="36"/>
      <c r="J529" s="36"/>
      <c r="R529" s="117" t="s">
        <v>2608</v>
      </c>
      <c r="S529" s="116"/>
      <c r="T529" s="116"/>
      <c r="U529" s="616">
        <v>82</v>
      </c>
      <c r="V529" s="618">
        <v>0.1111</v>
      </c>
      <c r="W529" s="619">
        <v>11</v>
      </c>
      <c r="X529" s="618">
        <v>0</v>
      </c>
      <c r="Y529" s="620">
        <v>100</v>
      </c>
    </row>
    <row r="530" spans="1:25" ht="12.75">
      <c r="A530" s="36"/>
      <c r="B530" s="114"/>
      <c r="C530" s="36"/>
      <c r="D530" s="36"/>
      <c r="E530" s="36"/>
      <c r="F530" s="36"/>
      <c r="G530" s="36"/>
      <c r="H530" s="36"/>
      <c r="I530" s="36"/>
      <c r="J530" s="36"/>
      <c r="R530" s="117" t="s">
        <v>2612</v>
      </c>
      <c r="S530" s="116"/>
      <c r="T530" s="116"/>
      <c r="U530" s="616">
        <v>91</v>
      </c>
      <c r="V530" s="618">
        <v>0.5756</v>
      </c>
      <c r="W530" s="619">
        <v>58</v>
      </c>
      <c r="X530" s="618">
        <v>1.8700000000000001E-2</v>
      </c>
      <c r="Y530" s="620">
        <v>98</v>
      </c>
    </row>
    <row r="531" spans="1:25" ht="12.75">
      <c r="A531" s="36"/>
      <c r="B531" s="114"/>
      <c r="C531" s="36"/>
      <c r="D531" s="36"/>
      <c r="E531" s="36"/>
      <c r="F531" s="36"/>
      <c r="G531" s="36"/>
      <c r="H531" s="36"/>
      <c r="I531" s="36"/>
      <c r="J531" s="36"/>
      <c r="R531" s="117" t="s">
        <v>2615</v>
      </c>
      <c r="S531" s="116"/>
      <c r="T531" s="116"/>
      <c r="U531" s="616">
        <v>96</v>
      </c>
      <c r="V531" s="618">
        <v>0.51229999999999998</v>
      </c>
      <c r="W531" s="619">
        <v>51</v>
      </c>
      <c r="X531" s="618">
        <v>5.0000000000000001E-3</v>
      </c>
      <c r="Y531" s="620">
        <v>100</v>
      </c>
    </row>
    <row r="532" spans="1:25" ht="12.75">
      <c r="A532" s="36"/>
      <c r="B532" s="114"/>
      <c r="C532" s="36"/>
      <c r="D532" s="36"/>
      <c r="E532" s="36"/>
      <c r="F532" s="36"/>
      <c r="G532" s="36"/>
      <c r="H532" s="36"/>
      <c r="I532" s="36"/>
      <c r="J532" s="36"/>
      <c r="R532" s="117" t="s">
        <v>2619</v>
      </c>
      <c r="S532" s="116"/>
      <c r="T532" s="116"/>
      <c r="U532" s="616">
        <v>91</v>
      </c>
      <c r="V532" s="618">
        <v>0.59719999999999995</v>
      </c>
      <c r="W532" s="619">
        <v>60</v>
      </c>
      <c r="X532" s="618">
        <v>0</v>
      </c>
      <c r="Y532" s="620">
        <v>100</v>
      </c>
    </row>
    <row r="533" spans="1:25" ht="12.75">
      <c r="A533" s="36"/>
      <c r="B533" s="114"/>
      <c r="C533" s="36"/>
      <c r="D533" s="36"/>
      <c r="E533" s="36"/>
      <c r="F533" s="36"/>
      <c r="G533" s="36"/>
      <c r="H533" s="36"/>
      <c r="I533" s="36"/>
      <c r="J533" s="36"/>
      <c r="R533" s="117" t="s">
        <v>2625</v>
      </c>
      <c r="S533" s="116"/>
      <c r="T533" s="116"/>
      <c r="U533" s="616">
        <v>93</v>
      </c>
      <c r="V533" s="618">
        <v>0.56330000000000002</v>
      </c>
      <c r="W533" s="619">
        <v>56</v>
      </c>
      <c r="X533" s="618">
        <v>0.05</v>
      </c>
      <c r="Y533" s="620">
        <v>95</v>
      </c>
    </row>
    <row r="534" spans="1:25" ht="12.75">
      <c r="A534" s="36"/>
      <c r="B534" s="114"/>
      <c r="C534" s="36"/>
      <c r="D534" s="36"/>
      <c r="E534" s="36"/>
      <c r="F534" s="36"/>
      <c r="G534" s="36"/>
      <c r="H534" s="36"/>
      <c r="I534" s="36"/>
      <c r="J534" s="36"/>
      <c r="R534" s="117" t="s">
        <v>2628</v>
      </c>
      <c r="S534" s="116"/>
      <c r="T534" s="116"/>
      <c r="U534" s="616">
        <v>87</v>
      </c>
      <c r="V534" s="618">
        <v>1.1373</v>
      </c>
      <c r="W534" s="619">
        <v>114</v>
      </c>
      <c r="X534" s="618">
        <v>7.7799999999999994E-2</v>
      </c>
      <c r="Y534" s="620">
        <v>92</v>
      </c>
    </row>
    <row r="535" spans="1:25" ht="12.75">
      <c r="A535" s="36"/>
      <c r="B535" s="114"/>
      <c r="C535" s="36"/>
      <c r="D535" s="36"/>
      <c r="E535" s="36"/>
      <c r="F535" s="36"/>
      <c r="G535" s="36"/>
      <c r="H535" s="36"/>
      <c r="I535" s="36"/>
      <c r="J535" s="36"/>
      <c r="R535" s="117" t="s">
        <v>2632</v>
      </c>
      <c r="S535" s="116"/>
      <c r="T535" s="116"/>
      <c r="U535" s="616">
        <v>93</v>
      </c>
      <c r="V535" s="618">
        <v>0.55000000000000004</v>
      </c>
      <c r="W535" s="619">
        <v>55</v>
      </c>
      <c r="X535" s="618">
        <v>0</v>
      </c>
      <c r="Y535" s="620">
        <v>100</v>
      </c>
    </row>
    <row r="536" spans="1:25" ht="12.75">
      <c r="A536" s="36"/>
      <c r="B536" s="114"/>
      <c r="C536" s="36"/>
      <c r="D536" s="36"/>
      <c r="E536" s="36"/>
      <c r="F536" s="36"/>
      <c r="G536" s="36"/>
      <c r="H536" s="36"/>
      <c r="I536" s="36"/>
      <c r="J536" s="36"/>
      <c r="R536" s="117" t="s">
        <v>4841</v>
      </c>
      <c r="S536" s="116"/>
      <c r="T536" s="116"/>
      <c r="U536" s="616">
        <v>82</v>
      </c>
      <c r="V536" s="618">
        <v>0.75</v>
      </c>
      <c r="W536" s="619">
        <v>75</v>
      </c>
      <c r="X536" s="618">
        <v>0.1273</v>
      </c>
      <c r="Y536" s="620">
        <v>87</v>
      </c>
    </row>
    <row r="537" spans="1:25" ht="12.75">
      <c r="A537" s="36"/>
      <c r="B537" s="114"/>
      <c r="C537" s="36"/>
      <c r="D537" s="36"/>
      <c r="E537" s="36"/>
      <c r="F537" s="36"/>
      <c r="G537" s="36"/>
      <c r="H537" s="36"/>
      <c r="I537" s="36"/>
      <c r="J537" s="36"/>
      <c r="R537" s="117" t="s">
        <v>2641</v>
      </c>
      <c r="S537" s="116"/>
      <c r="T537" s="116"/>
      <c r="U537" s="616">
        <v>96</v>
      </c>
      <c r="V537" s="618">
        <v>1.0278</v>
      </c>
      <c r="W537" s="619">
        <v>103</v>
      </c>
      <c r="X537" s="618">
        <v>3.8899999999999997E-2</v>
      </c>
      <c r="Y537" s="620">
        <v>96</v>
      </c>
    </row>
    <row r="538" spans="1:25" ht="12.75">
      <c r="A538" s="36"/>
      <c r="B538" s="114"/>
      <c r="C538" s="36"/>
      <c r="D538" s="36"/>
      <c r="E538" s="36"/>
      <c r="F538" s="36"/>
      <c r="G538" s="36"/>
      <c r="H538" s="36"/>
      <c r="I538" s="36"/>
      <c r="J538" s="36"/>
      <c r="R538" s="117" t="s">
        <v>2644</v>
      </c>
      <c r="S538" s="116"/>
      <c r="T538" s="116"/>
      <c r="U538" s="616">
        <v>86</v>
      </c>
      <c r="V538" s="116" t="s">
        <v>9805</v>
      </c>
      <c r="W538" s="617" t="s">
        <v>9805</v>
      </c>
      <c r="X538" s="116" t="s">
        <v>9805</v>
      </c>
      <c r="Y538" s="116" t="s">
        <v>9805</v>
      </c>
    </row>
    <row r="539" spans="1:25" ht="12.75">
      <c r="A539" s="36"/>
      <c r="B539" s="114"/>
      <c r="C539" s="36"/>
      <c r="D539" s="36"/>
      <c r="E539" s="36"/>
      <c r="F539" s="36"/>
      <c r="G539" s="36"/>
      <c r="H539" s="36"/>
      <c r="I539" s="36"/>
      <c r="J539" s="36"/>
      <c r="R539" s="117" t="s">
        <v>2648</v>
      </c>
      <c r="S539" s="116"/>
      <c r="T539" s="116"/>
      <c r="U539" s="616">
        <v>70</v>
      </c>
      <c r="V539" s="618">
        <v>1.0206</v>
      </c>
      <c r="W539" s="619">
        <v>102</v>
      </c>
      <c r="X539" s="618">
        <v>5.4399999999999997E-2</v>
      </c>
      <c r="Y539" s="620">
        <v>95</v>
      </c>
    </row>
    <row r="540" spans="1:25" ht="12.75">
      <c r="A540" s="36"/>
      <c r="B540" s="114"/>
      <c r="C540" s="36"/>
      <c r="D540" s="36"/>
      <c r="E540" s="36"/>
      <c r="F540" s="36"/>
      <c r="G540" s="36"/>
      <c r="H540" s="36"/>
      <c r="I540" s="36"/>
      <c r="J540" s="36"/>
      <c r="R540" s="117" t="s">
        <v>2651</v>
      </c>
      <c r="S540" s="116"/>
      <c r="T540" s="116"/>
      <c r="U540" s="616">
        <v>85</v>
      </c>
      <c r="V540" s="618">
        <v>0.55349999999999999</v>
      </c>
      <c r="W540" s="619">
        <v>55</v>
      </c>
      <c r="X540" s="618">
        <v>2.6700000000000002E-2</v>
      </c>
      <c r="Y540" s="620">
        <v>97</v>
      </c>
    </row>
    <row r="541" spans="1:25" ht="12.75">
      <c r="A541" s="36"/>
      <c r="B541" s="114"/>
      <c r="C541" s="36"/>
      <c r="D541" s="36"/>
      <c r="E541" s="36"/>
      <c r="F541" s="36"/>
      <c r="G541" s="36"/>
      <c r="H541" s="36"/>
      <c r="I541" s="36"/>
      <c r="J541" s="36"/>
      <c r="R541" s="117" t="s">
        <v>2654</v>
      </c>
      <c r="S541" s="116"/>
      <c r="T541" s="116"/>
      <c r="U541" s="616">
        <v>89</v>
      </c>
      <c r="V541" s="618">
        <v>0.50360000000000005</v>
      </c>
      <c r="W541" s="619">
        <v>50</v>
      </c>
      <c r="X541" s="618">
        <v>0.15559999999999999</v>
      </c>
      <c r="Y541" s="620">
        <v>84</v>
      </c>
    </row>
    <row r="542" spans="1:25" ht="12.75">
      <c r="A542" s="36"/>
      <c r="B542" s="114"/>
      <c r="C542" s="36"/>
      <c r="D542" s="36"/>
      <c r="E542" s="36"/>
      <c r="F542" s="36"/>
      <c r="G542" s="36"/>
      <c r="H542" s="36"/>
      <c r="I542" s="36"/>
      <c r="J542" s="36"/>
      <c r="R542" s="117" t="s">
        <v>2658</v>
      </c>
      <c r="S542" s="116"/>
      <c r="T542" s="116"/>
      <c r="U542" s="616">
        <v>83</v>
      </c>
      <c r="V542" s="618">
        <v>0.53569999999999995</v>
      </c>
      <c r="W542" s="619">
        <v>54</v>
      </c>
      <c r="X542" s="618">
        <v>0</v>
      </c>
      <c r="Y542" s="620">
        <v>100</v>
      </c>
    </row>
    <row r="543" spans="1:25" ht="12.75">
      <c r="A543" s="36"/>
      <c r="B543" s="114"/>
      <c r="C543" s="36"/>
      <c r="D543" s="36"/>
      <c r="E543" s="36"/>
      <c r="F543" s="36"/>
      <c r="G543" s="36"/>
      <c r="H543" s="36"/>
      <c r="I543" s="36"/>
      <c r="J543" s="36"/>
      <c r="R543" s="117" t="s">
        <v>2661</v>
      </c>
      <c r="S543" s="116"/>
      <c r="T543" s="116"/>
      <c r="U543" s="616">
        <v>85</v>
      </c>
      <c r="V543" s="618">
        <v>0.64029999999999998</v>
      </c>
      <c r="W543" s="619">
        <v>64</v>
      </c>
      <c r="X543" s="618">
        <v>0</v>
      </c>
      <c r="Y543" s="620">
        <v>100</v>
      </c>
    </row>
    <row r="544" spans="1:25" ht="12.75">
      <c r="A544" s="36"/>
      <c r="B544" s="114"/>
      <c r="C544" s="36"/>
      <c r="D544" s="36"/>
      <c r="E544" s="36"/>
      <c r="F544" s="36"/>
      <c r="G544" s="36"/>
      <c r="H544" s="36"/>
      <c r="I544" s="36"/>
      <c r="J544" s="36"/>
      <c r="R544" s="117" t="s">
        <v>2664</v>
      </c>
      <c r="S544" s="116"/>
      <c r="T544" s="116"/>
      <c r="U544" s="616">
        <v>79</v>
      </c>
      <c r="V544" s="618">
        <v>0.4667</v>
      </c>
      <c r="W544" s="619">
        <v>47</v>
      </c>
      <c r="X544" s="618">
        <v>0</v>
      </c>
      <c r="Y544" s="620">
        <v>100</v>
      </c>
    </row>
    <row r="545" spans="1:25" ht="12.75">
      <c r="A545" s="36"/>
      <c r="B545" s="114"/>
      <c r="C545" s="36"/>
      <c r="D545" s="36"/>
      <c r="E545" s="36"/>
      <c r="F545" s="36"/>
      <c r="G545" s="36"/>
      <c r="H545" s="36"/>
      <c r="I545" s="36"/>
      <c r="J545" s="36"/>
      <c r="R545" s="117" t="s">
        <v>2667</v>
      </c>
      <c r="S545" s="116"/>
      <c r="T545" s="116"/>
      <c r="U545" s="616">
        <v>78</v>
      </c>
      <c r="V545" s="116" t="s">
        <v>9805</v>
      </c>
      <c r="W545" s="617" t="s">
        <v>9805</v>
      </c>
      <c r="X545" s="116" t="s">
        <v>9805</v>
      </c>
      <c r="Y545" s="116" t="s">
        <v>9805</v>
      </c>
    </row>
    <row r="546" spans="1:25" ht="12.75">
      <c r="A546" s="36"/>
      <c r="B546" s="114"/>
      <c r="C546" s="36"/>
      <c r="D546" s="36"/>
      <c r="E546" s="36"/>
      <c r="F546" s="36"/>
      <c r="G546" s="36"/>
      <c r="H546" s="36"/>
      <c r="I546" s="36"/>
      <c r="J546" s="36"/>
      <c r="R546" s="117" t="s">
        <v>2671</v>
      </c>
      <c r="S546" s="116"/>
      <c r="T546" s="116"/>
      <c r="U546" s="616">
        <v>97</v>
      </c>
      <c r="V546" s="618">
        <v>0.55500000000000005</v>
      </c>
      <c r="W546" s="619">
        <v>56</v>
      </c>
      <c r="X546" s="618">
        <v>0</v>
      </c>
      <c r="Y546" s="620">
        <v>100</v>
      </c>
    </row>
    <row r="547" spans="1:25" ht="12.75">
      <c r="A547" s="36"/>
      <c r="B547" s="114"/>
      <c r="C547" s="36"/>
      <c r="D547" s="36"/>
      <c r="E547" s="36"/>
      <c r="F547" s="36"/>
      <c r="G547" s="36"/>
      <c r="H547" s="36"/>
      <c r="I547" s="36"/>
      <c r="J547" s="36"/>
      <c r="R547" s="117" t="s">
        <v>2674</v>
      </c>
      <c r="S547" s="116"/>
      <c r="T547" s="116"/>
      <c r="U547" s="616">
        <v>98</v>
      </c>
      <c r="V547" s="618">
        <v>0.5</v>
      </c>
      <c r="W547" s="619">
        <v>50</v>
      </c>
      <c r="X547" s="618">
        <v>0</v>
      </c>
      <c r="Y547" s="620">
        <v>100</v>
      </c>
    </row>
    <row r="548" spans="1:25" ht="12.75">
      <c r="A548" s="36"/>
      <c r="B548" s="114"/>
      <c r="C548" s="36"/>
      <c r="D548" s="36"/>
      <c r="E548" s="36"/>
      <c r="F548" s="36"/>
      <c r="G548" s="36"/>
      <c r="H548" s="36"/>
      <c r="I548" s="36"/>
      <c r="J548" s="36"/>
      <c r="R548" s="117" t="s">
        <v>2677</v>
      </c>
      <c r="S548" s="116"/>
      <c r="T548" s="116"/>
      <c r="U548" s="616">
        <v>90</v>
      </c>
      <c r="V548" s="618">
        <v>0.62450000000000006</v>
      </c>
      <c r="W548" s="619">
        <v>62</v>
      </c>
      <c r="X548" s="618">
        <v>4.6699999999999998E-2</v>
      </c>
      <c r="Y548" s="620">
        <v>95</v>
      </c>
    </row>
    <row r="549" spans="1:25" ht="12.75">
      <c r="A549" s="36"/>
      <c r="B549" s="114"/>
      <c r="C549" s="36"/>
      <c r="D549" s="36"/>
      <c r="E549" s="36"/>
      <c r="F549" s="36"/>
      <c r="G549" s="36"/>
      <c r="H549" s="36"/>
      <c r="I549" s="36"/>
      <c r="J549" s="36"/>
      <c r="R549" s="117" t="s">
        <v>2680</v>
      </c>
      <c r="S549" s="116"/>
      <c r="T549" s="116"/>
      <c r="U549" s="616">
        <v>100</v>
      </c>
      <c r="V549" s="618">
        <v>0.75</v>
      </c>
      <c r="W549" s="619">
        <v>75</v>
      </c>
      <c r="X549" s="618">
        <v>-4.2900000000000001E-2</v>
      </c>
      <c r="Y549" s="620">
        <v>104</v>
      </c>
    </row>
    <row r="550" spans="1:25" ht="12.75">
      <c r="A550" s="36"/>
      <c r="B550" s="114"/>
      <c r="C550" s="36"/>
      <c r="D550" s="36"/>
      <c r="E550" s="36"/>
      <c r="F550" s="36"/>
      <c r="G550" s="36"/>
      <c r="H550" s="36"/>
      <c r="I550" s="36"/>
      <c r="J550" s="36"/>
      <c r="R550" s="117" t="s">
        <v>2683</v>
      </c>
      <c r="S550" s="116"/>
      <c r="T550" s="116"/>
      <c r="U550" s="616">
        <v>95</v>
      </c>
      <c r="V550" s="618">
        <v>0.4405</v>
      </c>
      <c r="W550" s="619">
        <v>44</v>
      </c>
      <c r="X550" s="618">
        <v>0</v>
      </c>
      <c r="Y550" s="620">
        <v>100</v>
      </c>
    </row>
    <row r="551" spans="1:25" ht="12.75">
      <c r="A551" s="36"/>
      <c r="B551" s="114"/>
      <c r="C551" s="36"/>
      <c r="D551" s="36"/>
      <c r="E551" s="36"/>
      <c r="F551" s="36"/>
      <c r="G551" s="36"/>
      <c r="H551" s="36"/>
      <c r="I551" s="36"/>
      <c r="J551" s="36"/>
      <c r="R551" s="117" t="s">
        <v>2687</v>
      </c>
      <c r="S551" s="116"/>
      <c r="T551" s="116"/>
      <c r="U551" s="616">
        <v>97</v>
      </c>
      <c r="V551" s="618">
        <v>0.98819999999999997</v>
      </c>
      <c r="W551" s="619">
        <v>99</v>
      </c>
      <c r="X551" s="618">
        <v>3.0300000000000001E-2</v>
      </c>
      <c r="Y551" s="620">
        <v>97</v>
      </c>
    </row>
    <row r="552" spans="1:25" ht="12.75">
      <c r="A552" s="36"/>
      <c r="B552" s="114"/>
      <c r="C552" s="36"/>
      <c r="D552" s="36"/>
      <c r="E552" s="36"/>
      <c r="F552" s="36"/>
      <c r="G552" s="36"/>
      <c r="H552" s="36"/>
      <c r="I552" s="36"/>
      <c r="J552" s="36"/>
      <c r="R552" s="117" t="s">
        <v>2691</v>
      </c>
      <c r="S552" s="116"/>
      <c r="T552" s="116"/>
      <c r="U552" s="616">
        <v>92</v>
      </c>
      <c r="V552" s="618">
        <v>0.6875</v>
      </c>
      <c r="W552" s="619">
        <v>69</v>
      </c>
      <c r="X552" s="618">
        <v>0</v>
      </c>
      <c r="Y552" s="620">
        <v>100</v>
      </c>
    </row>
    <row r="553" spans="1:25" ht="12.75">
      <c r="A553" s="36"/>
      <c r="B553" s="114"/>
      <c r="C553" s="36"/>
      <c r="D553" s="36"/>
      <c r="E553" s="36"/>
      <c r="F553" s="36"/>
      <c r="G553" s="36"/>
      <c r="H553" s="36"/>
      <c r="I553" s="36"/>
      <c r="J553" s="36"/>
      <c r="R553" s="117" t="s">
        <v>2699</v>
      </c>
      <c r="S553" s="116"/>
      <c r="T553" s="116"/>
      <c r="U553" s="616">
        <v>98</v>
      </c>
      <c r="V553" s="618">
        <v>0.41620000000000001</v>
      </c>
      <c r="W553" s="619">
        <v>42</v>
      </c>
      <c r="X553" s="618">
        <v>4.8999999999999998E-3</v>
      </c>
      <c r="Y553" s="620">
        <v>100</v>
      </c>
    </row>
    <row r="554" spans="1:25" ht="12.75">
      <c r="A554" s="36"/>
      <c r="B554" s="114"/>
      <c r="C554" s="36"/>
      <c r="D554" s="36"/>
      <c r="E554" s="36"/>
      <c r="F554" s="36"/>
      <c r="G554" s="36"/>
      <c r="H554" s="36"/>
      <c r="I554" s="36"/>
      <c r="J554" s="36"/>
      <c r="R554" s="117" t="s">
        <v>2703</v>
      </c>
      <c r="S554" s="116"/>
      <c r="T554" s="116"/>
      <c r="U554" s="616">
        <v>91</v>
      </c>
      <c r="V554" s="618">
        <v>0.54790000000000005</v>
      </c>
      <c r="W554" s="619">
        <v>55</v>
      </c>
      <c r="X554" s="618">
        <v>0</v>
      </c>
      <c r="Y554" s="620">
        <v>100</v>
      </c>
    </row>
    <row r="555" spans="1:25" ht="12.75">
      <c r="A555" s="36"/>
      <c r="B555" s="114"/>
      <c r="C555" s="36"/>
      <c r="D555" s="36"/>
      <c r="E555" s="36"/>
      <c r="F555" s="36"/>
      <c r="G555" s="36"/>
      <c r="H555" s="36"/>
      <c r="I555" s="36"/>
      <c r="J555" s="36"/>
      <c r="R555" s="117" t="s">
        <v>2707</v>
      </c>
      <c r="S555" s="116"/>
      <c r="T555" s="116"/>
      <c r="U555" s="616">
        <v>78</v>
      </c>
      <c r="V555" s="618">
        <v>0.6925</v>
      </c>
      <c r="W555" s="619">
        <v>69</v>
      </c>
      <c r="X555" s="618">
        <v>9.4700000000000006E-2</v>
      </c>
      <c r="Y555" s="620">
        <v>91</v>
      </c>
    </row>
    <row r="556" spans="1:25" ht="12.75">
      <c r="A556" s="36"/>
      <c r="B556" s="114"/>
      <c r="C556" s="36"/>
      <c r="D556" s="36"/>
      <c r="E556" s="36"/>
      <c r="F556" s="36"/>
      <c r="G556" s="36"/>
      <c r="H556" s="36"/>
      <c r="I556" s="36"/>
      <c r="J556" s="36"/>
      <c r="R556" s="117" t="s">
        <v>2710</v>
      </c>
      <c r="S556" s="116"/>
      <c r="T556" s="116"/>
      <c r="U556" s="616">
        <v>76</v>
      </c>
      <c r="V556" s="618">
        <v>0.56659999999999999</v>
      </c>
      <c r="W556" s="619">
        <v>57</v>
      </c>
      <c r="X556" s="618">
        <v>0.05</v>
      </c>
      <c r="Y556" s="620">
        <v>95</v>
      </c>
    </row>
    <row r="557" spans="1:25" ht="12.75">
      <c r="A557" s="36"/>
      <c r="B557" s="114"/>
      <c r="C557" s="36"/>
      <c r="D557" s="36"/>
      <c r="E557" s="36"/>
      <c r="F557" s="36"/>
      <c r="G557" s="36"/>
      <c r="H557" s="36"/>
      <c r="I557" s="36"/>
      <c r="J557" s="36"/>
      <c r="R557" s="117" t="s">
        <v>2713</v>
      </c>
      <c r="S557" s="116"/>
      <c r="T557" s="116"/>
      <c r="U557" s="616">
        <v>96</v>
      </c>
      <c r="V557" s="618">
        <v>0.51670000000000005</v>
      </c>
      <c r="W557" s="619">
        <v>52</v>
      </c>
      <c r="X557" s="618">
        <v>3.7499999999999999E-2</v>
      </c>
      <c r="Y557" s="620">
        <v>96</v>
      </c>
    </row>
    <row r="558" spans="1:25" ht="12.75">
      <c r="A558" s="36"/>
      <c r="B558" s="114"/>
      <c r="C558" s="36"/>
      <c r="D558" s="36"/>
      <c r="E558" s="36"/>
      <c r="F558" s="36"/>
      <c r="G558" s="36"/>
      <c r="H558" s="36"/>
      <c r="I558" s="36"/>
      <c r="J558" s="36"/>
      <c r="R558" s="117" t="s">
        <v>2716</v>
      </c>
      <c r="S558" s="116"/>
      <c r="T558" s="116"/>
      <c r="U558" s="156" t="s">
        <v>9805</v>
      </c>
      <c r="V558" s="116" t="s">
        <v>9805</v>
      </c>
      <c r="W558" s="617" t="s">
        <v>9805</v>
      </c>
      <c r="X558" s="116" t="s">
        <v>9805</v>
      </c>
      <c r="Y558" s="116" t="s">
        <v>9805</v>
      </c>
    </row>
    <row r="559" spans="1:25" ht="12.75">
      <c r="A559" s="36"/>
      <c r="B559" s="114"/>
      <c r="C559" s="36"/>
      <c r="D559" s="36"/>
      <c r="E559" s="36"/>
      <c r="F559" s="36"/>
      <c r="G559" s="36"/>
      <c r="H559" s="36"/>
      <c r="I559" s="36"/>
      <c r="J559" s="36"/>
      <c r="R559" s="117" t="s">
        <v>2724</v>
      </c>
      <c r="S559" s="116"/>
      <c r="T559" s="116"/>
      <c r="U559" s="616">
        <v>73</v>
      </c>
      <c r="V559" s="618">
        <v>0.72</v>
      </c>
      <c r="W559" s="619">
        <v>72</v>
      </c>
      <c r="X559" s="618">
        <v>5.3800000000000001E-2</v>
      </c>
      <c r="Y559" s="620">
        <v>95</v>
      </c>
    </row>
    <row r="560" spans="1:25" ht="12.75">
      <c r="A560" s="36"/>
      <c r="B560" s="114"/>
      <c r="C560" s="36"/>
      <c r="D560" s="36"/>
      <c r="E560" s="36"/>
      <c r="F560" s="36"/>
      <c r="G560" s="36"/>
      <c r="H560" s="36"/>
      <c r="I560" s="36"/>
      <c r="J560" s="36"/>
      <c r="R560" s="117" t="s">
        <v>2727</v>
      </c>
      <c r="S560" s="116"/>
      <c r="T560" s="116"/>
      <c r="U560" s="616">
        <v>90</v>
      </c>
      <c r="V560" s="618">
        <v>0.83850000000000002</v>
      </c>
      <c r="W560" s="619">
        <v>84</v>
      </c>
      <c r="X560" s="618">
        <v>0</v>
      </c>
      <c r="Y560" s="620">
        <v>100</v>
      </c>
    </row>
    <row r="561" spans="1:25" ht="12.75">
      <c r="A561" s="36"/>
      <c r="B561" s="114"/>
      <c r="C561" s="36"/>
      <c r="D561" s="36"/>
      <c r="E561" s="36"/>
      <c r="F561" s="36"/>
      <c r="G561" s="36"/>
      <c r="H561" s="36"/>
      <c r="I561" s="36"/>
      <c r="J561" s="36"/>
      <c r="R561" s="117" t="s">
        <v>2731</v>
      </c>
      <c r="S561" s="116"/>
      <c r="T561" s="116"/>
      <c r="U561" s="616">
        <v>95</v>
      </c>
      <c r="V561" s="618">
        <v>0.88890000000000002</v>
      </c>
      <c r="W561" s="619">
        <v>89</v>
      </c>
      <c r="X561" s="618">
        <v>0</v>
      </c>
      <c r="Y561" s="620">
        <v>100</v>
      </c>
    </row>
    <row r="562" spans="1:25" ht="12.75">
      <c r="A562" s="36"/>
      <c r="B562" s="114"/>
      <c r="C562" s="36"/>
      <c r="D562" s="36"/>
      <c r="E562" s="36"/>
      <c r="F562" s="36"/>
      <c r="G562" s="36"/>
      <c r="H562" s="36"/>
      <c r="I562" s="36"/>
      <c r="J562" s="36"/>
      <c r="R562" s="117" t="s">
        <v>2735</v>
      </c>
      <c r="S562" s="116"/>
      <c r="T562" s="116"/>
      <c r="U562" s="616">
        <v>85</v>
      </c>
      <c r="V562" s="618">
        <v>0.75519999999999998</v>
      </c>
      <c r="W562" s="619">
        <v>76</v>
      </c>
      <c r="X562" s="618">
        <v>0</v>
      </c>
      <c r="Y562" s="620">
        <v>100</v>
      </c>
    </row>
    <row r="563" spans="1:25" ht="12.75">
      <c r="A563" s="36"/>
      <c r="B563" s="114"/>
      <c r="C563" s="36"/>
      <c r="D563" s="36"/>
      <c r="E563" s="36"/>
      <c r="F563" s="36"/>
      <c r="G563" s="36"/>
      <c r="H563" s="36"/>
      <c r="I563" s="36"/>
      <c r="J563" s="36"/>
      <c r="R563" s="117" t="s">
        <v>2742</v>
      </c>
      <c r="S563" s="116"/>
      <c r="T563" s="116"/>
      <c r="U563" s="616">
        <v>89</v>
      </c>
      <c r="V563" s="618">
        <v>0.94750000000000001</v>
      </c>
      <c r="W563" s="619">
        <v>95</v>
      </c>
      <c r="X563" s="618">
        <v>6.4500000000000002E-2</v>
      </c>
      <c r="Y563" s="620">
        <v>94</v>
      </c>
    </row>
    <row r="564" spans="1:25" ht="12.75">
      <c r="A564" s="36"/>
      <c r="B564" s="114"/>
      <c r="C564" s="36"/>
      <c r="D564" s="36"/>
      <c r="E564" s="36"/>
      <c r="F564" s="36"/>
      <c r="G564" s="36"/>
      <c r="H564" s="36"/>
      <c r="I564" s="36"/>
      <c r="J564" s="36"/>
      <c r="R564" s="117" t="s">
        <v>2745</v>
      </c>
      <c r="S564" s="116"/>
      <c r="T564" s="116"/>
      <c r="U564" s="616">
        <v>88</v>
      </c>
      <c r="V564" s="618">
        <v>0.9375</v>
      </c>
      <c r="W564" s="619">
        <v>94</v>
      </c>
      <c r="X564" s="618">
        <v>7.0000000000000007E-2</v>
      </c>
      <c r="Y564" s="620">
        <v>93</v>
      </c>
    </row>
    <row r="565" spans="1:25" ht="12.75">
      <c r="A565" s="36"/>
      <c r="B565" s="114"/>
      <c r="C565" s="36"/>
      <c r="D565" s="36"/>
      <c r="E565" s="36"/>
      <c r="F565" s="36"/>
      <c r="G565" s="36"/>
      <c r="H565" s="36"/>
      <c r="I565" s="36"/>
      <c r="J565" s="36"/>
      <c r="R565" s="117" t="s">
        <v>2748</v>
      </c>
      <c r="S565" s="116"/>
      <c r="T565" s="116"/>
      <c r="U565" s="616">
        <v>79</v>
      </c>
      <c r="V565" s="618">
        <v>0.79520000000000002</v>
      </c>
      <c r="W565" s="619">
        <v>80</v>
      </c>
      <c r="X565" s="618">
        <v>6.8099999999999994E-2</v>
      </c>
      <c r="Y565" s="620">
        <v>93</v>
      </c>
    </row>
    <row r="566" spans="1:25" ht="12.75">
      <c r="A566" s="36"/>
      <c r="B566" s="114"/>
      <c r="C566" s="36"/>
      <c r="D566" s="36"/>
      <c r="E566" s="36"/>
      <c r="F566" s="36"/>
      <c r="G566" s="36"/>
      <c r="H566" s="36"/>
      <c r="I566" s="36"/>
      <c r="J566" s="36"/>
      <c r="R566" s="117" t="s">
        <v>2752</v>
      </c>
      <c r="S566" s="116"/>
      <c r="T566" s="116"/>
      <c r="U566" s="616">
        <v>68</v>
      </c>
      <c r="V566" s="618">
        <v>0.80769999999999997</v>
      </c>
      <c r="W566" s="619">
        <v>81</v>
      </c>
      <c r="X566" s="618">
        <v>6.3600000000000004E-2</v>
      </c>
      <c r="Y566" s="620">
        <v>94</v>
      </c>
    </row>
    <row r="567" spans="1:25" ht="12.75">
      <c r="A567" s="36"/>
      <c r="B567" s="114"/>
      <c r="C567" s="36"/>
      <c r="D567" s="36"/>
      <c r="E567" s="36"/>
      <c r="F567" s="36"/>
      <c r="G567" s="36"/>
      <c r="H567" s="36"/>
      <c r="I567" s="36"/>
      <c r="J567" s="36"/>
      <c r="R567" s="117" t="s">
        <v>2755</v>
      </c>
      <c r="S567" s="116"/>
      <c r="T567" s="116"/>
      <c r="U567" s="616">
        <v>96</v>
      </c>
      <c r="V567" s="618">
        <v>0.32079999999999997</v>
      </c>
      <c r="W567" s="619">
        <v>32</v>
      </c>
      <c r="X567" s="618">
        <v>4.2900000000000001E-2</v>
      </c>
      <c r="Y567" s="620">
        <v>96</v>
      </c>
    </row>
    <row r="568" spans="1:25" ht="12.75">
      <c r="A568" s="36"/>
      <c r="B568" s="114"/>
      <c r="C568" s="36"/>
      <c r="D568" s="36"/>
      <c r="E568" s="36"/>
      <c r="F568" s="36"/>
      <c r="G568" s="36"/>
      <c r="H568" s="36"/>
      <c r="I568" s="36"/>
      <c r="J568" s="36"/>
      <c r="R568" s="117" t="s">
        <v>2759</v>
      </c>
      <c r="S568" s="116"/>
      <c r="T568" s="116"/>
      <c r="U568" s="616">
        <v>81</v>
      </c>
      <c r="V568" s="618">
        <v>0.51519999999999999</v>
      </c>
      <c r="W568" s="619">
        <v>52</v>
      </c>
      <c r="X568" s="618">
        <v>7.7799999999999994E-2</v>
      </c>
      <c r="Y568" s="620">
        <v>92</v>
      </c>
    </row>
    <row r="569" spans="1:25" ht="12.75">
      <c r="A569" s="36"/>
      <c r="B569" s="114"/>
      <c r="C569" s="36"/>
      <c r="D569" s="36"/>
      <c r="E569" s="36"/>
      <c r="F569" s="36"/>
      <c r="G569" s="36"/>
      <c r="H569" s="36"/>
      <c r="I569" s="36"/>
      <c r="J569" s="36"/>
      <c r="R569" s="117" t="s">
        <v>2763</v>
      </c>
      <c r="S569" s="116"/>
      <c r="T569" s="116"/>
      <c r="U569" s="616">
        <v>89</v>
      </c>
      <c r="V569" s="618">
        <v>0.85780000000000001</v>
      </c>
      <c r="W569" s="619">
        <v>86</v>
      </c>
      <c r="X569" s="618">
        <v>3.8899999999999997E-2</v>
      </c>
      <c r="Y569" s="620">
        <v>96</v>
      </c>
    </row>
    <row r="570" spans="1:25" ht="12.75">
      <c r="A570" s="36"/>
      <c r="B570" s="114"/>
      <c r="C570" s="36"/>
      <c r="D570" s="36"/>
      <c r="E570" s="36"/>
      <c r="F570" s="36"/>
      <c r="G570" s="36"/>
      <c r="H570" s="36"/>
      <c r="I570" s="36"/>
      <c r="J570" s="36"/>
      <c r="R570" s="117" t="s">
        <v>2770</v>
      </c>
      <c r="S570" s="116"/>
      <c r="T570" s="116"/>
      <c r="U570" s="616">
        <v>87</v>
      </c>
      <c r="V570" s="618">
        <v>0.48209999999999997</v>
      </c>
      <c r="W570" s="619">
        <v>48</v>
      </c>
      <c r="X570" s="618">
        <v>0</v>
      </c>
      <c r="Y570" s="620">
        <v>100</v>
      </c>
    </row>
    <row r="571" spans="1:25" ht="12.75">
      <c r="A571" s="36"/>
      <c r="B571" s="114"/>
      <c r="C571" s="36"/>
      <c r="D571" s="36"/>
      <c r="E571" s="36"/>
      <c r="F571" s="36"/>
      <c r="G571" s="36"/>
      <c r="H571" s="36"/>
      <c r="I571" s="36"/>
      <c r="J571" s="36"/>
      <c r="R571" s="117" t="s">
        <v>2774</v>
      </c>
      <c r="S571" s="116"/>
      <c r="T571" s="116"/>
      <c r="U571" s="616">
        <v>92</v>
      </c>
      <c r="V571" s="618">
        <v>0.44969999999999999</v>
      </c>
      <c r="W571" s="619">
        <v>45</v>
      </c>
      <c r="X571" s="618">
        <v>0.15559999999999999</v>
      </c>
      <c r="Y571" s="620">
        <v>84</v>
      </c>
    </row>
    <row r="572" spans="1:25" ht="12.75">
      <c r="A572" s="36"/>
      <c r="B572" s="114"/>
      <c r="C572" s="36"/>
      <c r="D572" s="36"/>
      <c r="E572" s="36"/>
      <c r="F572" s="36"/>
      <c r="G572" s="36"/>
      <c r="H572" s="36"/>
      <c r="I572" s="36"/>
      <c r="J572" s="36"/>
      <c r="R572" s="117" t="s">
        <v>2777</v>
      </c>
      <c r="S572" s="116"/>
      <c r="T572" s="116"/>
      <c r="U572" s="156" t="s">
        <v>9805</v>
      </c>
      <c r="V572" s="618">
        <v>0.66669999999999996</v>
      </c>
      <c r="W572" s="619">
        <v>67</v>
      </c>
      <c r="X572" s="618">
        <v>0</v>
      </c>
      <c r="Y572" s="620">
        <v>100</v>
      </c>
    </row>
    <row r="573" spans="1:25" ht="12.75">
      <c r="A573" s="36"/>
      <c r="B573" s="114"/>
      <c r="C573" s="36"/>
      <c r="D573" s="36"/>
      <c r="E573" s="36"/>
      <c r="F573" s="36"/>
      <c r="G573" s="36"/>
      <c r="H573" s="36"/>
      <c r="I573" s="36"/>
      <c r="J573" s="36"/>
      <c r="R573" s="117" t="s">
        <v>2780</v>
      </c>
      <c r="S573" s="116"/>
      <c r="T573" s="116"/>
      <c r="U573" s="616">
        <v>97</v>
      </c>
      <c r="V573" s="618">
        <v>0.99260000000000004</v>
      </c>
      <c r="W573" s="619">
        <v>99</v>
      </c>
      <c r="X573" s="618">
        <v>1.4999999999999999E-2</v>
      </c>
      <c r="Y573" s="620">
        <v>99</v>
      </c>
    </row>
    <row r="574" spans="1:25" ht="12.75">
      <c r="A574" s="36"/>
      <c r="B574" s="114"/>
      <c r="C574" s="36"/>
      <c r="D574" s="36"/>
      <c r="E574" s="36"/>
      <c r="F574" s="36"/>
      <c r="G574" s="36"/>
      <c r="H574" s="36"/>
      <c r="I574" s="36"/>
      <c r="J574" s="36"/>
      <c r="R574" s="117" t="s">
        <v>2788</v>
      </c>
      <c r="S574" s="116"/>
      <c r="T574" s="116"/>
      <c r="U574" s="616">
        <v>95</v>
      </c>
      <c r="V574" s="618">
        <v>0.75660000000000005</v>
      </c>
      <c r="W574" s="619">
        <v>76</v>
      </c>
      <c r="X574" s="618">
        <v>9.5500000000000002E-2</v>
      </c>
      <c r="Y574" s="620">
        <v>90</v>
      </c>
    </row>
    <row r="575" spans="1:25" ht="12.75">
      <c r="A575" s="36"/>
      <c r="B575" s="114"/>
      <c r="C575" s="36"/>
      <c r="D575" s="36"/>
      <c r="E575" s="36"/>
      <c r="F575" s="36"/>
      <c r="G575" s="36"/>
      <c r="H575" s="36"/>
      <c r="I575" s="36"/>
      <c r="J575" s="36"/>
      <c r="R575" s="117" t="s">
        <v>2791</v>
      </c>
      <c r="S575" s="116"/>
      <c r="T575" s="116"/>
      <c r="U575" s="156" t="s">
        <v>9805</v>
      </c>
      <c r="V575" s="116" t="s">
        <v>9805</v>
      </c>
      <c r="W575" s="617" t="s">
        <v>9805</v>
      </c>
      <c r="X575" s="116" t="s">
        <v>9805</v>
      </c>
      <c r="Y575" s="116" t="s">
        <v>9805</v>
      </c>
    </row>
    <row r="576" spans="1:25" ht="12.75">
      <c r="A576" s="36"/>
      <c r="B576" s="114"/>
      <c r="C576" s="36"/>
      <c r="D576" s="36"/>
      <c r="E576" s="36"/>
      <c r="F576" s="36"/>
      <c r="G576" s="36"/>
      <c r="H576" s="36"/>
      <c r="I576" s="36"/>
      <c r="J576" s="36"/>
      <c r="R576" s="117" t="s">
        <v>2794</v>
      </c>
      <c r="S576" s="116"/>
      <c r="T576" s="116"/>
      <c r="U576" s="616">
        <v>79</v>
      </c>
      <c r="V576" s="618">
        <v>1.127</v>
      </c>
      <c r="W576" s="619">
        <v>113</v>
      </c>
      <c r="X576" s="618">
        <v>5.3800000000000001E-2</v>
      </c>
      <c r="Y576" s="620">
        <v>95</v>
      </c>
    </row>
    <row r="577" spans="1:25" ht="12.75">
      <c r="A577" s="36"/>
      <c r="B577" s="114"/>
      <c r="C577" s="36"/>
      <c r="D577" s="36"/>
      <c r="E577" s="36"/>
      <c r="F577" s="36"/>
      <c r="G577" s="36"/>
      <c r="H577" s="36"/>
      <c r="I577" s="36"/>
      <c r="J577" s="36"/>
      <c r="R577" s="117" t="s">
        <v>2798</v>
      </c>
      <c r="S577" s="116"/>
      <c r="T577" s="116"/>
      <c r="U577" s="616">
        <v>89</v>
      </c>
      <c r="V577" s="618">
        <v>0.90339999999999998</v>
      </c>
      <c r="W577" s="619">
        <v>90</v>
      </c>
      <c r="X577" s="618">
        <v>-2.69E-2</v>
      </c>
      <c r="Y577" s="620">
        <v>103</v>
      </c>
    </row>
    <row r="578" spans="1:25" ht="12.75">
      <c r="A578" s="36"/>
      <c r="B578" s="114"/>
      <c r="C578" s="36"/>
      <c r="D578" s="36"/>
      <c r="E578" s="36"/>
      <c r="F578" s="36"/>
      <c r="G578" s="36"/>
      <c r="H578" s="36"/>
      <c r="I578" s="36"/>
      <c r="J578" s="36"/>
      <c r="R578" s="117" t="s">
        <v>2801</v>
      </c>
      <c r="S578" s="116"/>
      <c r="T578" s="116"/>
      <c r="U578" s="616">
        <v>75</v>
      </c>
      <c r="V578" s="618">
        <v>1.3077000000000001</v>
      </c>
      <c r="W578" s="619">
        <v>131</v>
      </c>
      <c r="X578" s="618">
        <v>-0.1</v>
      </c>
      <c r="Y578" s="620">
        <v>110</v>
      </c>
    </row>
    <row r="579" spans="1:25" ht="12.75">
      <c r="A579" s="36"/>
      <c r="B579" s="114"/>
      <c r="C579" s="36"/>
      <c r="D579" s="36"/>
      <c r="E579" s="36"/>
      <c r="F579" s="36"/>
      <c r="G579" s="36"/>
      <c r="H579" s="36"/>
      <c r="I579" s="36"/>
      <c r="J579" s="36"/>
      <c r="R579" s="117" t="s">
        <v>2804</v>
      </c>
      <c r="S579" s="116"/>
      <c r="T579" s="116"/>
      <c r="U579" s="616">
        <v>98</v>
      </c>
      <c r="V579" s="618">
        <v>1.3</v>
      </c>
      <c r="W579" s="619">
        <v>130</v>
      </c>
      <c r="X579" s="618">
        <v>0.05</v>
      </c>
      <c r="Y579" s="620">
        <v>95</v>
      </c>
    </row>
    <row r="580" spans="1:25" ht="12.75">
      <c r="A580" s="36"/>
      <c r="B580" s="114"/>
      <c r="C580" s="36"/>
      <c r="D580" s="36"/>
      <c r="E580" s="36"/>
      <c r="F580" s="36"/>
      <c r="G580" s="36"/>
      <c r="H580" s="36"/>
      <c r="I580" s="36"/>
      <c r="J580" s="36"/>
      <c r="R580" s="117" t="s">
        <v>2808</v>
      </c>
      <c r="S580" s="116"/>
      <c r="T580" s="116"/>
      <c r="U580" s="616">
        <v>92</v>
      </c>
      <c r="V580" s="618">
        <v>0.62639999999999996</v>
      </c>
      <c r="W580" s="619">
        <v>63</v>
      </c>
      <c r="X580" s="618">
        <v>8.7499999999999994E-2</v>
      </c>
      <c r="Y580" s="620">
        <v>91</v>
      </c>
    </row>
    <row r="581" spans="1:25" ht="12.75">
      <c r="A581" s="36"/>
      <c r="B581" s="114"/>
      <c r="C581" s="36"/>
      <c r="D581" s="36"/>
      <c r="E581" s="36"/>
      <c r="F581" s="36"/>
      <c r="G581" s="36"/>
      <c r="H581" s="36"/>
      <c r="I581" s="36"/>
      <c r="J581" s="36"/>
      <c r="R581" s="117" t="s">
        <v>2811</v>
      </c>
      <c r="S581" s="116"/>
      <c r="T581" s="116"/>
      <c r="U581" s="616">
        <v>95</v>
      </c>
      <c r="V581" s="618">
        <v>0.5</v>
      </c>
      <c r="W581" s="619">
        <v>50</v>
      </c>
      <c r="X581" s="618">
        <v>-0.1</v>
      </c>
      <c r="Y581" s="620">
        <v>110</v>
      </c>
    </row>
    <row r="582" spans="1:25" ht="12.75">
      <c r="A582" s="36"/>
      <c r="B582" s="114"/>
      <c r="C582" s="36"/>
      <c r="D582" s="36"/>
      <c r="E582" s="36"/>
      <c r="F582" s="36"/>
      <c r="G582" s="36"/>
      <c r="H582" s="36"/>
      <c r="I582" s="36"/>
      <c r="J582" s="36"/>
      <c r="R582" s="117" t="s">
        <v>2815</v>
      </c>
      <c r="S582" s="116"/>
      <c r="T582" s="116"/>
      <c r="U582" s="616">
        <v>96</v>
      </c>
      <c r="V582" s="618">
        <v>0.35709999999999997</v>
      </c>
      <c r="W582" s="619">
        <v>36</v>
      </c>
      <c r="X582" s="618">
        <v>0</v>
      </c>
      <c r="Y582" s="620">
        <v>100</v>
      </c>
    </row>
    <row r="583" spans="1:25" ht="12.75">
      <c r="A583" s="36"/>
      <c r="B583" s="114"/>
      <c r="C583" s="36"/>
      <c r="D583" s="36"/>
      <c r="E583" s="36"/>
      <c r="F583" s="36"/>
      <c r="G583" s="36"/>
      <c r="H583" s="36"/>
      <c r="I583" s="36"/>
      <c r="J583" s="36"/>
      <c r="R583" s="117" t="s">
        <v>2818</v>
      </c>
      <c r="S583" s="116"/>
      <c r="T583" s="116"/>
      <c r="U583" s="616">
        <v>94</v>
      </c>
      <c r="V583" s="618">
        <v>0.66669999999999996</v>
      </c>
      <c r="W583" s="619">
        <v>67</v>
      </c>
      <c r="X583" s="618">
        <v>-9.4999999999999998E-3</v>
      </c>
      <c r="Y583" s="620">
        <v>101</v>
      </c>
    </row>
    <row r="584" spans="1:25" ht="12.75">
      <c r="A584" s="36"/>
      <c r="B584" s="114"/>
      <c r="C584" s="36"/>
      <c r="D584" s="36"/>
      <c r="E584" s="36"/>
      <c r="F584" s="36"/>
      <c r="G584" s="36"/>
      <c r="H584" s="36"/>
      <c r="I584" s="36"/>
      <c r="J584" s="36"/>
      <c r="R584" s="117" t="s">
        <v>2821</v>
      </c>
      <c r="S584" s="116"/>
      <c r="T584" s="116"/>
      <c r="U584" s="156" t="s">
        <v>9805</v>
      </c>
      <c r="V584" s="116" t="s">
        <v>9805</v>
      </c>
      <c r="W584" s="617" t="s">
        <v>9805</v>
      </c>
      <c r="X584" s="116" t="s">
        <v>9805</v>
      </c>
      <c r="Y584" s="116" t="s">
        <v>9805</v>
      </c>
    </row>
    <row r="585" spans="1:25" ht="12.75">
      <c r="A585" s="36"/>
      <c r="B585" s="114"/>
      <c r="C585" s="36"/>
      <c r="D585" s="36"/>
      <c r="E585" s="36"/>
      <c r="F585" s="36"/>
      <c r="G585" s="36"/>
      <c r="H585" s="36"/>
      <c r="I585" s="36"/>
      <c r="J585" s="36"/>
      <c r="R585" s="117" t="s">
        <v>2824</v>
      </c>
      <c r="S585" s="116"/>
      <c r="T585" s="116"/>
      <c r="U585" s="616">
        <v>76</v>
      </c>
      <c r="V585" s="618">
        <v>0.3</v>
      </c>
      <c r="W585" s="619">
        <v>30</v>
      </c>
      <c r="X585" s="618">
        <v>0</v>
      </c>
      <c r="Y585" s="620">
        <v>100</v>
      </c>
    </row>
    <row r="586" spans="1:25" ht="12.75">
      <c r="A586" s="36"/>
      <c r="B586" s="114"/>
      <c r="C586" s="36"/>
      <c r="D586" s="36"/>
      <c r="E586" s="36"/>
      <c r="F586" s="36"/>
      <c r="G586" s="36"/>
      <c r="H586" s="36"/>
      <c r="I586" s="36"/>
      <c r="J586" s="36"/>
      <c r="R586" s="117" t="s">
        <v>2827</v>
      </c>
      <c r="S586" s="116"/>
      <c r="T586" s="116"/>
      <c r="U586" s="616">
        <v>89</v>
      </c>
      <c r="V586" s="618">
        <v>0.59709999999999996</v>
      </c>
      <c r="W586" s="619">
        <v>60</v>
      </c>
      <c r="X586" s="618">
        <v>-3.8899999999999997E-2</v>
      </c>
      <c r="Y586" s="620">
        <v>104</v>
      </c>
    </row>
    <row r="587" spans="1:25" ht="12.75">
      <c r="A587" s="36"/>
      <c r="B587" s="114"/>
      <c r="C587" s="36"/>
      <c r="D587" s="36"/>
      <c r="E587" s="36"/>
      <c r="F587" s="36"/>
      <c r="G587" s="36"/>
      <c r="H587" s="36"/>
      <c r="I587" s="36"/>
      <c r="J587" s="36"/>
      <c r="R587" s="117" t="s">
        <v>2830</v>
      </c>
      <c r="S587" s="116"/>
      <c r="T587" s="116"/>
      <c r="U587" s="616">
        <v>100</v>
      </c>
      <c r="V587" s="116" t="s">
        <v>9805</v>
      </c>
      <c r="W587" s="617" t="s">
        <v>9805</v>
      </c>
      <c r="X587" s="116" t="s">
        <v>9805</v>
      </c>
      <c r="Y587" s="116" t="s">
        <v>9805</v>
      </c>
    </row>
    <row r="588" spans="1:25" ht="12.75">
      <c r="A588" s="36"/>
      <c r="B588" s="114"/>
      <c r="C588" s="36"/>
      <c r="D588" s="36"/>
      <c r="E588" s="36"/>
      <c r="F588" s="36"/>
      <c r="G588" s="36"/>
      <c r="H588" s="36"/>
      <c r="I588" s="36"/>
      <c r="J588" s="36"/>
      <c r="R588" s="117" t="s">
        <v>2833</v>
      </c>
      <c r="S588" s="116"/>
      <c r="T588" s="116"/>
      <c r="U588" s="156" t="s">
        <v>9805</v>
      </c>
      <c r="V588" s="618">
        <v>0.88239999999999996</v>
      </c>
      <c r="W588" s="619">
        <v>88</v>
      </c>
      <c r="X588" s="618">
        <v>7.7799999999999994E-2</v>
      </c>
      <c r="Y588" s="620">
        <v>92</v>
      </c>
    </row>
    <row r="589" spans="1:25" ht="12.75">
      <c r="A589" s="36"/>
      <c r="B589" s="114"/>
      <c r="C589" s="36"/>
      <c r="D589" s="36"/>
      <c r="E589" s="36"/>
      <c r="F589" s="36"/>
      <c r="G589" s="36"/>
      <c r="H589" s="36"/>
      <c r="I589" s="36"/>
      <c r="J589" s="36"/>
      <c r="R589" s="117" t="s">
        <v>2836</v>
      </c>
      <c r="S589" s="116"/>
      <c r="T589" s="116"/>
      <c r="U589" s="616">
        <v>76</v>
      </c>
      <c r="V589" s="618">
        <v>0.53090000000000004</v>
      </c>
      <c r="W589" s="619">
        <v>53</v>
      </c>
      <c r="X589" s="618">
        <v>1.7500000000000002E-2</v>
      </c>
      <c r="Y589" s="620">
        <v>98</v>
      </c>
    </row>
    <row r="590" spans="1:25" ht="12.75">
      <c r="A590" s="36"/>
      <c r="B590" s="114"/>
      <c r="C590" s="36"/>
      <c r="D590" s="36"/>
      <c r="E590" s="36"/>
      <c r="F590" s="36"/>
      <c r="G590" s="36"/>
      <c r="H590" s="36"/>
      <c r="I590" s="36"/>
      <c r="J590" s="36"/>
      <c r="R590" s="117" t="s">
        <v>2839</v>
      </c>
      <c r="S590" s="116"/>
      <c r="T590" s="116"/>
      <c r="U590" s="616">
        <v>81</v>
      </c>
      <c r="V590" s="618">
        <v>1.3077000000000001</v>
      </c>
      <c r="W590" s="619">
        <v>131</v>
      </c>
      <c r="X590" s="618">
        <v>0</v>
      </c>
      <c r="Y590" s="620">
        <v>100</v>
      </c>
    </row>
    <row r="591" spans="1:25" ht="12.75">
      <c r="A591" s="36"/>
      <c r="B591" s="114"/>
      <c r="C591" s="36"/>
      <c r="D591" s="36"/>
      <c r="E591" s="36"/>
      <c r="F591" s="36"/>
      <c r="G591" s="36"/>
      <c r="H591" s="36"/>
      <c r="I591" s="36"/>
      <c r="J591" s="36"/>
      <c r="R591" s="117" t="s">
        <v>2842</v>
      </c>
      <c r="S591" s="116"/>
      <c r="T591" s="116"/>
      <c r="U591" s="616">
        <v>69</v>
      </c>
      <c r="V591" s="618">
        <v>0.35</v>
      </c>
      <c r="W591" s="619">
        <v>35</v>
      </c>
      <c r="X591" s="618">
        <v>0.23330000000000001</v>
      </c>
      <c r="Y591" s="620">
        <v>77</v>
      </c>
    </row>
    <row r="592" spans="1:25" ht="12.75">
      <c r="A592" s="36"/>
      <c r="B592" s="114"/>
      <c r="C592" s="36"/>
      <c r="D592" s="36"/>
      <c r="E592" s="36"/>
      <c r="F592" s="36"/>
      <c r="G592" s="36"/>
      <c r="H592" s="36"/>
      <c r="I592" s="36"/>
      <c r="J592" s="36"/>
      <c r="R592" s="117" t="s">
        <v>2845</v>
      </c>
      <c r="S592" s="116"/>
      <c r="T592" s="116"/>
      <c r="U592" s="156" t="s">
        <v>9805</v>
      </c>
      <c r="V592" s="116" t="s">
        <v>9805</v>
      </c>
      <c r="W592" s="617" t="s">
        <v>9805</v>
      </c>
      <c r="X592" s="116" t="s">
        <v>9805</v>
      </c>
      <c r="Y592" s="116" t="s">
        <v>9805</v>
      </c>
    </row>
    <row r="593" spans="1:25" ht="12.75">
      <c r="A593" s="36"/>
      <c r="B593" s="114"/>
      <c r="C593" s="36"/>
      <c r="D593" s="36"/>
      <c r="E593" s="36"/>
      <c r="F593" s="36"/>
      <c r="G593" s="36"/>
      <c r="H593" s="36"/>
      <c r="I593" s="36"/>
      <c r="J593" s="36"/>
      <c r="R593" s="117" t="s">
        <v>2849</v>
      </c>
      <c r="S593" s="116"/>
      <c r="T593" s="116"/>
      <c r="U593" s="616">
        <v>69</v>
      </c>
      <c r="V593" s="618">
        <v>0.85250000000000004</v>
      </c>
      <c r="W593" s="619">
        <v>85</v>
      </c>
      <c r="X593" s="618">
        <v>0</v>
      </c>
      <c r="Y593" s="620">
        <v>100</v>
      </c>
    </row>
    <row r="594" spans="1:25" ht="12.75">
      <c r="A594" s="36"/>
      <c r="B594" s="114"/>
      <c r="C594" s="36"/>
      <c r="D594" s="36"/>
      <c r="E594" s="36"/>
      <c r="F594" s="36"/>
      <c r="G594" s="36"/>
      <c r="H594" s="36"/>
      <c r="I594" s="36"/>
      <c r="J594" s="36"/>
      <c r="R594" s="117" t="s">
        <v>2852</v>
      </c>
      <c r="S594" s="116"/>
      <c r="T594" s="116"/>
      <c r="U594" s="616">
        <v>95</v>
      </c>
      <c r="V594" s="618">
        <v>0.59940000000000004</v>
      </c>
      <c r="W594" s="619">
        <v>60</v>
      </c>
      <c r="X594" s="618">
        <v>0.1027</v>
      </c>
      <c r="Y594" s="620">
        <v>90</v>
      </c>
    </row>
    <row r="595" spans="1:25" ht="12.75">
      <c r="A595" s="36"/>
      <c r="B595" s="114"/>
      <c r="C595" s="36"/>
      <c r="D595" s="36"/>
      <c r="E595" s="36"/>
      <c r="F595" s="36"/>
      <c r="G595" s="36"/>
      <c r="H595" s="36"/>
      <c r="I595" s="36"/>
      <c r="J595" s="36"/>
      <c r="R595" s="117" t="s">
        <v>2855</v>
      </c>
      <c r="S595" s="116"/>
      <c r="T595" s="116"/>
      <c r="U595" s="156" t="s">
        <v>9805</v>
      </c>
      <c r="V595" s="618">
        <v>0.70940000000000003</v>
      </c>
      <c r="W595" s="619">
        <v>71</v>
      </c>
      <c r="X595" s="618">
        <v>5.1900000000000002E-2</v>
      </c>
      <c r="Y595" s="620">
        <v>95</v>
      </c>
    </row>
    <row r="596" spans="1:25" ht="12.75">
      <c r="A596" s="36"/>
      <c r="B596" s="114"/>
      <c r="C596" s="36"/>
      <c r="D596" s="36"/>
      <c r="E596" s="36"/>
      <c r="F596" s="36"/>
      <c r="G596" s="36"/>
      <c r="H596" s="36"/>
      <c r="I596" s="36"/>
      <c r="J596" s="36"/>
      <c r="R596" s="117" t="s">
        <v>2859</v>
      </c>
      <c r="S596" s="116"/>
      <c r="T596" s="116"/>
      <c r="U596" s="616">
        <v>92</v>
      </c>
      <c r="V596" s="618">
        <v>0.38890000000000002</v>
      </c>
      <c r="W596" s="619">
        <v>39</v>
      </c>
      <c r="X596" s="618">
        <v>0</v>
      </c>
      <c r="Y596" s="620">
        <v>100</v>
      </c>
    </row>
    <row r="597" spans="1:25" ht="12.75">
      <c r="A597" s="36"/>
      <c r="B597" s="114"/>
      <c r="C597" s="36"/>
      <c r="D597" s="36"/>
      <c r="E597" s="36"/>
      <c r="F597" s="36"/>
      <c r="G597" s="36"/>
      <c r="H597" s="36"/>
      <c r="I597" s="36"/>
      <c r="J597" s="36"/>
      <c r="R597" s="117" t="s">
        <v>2862</v>
      </c>
      <c r="S597" s="116"/>
      <c r="T597" s="116"/>
      <c r="U597" s="616">
        <v>97</v>
      </c>
      <c r="V597" s="618">
        <v>0.90629999999999999</v>
      </c>
      <c r="W597" s="619">
        <v>91</v>
      </c>
      <c r="X597" s="618">
        <v>3.8899999999999997E-2</v>
      </c>
      <c r="Y597" s="620">
        <v>96</v>
      </c>
    </row>
    <row r="598" spans="1:25" ht="12.75">
      <c r="A598" s="36"/>
      <c r="B598" s="114"/>
      <c r="C598" s="36"/>
      <c r="D598" s="36"/>
      <c r="E598" s="36"/>
      <c r="F598" s="36"/>
      <c r="G598" s="36"/>
      <c r="H598" s="36"/>
      <c r="I598" s="36"/>
      <c r="J598" s="36"/>
      <c r="R598" s="117" t="s">
        <v>2865</v>
      </c>
      <c r="S598" s="116"/>
      <c r="T598" s="116"/>
      <c r="U598" s="156" t="s">
        <v>9805</v>
      </c>
      <c r="V598" s="618">
        <v>0.59519999999999995</v>
      </c>
      <c r="W598" s="619">
        <v>60</v>
      </c>
      <c r="X598" s="618">
        <v>0.1167</v>
      </c>
      <c r="Y598" s="620">
        <v>88</v>
      </c>
    </row>
    <row r="599" spans="1:25" ht="12.75">
      <c r="A599" s="36"/>
      <c r="B599" s="114"/>
      <c r="C599" s="36"/>
      <c r="D599" s="36"/>
      <c r="E599" s="36"/>
      <c r="F599" s="36"/>
      <c r="G599" s="36"/>
      <c r="H599" s="36"/>
      <c r="I599" s="36"/>
      <c r="J599" s="36"/>
      <c r="R599" s="117" t="s">
        <v>2869</v>
      </c>
      <c r="S599" s="116"/>
      <c r="T599" s="116"/>
      <c r="U599" s="156" t="s">
        <v>9805</v>
      </c>
      <c r="V599" s="618">
        <v>0.7399</v>
      </c>
      <c r="W599" s="619">
        <v>74</v>
      </c>
      <c r="X599" s="618">
        <v>0</v>
      </c>
      <c r="Y599" s="620">
        <v>100</v>
      </c>
    </row>
    <row r="600" spans="1:25" ht="12.75">
      <c r="A600" s="36"/>
      <c r="B600" s="114"/>
      <c r="C600" s="36"/>
      <c r="D600" s="36"/>
      <c r="E600" s="36"/>
      <c r="F600" s="36"/>
      <c r="G600" s="36"/>
      <c r="H600" s="36"/>
      <c r="I600" s="36"/>
      <c r="J600" s="36"/>
      <c r="R600" s="117" t="s">
        <v>2872</v>
      </c>
      <c r="S600" s="116"/>
      <c r="T600" s="116"/>
      <c r="U600" s="156" t="s">
        <v>9805</v>
      </c>
      <c r="V600" s="618">
        <v>0.54800000000000004</v>
      </c>
      <c r="W600" s="619">
        <v>55</v>
      </c>
      <c r="X600" s="618">
        <v>2.69E-2</v>
      </c>
      <c r="Y600" s="620">
        <v>97</v>
      </c>
    </row>
    <row r="601" spans="1:25" ht="12.75">
      <c r="A601" s="36"/>
      <c r="B601" s="114"/>
      <c r="C601" s="36"/>
      <c r="D601" s="36"/>
      <c r="E601" s="36"/>
      <c r="F601" s="36"/>
      <c r="G601" s="36"/>
      <c r="H601" s="36"/>
      <c r="I601" s="36"/>
      <c r="J601" s="36"/>
      <c r="R601" s="117" t="s">
        <v>2875</v>
      </c>
      <c r="S601" s="116"/>
      <c r="T601" s="116"/>
      <c r="U601" s="616">
        <v>93</v>
      </c>
      <c r="V601" s="618">
        <v>0.47920000000000001</v>
      </c>
      <c r="W601" s="619">
        <v>48</v>
      </c>
      <c r="X601" s="618">
        <v>0</v>
      </c>
      <c r="Y601" s="620">
        <v>100</v>
      </c>
    </row>
    <row r="602" spans="1:25" ht="12.75">
      <c r="A602" s="36"/>
      <c r="B602" s="114"/>
      <c r="C602" s="36"/>
      <c r="D602" s="36"/>
      <c r="E602" s="36"/>
      <c r="F602" s="36"/>
      <c r="G602" s="36"/>
      <c r="H602" s="36"/>
      <c r="I602" s="36"/>
      <c r="J602" s="36"/>
      <c r="R602" s="117" t="s">
        <v>2878</v>
      </c>
      <c r="S602" s="116"/>
      <c r="T602" s="116"/>
      <c r="U602" s="156" t="s">
        <v>9805</v>
      </c>
      <c r="V602" s="116" t="s">
        <v>9806</v>
      </c>
      <c r="W602" s="617" t="s">
        <v>9806</v>
      </c>
      <c r="X602" s="116" t="s">
        <v>9806</v>
      </c>
      <c r="Y602" s="116" t="s">
        <v>9806</v>
      </c>
    </row>
    <row r="603" spans="1:25" ht="12.75">
      <c r="A603" s="36"/>
      <c r="B603" s="114"/>
      <c r="C603" s="36"/>
      <c r="D603" s="36"/>
      <c r="E603" s="36"/>
      <c r="F603" s="36"/>
      <c r="G603" s="36"/>
      <c r="H603" s="36"/>
      <c r="I603" s="36"/>
      <c r="J603" s="36"/>
      <c r="R603" s="117" t="s">
        <v>2884</v>
      </c>
      <c r="S603" s="116"/>
      <c r="T603" s="116"/>
      <c r="U603" s="616">
        <v>98</v>
      </c>
      <c r="V603" s="618">
        <v>0.59399999999999997</v>
      </c>
      <c r="W603" s="619">
        <v>59</v>
      </c>
      <c r="X603" s="618">
        <v>1.8200000000000001E-2</v>
      </c>
      <c r="Y603" s="620">
        <v>98</v>
      </c>
    </row>
    <row r="604" spans="1:25" ht="12.75">
      <c r="A604" s="36"/>
      <c r="B604" s="114"/>
      <c r="C604" s="36"/>
      <c r="D604" s="36"/>
      <c r="E604" s="36"/>
      <c r="F604" s="36"/>
      <c r="G604" s="36"/>
      <c r="H604" s="36"/>
      <c r="I604" s="36"/>
      <c r="J604" s="36"/>
      <c r="R604" s="117" t="s">
        <v>2887</v>
      </c>
      <c r="S604" s="116"/>
      <c r="T604" s="116"/>
      <c r="U604" s="616">
        <v>79</v>
      </c>
      <c r="V604" s="618">
        <v>0.9667</v>
      </c>
      <c r="W604" s="619">
        <v>97</v>
      </c>
      <c r="X604" s="618">
        <v>8.8000000000000005E-3</v>
      </c>
      <c r="Y604" s="620">
        <v>99</v>
      </c>
    </row>
    <row r="605" spans="1:25" ht="12.75">
      <c r="A605" s="36"/>
      <c r="B605" s="114"/>
      <c r="C605" s="36"/>
      <c r="D605" s="36"/>
      <c r="E605" s="36"/>
      <c r="F605" s="36"/>
      <c r="G605" s="36"/>
      <c r="H605" s="36"/>
      <c r="I605" s="36"/>
      <c r="J605" s="36"/>
      <c r="R605" s="117" t="s">
        <v>2890</v>
      </c>
      <c r="S605" s="116"/>
      <c r="T605" s="116"/>
      <c r="U605" s="616">
        <v>82</v>
      </c>
      <c r="V605" s="116" t="s">
        <v>9805</v>
      </c>
      <c r="W605" s="617" t="s">
        <v>9805</v>
      </c>
      <c r="X605" s="116" t="s">
        <v>9805</v>
      </c>
      <c r="Y605" s="116" t="s">
        <v>9805</v>
      </c>
    </row>
    <row r="606" spans="1:25" ht="12.75">
      <c r="A606" s="36"/>
      <c r="B606" s="114"/>
      <c r="C606" s="36"/>
      <c r="D606" s="36"/>
      <c r="E606" s="36"/>
      <c r="F606" s="36"/>
      <c r="G606" s="36"/>
      <c r="H606" s="36"/>
      <c r="I606" s="36"/>
      <c r="J606" s="36"/>
      <c r="R606" s="117" t="s">
        <v>2893</v>
      </c>
      <c r="S606" s="116"/>
      <c r="T606" s="116"/>
      <c r="U606" s="156" t="s">
        <v>9805</v>
      </c>
      <c r="V606" s="618">
        <v>0.4773</v>
      </c>
      <c r="W606" s="619">
        <v>48</v>
      </c>
      <c r="X606" s="618">
        <v>0</v>
      </c>
      <c r="Y606" s="620">
        <v>100</v>
      </c>
    </row>
    <row r="607" spans="1:25" ht="12.75">
      <c r="A607" s="36"/>
      <c r="B607" s="114"/>
      <c r="C607" s="36"/>
      <c r="D607" s="36"/>
      <c r="E607" s="36"/>
      <c r="F607" s="36"/>
      <c r="G607" s="36"/>
      <c r="H607" s="36"/>
      <c r="I607" s="36"/>
      <c r="J607" s="36"/>
      <c r="R607" s="117" t="s">
        <v>2896</v>
      </c>
      <c r="S607" s="116"/>
      <c r="T607" s="116"/>
      <c r="U607" s="616">
        <v>91</v>
      </c>
      <c r="V607" s="618">
        <v>0.93100000000000005</v>
      </c>
      <c r="W607" s="619">
        <v>93</v>
      </c>
      <c r="X607" s="618">
        <v>8.7499999999999994E-2</v>
      </c>
      <c r="Y607" s="620">
        <v>91</v>
      </c>
    </row>
    <row r="608" spans="1:25" ht="12.75">
      <c r="A608" s="36"/>
      <c r="B608" s="114"/>
      <c r="C608" s="36"/>
      <c r="D608" s="36"/>
      <c r="E608" s="36"/>
      <c r="F608" s="36"/>
      <c r="G608" s="36"/>
      <c r="H608" s="36"/>
      <c r="I608" s="36"/>
      <c r="J608" s="36"/>
      <c r="R608" s="117" t="s">
        <v>2900</v>
      </c>
      <c r="S608" s="116"/>
      <c r="T608" s="116"/>
      <c r="U608" s="156" t="s">
        <v>9805</v>
      </c>
      <c r="V608" s="618">
        <v>0.45829999999999999</v>
      </c>
      <c r="W608" s="619">
        <v>46</v>
      </c>
      <c r="X608" s="618">
        <v>-4.3799999999999999E-2</v>
      </c>
      <c r="Y608" s="620">
        <v>104</v>
      </c>
    </row>
    <row r="609" spans="1:25" ht="12.75">
      <c r="A609" s="36"/>
      <c r="B609" s="114"/>
      <c r="C609" s="36"/>
      <c r="D609" s="36"/>
      <c r="E609" s="36"/>
      <c r="F609" s="36"/>
      <c r="G609" s="36"/>
      <c r="H609" s="36"/>
      <c r="I609" s="36"/>
      <c r="J609" s="36"/>
      <c r="R609" s="117" t="s">
        <v>2903</v>
      </c>
      <c r="S609" s="116"/>
      <c r="T609" s="116"/>
      <c r="U609" s="156" t="s">
        <v>9805</v>
      </c>
      <c r="V609" s="618">
        <v>0</v>
      </c>
      <c r="W609" s="619">
        <v>0</v>
      </c>
      <c r="X609" s="618">
        <v>0</v>
      </c>
      <c r="Y609" s="620">
        <v>100</v>
      </c>
    </row>
    <row r="610" spans="1:25" ht="12.75">
      <c r="A610" s="36"/>
      <c r="B610" s="114"/>
      <c r="C610" s="36"/>
      <c r="D610" s="36"/>
      <c r="E610" s="36"/>
      <c r="F610" s="36"/>
      <c r="G610" s="36"/>
      <c r="H610" s="36"/>
      <c r="I610" s="36"/>
      <c r="J610" s="36"/>
      <c r="R610" s="117" t="s">
        <v>2906</v>
      </c>
      <c r="S610" s="116"/>
      <c r="T610" s="116"/>
      <c r="U610" s="156" t="s">
        <v>9805</v>
      </c>
      <c r="V610" s="618">
        <v>0.68289999999999995</v>
      </c>
      <c r="W610" s="619">
        <v>68</v>
      </c>
      <c r="X610" s="618">
        <v>0.1273</v>
      </c>
      <c r="Y610" s="620">
        <v>87</v>
      </c>
    </row>
    <row r="611" spans="1:25" ht="12.75">
      <c r="A611" s="36"/>
      <c r="B611" s="114"/>
      <c r="C611" s="36"/>
      <c r="D611" s="36"/>
      <c r="E611" s="36"/>
      <c r="F611" s="36"/>
      <c r="G611" s="36"/>
      <c r="H611" s="36"/>
      <c r="I611" s="36"/>
      <c r="J611" s="36"/>
      <c r="R611" s="117" t="s">
        <v>2909</v>
      </c>
      <c r="S611" s="116"/>
      <c r="T611" s="116"/>
      <c r="U611" s="616">
        <v>95</v>
      </c>
      <c r="V611" s="618">
        <v>1.05</v>
      </c>
      <c r="W611" s="619">
        <v>105</v>
      </c>
      <c r="X611" s="618">
        <v>0</v>
      </c>
      <c r="Y611" s="620">
        <v>100</v>
      </c>
    </row>
    <row r="612" spans="1:25" ht="12.75">
      <c r="A612" s="36"/>
      <c r="B612" s="114"/>
      <c r="C612" s="36"/>
      <c r="D612" s="36"/>
      <c r="E612" s="36"/>
      <c r="F612" s="36"/>
      <c r="G612" s="36"/>
      <c r="H612" s="36"/>
      <c r="I612" s="36"/>
      <c r="J612" s="36"/>
      <c r="R612" s="117" t="s">
        <v>2912</v>
      </c>
      <c r="S612" s="116"/>
      <c r="T612" s="116"/>
      <c r="U612" s="616">
        <v>75</v>
      </c>
      <c r="V612" s="618">
        <v>0.57579999999999998</v>
      </c>
      <c r="W612" s="619">
        <v>58</v>
      </c>
      <c r="X612" s="618">
        <v>0</v>
      </c>
      <c r="Y612" s="620">
        <v>100</v>
      </c>
    </row>
    <row r="613" spans="1:25" ht="12.75">
      <c r="A613" s="36"/>
      <c r="B613" s="114"/>
      <c r="C613" s="36"/>
      <c r="D613" s="36"/>
      <c r="E613" s="36"/>
      <c r="F613" s="36"/>
      <c r="G613" s="36"/>
      <c r="H613" s="36"/>
      <c r="I613" s="36"/>
      <c r="J613" s="36"/>
      <c r="R613" s="117" t="s">
        <v>2915</v>
      </c>
      <c r="S613" s="116"/>
      <c r="T613" s="116"/>
      <c r="U613" s="156" t="s">
        <v>9805</v>
      </c>
      <c r="V613" s="116" t="s">
        <v>9806</v>
      </c>
      <c r="W613" s="617" t="s">
        <v>9806</v>
      </c>
      <c r="X613" s="116" t="s">
        <v>9806</v>
      </c>
      <c r="Y613" s="116" t="s">
        <v>9806</v>
      </c>
    </row>
    <row r="614" spans="1:25" ht="12.75">
      <c r="A614" s="36"/>
      <c r="B614" s="114"/>
      <c r="C614" s="36"/>
      <c r="D614" s="36"/>
      <c r="E614" s="36"/>
      <c r="F614" s="36"/>
      <c r="G614" s="36"/>
      <c r="H614" s="36"/>
      <c r="I614" s="36"/>
      <c r="J614" s="36"/>
      <c r="R614" s="117" t="s">
        <v>2919</v>
      </c>
      <c r="S614" s="116"/>
      <c r="T614" s="116"/>
      <c r="U614" s="616">
        <v>75</v>
      </c>
      <c r="V614" s="618">
        <v>0.45660000000000001</v>
      </c>
      <c r="W614" s="619">
        <v>46</v>
      </c>
      <c r="X614" s="618">
        <v>-4.6699999999999998E-2</v>
      </c>
      <c r="Y614" s="620">
        <v>105</v>
      </c>
    </row>
    <row r="615" spans="1:25" ht="12.75">
      <c r="A615" s="36"/>
      <c r="B615" s="114"/>
      <c r="C615" s="36"/>
      <c r="D615" s="36"/>
      <c r="E615" s="36"/>
      <c r="F615" s="36"/>
      <c r="G615" s="36"/>
      <c r="H615" s="36"/>
      <c r="I615" s="36"/>
      <c r="J615" s="36"/>
      <c r="R615" s="117" t="s">
        <v>2922</v>
      </c>
      <c r="S615" s="116"/>
      <c r="T615" s="116"/>
      <c r="U615" s="156" t="s">
        <v>9805</v>
      </c>
      <c r="V615" s="116" t="s">
        <v>9806</v>
      </c>
      <c r="W615" s="617" t="s">
        <v>9806</v>
      </c>
      <c r="X615" s="116" t="s">
        <v>9806</v>
      </c>
      <c r="Y615" s="116" t="s">
        <v>9806</v>
      </c>
    </row>
    <row r="616" spans="1:25" ht="12.75">
      <c r="A616" s="36"/>
      <c r="B616" s="114"/>
      <c r="C616" s="36"/>
      <c r="D616" s="36"/>
      <c r="E616" s="36"/>
      <c r="F616" s="36"/>
      <c r="G616" s="36"/>
      <c r="H616" s="36"/>
      <c r="I616" s="36"/>
      <c r="J616" s="36"/>
      <c r="R616" s="117" t="s">
        <v>2925</v>
      </c>
      <c r="S616" s="116"/>
      <c r="T616" s="116"/>
      <c r="U616" s="156" t="s">
        <v>9805</v>
      </c>
      <c r="V616" s="618">
        <v>1.25</v>
      </c>
      <c r="W616" s="619">
        <v>125</v>
      </c>
      <c r="X616" s="618">
        <v>0</v>
      </c>
      <c r="Y616" s="620">
        <v>100</v>
      </c>
    </row>
    <row r="617" spans="1:25" ht="12.75">
      <c r="A617" s="36"/>
      <c r="B617" s="114"/>
      <c r="C617" s="36"/>
      <c r="D617" s="36"/>
      <c r="E617" s="36"/>
      <c r="F617" s="36"/>
      <c r="G617" s="36"/>
      <c r="H617" s="36"/>
      <c r="I617" s="36"/>
      <c r="J617" s="36"/>
      <c r="R617" s="117" t="s">
        <v>2928</v>
      </c>
      <c r="S617" s="116"/>
      <c r="T617" s="116"/>
      <c r="U617" s="616">
        <v>94</v>
      </c>
      <c r="V617" s="618">
        <v>0</v>
      </c>
      <c r="W617" s="619">
        <v>0</v>
      </c>
      <c r="X617" s="618">
        <v>0</v>
      </c>
      <c r="Y617" s="620">
        <v>100</v>
      </c>
    </row>
    <row r="618" spans="1:25" ht="12.75">
      <c r="A618" s="36"/>
      <c r="B618" s="114"/>
      <c r="C618" s="36"/>
      <c r="D618" s="36"/>
      <c r="E618" s="36"/>
      <c r="F618" s="36"/>
      <c r="G618" s="36"/>
      <c r="H618" s="36"/>
      <c r="I618" s="36"/>
      <c r="J618" s="36"/>
      <c r="R618" s="117" t="s">
        <v>2931</v>
      </c>
      <c r="S618" s="116"/>
      <c r="T618" s="116"/>
      <c r="U618" s="156" t="s">
        <v>9805</v>
      </c>
      <c r="V618" s="618">
        <v>0.81820000000000004</v>
      </c>
      <c r="W618" s="619">
        <v>82</v>
      </c>
      <c r="X618" s="618">
        <v>0</v>
      </c>
      <c r="Y618" s="620">
        <v>100</v>
      </c>
    </row>
    <row r="619" spans="1:25" ht="12.75">
      <c r="A619" s="36"/>
      <c r="B619" s="114"/>
      <c r="C619" s="36"/>
      <c r="D619" s="36"/>
      <c r="E619" s="36"/>
      <c r="F619" s="36"/>
      <c r="G619" s="36"/>
      <c r="H619" s="36"/>
      <c r="I619" s="36"/>
      <c r="J619" s="36"/>
      <c r="R619" s="117" t="s">
        <v>2934</v>
      </c>
      <c r="S619" s="116"/>
      <c r="T619" s="116"/>
      <c r="U619" s="156" t="s">
        <v>9805</v>
      </c>
      <c r="V619" s="116" t="s">
        <v>9805</v>
      </c>
      <c r="W619" s="617" t="s">
        <v>9805</v>
      </c>
      <c r="X619" s="116" t="s">
        <v>9805</v>
      </c>
      <c r="Y619" s="116" t="s">
        <v>9805</v>
      </c>
    </row>
    <row r="620" spans="1:25" ht="12.75">
      <c r="A620" s="36"/>
      <c r="B620" s="114"/>
      <c r="C620" s="36"/>
      <c r="D620" s="36"/>
      <c r="E620" s="36"/>
      <c r="F620" s="36"/>
      <c r="G620" s="36"/>
      <c r="H620" s="36"/>
      <c r="I620" s="36"/>
      <c r="J620" s="36"/>
      <c r="R620" s="117" t="s">
        <v>2937</v>
      </c>
      <c r="S620" s="116"/>
      <c r="T620" s="116"/>
      <c r="U620" s="616">
        <v>64</v>
      </c>
      <c r="V620" s="618">
        <v>0.55100000000000005</v>
      </c>
      <c r="W620" s="619">
        <v>55</v>
      </c>
      <c r="X620" s="618">
        <v>0.1273</v>
      </c>
      <c r="Y620" s="620">
        <v>87</v>
      </c>
    </row>
    <row r="621" spans="1:25" ht="12.75">
      <c r="A621" s="36"/>
      <c r="B621" s="114"/>
      <c r="C621" s="36"/>
      <c r="D621" s="36"/>
      <c r="E621" s="36"/>
      <c r="F621" s="36"/>
      <c r="G621" s="36"/>
      <c r="H621" s="36"/>
      <c r="I621" s="36"/>
      <c r="J621" s="36"/>
      <c r="R621" s="117" t="s">
        <v>2940</v>
      </c>
      <c r="S621" s="116"/>
      <c r="T621" s="116"/>
      <c r="U621" s="616">
        <v>79</v>
      </c>
      <c r="V621" s="618">
        <v>0.60829999999999995</v>
      </c>
      <c r="W621" s="619">
        <v>61</v>
      </c>
      <c r="X621" s="618">
        <v>0.05</v>
      </c>
      <c r="Y621" s="620">
        <v>95</v>
      </c>
    </row>
    <row r="622" spans="1:25" ht="12.75">
      <c r="A622" s="36"/>
      <c r="B622" s="114"/>
      <c r="C622" s="36"/>
      <c r="D622" s="36"/>
      <c r="E622" s="36"/>
      <c r="F622" s="36"/>
      <c r="G622" s="36"/>
      <c r="H622" s="36"/>
      <c r="I622" s="36"/>
      <c r="J622" s="36"/>
      <c r="R622" s="117" t="s">
        <v>2944</v>
      </c>
      <c r="S622" s="116"/>
      <c r="T622" s="116"/>
      <c r="U622" s="156" t="s">
        <v>9805</v>
      </c>
      <c r="V622" s="116" t="s">
        <v>9805</v>
      </c>
      <c r="W622" s="617" t="s">
        <v>9805</v>
      </c>
      <c r="X622" s="116" t="s">
        <v>9805</v>
      </c>
      <c r="Y622" s="116" t="s">
        <v>9805</v>
      </c>
    </row>
    <row r="623" spans="1:25" ht="12.75">
      <c r="A623" s="36"/>
      <c r="B623" s="114"/>
      <c r="C623" s="36"/>
      <c r="D623" s="36"/>
      <c r="E623" s="36"/>
      <c r="F623" s="36"/>
      <c r="G623" s="36"/>
      <c r="H623" s="36"/>
      <c r="I623" s="36"/>
      <c r="J623" s="36"/>
      <c r="R623" s="117" t="s">
        <v>2947</v>
      </c>
      <c r="S623" s="116"/>
      <c r="T623" s="116"/>
      <c r="U623" s="616">
        <v>85</v>
      </c>
      <c r="V623" s="116" t="s">
        <v>9805</v>
      </c>
      <c r="W623" s="617" t="s">
        <v>9805</v>
      </c>
      <c r="X623" s="116" t="s">
        <v>9805</v>
      </c>
      <c r="Y623" s="116" t="s">
        <v>9805</v>
      </c>
    </row>
    <row r="624" spans="1:25" ht="12.75">
      <c r="A624" s="36"/>
      <c r="B624" s="114"/>
      <c r="C624" s="36"/>
      <c r="D624" s="36"/>
      <c r="E624" s="36"/>
      <c r="F624" s="36"/>
      <c r="G624" s="36"/>
      <c r="H624" s="36"/>
      <c r="I624" s="36"/>
      <c r="J624" s="36"/>
      <c r="R624" s="117" t="s">
        <v>2950</v>
      </c>
      <c r="S624" s="116"/>
      <c r="T624" s="116"/>
      <c r="U624" s="156" t="s">
        <v>9805</v>
      </c>
      <c r="V624" s="116" t="s">
        <v>9805</v>
      </c>
      <c r="W624" s="617" t="s">
        <v>9805</v>
      </c>
      <c r="X624" s="116" t="s">
        <v>9805</v>
      </c>
      <c r="Y624" s="116" t="s">
        <v>9805</v>
      </c>
    </row>
    <row r="625" spans="1:25" ht="12.75">
      <c r="A625" s="36"/>
      <c r="B625" s="114"/>
      <c r="C625" s="36"/>
      <c r="D625" s="36"/>
      <c r="E625" s="36"/>
      <c r="F625" s="36"/>
      <c r="G625" s="36"/>
      <c r="H625" s="36"/>
      <c r="I625" s="36"/>
      <c r="J625" s="36"/>
      <c r="R625" s="117" t="s">
        <v>2953</v>
      </c>
      <c r="S625" s="116"/>
      <c r="T625" s="116"/>
      <c r="U625" s="616">
        <v>90</v>
      </c>
      <c r="V625" s="618">
        <v>0.63800000000000001</v>
      </c>
      <c r="W625" s="619">
        <v>64</v>
      </c>
      <c r="X625" s="618">
        <v>3.8899999999999997E-2</v>
      </c>
      <c r="Y625" s="620">
        <v>96</v>
      </c>
    </row>
    <row r="626" spans="1:25" ht="12.75">
      <c r="A626" s="36"/>
      <c r="B626" s="114"/>
      <c r="C626" s="36"/>
      <c r="D626" s="36"/>
      <c r="E626" s="36"/>
      <c r="F626" s="36"/>
      <c r="G626" s="36"/>
      <c r="H626" s="36"/>
      <c r="I626" s="36"/>
      <c r="J626" s="36"/>
      <c r="R626" s="117" t="s">
        <v>2956</v>
      </c>
      <c r="S626" s="116"/>
      <c r="T626" s="116"/>
      <c r="U626" s="156" t="s">
        <v>9805</v>
      </c>
      <c r="V626" s="116" t="s">
        <v>9805</v>
      </c>
      <c r="W626" s="617" t="s">
        <v>9805</v>
      </c>
      <c r="X626" s="116" t="s">
        <v>9805</v>
      </c>
      <c r="Y626" s="116" t="s">
        <v>9805</v>
      </c>
    </row>
    <row r="627" spans="1:25" ht="12.75">
      <c r="A627" s="36"/>
      <c r="B627" s="114"/>
      <c r="C627" s="36"/>
      <c r="D627" s="36"/>
      <c r="E627" s="36"/>
      <c r="F627" s="36"/>
      <c r="G627" s="36"/>
      <c r="H627" s="36"/>
      <c r="I627" s="36"/>
      <c r="J627" s="36"/>
      <c r="R627" s="117" t="s">
        <v>2959</v>
      </c>
      <c r="S627" s="116"/>
      <c r="T627" s="116"/>
      <c r="U627" s="156" t="s">
        <v>9805</v>
      </c>
      <c r="V627" s="116" t="s">
        <v>9805</v>
      </c>
      <c r="W627" s="617" t="s">
        <v>9805</v>
      </c>
      <c r="X627" s="116" t="s">
        <v>9805</v>
      </c>
      <c r="Y627" s="116" t="s">
        <v>9805</v>
      </c>
    </row>
    <row r="628" spans="1:25" ht="12.75">
      <c r="A628" s="36"/>
      <c r="B628" s="114"/>
      <c r="C628" s="36"/>
      <c r="D628" s="36"/>
      <c r="E628" s="36"/>
      <c r="F628" s="36"/>
      <c r="G628" s="36"/>
      <c r="H628" s="36"/>
      <c r="I628" s="36"/>
      <c r="J628" s="36"/>
      <c r="R628" s="117" t="s">
        <v>2962</v>
      </c>
      <c r="S628" s="116"/>
      <c r="T628" s="116"/>
      <c r="U628" s="616">
        <v>80</v>
      </c>
      <c r="V628" s="618">
        <v>0</v>
      </c>
      <c r="W628" s="619">
        <v>0</v>
      </c>
      <c r="X628" s="618">
        <v>2.5000000000000001E-2</v>
      </c>
      <c r="Y628" s="620">
        <v>98</v>
      </c>
    </row>
    <row r="629" spans="1:25" ht="12.75">
      <c r="A629" s="36"/>
      <c r="B629" s="114"/>
      <c r="C629" s="36"/>
      <c r="D629" s="36"/>
      <c r="E629" s="36"/>
      <c r="F629" s="36"/>
      <c r="G629" s="36"/>
      <c r="H629" s="36"/>
      <c r="I629" s="36"/>
      <c r="J629" s="36"/>
      <c r="R629" s="117" t="s">
        <v>2965</v>
      </c>
      <c r="S629" s="116"/>
      <c r="T629" s="116"/>
      <c r="U629" s="616">
        <v>64</v>
      </c>
      <c r="V629" s="618">
        <v>1.1000000000000001</v>
      </c>
      <c r="W629" s="619">
        <v>110</v>
      </c>
      <c r="X629" s="618">
        <v>0.2</v>
      </c>
      <c r="Y629" s="620">
        <v>80</v>
      </c>
    </row>
    <row r="630" spans="1:25" ht="12.75">
      <c r="A630" s="36"/>
      <c r="B630" s="114"/>
      <c r="C630" s="36"/>
      <c r="D630" s="36"/>
      <c r="E630" s="36"/>
      <c r="F630" s="36"/>
      <c r="G630" s="36"/>
      <c r="H630" s="36"/>
      <c r="I630" s="36"/>
      <c r="J630" s="36"/>
      <c r="R630" s="117" t="s">
        <v>2968</v>
      </c>
      <c r="S630" s="116"/>
      <c r="T630" s="116"/>
      <c r="U630" s="616">
        <v>74</v>
      </c>
      <c r="V630" s="618">
        <v>0.60319999999999996</v>
      </c>
      <c r="W630" s="619">
        <v>60</v>
      </c>
      <c r="X630" s="618">
        <v>1.43E-2</v>
      </c>
      <c r="Y630" s="620">
        <v>99</v>
      </c>
    </row>
    <row r="631" spans="1:25" ht="12.75">
      <c r="A631" s="36"/>
      <c r="B631" s="114"/>
      <c r="C631" s="36"/>
      <c r="D631" s="36"/>
      <c r="E631" s="36"/>
      <c r="F631" s="36"/>
      <c r="G631" s="36"/>
      <c r="H631" s="36"/>
      <c r="I631" s="36"/>
      <c r="J631" s="36"/>
      <c r="R631" s="117" t="s">
        <v>2971</v>
      </c>
      <c r="S631" s="116"/>
      <c r="T631" s="116"/>
      <c r="U631" s="616">
        <v>77</v>
      </c>
      <c r="V631" s="116" t="s">
        <v>9805</v>
      </c>
      <c r="W631" s="617" t="s">
        <v>9805</v>
      </c>
      <c r="X631" s="116" t="s">
        <v>9805</v>
      </c>
      <c r="Y631" s="116" t="s">
        <v>9805</v>
      </c>
    </row>
    <row r="632" spans="1:25" ht="12.75">
      <c r="A632" s="36"/>
      <c r="B632" s="114"/>
      <c r="C632" s="36"/>
      <c r="D632" s="36"/>
      <c r="E632" s="36"/>
      <c r="F632" s="36"/>
      <c r="G632" s="36"/>
      <c r="H632" s="36"/>
      <c r="I632" s="36"/>
      <c r="J632" s="36"/>
      <c r="R632" s="117" t="s">
        <v>2974</v>
      </c>
      <c r="S632" s="116"/>
      <c r="T632" s="116"/>
      <c r="U632" s="156" t="s">
        <v>9805</v>
      </c>
      <c r="V632" s="116" t="s">
        <v>9805</v>
      </c>
      <c r="W632" s="617" t="s">
        <v>9805</v>
      </c>
      <c r="X632" s="116" t="s">
        <v>9805</v>
      </c>
      <c r="Y632" s="116" t="s">
        <v>9805</v>
      </c>
    </row>
    <row r="633" spans="1:25" ht="12.75">
      <c r="A633" s="36"/>
      <c r="B633" s="114"/>
      <c r="C633" s="36"/>
      <c r="D633" s="36"/>
      <c r="E633" s="36"/>
      <c r="F633" s="36"/>
      <c r="G633" s="36"/>
      <c r="H633" s="36"/>
      <c r="I633" s="36"/>
      <c r="J633" s="36"/>
      <c r="R633" s="117" t="s">
        <v>2978</v>
      </c>
      <c r="S633" s="116"/>
      <c r="T633" s="116"/>
      <c r="U633" s="616">
        <v>94</v>
      </c>
      <c r="V633" s="618">
        <v>0.77780000000000005</v>
      </c>
      <c r="W633" s="619">
        <v>78</v>
      </c>
      <c r="X633" s="618">
        <v>0</v>
      </c>
      <c r="Y633" s="620">
        <v>100</v>
      </c>
    </row>
    <row r="634" spans="1:25" ht="12.75">
      <c r="A634" s="36"/>
      <c r="B634" s="114"/>
      <c r="C634" s="36"/>
      <c r="D634" s="36"/>
      <c r="E634" s="36"/>
      <c r="F634" s="36"/>
      <c r="G634" s="36"/>
      <c r="H634" s="36"/>
      <c r="I634" s="36"/>
      <c r="J634" s="36"/>
      <c r="R634" s="117" t="s">
        <v>2981</v>
      </c>
      <c r="S634" s="116"/>
      <c r="T634" s="116"/>
      <c r="U634" s="156" t="s">
        <v>9805</v>
      </c>
      <c r="V634" s="116" t="s">
        <v>9805</v>
      </c>
      <c r="W634" s="617" t="s">
        <v>9805</v>
      </c>
      <c r="X634" s="116" t="s">
        <v>9805</v>
      </c>
      <c r="Y634" s="116" t="s">
        <v>9805</v>
      </c>
    </row>
    <row r="635" spans="1:25" ht="12.75">
      <c r="A635" s="36"/>
      <c r="B635" s="114"/>
      <c r="C635" s="36"/>
      <c r="D635" s="36"/>
      <c r="E635" s="36"/>
      <c r="F635" s="36"/>
      <c r="G635" s="36"/>
      <c r="H635" s="36"/>
      <c r="I635" s="36"/>
      <c r="J635" s="36"/>
      <c r="R635" s="117" t="s">
        <v>2987</v>
      </c>
      <c r="S635" s="116"/>
      <c r="T635" s="116"/>
      <c r="U635" s="616">
        <v>94</v>
      </c>
      <c r="V635" s="618">
        <v>0.64290000000000003</v>
      </c>
      <c r="W635" s="619">
        <v>64</v>
      </c>
      <c r="X635" s="618">
        <v>0</v>
      </c>
      <c r="Y635" s="620">
        <v>100</v>
      </c>
    </row>
    <row r="636" spans="1:25" ht="12.75">
      <c r="A636" s="36"/>
      <c r="B636" s="114"/>
      <c r="C636" s="36"/>
      <c r="D636" s="36"/>
      <c r="E636" s="36"/>
      <c r="F636" s="36"/>
      <c r="G636" s="36"/>
      <c r="H636" s="36"/>
      <c r="I636" s="36"/>
      <c r="J636" s="36"/>
      <c r="R636" s="117" t="s">
        <v>2991</v>
      </c>
      <c r="S636" s="116"/>
      <c r="T636" s="116"/>
      <c r="U636" s="616">
        <v>91</v>
      </c>
      <c r="V636" s="618">
        <v>1.0221</v>
      </c>
      <c r="W636" s="619">
        <v>102</v>
      </c>
      <c r="X636" s="618">
        <v>0</v>
      </c>
      <c r="Y636" s="620">
        <v>100</v>
      </c>
    </row>
    <row r="637" spans="1:25" ht="12.75">
      <c r="A637" s="36"/>
      <c r="B637" s="114"/>
      <c r="C637" s="36"/>
      <c r="D637" s="36"/>
      <c r="E637" s="36"/>
      <c r="F637" s="36"/>
      <c r="G637" s="36"/>
      <c r="H637" s="36"/>
      <c r="I637" s="36"/>
      <c r="J637" s="36"/>
      <c r="R637" s="117" t="s">
        <v>2994</v>
      </c>
      <c r="S637" s="116"/>
      <c r="T637" s="116"/>
      <c r="U637" s="156" t="s">
        <v>9805</v>
      </c>
      <c r="V637" s="116" t="s">
        <v>9805</v>
      </c>
      <c r="W637" s="617" t="s">
        <v>9805</v>
      </c>
      <c r="X637" s="116" t="s">
        <v>9805</v>
      </c>
      <c r="Y637" s="116" t="s">
        <v>9805</v>
      </c>
    </row>
    <row r="638" spans="1:25" ht="12.75">
      <c r="A638" s="36"/>
      <c r="B638" s="114"/>
      <c r="C638" s="36"/>
      <c r="D638" s="36"/>
      <c r="E638" s="36"/>
      <c r="F638" s="36"/>
      <c r="G638" s="36"/>
      <c r="H638" s="36"/>
      <c r="I638" s="36"/>
      <c r="J638" s="36"/>
      <c r="R638" s="117" t="s">
        <v>2997</v>
      </c>
      <c r="S638" s="116"/>
      <c r="T638" s="116"/>
      <c r="U638" s="616">
        <v>87</v>
      </c>
      <c r="V638" s="618">
        <v>0.48809999999999998</v>
      </c>
      <c r="W638" s="619">
        <v>49</v>
      </c>
      <c r="X638" s="618">
        <v>0</v>
      </c>
      <c r="Y638" s="620">
        <v>100</v>
      </c>
    </row>
    <row r="639" spans="1:25" ht="12.75">
      <c r="A639" s="36"/>
      <c r="B639" s="114"/>
      <c r="C639" s="36"/>
      <c r="D639" s="36"/>
      <c r="E639" s="36"/>
      <c r="F639" s="36"/>
      <c r="G639" s="36"/>
      <c r="H639" s="36"/>
      <c r="I639" s="36"/>
      <c r="J639" s="36"/>
      <c r="R639" s="117" t="s">
        <v>3000</v>
      </c>
      <c r="S639" s="116"/>
      <c r="T639" s="116"/>
      <c r="U639" s="616">
        <v>86</v>
      </c>
      <c r="V639" s="618">
        <v>0.84379999999999999</v>
      </c>
      <c r="W639" s="619">
        <v>84</v>
      </c>
      <c r="X639" s="618">
        <v>0</v>
      </c>
      <c r="Y639" s="620">
        <v>100</v>
      </c>
    </row>
    <row r="640" spans="1:25" ht="12.75">
      <c r="A640" s="36"/>
      <c r="B640" s="114"/>
      <c r="C640" s="36"/>
      <c r="D640" s="36"/>
      <c r="E640" s="36"/>
      <c r="F640" s="36"/>
      <c r="G640" s="36"/>
      <c r="H640" s="36"/>
      <c r="I640" s="36"/>
      <c r="J640" s="36"/>
      <c r="R640" s="117" t="s">
        <v>3004</v>
      </c>
      <c r="S640" s="116"/>
      <c r="T640" s="116"/>
      <c r="U640" s="156" t="s">
        <v>9805</v>
      </c>
      <c r="V640" s="116" t="s">
        <v>9805</v>
      </c>
      <c r="W640" s="617" t="s">
        <v>9805</v>
      </c>
      <c r="X640" s="116" t="s">
        <v>9805</v>
      </c>
      <c r="Y640" s="116" t="s">
        <v>9805</v>
      </c>
    </row>
    <row r="641" spans="1:25" ht="12.75">
      <c r="A641" s="36"/>
      <c r="B641" s="114"/>
      <c r="C641" s="36"/>
      <c r="D641" s="36"/>
      <c r="E641" s="36"/>
      <c r="F641" s="36"/>
      <c r="G641" s="36"/>
      <c r="H641" s="36"/>
      <c r="I641" s="36"/>
      <c r="J641" s="36"/>
      <c r="R641" s="117" t="s">
        <v>3008</v>
      </c>
      <c r="S641" s="116"/>
      <c r="T641" s="116"/>
      <c r="U641" s="616">
        <v>96</v>
      </c>
      <c r="V641" s="618">
        <v>0.69230000000000003</v>
      </c>
      <c r="W641" s="619">
        <v>69</v>
      </c>
      <c r="X641" s="618">
        <v>0</v>
      </c>
      <c r="Y641" s="620">
        <v>100</v>
      </c>
    </row>
    <row r="642" spans="1:25" ht="12.75">
      <c r="A642" s="36"/>
      <c r="B642" s="114"/>
      <c r="C642" s="36"/>
      <c r="D642" s="36"/>
      <c r="E642" s="36"/>
      <c r="F642" s="36"/>
      <c r="G642" s="36"/>
      <c r="H642" s="36"/>
      <c r="I642" s="36"/>
      <c r="J642" s="36"/>
      <c r="R642" s="117" t="s">
        <v>3011</v>
      </c>
      <c r="S642" s="116"/>
      <c r="T642" s="116"/>
      <c r="U642" s="156" t="s">
        <v>9805</v>
      </c>
      <c r="V642" s="116" t="s">
        <v>9805</v>
      </c>
      <c r="W642" s="617" t="s">
        <v>9805</v>
      </c>
      <c r="X642" s="116" t="s">
        <v>9805</v>
      </c>
      <c r="Y642" s="116" t="s">
        <v>9805</v>
      </c>
    </row>
    <row r="643" spans="1:25" ht="12.75">
      <c r="A643" s="36"/>
      <c r="B643" s="114"/>
      <c r="C643" s="36"/>
      <c r="D643" s="36"/>
      <c r="E643" s="36"/>
      <c r="F643" s="36"/>
      <c r="G643" s="36"/>
      <c r="H643" s="36"/>
      <c r="I643" s="36"/>
      <c r="J643" s="36"/>
      <c r="R643" s="117" t="s">
        <v>3017</v>
      </c>
      <c r="S643" s="116"/>
      <c r="T643" s="116"/>
      <c r="U643" s="156" t="s">
        <v>9805</v>
      </c>
      <c r="V643" s="116" t="s">
        <v>9805</v>
      </c>
      <c r="W643" s="617" t="s">
        <v>9805</v>
      </c>
      <c r="X643" s="116" t="s">
        <v>9805</v>
      </c>
      <c r="Y643" s="116" t="s">
        <v>9805</v>
      </c>
    </row>
    <row r="644" spans="1:25" ht="12.75">
      <c r="A644" s="36"/>
      <c r="B644" s="114"/>
      <c r="C644" s="36"/>
      <c r="D644" s="36"/>
      <c r="E644" s="36"/>
      <c r="F644" s="36"/>
      <c r="G644" s="36"/>
      <c r="H644" s="36"/>
      <c r="I644" s="36"/>
      <c r="J644" s="36"/>
      <c r="R644" s="117" t="s">
        <v>3020</v>
      </c>
      <c r="S644" s="116"/>
      <c r="T644" s="116"/>
      <c r="U644" s="156" t="s">
        <v>9805</v>
      </c>
      <c r="V644" s="116" t="s">
        <v>9806</v>
      </c>
      <c r="W644" s="617" t="s">
        <v>9806</v>
      </c>
      <c r="X644" s="116" t="s">
        <v>9806</v>
      </c>
      <c r="Y644" s="116" t="s">
        <v>9806</v>
      </c>
    </row>
    <row r="645" spans="1:25" ht="12.75">
      <c r="A645" s="36"/>
      <c r="B645" s="114"/>
      <c r="C645" s="36"/>
      <c r="D645" s="36"/>
      <c r="E645" s="36"/>
      <c r="F645" s="36"/>
      <c r="G645" s="36"/>
      <c r="H645" s="36"/>
      <c r="I645" s="36"/>
      <c r="J645" s="36"/>
      <c r="R645" s="117" t="s">
        <v>3027</v>
      </c>
      <c r="S645" s="116"/>
      <c r="T645" s="116"/>
      <c r="U645" s="156" t="s">
        <v>9805</v>
      </c>
      <c r="V645" s="116" t="s">
        <v>9805</v>
      </c>
      <c r="W645" s="617" t="s">
        <v>9805</v>
      </c>
      <c r="X645" s="116" t="s">
        <v>9805</v>
      </c>
      <c r="Y645" s="116" t="s">
        <v>9805</v>
      </c>
    </row>
    <row r="646" spans="1:25" ht="12.75">
      <c r="A646" s="36"/>
      <c r="B646" s="114"/>
      <c r="C646" s="36"/>
      <c r="D646" s="36"/>
      <c r="E646" s="36"/>
      <c r="F646" s="36"/>
      <c r="G646" s="36"/>
      <c r="H646" s="36"/>
      <c r="I646" s="36"/>
      <c r="J646" s="36"/>
      <c r="R646" s="117" t="s">
        <v>3030</v>
      </c>
      <c r="S646" s="116"/>
      <c r="T646" s="116"/>
      <c r="U646" s="616">
        <v>85</v>
      </c>
      <c r="V646" s="618">
        <v>0.59819999999999995</v>
      </c>
      <c r="W646" s="619">
        <v>60</v>
      </c>
      <c r="X646" s="618">
        <v>0</v>
      </c>
      <c r="Y646" s="620">
        <v>100</v>
      </c>
    </row>
    <row r="647" spans="1:25" ht="12.75">
      <c r="A647" s="36"/>
      <c r="B647" s="114"/>
      <c r="C647" s="36"/>
      <c r="D647" s="36"/>
      <c r="E647" s="36"/>
      <c r="F647" s="36"/>
      <c r="G647" s="36"/>
      <c r="H647" s="36"/>
      <c r="I647" s="36"/>
      <c r="J647" s="36"/>
      <c r="R647" s="117" t="s">
        <v>3033</v>
      </c>
      <c r="S647" s="116"/>
      <c r="T647" s="116"/>
      <c r="U647" s="616">
        <v>87</v>
      </c>
      <c r="V647" s="116" t="s">
        <v>9806</v>
      </c>
      <c r="W647" s="617" t="s">
        <v>9806</v>
      </c>
      <c r="X647" s="618">
        <v>0</v>
      </c>
      <c r="Y647" s="620">
        <v>100</v>
      </c>
    </row>
    <row r="648" spans="1:25" ht="12.75">
      <c r="A648" s="36"/>
      <c r="B648" s="114"/>
      <c r="C648" s="36"/>
      <c r="D648" s="36"/>
      <c r="E648" s="36"/>
      <c r="F648" s="36"/>
      <c r="G648" s="36"/>
      <c r="H648" s="36"/>
      <c r="I648" s="36"/>
      <c r="J648" s="36"/>
      <c r="R648" s="117" t="s">
        <v>3036</v>
      </c>
      <c r="S648" s="116"/>
      <c r="T648" s="116"/>
      <c r="U648" s="616">
        <v>77</v>
      </c>
      <c r="V648" s="116" t="s">
        <v>9806</v>
      </c>
      <c r="W648" s="617" t="s">
        <v>9806</v>
      </c>
      <c r="X648" s="618">
        <v>0</v>
      </c>
      <c r="Y648" s="620">
        <v>100</v>
      </c>
    </row>
    <row r="649" spans="1:25" ht="12.75">
      <c r="A649" s="36"/>
      <c r="B649" s="114"/>
      <c r="C649" s="36"/>
      <c r="D649" s="36"/>
      <c r="E649" s="36"/>
      <c r="F649" s="36"/>
      <c r="G649" s="36"/>
      <c r="H649" s="36"/>
      <c r="I649" s="36"/>
      <c r="J649" s="36"/>
      <c r="R649" s="117" t="s">
        <v>3039</v>
      </c>
      <c r="S649" s="116"/>
      <c r="T649" s="116"/>
      <c r="U649" s="616">
        <v>83</v>
      </c>
      <c r="V649" s="618">
        <v>0.40810000000000002</v>
      </c>
      <c r="W649" s="619">
        <v>41</v>
      </c>
      <c r="X649" s="618">
        <v>0</v>
      </c>
      <c r="Y649" s="620">
        <v>100</v>
      </c>
    </row>
    <row r="650" spans="1:25" ht="12.75">
      <c r="A650" s="36"/>
      <c r="B650" s="114"/>
      <c r="C650" s="36"/>
      <c r="D650" s="36"/>
      <c r="E650" s="36"/>
      <c r="F650" s="36"/>
      <c r="G650" s="36"/>
      <c r="H650" s="36"/>
      <c r="I650" s="36"/>
      <c r="J650" s="36"/>
      <c r="R650" s="117" t="s">
        <v>3042</v>
      </c>
      <c r="S650" s="116"/>
      <c r="T650" s="116"/>
      <c r="U650" s="156" t="s">
        <v>9805</v>
      </c>
      <c r="V650" s="116" t="s">
        <v>9806</v>
      </c>
      <c r="W650" s="617" t="s">
        <v>9806</v>
      </c>
      <c r="X650" s="116" t="s">
        <v>9806</v>
      </c>
      <c r="Y650" s="116" t="s">
        <v>9806</v>
      </c>
    </row>
    <row r="651" spans="1:25" ht="12.75">
      <c r="A651" s="36"/>
      <c r="B651" s="114"/>
      <c r="C651" s="36"/>
      <c r="D651" s="36"/>
      <c r="E651" s="36"/>
      <c r="F651" s="36"/>
      <c r="G651" s="36"/>
      <c r="H651" s="36"/>
      <c r="I651" s="36"/>
      <c r="J651" s="36"/>
      <c r="R651" s="117" t="s">
        <v>3045</v>
      </c>
      <c r="S651" s="116"/>
      <c r="T651" s="116"/>
      <c r="U651" s="156" t="s">
        <v>9805</v>
      </c>
      <c r="V651" s="618">
        <v>0.23330000000000001</v>
      </c>
      <c r="W651" s="619">
        <v>23</v>
      </c>
      <c r="X651" s="618">
        <v>8.7499999999999994E-2</v>
      </c>
      <c r="Y651" s="620">
        <v>91</v>
      </c>
    </row>
    <row r="652" spans="1:25" ht="12.75">
      <c r="A652" s="36"/>
      <c r="B652" s="114"/>
      <c r="C652" s="36"/>
      <c r="D652" s="36"/>
      <c r="E652" s="36"/>
      <c r="F652" s="36"/>
      <c r="G652" s="36"/>
      <c r="H652" s="36"/>
      <c r="I652" s="36"/>
      <c r="J652" s="36"/>
      <c r="R652" s="117" t="s">
        <v>3048</v>
      </c>
      <c r="S652" s="116"/>
      <c r="T652" s="116"/>
      <c r="U652" s="156" t="s">
        <v>9805</v>
      </c>
      <c r="V652" s="618">
        <v>0.9667</v>
      </c>
      <c r="W652" s="619">
        <v>97</v>
      </c>
      <c r="X652" s="618">
        <v>0</v>
      </c>
      <c r="Y652" s="620">
        <v>100</v>
      </c>
    </row>
    <row r="653" spans="1:25" ht="12.75">
      <c r="A653" s="36"/>
      <c r="B653" s="114"/>
      <c r="C653" s="36"/>
      <c r="D653" s="36"/>
      <c r="E653" s="36"/>
      <c r="F653" s="36"/>
      <c r="G653" s="36"/>
      <c r="H653" s="36"/>
      <c r="I653" s="36"/>
      <c r="J653" s="36"/>
      <c r="R653" s="117" t="s">
        <v>3052</v>
      </c>
      <c r="S653" s="116"/>
      <c r="T653" s="116"/>
      <c r="U653" s="616">
        <v>89</v>
      </c>
      <c r="V653" s="618">
        <v>0.32140000000000002</v>
      </c>
      <c r="W653" s="619">
        <v>32</v>
      </c>
      <c r="X653" s="618">
        <v>7.0000000000000007E-2</v>
      </c>
      <c r="Y653" s="620">
        <v>93</v>
      </c>
    </row>
    <row r="654" spans="1:25" ht="12.75">
      <c r="A654" s="36"/>
      <c r="B654" s="114"/>
      <c r="C654" s="36"/>
      <c r="D654" s="36"/>
      <c r="E654" s="36"/>
      <c r="F654" s="36"/>
      <c r="G654" s="36"/>
      <c r="H654" s="36"/>
      <c r="I654" s="36"/>
      <c r="J654" s="36"/>
      <c r="R654" s="117" t="s">
        <v>3055</v>
      </c>
      <c r="S654" s="116"/>
      <c r="T654" s="116"/>
      <c r="U654" s="156" t="s">
        <v>9805</v>
      </c>
      <c r="V654" s="116" t="s">
        <v>9806</v>
      </c>
      <c r="W654" s="617" t="s">
        <v>9806</v>
      </c>
      <c r="X654" s="116" t="s">
        <v>9806</v>
      </c>
      <c r="Y654" s="116" t="s">
        <v>9806</v>
      </c>
    </row>
    <row r="655" spans="1:25" ht="12.75">
      <c r="A655" s="36"/>
      <c r="B655" s="114"/>
      <c r="C655" s="36"/>
      <c r="D655" s="36"/>
      <c r="E655" s="36"/>
      <c r="F655" s="36"/>
      <c r="G655" s="36"/>
      <c r="H655" s="36"/>
      <c r="I655" s="36"/>
      <c r="J655" s="36"/>
      <c r="R655" s="117" t="s">
        <v>3058</v>
      </c>
      <c r="S655" s="116"/>
      <c r="T655" s="116"/>
      <c r="U655" s="156" t="s">
        <v>9805</v>
      </c>
      <c r="V655" s="116" t="s">
        <v>9805</v>
      </c>
      <c r="W655" s="617" t="s">
        <v>9805</v>
      </c>
      <c r="X655" s="116" t="s">
        <v>9805</v>
      </c>
      <c r="Y655" s="116" t="s">
        <v>9805</v>
      </c>
    </row>
    <row r="656" spans="1:25" ht="12.75">
      <c r="A656" s="36"/>
      <c r="B656" s="114"/>
      <c r="C656" s="36"/>
      <c r="D656" s="36"/>
      <c r="E656" s="36"/>
      <c r="F656" s="36"/>
      <c r="G656" s="36"/>
      <c r="H656" s="36"/>
      <c r="I656" s="36"/>
      <c r="J656" s="36"/>
      <c r="R656" s="117" t="s">
        <v>3062</v>
      </c>
      <c r="S656" s="116"/>
      <c r="T656" s="116"/>
      <c r="U656" s="156" t="s">
        <v>9805</v>
      </c>
      <c r="V656" s="116" t="s">
        <v>9805</v>
      </c>
      <c r="W656" s="617" t="s">
        <v>9805</v>
      </c>
      <c r="X656" s="116" t="s">
        <v>9805</v>
      </c>
      <c r="Y656" s="116" t="s">
        <v>9805</v>
      </c>
    </row>
    <row r="657" spans="1:25" ht="12.75">
      <c r="A657" s="36"/>
      <c r="B657" s="114"/>
      <c r="C657" s="36"/>
      <c r="D657" s="36"/>
      <c r="E657" s="36"/>
      <c r="F657" s="36"/>
      <c r="G657" s="36"/>
      <c r="H657" s="36"/>
      <c r="I657" s="36"/>
      <c r="J657" s="36"/>
      <c r="R657" s="117" t="s">
        <v>3065</v>
      </c>
      <c r="S657" s="116"/>
      <c r="T657" s="116"/>
      <c r="U657" s="156" t="s">
        <v>9805</v>
      </c>
      <c r="V657" s="116" t="s">
        <v>9805</v>
      </c>
      <c r="W657" s="617" t="s">
        <v>9805</v>
      </c>
      <c r="X657" s="116" t="s">
        <v>9805</v>
      </c>
      <c r="Y657" s="116" t="s">
        <v>9805</v>
      </c>
    </row>
    <row r="658" spans="1:25" ht="12.75">
      <c r="A658" s="36"/>
      <c r="B658" s="114"/>
      <c r="C658" s="36"/>
      <c r="D658" s="36"/>
      <c r="E658" s="36"/>
      <c r="F658" s="36"/>
      <c r="G658" s="36"/>
      <c r="H658" s="36"/>
      <c r="I658" s="36"/>
      <c r="J658" s="36"/>
      <c r="R658" s="117" t="s">
        <v>3068</v>
      </c>
      <c r="S658" s="116"/>
      <c r="T658" s="116"/>
      <c r="U658" s="616">
        <v>84</v>
      </c>
      <c r="V658" s="116" t="s">
        <v>9805</v>
      </c>
      <c r="W658" s="617" t="s">
        <v>9805</v>
      </c>
      <c r="X658" s="116" t="s">
        <v>9805</v>
      </c>
      <c r="Y658" s="116" t="s">
        <v>9805</v>
      </c>
    </row>
    <row r="659" spans="1:25" ht="12.75">
      <c r="A659" s="36"/>
      <c r="B659" s="114"/>
      <c r="C659" s="36"/>
      <c r="D659" s="36"/>
      <c r="E659" s="36"/>
      <c r="F659" s="36"/>
      <c r="G659" s="36"/>
      <c r="H659" s="36"/>
      <c r="I659" s="36"/>
      <c r="J659" s="36"/>
      <c r="R659" s="117" t="s">
        <v>3071</v>
      </c>
      <c r="S659" s="116"/>
      <c r="T659" s="116"/>
      <c r="U659" s="156" t="s">
        <v>9805</v>
      </c>
      <c r="V659" s="116" t="s">
        <v>9805</v>
      </c>
      <c r="W659" s="617" t="s">
        <v>9805</v>
      </c>
      <c r="X659" s="116" t="s">
        <v>9805</v>
      </c>
      <c r="Y659" s="116" t="s">
        <v>9805</v>
      </c>
    </row>
    <row r="660" spans="1:25" ht="12.75">
      <c r="A660" s="36"/>
      <c r="B660" s="114"/>
      <c r="C660" s="36"/>
      <c r="D660" s="36"/>
      <c r="E660" s="36"/>
      <c r="F660" s="36"/>
      <c r="G660" s="36"/>
      <c r="H660" s="36"/>
      <c r="I660" s="36"/>
      <c r="J660" s="36"/>
      <c r="R660" s="117" t="s">
        <v>3074</v>
      </c>
      <c r="S660" s="116"/>
      <c r="T660" s="116"/>
      <c r="U660" s="156" t="s">
        <v>9805</v>
      </c>
      <c r="V660" s="618">
        <v>1.4</v>
      </c>
      <c r="W660" s="619">
        <v>140</v>
      </c>
      <c r="X660" s="618">
        <v>0</v>
      </c>
      <c r="Y660" s="620">
        <v>100</v>
      </c>
    </row>
    <row r="661" spans="1:25" ht="12.75">
      <c r="A661" s="36"/>
      <c r="B661" s="114"/>
      <c r="C661" s="36"/>
      <c r="D661" s="36"/>
      <c r="E661" s="36"/>
      <c r="F661" s="36"/>
      <c r="G661" s="36"/>
      <c r="H661" s="36"/>
      <c r="I661" s="36"/>
      <c r="J661" s="36"/>
      <c r="R661" s="117" t="s">
        <v>3077</v>
      </c>
      <c r="S661" s="116"/>
      <c r="T661" s="116"/>
      <c r="U661" s="156" t="s">
        <v>9805</v>
      </c>
      <c r="V661" s="618">
        <v>0.65</v>
      </c>
      <c r="W661" s="619">
        <v>65</v>
      </c>
      <c r="X661" s="618">
        <v>0</v>
      </c>
      <c r="Y661" s="620">
        <v>100</v>
      </c>
    </row>
    <row r="662" spans="1:25" ht="12.75">
      <c r="A662" s="36"/>
      <c r="B662" s="114"/>
      <c r="C662" s="36"/>
      <c r="D662" s="36"/>
      <c r="E662" s="36"/>
      <c r="F662" s="36"/>
      <c r="G662" s="36"/>
      <c r="H662" s="36"/>
      <c r="I662" s="36"/>
      <c r="J662" s="36"/>
      <c r="R662" s="117" t="s">
        <v>3080</v>
      </c>
      <c r="S662" s="116"/>
      <c r="T662" s="116"/>
      <c r="U662" s="156" t="s">
        <v>9805</v>
      </c>
      <c r="V662" s="116" t="s">
        <v>9805</v>
      </c>
      <c r="W662" s="617" t="s">
        <v>9805</v>
      </c>
      <c r="X662" s="116" t="s">
        <v>9805</v>
      </c>
      <c r="Y662" s="116" t="s">
        <v>9805</v>
      </c>
    </row>
    <row r="663" spans="1:25" ht="12.75">
      <c r="A663" s="36"/>
      <c r="B663" s="114"/>
      <c r="C663" s="36"/>
      <c r="D663" s="36"/>
      <c r="E663" s="36"/>
      <c r="F663" s="36"/>
      <c r="G663" s="36"/>
      <c r="H663" s="36"/>
      <c r="I663" s="36"/>
      <c r="J663" s="36"/>
      <c r="R663" s="117" t="s">
        <v>3083</v>
      </c>
      <c r="S663" s="116"/>
      <c r="T663" s="116"/>
      <c r="U663" s="156" t="s">
        <v>9805</v>
      </c>
      <c r="V663" s="618">
        <v>0.91839999999999999</v>
      </c>
      <c r="W663" s="619">
        <v>92</v>
      </c>
      <c r="X663" s="618">
        <v>5.3800000000000001E-2</v>
      </c>
      <c r="Y663" s="620">
        <v>95</v>
      </c>
    </row>
    <row r="664" spans="1:25" ht="12.75">
      <c r="A664" s="36"/>
      <c r="B664" s="114"/>
      <c r="C664" s="36"/>
      <c r="D664" s="36"/>
      <c r="E664" s="36"/>
      <c r="F664" s="36"/>
      <c r="G664" s="36"/>
      <c r="H664" s="36"/>
      <c r="I664" s="36"/>
      <c r="J664" s="36"/>
      <c r="R664" s="117" t="s">
        <v>3086</v>
      </c>
      <c r="S664" s="116"/>
      <c r="T664" s="116"/>
      <c r="U664" s="156" t="s">
        <v>9805</v>
      </c>
      <c r="V664" s="116" t="s">
        <v>9805</v>
      </c>
      <c r="W664" s="617" t="s">
        <v>9805</v>
      </c>
      <c r="X664" s="116" t="s">
        <v>9805</v>
      </c>
      <c r="Y664" s="116" t="s">
        <v>9805</v>
      </c>
    </row>
    <row r="665" spans="1:25" ht="12.75">
      <c r="A665" s="36"/>
      <c r="B665" s="114"/>
      <c r="C665" s="36"/>
      <c r="D665" s="36"/>
      <c r="E665" s="36"/>
      <c r="F665" s="36"/>
      <c r="G665" s="36"/>
      <c r="H665" s="36"/>
      <c r="I665" s="36"/>
      <c r="J665" s="36"/>
      <c r="R665" s="117" t="s">
        <v>3092</v>
      </c>
      <c r="S665" s="116"/>
      <c r="T665" s="116"/>
      <c r="U665" s="156" t="s">
        <v>9805</v>
      </c>
      <c r="V665" s="116" t="s">
        <v>9805</v>
      </c>
      <c r="W665" s="617" t="s">
        <v>9805</v>
      </c>
      <c r="X665" s="116" t="s">
        <v>9805</v>
      </c>
      <c r="Y665" s="116" t="s">
        <v>9805</v>
      </c>
    </row>
    <row r="666" spans="1:25" ht="12.75">
      <c r="A666" s="36"/>
      <c r="B666" s="114"/>
      <c r="C666" s="36"/>
      <c r="D666" s="36"/>
      <c r="E666" s="36"/>
      <c r="F666" s="36"/>
      <c r="G666" s="36"/>
      <c r="H666" s="36"/>
      <c r="I666" s="36"/>
      <c r="J666" s="36"/>
      <c r="R666" s="117" t="s">
        <v>3095</v>
      </c>
      <c r="S666" s="116"/>
      <c r="T666" s="116"/>
      <c r="U666" s="156" t="s">
        <v>9805</v>
      </c>
      <c r="V666" s="116" t="s">
        <v>9805</v>
      </c>
      <c r="W666" s="617" t="s">
        <v>9805</v>
      </c>
      <c r="X666" s="116" t="s">
        <v>9805</v>
      </c>
      <c r="Y666" s="116" t="s">
        <v>9805</v>
      </c>
    </row>
    <row r="667" spans="1:25" ht="12.75">
      <c r="A667" s="36"/>
      <c r="B667" s="114"/>
      <c r="C667" s="36"/>
      <c r="D667" s="36"/>
      <c r="E667" s="36"/>
      <c r="F667" s="36"/>
      <c r="G667" s="36"/>
      <c r="H667" s="36"/>
      <c r="I667" s="36"/>
      <c r="J667" s="36"/>
      <c r="R667" s="117" t="s">
        <v>3098</v>
      </c>
      <c r="S667" s="116"/>
      <c r="T667" s="116"/>
      <c r="U667" s="156" t="s">
        <v>9805</v>
      </c>
      <c r="V667" s="116" t="s">
        <v>9805</v>
      </c>
      <c r="W667" s="617" t="s">
        <v>9805</v>
      </c>
      <c r="X667" s="116" t="s">
        <v>9805</v>
      </c>
      <c r="Y667" s="116" t="s">
        <v>9805</v>
      </c>
    </row>
    <row r="668" spans="1:25" ht="12.75">
      <c r="A668" s="36"/>
      <c r="B668" s="114"/>
      <c r="C668" s="36"/>
      <c r="D668" s="36"/>
      <c r="E668" s="36"/>
      <c r="F668" s="36"/>
      <c r="G668" s="36"/>
      <c r="H668" s="36"/>
      <c r="I668" s="36"/>
      <c r="J668" s="36"/>
      <c r="R668" s="117" t="s">
        <v>3102</v>
      </c>
      <c r="S668" s="116"/>
      <c r="T668" s="116"/>
      <c r="U668" s="156" t="s">
        <v>9805</v>
      </c>
      <c r="V668" s="618">
        <v>0.5333</v>
      </c>
      <c r="W668" s="619">
        <v>53</v>
      </c>
      <c r="X668" s="618">
        <v>0</v>
      </c>
      <c r="Y668" s="620">
        <v>100</v>
      </c>
    </row>
    <row r="669" spans="1:25" ht="12.75">
      <c r="A669" s="36"/>
      <c r="B669" s="114"/>
      <c r="C669" s="36"/>
      <c r="D669" s="36"/>
      <c r="E669" s="36"/>
      <c r="F669" s="36"/>
      <c r="G669" s="36"/>
      <c r="H669" s="36"/>
      <c r="I669" s="36"/>
      <c r="J669" s="36"/>
      <c r="R669" s="117" t="s">
        <v>3105</v>
      </c>
      <c r="S669" s="116"/>
      <c r="T669" s="116"/>
      <c r="U669" s="156" t="s">
        <v>9805</v>
      </c>
      <c r="V669" s="618">
        <v>0.69840000000000002</v>
      </c>
      <c r="W669" s="619">
        <v>70</v>
      </c>
      <c r="X669" s="618">
        <v>0</v>
      </c>
      <c r="Y669" s="620">
        <v>100</v>
      </c>
    </row>
    <row r="670" spans="1:25" ht="12.75">
      <c r="A670" s="36"/>
      <c r="B670" s="114"/>
      <c r="C670" s="36"/>
      <c r="D670" s="36"/>
      <c r="E670" s="36"/>
      <c r="F670" s="36"/>
      <c r="G670" s="36"/>
      <c r="H670" s="36"/>
      <c r="I670" s="36"/>
      <c r="J670" s="36"/>
      <c r="R670" s="117" t="s">
        <v>3108</v>
      </c>
      <c r="S670" s="116"/>
      <c r="T670" s="116"/>
      <c r="U670" s="156" t="s">
        <v>9805</v>
      </c>
      <c r="V670" s="618">
        <v>0.58330000000000004</v>
      </c>
      <c r="W670" s="619">
        <v>58</v>
      </c>
      <c r="X670" s="618">
        <v>0</v>
      </c>
      <c r="Y670" s="620">
        <v>100</v>
      </c>
    </row>
    <row r="671" spans="1:25" ht="12.75">
      <c r="A671" s="36"/>
      <c r="B671" s="114"/>
      <c r="C671" s="36"/>
      <c r="D671" s="36"/>
      <c r="E671" s="36"/>
      <c r="F671" s="36"/>
      <c r="G671" s="36"/>
      <c r="H671" s="36"/>
      <c r="I671" s="36"/>
      <c r="J671" s="36"/>
      <c r="R671" s="117" t="s">
        <v>3111</v>
      </c>
      <c r="S671" s="116"/>
      <c r="T671" s="116"/>
      <c r="U671" s="156" t="s">
        <v>9805</v>
      </c>
      <c r="V671" s="618">
        <v>0.42859999999999998</v>
      </c>
      <c r="W671" s="619">
        <v>43</v>
      </c>
      <c r="X671" s="618">
        <v>0</v>
      </c>
      <c r="Y671" s="620">
        <v>100</v>
      </c>
    </row>
    <row r="672" spans="1:25" ht="12.75">
      <c r="A672" s="36"/>
      <c r="B672" s="114"/>
      <c r="C672" s="36"/>
      <c r="D672" s="36"/>
      <c r="E672" s="36"/>
      <c r="F672" s="36"/>
      <c r="G672" s="36"/>
      <c r="H672" s="36"/>
      <c r="I672" s="36"/>
      <c r="J672" s="36"/>
      <c r="R672" s="117" t="s">
        <v>3114</v>
      </c>
      <c r="S672" s="116"/>
      <c r="T672" s="116"/>
      <c r="U672" s="156" t="s">
        <v>9805</v>
      </c>
      <c r="V672" s="618">
        <v>0.77780000000000005</v>
      </c>
      <c r="W672" s="619">
        <v>78</v>
      </c>
      <c r="X672" s="618">
        <v>0</v>
      </c>
      <c r="Y672" s="620">
        <v>100</v>
      </c>
    </row>
    <row r="673" spans="1:25" ht="12.75">
      <c r="A673" s="36"/>
      <c r="B673" s="114"/>
      <c r="C673" s="36"/>
      <c r="D673" s="36"/>
      <c r="E673" s="36"/>
      <c r="F673" s="36"/>
      <c r="G673" s="36"/>
      <c r="H673" s="36"/>
      <c r="I673" s="36"/>
      <c r="J673" s="36"/>
      <c r="R673" s="117" t="s">
        <v>3118</v>
      </c>
      <c r="S673" s="116"/>
      <c r="T673" s="116"/>
      <c r="U673" s="156" t="s">
        <v>9805</v>
      </c>
      <c r="V673" s="116" t="s">
        <v>9805</v>
      </c>
      <c r="W673" s="617" t="s">
        <v>9805</v>
      </c>
      <c r="X673" s="116" t="s">
        <v>9805</v>
      </c>
      <c r="Y673" s="116" t="s">
        <v>9805</v>
      </c>
    </row>
    <row r="674" spans="1:25" ht="12.75">
      <c r="A674" s="36"/>
      <c r="B674" s="114"/>
      <c r="C674" s="36"/>
      <c r="D674" s="36"/>
      <c r="E674" s="36"/>
      <c r="F674" s="36"/>
      <c r="G674" s="36"/>
      <c r="H674" s="36"/>
      <c r="I674" s="36"/>
      <c r="J674" s="36"/>
      <c r="R674" s="117" t="s">
        <v>3121</v>
      </c>
      <c r="S674" s="116"/>
      <c r="T674" s="116"/>
      <c r="U674" s="156" t="s">
        <v>9805</v>
      </c>
      <c r="V674" s="618">
        <v>1</v>
      </c>
      <c r="W674" s="619">
        <v>100</v>
      </c>
      <c r="X674" s="618">
        <v>0</v>
      </c>
      <c r="Y674" s="620">
        <v>100</v>
      </c>
    </row>
    <row r="675" spans="1:25" ht="12.75">
      <c r="A675" s="36"/>
      <c r="B675" s="114"/>
      <c r="C675" s="36"/>
      <c r="D675" s="36"/>
      <c r="E675" s="36"/>
      <c r="F675" s="36"/>
      <c r="G675" s="36"/>
      <c r="H675" s="36"/>
      <c r="I675" s="36"/>
      <c r="J675" s="36"/>
      <c r="R675" s="117" t="s">
        <v>3124</v>
      </c>
      <c r="S675" s="116"/>
      <c r="T675" s="116"/>
      <c r="U675" s="156" t="s">
        <v>9805</v>
      </c>
      <c r="V675" s="116" t="s">
        <v>9805</v>
      </c>
      <c r="W675" s="617" t="s">
        <v>9805</v>
      </c>
      <c r="X675" s="116" t="s">
        <v>9805</v>
      </c>
      <c r="Y675" s="116" t="s">
        <v>9805</v>
      </c>
    </row>
    <row r="676" spans="1:25" ht="12.75">
      <c r="A676" s="36"/>
      <c r="B676" s="114"/>
      <c r="C676" s="36"/>
      <c r="D676" s="36"/>
      <c r="E676" s="36"/>
      <c r="F676" s="36"/>
      <c r="G676" s="36"/>
      <c r="H676" s="36"/>
      <c r="I676" s="36"/>
      <c r="J676" s="36"/>
      <c r="R676" s="117" t="s">
        <v>3127</v>
      </c>
      <c r="S676" s="116"/>
      <c r="T676" s="116"/>
      <c r="U676" s="156" t="s">
        <v>9805</v>
      </c>
      <c r="V676" s="116" t="s">
        <v>9805</v>
      </c>
      <c r="W676" s="617" t="s">
        <v>9805</v>
      </c>
      <c r="X676" s="116" t="s">
        <v>9805</v>
      </c>
      <c r="Y676" s="116" t="s">
        <v>9805</v>
      </c>
    </row>
    <row r="677" spans="1:25" ht="12.75">
      <c r="A677" s="36"/>
      <c r="B677" s="114"/>
      <c r="C677" s="36"/>
      <c r="D677" s="36"/>
      <c r="E677" s="36"/>
      <c r="F677" s="36"/>
      <c r="G677" s="36"/>
      <c r="H677" s="36"/>
      <c r="I677" s="36"/>
      <c r="J677" s="36"/>
      <c r="R677" s="117" t="s">
        <v>3130</v>
      </c>
      <c r="S677" s="116"/>
      <c r="T677" s="116"/>
      <c r="U677" s="156" t="s">
        <v>9805</v>
      </c>
      <c r="V677" s="618">
        <v>0.8</v>
      </c>
      <c r="W677" s="619">
        <v>80</v>
      </c>
      <c r="X677" s="618">
        <v>0</v>
      </c>
      <c r="Y677" s="620">
        <v>100</v>
      </c>
    </row>
    <row r="678" spans="1:25" ht="12.75">
      <c r="A678" s="36"/>
      <c r="B678" s="114"/>
      <c r="C678" s="36"/>
      <c r="D678" s="36"/>
      <c r="E678" s="36"/>
      <c r="F678" s="36"/>
      <c r="G678" s="36"/>
      <c r="H678" s="36"/>
      <c r="I678" s="36"/>
      <c r="J678" s="36"/>
      <c r="R678" s="117" t="s">
        <v>3133</v>
      </c>
      <c r="S678" s="116"/>
      <c r="T678" s="116"/>
      <c r="U678" s="156" t="s">
        <v>9805</v>
      </c>
      <c r="V678" s="116" t="s">
        <v>9805</v>
      </c>
      <c r="W678" s="617" t="s">
        <v>9805</v>
      </c>
      <c r="X678" s="116" t="s">
        <v>9805</v>
      </c>
      <c r="Y678" s="116" t="s">
        <v>9805</v>
      </c>
    </row>
    <row r="679" spans="1:25" ht="12.75">
      <c r="A679" s="36"/>
      <c r="B679" s="114"/>
      <c r="C679" s="36"/>
      <c r="D679" s="36"/>
      <c r="E679" s="36"/>
      <c r="F679" s="36"/>
      <c r="G679" s="36"/>
      <c r="H679" s="36"/>
      <c r="I679" s="36"/>
      <c r="J679" s="36"/>
      <c r="R679" s="117" t="s">
        <v>3136</v>
      </c>
      <c r="S679" s="116"/>
      <c r="T679" s="116"/>
      <c r="U679" s="156" t="s">
        <v>9805</v>
      </c>
      <c r="V679" s="116" t="s">
        <v>9805</v>
      </c>
      <c r="W679" s="617" t="s">
        <v>9805</v>
      </c>
      <c r="X679" s="116" t="s">
        <v>9805</v>
      </c>
      <c r="Y679" s="116" t="s">
        <v>9805</v>
      </c>
    </row>
    <row r="680" spans="1:25" ht="12.75">
      <c r="A680" s="36"/>
      <c r="B680" s="114"/>
      <c r="C680" s="36"/>
      <c r="D680" s="36"/>
      <c r="E680" s="36"/>
      <c r="F680" s="36"/>
      <c r="G680" s="36"/>
      <c r="H680" s="36"/>
      <c r="I680" s="36"/>
      <c r="J680" s="36"/>
      <c r="R680" s="117" t="s">
        <v>3140</v>
      </c>
      <c r="S680" s="116"/>
      <c r="T680" s="116"/>
      <c r="U680" s="156" t="s">
        <v>9805</v>
      </c>
      <c r="V680" s="618">
        <v>0.54390000000000005</v>
      </c>
      <c r="W680" s="619">
        <v>54</v>
      </c>
      <c r="X680" s="618">
        <v>5.8299999999999998E-2</v>
      </c>
      <c r="Y680" s="620">
        <v>94</v>
      </c>
    </row>
    <row r="681" spans="1:25" ht="12.75">
      <c r="A681" s="36"/>
      <c r="B681" s="114"/>
      <c r="C681" s="36"/>
      <c r="D681" s="36"/>
      <c r="E681" s="36"/>
      <c r="F681" s="36"/>
      <c r="G681" s="36"/>
      <c r="H681" s="36"/>
      <c r="I681" s="36"/>
      <c r="J681" s="36"/>
      <c r="R681" s="117" t="s">
        <v>3144</v>
      </c>
      <c r="S681" s="116"/>
      <c r="T681" s="116"/>
      <c r="U681" s="156" t="s">
        <v>9805</v>
      </c>
      <c r="V681" s="116" t="s">
        <v>9805</v>
      </c>
      <c r="W681" s="617" t="s">
        <v>9805</v>
      </c>
      <c r="X681" s="116" t="s">
        <v>9805</v>
      </c>
      <c r="Y681" s="116" t="s">
        <v>9805</v>
      </c>
    </row>
    <row r="682" spans="1:25" ht="12.75">
      <c r="A682" s="36"/>
      <c r="B682" s="114"/>
      <c r="C682" s="36"/>
      <c r="D682" s="36"/>
      <c r="E682" s="36"/>
      <c r="F682" s="36"/>
      <c r="G682" s="36"/>
      <c r="H682" s="36"/>
      <c r="I682" s="36"/>
      <c r="J682" s="36"/>
      <c r="R682" s="117" t="s">
        <v>3147</v>
      </c>
      <c r="S682" s="116"/>
      <c r="T682" s="116"/>
      <c r="U682" s="156" t="s">
        <v>9805</v>
      </c>
      <c r="V682" s="116" t="s">
        <v>9805</v>
      </c>
      <c r="W682" s="617" t="s">
        <v>9805</v>
      </c>
      <c r="X682" s="116" t="s">
        <v>9805</v>
      </c>
      <c r="Y682" s="116" t="s">
        <v>9805</v>
      </c>
    </row>
    <row r="683" spans="1:25" ht="12.75">
      <c r="A683" s="36"/>
      <c r="B683" s="114"/>
      <c r="C683" s="36"/>
      <c r="D683" s="36"/>
      <c r="E683" s="36"/>
      <c r="F683" s="36"/>
      <c r="G683" s="36"/>
      <c r="H683" s="36"/>
      <c r="I683" s="36"/>
      <c r="J683" s="36"/>
      <c r="R683" s="117" t="s">
        <v>3150</v>
      </c>
      <c r="S683" s="116"/>
      <c r="T683" s="116"/>
      <c r="U683" s="156" t="s">
        <v>9805</v>
      </c>
      <c r="V683" s="618">
        <v>1</v>
      </c>
      <c r="W683" s="619">
        <v>100</v>
      </c>
      <c r="X683" s="618">
        <v>0</v>
      </c>
      <c r="Y683" s="620">
        <v>100</v>
      </c>
    </row>
    <row r="684" spans="1:25" ht="12.75">
      <c r="A684" s="36"/>
      <c r="B684" s="114"/>
      <c r="C684" s="36"/>
      <c r="D684" s="36"/>
      <c r="E684" s="36"/>
      <c r="F684" s="36"/>
      <c r="G684" s="36"/>
      <c r="H684" s="36"/>
      <c r="I684" s="36"/>
      <c r="J684" s="36"/>
      <c r="R684" s="117" t="s">
        <v>3153</v>
      </c>
      <c r="S684" s="116"/>
      <c r="T684" s="116"/>
      <c r="U684" s="156" t="s">
        <v>9805</v>
      </c>
      <c r="V684" s="116" t="s">
        <v>9805</v>
      </c>
      <c r="W684" s="617" t="s">
        <v>9805</v>
      </c>
      <c r="X684" s="116" t="s">
        <v>9805</v>
      </c>
      <c r="Y684" s="116" t="s">
        <v>9805</v>
      </c>
    </row>
    <row r="685" spans="1:25" ht="12.75">
      <c r="A685" s="36"/>
      <c r="B685" s="114"/>
      <c r="C685" s="36"/>
      <c r="D685" s="36"/>
      <c r="E685" s="36"/>
      <c r="F685" s="36"/>
      <c r="G685" s="36"/>
      <c r="H685" s="36"/>
      <c r="I685" s="36"/>
      <c r="J685" s="36"/>
      <c r="R685" s="117" t="s">
        <v>3156</v>
      </c>
      <c r="S685" s="116"/>
      <c r="T685" s="116"/>
      <c r="U685" s="156" t="s">
        <v>9805</v>
      </c>
      <c r="V685" s="618">
        <v>0.69769999999999999</v>
      </c>
      <c r="W685" s="619">
        <v>70</v>
      </c>
      <c r="X685" s="618">
        <v>6.3600000000000004E-2</v>
      </c>
      <c r="Y685" s="620">
        <v>94</v>
      </c>
    </row>
    <row r="686" spans="1:25" ht="12.75">
      <c r="A686" s="36"/>
      <c r="B686" s="114"/>
      <c r="C686" s="36"/>
      <c r="D686" s="36"/>
      <c r="E686" s="36"/>
      <c r="F686" s="36"/>
      <c r="G686" s="36"/>
      <c r="H686" s="36"/>
      <c r="I686" s="36"/>
      <c r="J686" s="36"/>
      <c r="R686" s="117" t="s">
        <v>3159</v>
      </c>
      <c r="S686" s="116"/>
      <c r="T686" s="116"/>
      <c r="U686" s="156" t="s">
        <v>9805</v>
      </c>
      <c r="V686" s="116" t="s">
        <v>9805</v>
      </c>
      <c r="W686" s="617" t="s">
        <v>9805</v>
      </c>
      <c r="X686" s="116" t="s">
        <v>9805</v>
      </c>
      <c r="Y686" s="116" t="s">
        <v>9805</v>
      </c>
    </row>
    <row r="687" spans="1:25" ht="12.75">
      <c r="A687" s="36"/>
      <c r="B687" s="114"/>
      <c r="C687" s="36"/>
      <c r="D687" s="36"/>
      <c r="E687" s="36"/>
      <c r="F687" s="36"/>
      <c r="G687" s="36"/>
      <c r="H687" s="36"/>
      <c r="I687" s="36"/>
      <c r="J687" s="36"/>
      <c r="R687" s="117" t="s">
        <v>3162</v>
      </c>
      <c r="S687" s="116"/>
      <c r="T687" s="116"/>
      <c r="U687" s="156" t="s">
        <v>9805</v>
      </c>
      <c r="V687" s="116" t="s">
        <v>9805</v>
      </c>
      <c r="W687" s="617" t="s">
        <v>9805</v>
      </c>
      <c r="X687" s="116" t="s">
        <v>9805</v>
      </c>
      <c r="Y687" s="116" t="s">
        <v>9805</v>
      </c>
    </row>
    <row r="688" spans="1:25" ht="12.75">
      <c r="A688" s="36"/>
      <c r="B688" s="114"/>
      <c r="C688" s="36"/>
      <c r="D688" s="36"/>
      <c r="E688" s="36"/>
      <c r="F688" s="36"/>
      <c r="G688" s="36"/>
      <c r="H688" s="36"/>
      <c r="I688" s="36"/>
      <c r="J688" s="36"/>
      <c r="R688" s="117" t="s">
        <v>3166</v>
      </c>
      <c r="S688" s="116"/>
      <c r="T688" s="116"/>
      <c r="U688" s="156" t="s">
        <v>9805</v>
      </c>
      <c r="V688" s="618">
        <v>0.45450000000000002</v>
      </c>
      <c r="W688" s="619">
        <v>45</v>
      </c>
      <c r="X688" s="618">
        <v>0.1167</v>
      </c>
      <c r="Y688" s="620">
        <v>88</v>
      </c>
    </row>
    <row r="689" spans="1:25" ht="12.75">
      <c r="A689" s="36"/>
      <c r="B689" s="114"/>
      <c r="C689" s="36"/>
      <c r="D689" s="36"/>
      <c r="E689" s="36"/>
      <c r="F689" s="36"/>
      <c r="G689" s="36"/>
      <c r="H689" s="36"/>
      <c r="I689" s="36"/>
      <c r="J689" s="36"/>
      <c r="R689" s="117" t="s">
        <v>3169</v>
      </c>
      <c r="S689" s="116"/>
      <c r="T689" s="116"/>
      <c r="U689" s="156" t="s">
        <v>9805</v>
      </c>
      <c r="V689" s="116" t="s">
        <v>9805</v>
      </c>
      <c r="W689" s="617" t="s">
        <v>9805</v>
      </c>
      <c r="X689" s="116" t="s">
        <v>9805</v>
      </c>
      <c r="Y689" s="116" t="s">
        <v>9805</v>
      </c>
    </row>
    <row r="690" spans="1:25" ht="12.75">
      <c r="A690" s="36"/>
      <c r="B690" s="114"/>
      <c r="C690" s="36"/>
      <c r="D690" s="36"/>
      <c r="E690" s="36"/>
      <c r="F690" s="36"/>
      <c r="G690" s="36"/>
      <c r="H690" s="36"/>
      <c r="I690" s="36"/>
      <c r="J690" s="36"/>
      <c r="R690" s="117" t="s">
        <v>3172</v>
      </c>
      <c r="S690" s="116"/>
      <c r="T690" s="116"/>
      <c r="U690" s="156" t="s">
        <v>9805</v>
      </c>
      <c r="V690" s="116" t="s">
        <v>9805</v>
      </c>
      <c r="W690" s="617" t="s">
        <v>9805</v>
      </c>
      <c r="X690" s="116" t="s">
        <v>9805</v>
      </c>
      <c r="Y690" s="116" t="s">
        <v>9805</v>
      </c>
    </row>
    <row r="691" spans="1:25" ht="12.75">
      <c r="A691" s="36"/>
      <c r="B691" s="114"/>
      <c r="C691" s="36"/>
      <c r="D691" s="36"/>
      <c r="E691" s="36"/>
      <c r="F691" s="36"/>
      <c r="G691" s="36"/>
      <c r="H691" s="36"/>
      <c r="I691" s="36"/>
      <c r="J691" s="36"/>
      <c r="R691" s="117" t="s">
        <v>3175</v>
      </c>
      <c r="S691" s="116"/>
      <c r="T691" s="116"/>
      <c r="U691" s="156" t="s">
        <v>9805</v>
      </c>
      <c r="V691" s="116" t="s">
        <v>9805</v>
      </c>
      <c r="W691" s="617" t="s">
        <v>9805</v>
      </c>
      <c r="X691" s="116" t="s">
        <v>9805</v>
      </c>
      <c r="Y691" s="116" t="s">
        <v>9805</v>
      </c>
    </row>
    <row r="692" spans="1:25" ht="12.75">
      <c r="A692" s="36"/>
      <c r="B692" s="114"/>
      <c r="C692" s="36"/>
      <c r="D692" s="36"/>
      <c r="E692" s="36"/>
      <c r="F692" s="36"/>
      <c r="G692" s="36"/>
      <c r="H692" s="36"/>
      <c r="I692" s="36"/>
      <c r="J692" s="36"/>
      <c r="R692" s="117" t="s">
        <v>3178</v>
      </c>
      <c r="S692" s="116"/>
      <c r="T692" s="116"/>
      <c r="U692" s="156" t="s">
        <v>9805</v>
      </c>
      <c r="V692" s="116" t="s">
        <v>9805</v>
      </c>
      <c r="W692" s="617" t="s">
        <v>9805</v>
      </c>
      <c r="X692" s="116" t="s">
        <v>9805</v>
      </c>
      <c r="Y692" s="116" t="s">
        <v>9805</v>
      </c>
    </row>
    <row r="693" spans="1:25" ht="12.75">
      <c r="A693" s="36"/>
      <c r="B693" s="114"/>
      <c r="C693" s="36"/>
      <c r="D693" s="36"/>
      <c r="E693" s="36"/>
      <c r="F693" s="36"/>
      <c r="G693" s="36"/>
      <c r="H693" s="36"/>
      <c r="I693" s="36"/>
      <c r="J693" s="36"/>
      <c r="R693" s="117" t="s">
        <v>3182</v>
      </c>
      <c r="S693" s="116"/>
      <c r="T693" s="116"/>
      <c r="U693" s="156" t="s">
        <v>9805</v>
      </c>
      <c r="V693" s="116" t="s">
        <v>9806</v>
      </c>
      <c r="W693" s="617" t="s">
        <v>9806</v>
      </c>
      <c r="X693" s="618">
        <v>0</v>
      </c>
      <c r="Y693" s="620">
        <v>100</v>
      </c>
    </row>
    <row r="694" spans="1:25" ht="12.75">
      <c r="A694" s="36"/>
      <c r="B694" s="114"/>
      <c r="C694" s="36"/>
      <c r="D694" s="36"/>
      <c r="E694" s="36"/>
      <c r="F694" s="36"/>
      <c r="G694" s="36"/>
      <c r="H694" s="36"/>
      <c r="I694" s="36"/>
      <c r="J694" s="36"/>
      <c r="R694" s="117" t="s">
        <v>3185</v>
      </c>
      <c r="S694" s="116"/>
      <c r="T694" s="116"/>
      <c r="U694" s="156" t="s">
        <v>9805</v>
      </c>
      <c r="V694" s="116" t="s">
        <v>9805</v>
      </c>
      <c r="W694" s="617" t="s">
        <v>9805</v>
      </c>
      <c r="X694" s="116" t="s">
        <v>9805</v>
      </c>
      <c r="Y694" s="116" t="s">
        <v>9805</v>
      </c>
    </row>
    <row r="695" spans="1:25" ht="12.75">
      <c r="A695" s="36"/>
      <c r="B695" s="114"/>
      <c r="C695" s="36"/>
      <c r="D695" s="36"/>
      <c r="E695" s="36"/>
      <c r="F695" s="36"/>
      <c r="G695" s="36"/>
      <c r="H695" s="36"/>
      <c r="I695" s="36"/>
      <c r="J695" s="36"/>
      <c r="R695" s="117" t="s">
        <v>3188</v>
      </c>
      <c r="S695" s="116"/>
      <c r="T695" s="116"/>
      <c r="U695" s="156" t="s">
        <v>9805</v>
      </c>
      <c r="V695" s="116" t="s">
        <v>9805</v>
      </c>
      <c r="W695" s="617" t="s">
        <v>9805</v>
      </c>
      <c r="X695" s="116" t="s">
        <v>9805</v>
      </c>
      <c r="Y695" s="116" t="s">
        <v>9805</v>
      </c>
    </row>
    <row r="696" spans="1:25" ht="12.75">
      <c r="A696" s="36"/>
      <c r="B696" s="114"/>
      <c r="C696" s="36"/>
      <c r="D696" s="36"/>
      <c r="E696" s="36"/>
      <c r="F696" s="36"/>
      <c r="G696" s="36"/>
      <c r="H696" s="36"/>
      <c r="I696" s="36"/>
      <c r="J696" s="36"/>
      <c r="R696" s="117" t="s">
        <v>3191</v>
      </c>
      <c r="S696" s="116"/>
      <c r="T696" s="116"/>
      <c r="U696" s="156" t="s">
        <v>9805</v>
      </c>
      <c r="V696" s="116" t="s">
        <v>9805</v>
      </c>
      <c r="W696" s="617" t="s">
        <v>9805</v>
      </c>
      <c r="X696" s="116" t="s">
        <v>9805</v>
      </c>
      <c r="Y696" s="116" t="s">
        <v>9805</v>
      </c>
    </row>
    <row r="697" spans="1:25" ht="12.75">
      <c r="A697" s="36"/>
      <c r="B697" s="114"/>
      <c r="C697" s="36"/>
      <c r="D697" s="36"/>
      <c r="E697" s="36"/>
      <c r="F697" s="36"/>
      <c r="G697" s="36"/>
      <c r="H697" s="36"/>
      <c r="I697" s="36"/>
      <c r="J697" s="36"/>
      <c r="R697" s="117" t="s">
        <v>3195</v>
      </c>
      <c r="S697" s="116"/>
      <c r="T697" s="116"/>
      <c r="U697" s="156" t="s">
        <v>9805</v>
      </c>
      <c r="V697" s="116" t="s">
        <v>9805</v>
      </c>
      <c r="W697" s="617" t="s">
        <v>9805</v>
      </c>
      <c r="X697" s="116" t="s">
        <v>9805</v>
      </c>
      <c r="Y697" s="116" t="s">
        <v>9805</v>
      </c>
    </row>
    <row r="698" spans="1:25" ht="12.75">
      <c r="A698" s="36"/>
      <c r="B698" s="114"/>
      <c r="C698" s="36"/>
      <c r="D698" s="36"/>
      <c r="E698" s="36"/>
      <c r="F698" s="36"/>
      <c r="G698" s="36"/>
      <c r="H698" s="36"/>
      <c r="I698" s="36"/>
      <c r="J698" s="36"/>
      <c r="R698" s="117" t="s">
        <v>3198</v>
      </c>
      <c r="S698" s="116"/>
      <c r="T698" s="116"/>
      <c r="U698" s="156" t="s">
        <v>9805</v>
      </c>
      <c r="V698" s="116" t="s">
        <v>9805</v>
      </c>
      <c r="W698" s="617" t="s">
        <v>9805</v>
      </c>
      <c r="X698" s="116" t="s">
        <v>9805</v>
      </c>
      <c r="Y698" s="116" t="s">
        <v>9805</v>
      </c>
    </row>
    <row r="699" spans="1:25" ht="12.75">
      <c r="A699" s="36"/>
      <c r="B699" s="114"/>
      <c r="C699" s="36"/>
      <c r="D699" s="36"/>
      <c r="E699" s="36"/>
      <c r="F699" s="36"/>
      <c r="G699" s="36"/>
      <c r="H699" s="36"/>
      <c r="I699" s="36"/>
      <c r="J699" s="36"/>
      <c r="R699" s="117" t="s">
        <v>3201</v>
      </c>
      <c r="S699" s="116"/>
      <c r="T699" s="116"/>
      <c r="U699" s="156" t="s">
        <v>9805</v>
      </c>
      <c r="V699" s="116" t="s">
        <v>9805</v>
      </c>
      <c r="W699" s="617" t="s">
        <v>9805</v>
      </c>
      <c r="X699" s="116" t="s">
        <v>9805</v>
      </c>
      <c r="Y699" s="116" t="s">
        <v>9805</v>
      </c>
    </row>
    <row r="700" spans="1:25" ht="12.75">
      <c r="A700" s="36"/>
      <c r="B700" s="114"/>
      <c r="C700" s="36"/>
      <c r="D700" s="36"/>
      <c r="E700" s="36"/>
      <c r="F700" s="36"/>
      <c r="G700" s="36"/>
      <c r="H700" s="36"/>
      <c r="I700" s="36"/>
      <c r="J700" s="36"/>
      <c r="R700" s="117" t="s">
        <v>3204</v>
      </c>
      <c r="S700" s="116"/>
      <c r="T700" s="116"/>
      <c r="U700" s="156" t="s">
        <v>9805</v>
      </c>
      <c r="V700" s="116" t="s">
        <v>9805</v>
      </c>
      <c r="W700" s="617" t="s">
        <v>9805</v>
      </c>
      <c r="X700" s="116" t="s">
        <v>9805</v>
      </c>
      <c r="Y700" s="116" t="s">
        <v>9805</v>
      </c>
    </row>
    <row r="701" spans="1:25" ht="12.75">
      <c r="A701" s="36"/>
      <c r="B701" s="114"/>
      <c r="C701" s="36"/>
      <c r="D701" s="36"/>
      <c r="E701" s="36"/>
      <c r="F701" s="36"/>
      <c r="G701" s="36"/>
      <c r="H701" s="36"/>
      <c r="I701" s="36"/>
      <c r="J701" s="36"/>
      <c r="R701" s="117" t="s">
        <v>3207</v>
      </c>
      <c r="S701" s="116"/>
      <c r="T701" s="116"/>
      <c r="U701" s="156" t="s">
        <v>9805</v>
      </c>
      <c r="V701" s="116" t="s">
        <v>9805</v>
      </c>
      <c r="W701" s="617" t="s">
        <v>9805</v>
      </c>
      <c r="X701" s="116" t="s">
        <v>9805</v>
      </c>
      <c r="Y701" s="116" t="s">
        <v>9805</v>
      </c>
    </row>
    <row r="702" spans="1:25" ht="12.75">
      <c r="A702" s="36"/>
      <c r="B702" s="114"/>
      <c r="C702" s="36"/>
      <c r="D702" s="36"/>
      <c r="E702" s="36"/>
      <c r="F702" s="36"/>
      <c r="G702" s="36"/>
      <c r="H702" s="36"/>
      <c r="I702" s="36"/>
      <c r="J702" s="36"/>
      <c r="R702" s="117" t="s">
        <v>3210</v>
      </c>
      <c r="S702" s="116"/>
      <c r="T702" s="116"/>
      <c r="U702" s="156" t="s">
        <v>9805</v>
      </c>
      <c r="V702" s="116" t="s">
        <v>9805</v>
      </c>
      <c r="W702" s="617" t="s">
        <v>9805</v>
      </c>
      <c r="X702" s="116" t="s">
        <v>9805</v>
      </c>
      <c r="Y702" s="116" t="s">
        <v>9805</v>
      </c>
    </row>
    <row r="703" spans="1:25" ht="12.75">
      <c r="A703" s="36"/>
      <c r="B703" s="114"/>
      <c r="C703" s="36"/>
      <c r="D703" s="36"/>
      <c r="E703" s="36"/>
      <c r="F703" s="36"/>
      <c r="G703" s="36"/>
      <c r="H703" s="36"/>
      <c r="I703" s="36"/>
      <c r="J703" s="36"/>
      <c r="R703" s="117" t="s">
        <v>3213</v>
      </c>
      <c r="S703" s="116"/>
      <c r="T703" s="116"/>
      <c r="U703" s="156" t="s">
        <v>9805</v>
      </c>
      <c r="V703" s="116" t="s">
        <v>9805</v>
      </c>
      <c r="W703" s="617" t="s">
        <v>9805</v>
      </c>
      <c r="X703" s="116" t="s">
        <v>9805</v>
      </c>
      <c r="Y703" s="116" t="s">
        <v>9805</v>
      </c>
    </row>
    <row r="704" spans="1:25" ht="12.75">
      <c r="A704" s="36"/>
      <c r="B704" s="114"/>
      <c r="C704" s="36"/>
      <c r="D704" s="36"/>
      <c r="E704" s="36"/>
      <c r="F704" s="36"/>
      <c r="G704" s="36"/>
      <c r="H704" s="36"/>
      <c r="I704" s="36"/>
      <c r="J704" s="36"/>
      <c r="R704" s="117" t="s">
        <v>3216</v>
      </c>
      <c r="S704" s="116"/>
      <c r="T704" s="116"/>
      <c r="U704" s="156" t="s">
        <v>9805</v>
      </c>
      <c r="V704" s="116" t="s">
        <v>9805</v>
      </c>
      <c r="W704" s="617" t="s">
        <v>9805</v>
      </c>
      <c r="X704" s="116" t="s">
        <v>9805</v>
      </c>
      <c r="Y704" s="116" t="s">
        <v>9805</v>
      </c>
    </row>
    <row r="705" spans="1:25" ht="12.75">
      <c r="A705" s="36"/>
      <c r="B705" s="114"/>
      <c r="C705" s="36"/>
      <c r="D705" s="36"/>
      <c r="E705" s="36"/>
      <c r="F705" s="36"/>
      <c r="G705" s="36"/>
      <c r="H705" s="36"/>
      <c r="I705" s="36"/>
      <c r="J705" s="36"/>
      <c r="R705" s="117" t="s">
        <v>3219</v>
      </c>
      <c r="S705" s="116"/>
      <c r="T705" s="116"/>
      <c r="U705" s="156" t="s">
        <v>9805</v>
      </c>
      <c r="V705" s="116" t="s">
        <v>9805</v>
      </c>
      <c r="W705" s="617" t="s">
        <v>9805</v>
      </c>
      <c r="X705" s="116" t="s">
        <v>9805</v>
      </c>
      <c r="Y705" s="116" t="s">
        <v>9805</v>
      </c>
    </row>
    <row r="706" spans="1:25" ht="12.75">
      <c r="A706" s="36"/>
      <c r="B706" s="114"/>
      <c r="C706" s="36"/>
      <c r="D706" s="36"/>
      <c r="E706" s="36"/>
      <c r="F706" s="36"/>
      <c r="G706" s="36"/>
      <c r="H706" s="36"/>
      <c r="I706" s="36"/>
      <c r="J706" s="36"/>
    </row>
    <row r="707" spans="1:25" ht="12.75">
      <c r="A707" s="36"/>
      <c r="B707" s="114"/>
      <c r="C707" s="36"/>
      <c r="D707" s="36"/>
      <c r="E707" s="36"/>
      <c r="F707" s="36"/>
      <c r="G707" s="36"/>
      <c r="H707" s="36"/>
      <c r="I707" s="36"/>
      <c r="J707" s="36"/>
    </row>
    <row r="708" spans="1:25" ht="12.75">
      <c r="A708" s="36"/>
      <c r="B708" s="114"/>
      <c r="C708" s="36"/>
      <c r="D708" s="36"/>
      <c r="E708" s="36"/>
      <c r="F708" s="36"/>
      <c r="G708" s="36"/>
      <c r="H708" s="36"/>
      <c r="I708" s="36"/>
      <c r="J708" s="36"/>
    </row>
    <row r="709" spans="1:25" ht="12.75">
      <c r="A709" s="36"/>
      <c r="B709" s="114"/>
      <c r="C709" s="36"/>
      <c r="D709" s="36"/>
      <c r="E709" s="36"/>
      <c r="F709" s="36"/>
      <c r="G709" s="36"/>
      <c r="H709" s="36"/>
      <c r="I709" s="36"/>
      <c r="J709" s="36"/>
    </row>
    <row r="710" spans="1:25" ht="12.75">
      <c r="A710" s="36"/>
      <c r="B710" s="114"/>
      <c r="C710" s="36"/>
      <c r="D710" s="36"/>
      <c r="E710" s="36"/>
      <c r="F710" s="36"/>
      <c r="G710" s="36"/>
      <c r="H710" s="36"/>
      <c r="I710" s="36"/>
      <c r="J710" s="36"/>
    </row>
    <row r="711" spans="1:25" ht="12.75">
      <c r="A711" s="36"/>
      <c r="B711" s="114"/>
      <c r="C711" s="36"/>
      <c r="D711" s="36"/>
      <c r="E711" s="36"/>
      <c r="F711" s="36"/>
      <c r="G711" s="36"/>
      <c r="H711" s="36"/>
      <c r="I711" s="36"/>
      <c r="J711" s="36"/>
    </row>
    <row r="712" spans="1:25" ht="12.75">
      <c r="A712" s="36"/>
      <c r="B712" s="114"/>
      <c r="C712" s="36"/>
      <c r="D712" s="36"/>
      <c r="E712" s="36"/>
      <c r="F712" s="36"/>
      <c r="G712" s="36"/>
      <c r="H712" s="36"/>
      <c r="I712" s="36"/>
      <c r="J712" s="36"/>
    </row>
    <row r="713" spans="1:25" ht="12.75">
      <c r="A713" s="36"/>
      <c r="B713" s="114"/>
      <c r="C713" s="36"/>
      <c r="D713" s="36"/>
      <c r="E713" s="36"/>
      <c r="F713" s="36"/>
      <c r="G713" s="36"/>
      <c r="H713" s="36"/>
      <c r="I713" s="36"/>
      <c r="J713" s="36"/>
    </row>
    <row r="714" spans="1:25" ht="12.75">
      <c r="A714" s="36"/>
      <c r="B714" s="114"/>
      <c r="C714" s="36"/>
      <c r="D714" s="36"/>
      <c r="E714" s="36"/>
      <c r="F714" s="36"/>
      <c r="G714" s="36"/>
      <c r="H714" s="36"/>
      <c r="I714" s="36"/>
      <c r="J714" s="36"/>
    </row>
    <row r="715" spans="1:25" ht="12.75">
      <c r="A715" s="36"/>
      <c r="B715" s="114"/>
      <c r="C715" s="36"/>
      <c r="D715" s="36"/>
      <c r="E715" s="36"/>
      <c r="F715" s="36"/>
      <c r="G715" s="36"/>
      <c r="H715" s="36"/>
      <c r="I715" s="36"/>
      <c r="J715" s="36"/>
    </row>
    <row r="716" spans="1:25" ht="12.75">
      <c r="A716" s="36"/>
      <c r="B716" s="114"/>
      <c r="C716" s="36"/>
      <c r="D716" s="36"/>
      <c r="E716" s="36"/>
      <c r="F716" s="36"/>
      <c r="G716" s="36"/>
      <c r="H716" s="36"/>
      <c r="I716" s="36"/>
      <c r="J716" s="36"/>
    </row>
    <row r="717" spans="1:25" ht="12.75">
      <c r="A717" s="36"/>
      <c r="B717" s="114"/>
      <c r="C717" s="36"/>
      <c r="D717" s="36"/>
      <c r="E717" s="36"/>
      <c r="F717" s="36"/>
      <c r="G717" s="36"/>
      <c r="H717" s="36"/>
      <c r="I717" s="36"/>
      <c r="J717" s="36"/>
    </row>
    <row r="718" spans="1:25" ht="12.75">
      <c r="A718" s="36"/>
      <c r="B718" s="114"/>
      <c r="C718" s="36"/>
      <c r="D718" s="36"/>
      <c r="E718" s="36"/>
      <c r="F718" s="36"/>
      <c r="G718" s="36"/>
      <c r="H718" s="36"/>
      <c r="I718" s="36"/>
      <c r="J718" s="36"/>
    </row>
    <row r="719" spans="1:25" ht="12.75">
      <c r="A719" s="36"/>
      <c r="B719" s="114"/>
      <c r="C719" s="36"/>
      <c r="D719" s="36"/>
      <c r="E719" s="36"/>
      <c r="F719" s="36"/>
      <c r="G719" s="36"/>
      <c r="H719" s="36"/>
      <c r="I719" s="36"/>
      <c r="J719" s="36"/>
    </row>
    <row r="720" spans="1:25" ht="12.75">
      <c r="A720" s="36"/>
      <c r="B720" s="114"/>
      <c r="C720" s="36"/>
      <c r="D720" s="36"/>
      <c r="E720" s="36"/>
      <c r="F720" s="36"/>
      <c r="G720" s="36"/>
      <c r="H720" s="36"/>
      <c r="I720" s="36"/>
      <c r="J720" s="36"/>
    </row>
    <row r="721" spans="1:10" ht="12.75">
      <c r="A721" s="36"/>
      <c r="B721" s="114"/>
      <c r="C721" s="36"/>
      <c r="D721" s="36"/>
      <c r="E721" s="36"/>
      <c r="F721" s="36"/>
      <c r="G721" s="36"/>
      <c r="H721" s="36"/>
      <c r="I721" s="36"/>
      <c r="J721" s="36"/>
    </row>
    <row r="722" spans="1:10" ht="12.75">
      <c r="A722" s="36"/>
      <c r="B722" s="114"/>
      <c r="C722" s="36"/>
      <c r="D722" s="36"/>
      <c r="E722" s="36"/>
      <c r="F722" s="36"/>
      <c r="G722" s="36"/>
      <c r="H722" s="36"/>
      <c r="I722" s="36"/>
      <c r="J722" s="36"/>
    </row>
    <row r="723" spans="1:10" ht="12.75">
      <c r="A723" s="36"/>
      <c r="B723" s="114"/>
      <c r="C723" s="36"/>
      <c r="D723" s="36"/>
      <c r="E723" s="36"/>
      <c r="F723" s="36"/>
      <c r="G723" s="36"/>
      <c r="H723" s="36"/>
      <c r="I723" s="36"/>
      <c r="J723" s="36"/>
    </row>
    <row r="724" spans="1:10" ht="12.75">
      <c r="A724" s="36"/>
      <c r="B724" s="114"/>
      <c r="C724" s="36"/>
      <c r="D724" s="36"/>
      <c r="E724" s="36"/>
      <c r="F724" s="36"/>
      <c r="G724" s="36"/>
      <c r="H724" s="36"/>
      <c r="I724" s="36"/>
      <c r="J724" s="36"/>
    </row>
    <row r="725" spans="1:10" ht="12.75">
      <c r="A725" s="36"/>
      <c r="B725" s="114"/>
      <c r="C725" s="36"/>
      <c r="D725" s="36"/>
      <c r="E725" s="36"/>
      <c r="F725" s="36"/>
      <c r="G725" s="36"/>
      <c r="H725" s="36"/>
      <c r="I725" s="36"/>
      <c r="J725" s="36"/>
    </row>
    <row r="726" spans="1:10" ht="12.75">
      <c r="A726" s="36"/>
      <c r="B726" s="114"/>
      <c r="C726" s="36"/>
      <c r="D726" s="36"/>
      <c r="E726" s="36"/>
      <c r="F726" s="36"/>
      <c r="G726" s="36"/>
      <c r="H726" s="36"/>
      <c r="I726" s="36"/>
      <c r="J726" s="36"/>
    </row>
    <row r="727" spans="1:10" ht="12.75">
      <c r="A727" s="36"/>
      <c r="B727" s="114"/>
      <c r="C727" s="36"/>
      <c r="D727" s="36"/>
      <c r="E727" s="36"/>
      <c r="F727" s="36"/>
      <c r="G727" s="36"/>
      <c r="H727" s="36"/>
      <c r="I727" s="36"/>
      <c r="J727" s="36"/>
    </row>
    <row r="728" spans="1:10" ht="12.75">
      <c r="A728" s="36"/>
      <c r="B728" s="114"/>
      <c r="C728" s="36"/>
      <c r="D728" s="36"/>
      <c r="E728" s="36"/>
      <c r="F728" s="36"/>
      <c r="G728" s="36"/>
      <c r="H728" s="36"/>
      <c r="I728" s="36"/>
      <c r="J728" s="36"/>
    </row>
    <row r="729" spans="1:10" ht="12.75">
      <c r="A729" s="36"/>
      <c r="B729" s="114"/>
      <c r="C729" s="36"/>
      <c r="D729" s="36"/>
      <c r="E729" s="36"/>
      <c r="F729" s="36"/>
      <c r="G729" s="36"/>
      <c r="H729" s="36"/>
      <c r="I729" s="36"/>
      <c r="J729" s="36"/>
    </row>
    <row r="730" spans="1:10" ht="12.75">
      <c r="A730" s="36"/>
      <c r="B730" s="114"/>
      <c r="C730" s="36"/>
      <c r="D730" s="36"/>
      <c r="E730" s="36"/>
      <c r="F730" s="36"/>
      <c r="G730" s="36"/>
      <c r="H730" s="36"/>
      <c r="I730" s="36"/>
      <c r="J730" s="36"/>
    </row>
    <row r="731" spans="1:10" ht="12.75">
      <c r="A731" s="36"/>
      <c r="B731" s="114"/>
      <c r="C731" s="36"/>
      <c r="D731" s="36"/>
      <c r="E731" s="36"/>
      <c r="F731" s="36"/>
      <c r="G731" s="36"/>
      <c r="H731" s="36"/>
      <c r="I731" s="36"/>
      <c r="J731" s="36"/>
    </row>
    <row r="732" spans="1:10" ht="12.75">
      <c r="A732" s="36"/>
      <c r="B732" s="114"/>
      <c r="C732" s="36"/>
      <c r="D732" s="36"/>
      <c r="E732" s="36"/>
      <c r="F732" s="36"/>
      <c r="G732" s="36"/>
      <c r="H732" s="36"/>
      <c r="I732" s="36"/>
      <c r="J732" s="36"/>
    </row>
    <row r="733" spans="1:10" ht="12.75">
      <c r="A733" s="36"/>
      <c r="B733" s="114"/>
      <c r="C733" s="36"/>
      <c r="D733" s="36"/>
      <c r="E733" s="36"/>
      <c r="F733" s="36"/>
      <c r="G733" s="36"/>
      <c r="H733" s="36"/>
      <c r="I733" s="36"/>
      <c r="J733" s="36"/>
    </row>
    <row r="734" spans="1:10" ht="12.75">
      <c r="A734" s="36"/>
      <c r="B734" s="114"/>
      <c r="C734" s="36"/>
      <c r="D734" s="36"/>
      <c r="E734" s="36"/>
      <c r="F734" s="36"/>
      <c r="G734" s="36"/>
      <c r="H734" s="36"/>
      <c r="I734" s="36"/>
      <c r="J734" s="36"/>
    </row>
    <row r="735" spans="1:10" ht="12.75">
      <c r="A735" s="36"/>
      <c r="B735" s="114"/>
      <c r="C735" s="36"/>
      <c r="D735" s="36"/>
      <c r="E735" s="36"/>
      <c r="F735" s="36"/>
      <c r="G735" s="36"/>
      <c r="H735" s="36"/>
      <c r="I735" s="36"/>
      <c r="J735" s="36"/>
    </row>
    <row r="736" spans="1:10" ht="12.75">
      <c r="A736" s="36"/>
      <c r="B736" s="114"/>
      <c r="C736" s="36"/>
      <c r="D736" s="36"/>
      <c r="E736" s="36"/>
      <c r="F736" s="36"/>
      <c r="G736" s="36"/>
      <c r="H736" s="36"/>
      <c r="I736" s="36"/>
      <c r="J736" s="36"/>
    </row>
    <row r="737" spans="1:10" ht="12.75">
      <c r="A737" s="36"/>
      <c r="B737" s="114"/>
      <c r="C737" s="36"/>
      <c r="D737" s="36"/>
      <c r="E737" s="36"/>
      <c r="F737" s="36"/>
      <c r="G737" s="36"/>
      <c r="H737" s="36"/>
      <c r="I737" s="36"/>
      <c r="J737" s="36"/>
    </row>
    <row r="738" spans="1:10" ht="12.75">
      <c r="A738" s="36"/>
      <c r="B738" s="114"/>
      <c r="C738" s="36"/>
      <c r="D738" s="36"/>
      <c r="E738" s="36"/>
      <c r="F738" s="36"/>
      <c r="G738" s="36"/>
      <c r="H738" s="36"/>
      <c r="I738" s="36"/>
      <c r="J738" s="36"/>
    </row>
    <row r="739" spans="1:10" ht="12.75">
      <c r="A739" s="36"/>
      <c r="B739" s="114"/>
      <c r="C739" s="36"/>
      <c r="D739" s="36"/>
      <c r="E739" s="36"/>
      <c r="F739" s="36"/>
      <c r="G739" s="36"/>
      <c r="H739" s="36"/>
      <c r="I739" s="36"/>
      <c r="J739" s="36"/>
    </row>
    <row r="740" spans="1:10" ht="12.75">
      <c r="A740" s="36"/>
      <c r="B740" s="114"/>
      <c r="C740" s="36"/>
      <c r="D740" s="36"/>
      <c r="E740" s="36"/>
      <c r="F740" s="36"/>
      <c r="G740" s="36"/>
      <c r="H740" s="36"/>
      <c r="I740" s="36"/>
      <c r="J740" s="36"/>
    </row>
    <row r="741" spans="1:10" ht="12.75">
      <c r="A741" s="36"/>
      <c r="B741" s="114"/>
      <c r="C741" s="36"/>
      <c r="D741" s="36"/>
      <c r="E741" s="36"/>
      <c r="F741" s="36"/>
      <c r="G741" s="36"/>
      <c r="H741" s="36"/>
      <c r="I741" s="36"/>
      <c r="J741" s="36"/>
    </row>
    <row r="742" spans="1:10" ht="12.75">
      <c r="A742" s="36"/>
      <c r="B742" s="114"/>
      <c r="C742" s="36"/>
      <c r="D742" s="36"/>
      <c r="E742" s="36"/>
      <c r="F742" s="36"/>
      <c r="G742" s="36"/>
      <c r="H742" s="36"/>
      <c r="I742" s="36"/>
      <c r="J742" s="36"/>
    </row>
    <row r="743" spans="1:10" ht="12.75">
      <c r="A743" s="36"/>
      <c r="B743" s="114"/>
      <c r="C743" s="36"/>
      <c r="D743" s="36"/>
      <c r="E743" s="36"/>
      <c r="F743" s="36"/>
      <c r="G743" s="36"/>
      <c r="H743" s="36"/>
      <c r="I743" s="36"/>
      <c r="J743" s="36"/>
    </row>
    <row r="744" spans="1:10" ht="12.75">
      <c r="A744" s="36"/>
      <c r="B744" s="114"/>
      <c r="C744" s="36"/>
      <c r="D744" s="36"/>
      <c r="E744" s="36"/>
      <c r="F744" s="36"/>
      <c r="G744" s="36"/>
      <c r="H744" s="36"/>
      <c r="I744" s="36"/>
      <c r="J744" s="36"/>
    </row>
    <row r="745" spans="1:10" ht="12.75">
      <c r="A745" s="36"/>
      <c r="B745" s="114"/>
      <c r="C745" s="36"/>
      <c r="D745" s="36"/>
      <c r="E745" s="36"/>
      <c r="F745" s="36"/>
      <c r="G745" s="36"/>
      <c r="H745" s="36"/>
      <c r="I745" s="36"/>
      <c r="J745" s="36"/>
    </row>
    <row r="746" spans="1:10" ht="12.75">
      <c r="A746" s="36"/>
      <c r="B746" s="114"/>
      <c r="C746" s="36"/>
      <c r="D746" s="36"/>
      <c r="E746" s="36"/>
      <c r="F746" s="36"/>
      <c r="G746" s="36"/>
      <c r="H746" s="36"/>
      <c r="I746" s="36"/>
      <c r="J746" s="36"/>
    </row>
    <row r="747" spans="1:10" ht="12.75">
      <c r="A747" s="36"/>
      <c r="B747" s="114"/>
      <c r="C747" s="36"/>
      <c r="D747" s="36"/>
      <c r="E747" s="36"/>
      <c r="F747" s="36"/>
      <c r="G747" s="36"/>
      <c r="H747" s="36"/>
      <c r="I747" s="36"/>
      <c r="J747" s="36"/>
    </row>
    <row r="748" spans="1:10" ht="12.75">
      <c r="A748" s="36"/>
      <c r="B748" s="114"/>
      <c r="C748" s="36"/>
      <c r="D748" s="36"/>
      <c r="E748" s="36"/>
      <c r="F748" s="36"/>
      <c r="G748" s="36"/>
      <c r="H748" s="36"/>
      <c r="I748" s="36"/>
      <c r="J748" s="36"/>
    </row>
    <row r="749" spans="1:10" ht="12.75">
      <c r="A749" s="36"/>
      <c r="B749" s="114"/>
      <c r="C749" s="36"/>
      <c r="D749" s="36"/>
      <c r="E749" s="36"/>
      <c r="F749" s="36"/>
      <c r="G749" s="36"/>
      <c r="H749" s="36"/>
      <c r="I749" s="36"/>
      <c r="J749" s="36"/>
    </row>
    <row r="750" spans="1:10" ht="12.75">
      <c r="A750" s="36"/>
      <c r="B750" s="114"/>
      <c r="C750" s="36"/>
      <c r="D750" s="36"/>
      <c r="E750" s="36"/>
      <c r="F750" s="36"/>
      <c r="G750" s="36"/>
      <c r="H750" s="36"/>
      <c r="I750" s="36"/>
      <c r="J750" s="36"/>
    </row>
    <row r="751" spans="1:10" ht="12.75">
      <c r="A751" s="36"/>
      <c r="B751" s="114"/>
      <c r="C751" s="36"/>
      <c r="D751" s="36"/>
      <c r="E751" s="36"/>
      <c r="F751" s="36"/>
      <c r="G751" s="36"/>
      <c r="H751" s="36"/>
      <c r="I751" s="36"/>
      <c r="J751" s="36"/>
    </row>
    <row r="752" spans="1:10" ht="12.75">
      <c r="A752" s="36"/>
      <c r="B752" s="114"/>
      <c r="C752" s="36"/>
      <c r="D752" s="36"/>
      <c r="E752" s="36"/>
      <c r="F752" s="36"/>
      <c r="G752" s="36"/>
      <c r="H752" s="36"/>
      <c r="I752" s="36"/>
      <c r="J752" s="36"/>
    </row>
    <row r="753" spans="1:10" ht="12.75">
      <c r="A753" s="36"/>
      <c r="B753" s="114"/>
      <c r="C753" s="36"/>
      <c r="D753" s="36"/>
      <c r="E753" s="36"/>
      <c r="F753" s="36"/>
      <c r="G753" s="36"/>
      <c r="H753" s="36"/>
      <c r="I753" s="36"/>
      <c r="J753" s="36"/>
    </row>
    <row r="754" spans="1:10" ht="12.75">
      <c r="A754" s="36"/>
      <c r="B754" s="114"/>
      <c r="C754" s="36"/>
      <c r="D754" s="36"/>
      <c r="E754" s="36"/>
      <c r="F754" s="36"/>
      <c r="G754" s="36"/>
      <c r="H754" s="36"/>
      <c r="I754" s="36"/>
      <c r="J754" s="36"/>
    </row>
    <row r="755" spans="1:10" ht="12.75">
      <c r="A755" s="36"/>
      <c r="B755" s="114"/>
      <c r="C755" s="36"/>
      <c r="D755" s="36"/>
      <c r="E755" s="36"/>
      <c r="F755" s="36"/>
      <c r="G755" s="36"/>
      <c r="H755" s="36"/>
      <c r="I755" s="36"/>
      <c r="J755" s="36"/>
    </row>
    <row r="756" spans="1:10" ht="12.75">
      <c r="A756" s="36"/>
      <c r="B756" s="114"/>
      <c r="C756" s="36"/>
      <c r="D756" s="36"/>
      <c r="E756" s="36"/>
      <c r="F756" s="36"/>
      <c r="G756" s="36"/>
      <c r="H756" s="36"/>
      <c r="I756" s="36"/>
      <c r="J756" s="36"/>
    </row>
    <row r="757" spans="1:10" ht="12.75">
      <c r="A757" s="36"/>
      <c r="B757" s="114"/>
      <c r="C757" s="36"/>
      <c r="D757" s="36"/>
      <c r="E757" s="36"/>
      <c r="F757" s="36"/>
      <c r="G757" s="36"/>
      <c r="H757" s="36"/>
      <c r="I757" s="36"/>
      <c r="J757" s="36"/>
    </row>
    <row r="758" spans="1:10" ht="12.75">
      <c r="A758" s="36"/>
      <c r="B758" s="114"/>
      <c r="C758" s="36"/>
      <c r="D758" s="36"/>
      <c r="E758" s="36"/>
      <c r="F758" s="36"/>
      <c r="G758" s="36"/>
      <c r="H758" s="36"/>
      <c r="I758" s="36"/>
      <c r="J758" s="36"/>
    </row>
    <row r="759" spans="1:10" ht="12.75">
      <c r="A759" s="36"/>
      <c r="B759" s="114"/>
      <c r="C759" s="36"/>
      <c r="D759" s="36"/>
      <c r="E759" s="36"/>
      <c r="F759" s="36"/>
      <c r="G759" s="36"/>
      <c r="H759" s="36"/>
      <c r="I759" s="36"/>
      <c r="J759" s="36"/>
    </row>
    <row r="760" spans="1:10" ht="12.75">
      <c r="A760" s="36"/>
      <c r="B760" s="114"/>
      <c r="C760" s="36"/>
      <c r="D760" s="36"/>
      <c r="E760" s="36"/>
      <c r="F760" s="36"/>
      <c r="G760" s="36"/>
      <c r="H760" s="36"/>
      <c r="I760" s="36"/>
      <c r="J760" s="36"/>
    </row>
    <row r="761" spans="1:10" ht="12.75">
      <c r="A761" s="36"/>
      <c r="B761" s="114"/>
      <c r="C761" s="36"/>
      <c r="D761" s="36"/>
      <c r="E761" s="36"/>
      <c r="F761" s="36"/>
      <c r="G761" s="36"/>
      <c r="H761" s="36"/>
      <c r="I761" s="36"/>
      <c r="J761" s="36"/>
    </row>
    <row r="762" spans="1:10" ht="12.75">
      <c r="A762" s="36"/>
      <c r="B762" s="114"/>
      <c r="C762" s="36"/>
      <c r="D762" s="36"/>
      <c r="E762" s="36"/>
      <c r="F762" s="36"/>
      <c r="G762" s="36"/>
      <c r="H762" s="36"/>
      <c r="I762" s="36"/>
      <c r="J762" s="36"/>
    </row>
    <row r="763" spans="1:10" ht="12.75">
      <c r="A763" s="36"/>
      <c r="B763" s="114"/>
      <c r="C763" s="36"/>
      <c r="D763" s="36"/>
      <c r="E763" s="36"/>
      <c r="F763" s="36"/>
      <c r="G763" s="36"/>
      <c r="H763" s="36"/>
      <c r="I763" s="36"/>
      <c r="J763" s="36"/>
    </row>
    <row r="764" spans="1:10" ht="12.75">
      <c r="A764" s="36"/>
      <c r="B764" s="114"/>
      <c r="C764" s="36"/>
      <c r="D764" s="36"/>
      <c r="E764" s="36"/>
      <c r="F764" s="36"/>
      <c r="G764" s="36"/>
      <c r="H764" s="36"/>
      <c r="I764" s="36"/>
      <c r="J764" s="36"/>
    </row>
    <row r="765" spans="1:10" ht="12.75">
      <c r="A765" s="36"/>
      <c r="B765" s="114"/>
      <c r="C765" s="36"/>
      <c r="D765" s="36"/>
      <c r="E765" s="36"/>
      <c r="F765" s="36"/>
      <c r="G765" s="36"/>
      <c r="H765" s="36"/>
      <c r="I765" s="36"/>
      <c r="J765" s="36"/>
    </row>
    <row r="766" spans="1:10" ht="12.75">
      <c r="A766" s="36"/>
      <c r="B766" s="114"/>
      <c r="C766" s="36"/>
      <c r="D766" s="36"/>
      <c r="E766" s="36"/>
      <c r="F766" s="36"/>
      <c r="G766" s="36"/>
      <c r="H766" s="36"/>
      <c r="I766" s="36"/>
      <c r="J766" s="36"/>
    </row>
    <row r="767" spans="1:10" ht="12.75">
      <c r="A767" s="36"/>
      <c r="B767" s="114"/>
      <c r="C767" s="36"/>
      <c r="D767" s="36"/>
      <c r="E767" s="36"/>
      <c r="F767" s="36"/>
      <c r="G767" s="36"/>
      <c r="H767" s="36"/>
      <c r="I767" s="36"/>
      <c r="J767" s="36"/>
    </row>
    <row r="768" spans="1:10" ht="12.75">
      <c r="A768" s="36"/>
      <c r="B768" s="114"/>
      <c r="C768" s="36"/>
      <c r="D768" s="36"/>
      <c r="E768" s="36"/>
      <c r="F768" s="36"/>
      <c r="G768" s="36"/>
      <c r="H768" s="36"/>
      <c r="I768" s="36"/>
      <c r="J768" s="36"/>
    </row>
    <row r="769" spans="1:10" ht="12.75">
      <c r="A769" s="36"/>
      <c r="B769" s="114"/>
      <c r="C769" s="36"/>
      <c r="D769" s="36"/>
      <c r="E769" s="36"/>
      <c r="F769" s="36"/>
      <c r="G769" s="36"/>
      <c r="H769" s="36"/>
      <c r="I769" s="36"/>
      <c r="J769" s="36"/>
    </row>
    <row r="770" spans="1:10" ht="12.75">
      <c r="A770" s="36"/>
      <c r="B770" s="114"/>
      <c r="C770" s="36"/>
      <c r="D770" s="36"/>
      <c r="E770" s="36"/>
      <c r="F770" s="36"/>
      <c r="G770" s="36"/>
      <c r="H770" s="36"/>
      <c r="I770" s="36"/>
      <c r="J770" s="36"/>
    </row>
    <row r="771" spans="1:10" ht="12.75">
      <c r="A771" s="36"/>
      <c r="B771" s="114"/>
      <c r="C771" s="36"/>
      <c r="D771" s="36"/>
      <c r="E771" s="36"/>
      <c r="F771" s="36"/>
      <c r="G771" s="36"/>
      <c r="H771" s="36"/>
      <c r="I771" s="36"/>
      <c r="J771" s="36"/>
    </row>
    <row r="772" spans="1:10" ht="12.75">
      <c r="A772" s="36"/>
      <c r="B772" s="114"/>
      <c r="C772" s="36"/>
      <c r="D772" s="36"/>
      <c r="E772" s="36"/>
      <c r="F772" s="36"/>
      <c r="G772" s="36"/>
      <c r="H772" s="36"/>
      <c r="I772" s="36"/>
      <c r="J772" s="36"/>
    </row>
    <row r="773" spans="1:10" ht="12.75">
      <c r="A773" s="36"/>
      <c r="B773" s="114"/>
      <c r="C773" s="36"/>
      <c r="D773" s="36"/>
      <c r="E773" s="36"/>
      <c r="F773" s="36"/>
      <c r="G773" s="36"/>
      <c r="H773" s="36"/>
      <c r="I773" s="36"/>
      <c r="J773" s="36"/>
    </row>
    <row r="774" spans="1:10" ht="12.75">
      <c r="A774" s="36"/>
      <c r="B774" s="114"/>
      <c r="C774" s="36"/>
      <c r="D774" s="36"/>
      <c r="E774" s="36"/>
      <c r="F774" s="36"/>
      <c r="G774" s="36"/>
      <c r="H774" s="36"/>
      <c r="I774" s="36"/>
      <c r="J774" s="36"/>
    </row>
    <row r="775" spans="1:10" ht="12.75">
      <c r="A775" s="36"/>
      <c r="B775" s="114"/>
      <c r="C775" s="36"/>
      <c r="D775" s="36"/>
      <c r="E775" s="36"/>
      <c r="F775" s="36"/>
      <c r="G775" s="36"/>
      <c r="H775" s="36"/>
      <c r="I775" s="36"/>
      <c r="J775" s="36"/>
    </row>
    <row r="776" spans="1:10" ht="12.75">
      <c r="A776" s="36"/>
      <c r="B776" s="114"/>
      <c r="C776" s="36"/>
      <c r="D776" s="36"/>
      <c r="E776" s="36"/>
      <c r="F776" s="36"/>
      <c r="G776" s="36"/>
      <c r="H776" s="36"/>
      <c r="I776" s="36"/>
      <c r="J776" s="36"/>
    </row>
    <row r="777" spans="1:10" ht="12.75">
      <c r="A777" s="36"/>
      <c r="B777" s="114"/>
      <c r="C777" s="36"/>
      <c r="D777" s="36"/>
      <c r="E777" s="36"/>
      <c r="F777" s="36"/>
      <c r="G777" s="36"/>
      <c r="H777" s="36"/>
      <c r="I777" s="36"/>
      <c r="J777" s="36"/>
    </row>
    <row r="778" spans="1:10" ht="12.75">
      <c r="A778" s="36"/>
      <c r="B778" s="114"/>
      <c r="C778" s="36"/>
      <c r="D778" s="36"/>
      <c r="E778" s="36"/>
      <c r="F778" s="36"/>
      <c r="G778" s="36"/>
      <c r="H778" s="36"/>
      <c r="I778" s="36"/>
      <c r="J778" s="36"/>
    </row>
    <row r="779" spans="1:10" ht="12.75">
      <c r="A779" s="36"/>
      <c r="B779" s="114"/>
      <c r="C779" s="36"/>
      <c r="D779" s="36"/>
      <c r="E779" s="36"/>
      <c r="F779" s="36"/>
      <c r="G779" s="36"/>
      <c r="H779" s="36"/>
      <c r="I779" s="36"/>
      <c r="J779" s="36"/>
    </row>
    <row r="780" spans="1:10" ht="12.75">
      <c r="A780" s="36"/>
      <c r="B780" s="114"/>
      <c r="C780" s="36"/>
      <c r="D780" s="36"/>
      <c r="E780" s="36"/>
      <c r="F780" s="36"/>
      <c r="G780" s="36"/>
      <c r="H780" s="36"/>
      <c r="I780" s="36"/>
      <c r="J780" s="36"/>
    </row>
    <row r="781" spans="1:10" ht="12.75">
      <c r="A781" s="36"/>
      <c r="B781" s="114"/>
      <c r="C781" s="36"/>
      <c r="D781" s="36"/>
      <c r="E781" s="36"/>
      <c r="F781" s="36"/>
      <c r="G781" s="36"/>
      <c r="H781" s="36"/>
      <c r="I781" s="36"/>
      <c r="J781" s="36"/>
    </row>
    <row r="782" spans="1:10" ht="12.75">
      <c r="A782" s="36"/>
      <c r="B782" s="114"/>
      <c r="C782" s="36"/>
      <c r="D782" s="36"/>
      <c r="E782" s="36"/>
      <c r="F782" s="36"/>
      <c r="G782" s="36"/>
      <c r="H782" s="36"/>
      <c r="I782" s="36"/>
      <c r="J782" s="36"/>
    </row>
    <row r="783" spans="1:10" ht="12.75">
      <c r="A783" s="36"/>
      <c r="B783" s="114"/>
      <c r="C783" s="36"/>
      <c r="D783" s="36"/>
      <c r="E783" s="36"/>
      <c r="F783" s="36"/>
      <c r="G783" s="36"/>
      <c r="H783" s="36"/>
      <c r="I783" s="36"/>
      <c r="J783" s="36"/>
    </row>
    <row r="784" spans="1:10" ht="12.75">
      <c r="A784" s="36"/>
      <c r="B784" s="114"/>
      <c r="C784" s="36"/>
      <c r="D784" s="36"/>
      <c r="E784" s="36"/>
      <c r="F784" s="36"/>
      <c r="G784" s="36"/>
      <c r="H784" s="36"/>
      <c r="I784" s="36"/>
      <c r="J784" s="36"/>
    </row>
    <row r="785" spans="1:10" ht="12.75">
      <c r="A785" s="36"/>
      <c r="B785" s="114"/>
      <c r="C785" s="36"/>
      <c r="D785" s="36"/>
      <c r="E785" s="36"/>
      <c r="F785" s="36"/>
      <c r="G785" s="36"/>
      <c r="H785" s="36"/>
      <c r="I785" s="36"/>
      <c r="J785" s="36"/>
    </row>
    <row r="786" spans="1:10" ht="12.75">
      <c r="A786" s="36"/>
      <c r="B786" s="114"/>
      <c r="C786" s="36"/>
      <c r="D786" s="36"/>
      <c r="E786" s="36"/>
      <c r="F786" s="36"/>
      <c r="G786" s="36"/>
      <c r="H786" s="36"/>
      <c r="I786" s="36"/>
      <c r="J786" s="36"/>
    </row>
    <row r="787" spans="1:10" ht="12.75">
      <c r="A787" s="36"/>
      <c r="B787" s="114"/>
      <c r="C787" s="36"/>
      <c r="D787" s="36"/>
      <c r="E787" s="36"/>
      <c r="F787" s="36"/>
      <c r="G787" s="36"/>
      <c r="H787" s="36"/>
      <c r="I787" s="36"/>
      <c r="J787" s="36"/>
    </row>
    <row r="788" spans="1:10" ht="12.75">
      <c r="A788" s="36"/>
      <c r="B788" s="114"/>
      <c r="C788" s="36"/>
      <c r="D788" s="36"/>
      <c r="E788" s="36"/>
      <c r="F788" s="36"/>
      <c r="G788" s="36"/>
      <c r="H788" s="36"/>
      <c r="I788" s="36"/>
      <c r="J788" s="36"/>
    </row>
    <row r="789" spans="1:10" ht="12.75">
      <c r="A789" s="36"/>
      <c r="B789" s="114"/>
      <c r="C789" s="36"/>
      <c r="D789" s="36"/>
      <c r="E789" s="36"/>
      <c r="F789" s="36"/>
      <c r="G789" s="36"/>
      <c r="H789" s="36"/>
      <c r="I789" s="36"/>
      <c r="J789" s="36"/>
    </row>
    <row r="790" spans="1:10" ht="12.75">
      <c r="A790" s="36"/>
      <c r="B790" s="114"/>
      <c r="C790" s="36"/>
      <c r="D790" s="36"/>
      <c r="E790" s="36"/>
      <c r="F790" s="36"/>
      <c r="G790" s="36"/>
      <c r="H790" s="36"/>
      <c r="I790" s="36"/>
      <c r="J790" s="36"/>
    </row>
    <row r="791" spans="1:10" ht="12.75">
      <c r="A791" s="36"/>
      <c r="B791" s="114"/>
      <c r="C791" s="36"/>
      <c r="D791" s="36"/>
      <c r="E791" s="36"/>
      <c r="F791" s="36"/>
      <c r="G791" s="36"/>
      <c r="H791" s="36"/>
      <c r="I791" s="36"/>
      <c r="J791" s="36"/>
    </row>
    <row r="792" spans="1:10" ht="12.75">
      <c r="A792" s="36"/>
      <c r="B792" s="114"/>
      <c r="C792" s="36"/>
      <c r="D792" s="36"/>
      <c r="E792" s="36"/>
      <c r="F792" s="36"/>
      <c r="G792" s="36"/>
      <c r="H792" s="36"/>
      <c r="I792" s="36"/>
      <c r="J792" s="36"/>
    </row>
    <row r="793" spans="1:10" ht="12.75">
      <c r="A793" s="36"/>
      <c r="B793" s="114"/>
      <c r="C793" s="36"/>
      <c r="D793" s="36"/>
      <c r="E793" s="36"/>
      <c r="F793" s="36"/>
      <c r="G793" s="36"/>
      <c r="H793" s="36"/>
      <c r="I793" s="36"/>
      <c r="J793" s="36"/>
    </row>
    <row r="794" spans="1:10" ht="12.75">
      <c r="A794" s="36"/>
      <c r="B794" s="114"/>
      <c r="C794" s="36"/>
      <c r="D794" s="36"/>
      <c r="E794" s="36"/>
      <c r="F794" s="36"/>
      <c r="G794" s="36"/>
      <c r="H794" s="36"/>
      <c r="I794" s="36"/>
      <c r="J794" s="36"/>
    </row>
    <row r="795" spans="1:10" ht="12.75">
      <c r="A795" s="36"/>
      <c r="B795" s="114"/>
      <c r="C795" s="36"/>
      <c r="D795" s="36"/>
      <c r="E795" s="36"/>
      <c r="F795" s="36"/>
      <c r="G795" s="36"/>
      <c r="H795" s="36"/>
      <c r="I795" s="36"/>
      <c r="J795" s="36"/>
    </row>
    <row r="796" spans="1:10" ht="12.75">
      <c r="A796" s="36"/>
      <c r="B796" s="114"/>
      <c r="C796" s="36"/>
      <c r="D796" s="36"/>
      <c r="E796" s="36"/>
      <c r="F796" s="36"/>
      <c r="G796" s="36"/>
      <c r="H796" s="36"/>
      <c r="I796" s="36"/>
      <c r="J796" s="36"/>
    </row>
    <row r="797" spans="1:10" ht="12.75">
      <c r="A797" s="36"/>
      <c r="B797" s="114"/>
      <c r="C797" s="36"/>
      <c r="D797" s="36"/>
      <c r="E797" s="36"/>
      <c r="F797" s="36"/>
      <c r="G797" s="36"/>
      <c r="H797" s="36"/>
      <c r="I797" s="36"/>
      <c r="J797" s="36"/>
    </row>
    <row r="798" spans="1:10" ht="12.75">
      <c r="A798" s="36"/>
      <c r="B798" s="114"/>
      <c r="C798" s="36"/>
      <c r="D798" s="36"/>
      <c r="E798" s="36"/>
      <c r="F798" s="36"/>
      <c r="G798" s="36"/>
      <c r="H798" s="36"/>
      <c r="I798" s="36"/>
      <c r="J798" s="36"/>
    </row>
    <row r="799" spans="1:10" ht="12.75">
      <c r="A799" s="36"/>
      <c r="B799" s="114"/>
      <c r="C799" s="36"/>
      <c r="D799" s="36"/>
      <c r="E799" s="36"/>
      <c r="F799" s="36"/>
      <c r="G799" s="36"/>
      <c r="H799" s="36"/>
      <c r="I799" s="36"/>
      <c r="J799" s="36"/>
    </row>
    <row r="800" spans="1:10" ht="12.75">
      <c r="A800" s="36"/>
      <c r="B800" s="114"/>
      <c r="C800" s="36"/>
      <c r="D800" s="36"/>
      <c r="E800" s="36"/>
      <c r="F800" s="36"/>
      <c r="G800" s="36"/>
      <c r="H800" s="36"/>
      <c r="I800" s="36"/>
      <c r="J800" s="36"/>
    </row>
    <row r="801" spans="1:10" ht="12.75">
      <c r="A801" s="36"/>
      <c r="B801" s="114"/>
      <c r="C801" s="36"/>
      <c r="D801" s="36"/>
      <c r="E801" s="36"/>
      <c r="F801" s="36"/>
      <c r="G801" s="36"/>
      <c r="H801" s="36"/>
      <c r="I801" s="36"/>
      <c r="J801" s="36"/>
    </row>
    <row r="802" spans="1:10" ht="12.75">
      <c r="A802" s="36"/>
      <c r="B802" s="114"/>
      <c r="C802" s="36"/>
      <c r="D802" s="36"/>
      <c r="E802" s="36"/>
      <c r="F802" s="36"/>
      <c r="G802" s="36"/>
      <c r="H802" s="36"/>
      <c r="I802" s="36"/>
      <c r="J802" s="36"/>
    </row>
    <row r="803" spans="1:10" ht="12.75">
      <c r="A803" s="36"/>
      <c r="B803" s="114"/>
      <c r="C803" s="36"/>
      <c r="D803" s="36"/>
      <c r="E803" s="36"/>
      <c r="F803" s="36"/>
      <c r="G803" s="36"/>
      <c r="H803" s="36"/>
      <c r="I803" s="36"/>
      <c r="J803" s="36"/>
    </row>
    <row r="804" spans="1:10" ht="12.75">
      <c r="A804" s="36"/>
      <c r="B804" s="114"/>
      <c r="C804" s="36"/>
      <c r="D804" s="36"/>
      <c r="E804" s="36"/>
      <c r="F804" s="36"/>
      <c r="G804" s="36"/>
      <c r="H804" s="36"/>
      <c r="I804" s="36"/>
      <c r="J804" s="36"/>
    </row>
    <row r="805" spans="1:10" ht="12.75">
      <c r="A805" s="36"/>
      <c r="B805" s="114"/>
      <c r="C805" s="36"/>
      <c r="D805" s="36"/>
      <c r="E805" s="36"/>
      <c r="F805" s="36"/>
      <c r="G805" s="36"/>
      <c r="H805" s="36"/>
      <c r="I805" s="36"/>
      <c r="J805" s="36"/>
    </row>
    <row r="806" spans="1:10" ht="12.75">
      <c r="A806" s="36"/>
      <c r="B806" s="114"/>
      <c r="C806" s="36"/>
      <c r="D806" s="36"/>
      <c r="E806" s="36"/>
      <c r="F806" s="36"/>
      <c r="G806" s="36"/>
      <c r="H806" s="36"/>
      <c r="I806" s="36"/>
      <c r="J806" s="36"/>
    </row>
    <row r="807" spans="1:10" ht="12.75">
      <c r="A807" s="36"/>
      <c r="B807" s="114"/>
      <c r="C807" s="36"/>
      <c r="D807" s="36"/>
      <c r="E807" s="36"/>
      <c r="F807" s="36"/>
      <c r="G807" s="36"/>
      <c r="H807" s="36"/>
      <c r="I807" s="36"/>
      <c r="J807" s="36"/>
    </row>
    <row r="808" spans="1:10" ht="12.75">
      <c r="A808" s="36"/>
      <c r="B808" s="114"/>
      <c r="C808" s="36"/>
      <c r="D808" s="36"/>
      <c r="E808" s="36"/>
      <c r="F808" s="36"/>
      <c r="G808" s="36"/>
      <c r="H808" s="36"/>
      <c r="I808" s="36"/>
      <c r="J808" s="36"/>
    </row>
    <row r="809" spans="1:10" ht="12.75">
      <c r="A809" s="36"/>
      <c r="B809" s="114"/>
      <c r="C809" s="36"/>
      <c r="D809" s="36"/>
      <c r="E809" s="36"/>
      <c r="F809" s="36"/>
      <c r="G809" s="36"/>
      <c r="H809" s="36"/>
      <c r="I809" s="36"/>
      <c r="J809" s="36"/>
    </row>
    <row r="810" spans="1:10" ht="12.75">
      <c r="A810" s="36"/>
      <c r="B810" s="114"/>
      <c r="C810" s="36"/>
      <c r="D810" s="36"/>
      <c r="E810" s="36"/>
      <c r="F810" s="36"/>
      <c r="G810" s="36"/>
      <c r="H810" s="36"/>
      <c r="I810" s="36"/>
      <c r="J810" s="36"/>
    </row>
    <row r="811" spans="1:10" ht="12.75">
      <c r="A811" s="36"/>
      <c r="B811" s="114"/>
      <c r="C811" s="36"/>
      <c r="D811" s="36"/>
      <c r="E811" s="36"/>
      <c r="F811" s="36"/>
      <c r="G811" s="36"/>
      <c r="H811" s="36"/>
      <c r="I811" s="36"/>
      <c r="J811" s="36"/>
    </row>
    <row r="812" spans="1:10" ht="12.75">
      <c r="A812" s="36"/>
      <c r="B812" s="114"/>
      <c r="C812" s="36"/>
      <c r="D812" s="36"/>
      <c r="E812" s="36"/>
      <c r="F812" s="36"/>
      <c r="G812" s="36"/>
      <c r="H812" s="36"/>
      <c r="I812" s="36"/>
      <c r="J812" s="36"/>
    </row>
    <row r="813" spans="1:10" ht="12.75">
      <c r="A813" s="36"/>
      <c r="B813" s="114"/>
      <c r="C813" s="36"/>
      <c r="D813" s="36"/>
      <c r="E813" s="36"/>
      <c r="F813" s="36"/>
      <c r="G813" s="36"/>
      <c r="H813" s="36"/>
      <c r="I813" s="36"/>
      <c r="J813" s="36"/>
    </row>
    <row r="814" spans="1:10" ht="12.75">
      <c r="A814" s="36"/>
      <c r="B814" s="114"/>
      <c r="C814" s="36"/>
      <c r="D814" s="36"/>
      <c r="E814" s="36"/>
      <c r="F814" s="36"/>
      <c r="G814" s="36"/>
      <c r="H814" s="36"/>
      <c r="I814" s="36"/>
      <c r="J814" s="36"/>
    </row>
    <row r="815" spans="1:10" ht="12.75">
      <c r="A815" s="36"/>
      <c r="B815" s="114"/>
      <c r="C815" s="36"/>
      <c r="D815" s="36"/>
      <c r="E815" s="36"/>
      <c r="F815" s="36"/>
      <c r="G815" s="36"/>
      <c r="H815" s="36"/>
      <c r="I815" s="36"/>
      <c r="J815" s="36"/>
    </row>
    <row r="816" spans="1:10" ht="12.75">
      <c r="A816" s="36"/>
      <c r="B816" s="114"/>
      <c r="C816" s="36"/>
      <c r="D816" s="36"/>
      <c r="E816" s="36"/>
      <c r="F816" s="36"/>
      <c r="G816" s="36"/>
      <c r="H816" s="36"/>
      <c r="I816" s="36"/>
      <c r="J816" s="36"/>
    </row>
    <row r="817" spans="1:10" ht="12.75">
      <c r="A817" s="36"/>
      <c r="B817" s="114"/>
      <c r="C817" s="36"/>
      <c r="D817" s="36"/>
      <c r="E817" s="36"/>
      <c r="F817" s="36"/>
      <c r="G817" s="36"/>
      <c r="H817" s="36"/>
      <c r="I817" s="36"/>
      <c r="J817" s="36"/>
    </row>
    <row r="818" spans="1:10" ht="12.75">
      <c r="A818" s="36"/>
      <c r="B818" s="114"/>
      <c r="C818" s="36"/>
      <c r="D818" s="36"/>
      <c r="E818" s="36"/>
      <c r="F818" s="36"/>
      <c r="G818" s="36"/>
      <c r="H818" s="36"/>
      <c r="I818" s="36"/>
      <c r="J818" s="36"/>
    </row>
    <row r="819" spans="1:10" ht="12.75">
      <c r="A819" s="36"/>
      <c r="B819" s="114"/>
      <c r="C819" s="36"/>
      <c r="D819" s="36"/>
      <c r="E819" s="36"/>
      <c r="F819" s="36"/>
      <c r="G819" s="36"/>
      <c r="H819" s="36"/>
      <c r="I819" s="36"/>
      <c r="J819" s="36"/>
    </row>
    <row r="820" spans="1:10" ht="12.75">
      <c r="A820" s="36"/>
      <c r="B820" s="114"/>
      <c r="C820" s="36"/>
      <c r="D820" s="36"/>
      <c r="E820" s="36"/>
      <c r="F820" s="36"/>
      <c r="G820" s="36"/>
      <c r="H820" s="36"/>
      <c r="I820" s="36"/>
      <c r="J820" s="36"/>
    </row>
    <row r="821" spans="1:10" ht="12.75">
      <c r="A821" s="36"/>
      <c r="B821" s="114"/>
      <c r="C821" s="36"/>
      <c r="D821" s="36"/>
      <c r="E821" s="36"/>
      <c r="F821" s="36"/>
      <c r="G821" s="36"/>
      <c r="H821" s="36"/>
      <c r="I821" s="36"/>
      <c r="J821" s="36"/>
    </row>
    <row r="822" spans="1:10" ht="12.75">
      <c r="A822" s="36"/>
      <c r="B822" s="114"/>
      <c r="C822" s="36"/>
      <c r="D822" s="36"/>
      <c r="E822" s="36"/>
      <c r="F822" s="36"/>
      <c r="G822" s="36"/>
      <c r="H822" s="36"/>
      <c r="I822" s="36"/>
      <c r="J822" s="36"/>
    </row>
    <row r="823" spans="1:10" ht="12.75">
      <c r="A823" s="36"/>
      <c r="B823" s="114"/>
      <c r="C823" s="36"/>
      <c r="D823" s="36"/>
      <c r="E823" s="36"/>
      <c r="F823" s="36"/>
      <c r="G823" s="36"/>
      <c r="H823" s="36"/>
      <c r="I823" s="36"/>
      <c r="J823" s="36"/>
    </row>
    <row r="824" spans="1:10" ht="12.75">
      <c r="A824" s="36"/>
      <c r="B824" s="114"/>
      <c r="C824" s="36"/>
      <c r="D824" s="36"/>
      <c r="E824" s="36"/>
      <c r="F824" s="36"/>
      <c r="G824" s="36"/>
      <c r="H824" s="36"/>
      <c r="I824" s="36"/>
      <c r="J824" s="36"/>
    </row>
    <row r="825" spans="1:10" ht="12.75">
      <c r="A825" s="36"/>
      <c r="B825" s="114"/>
      <c r="C825" s="36"/>
      <c r="D825" s="36"/>
      <c r="E825" s="36"/>
      <c r="F825" s="36"/>
      <c r="G825" s="36"/>
      <c r="H825" s="36"/>
      <c r="I825" s="36"/>
      <c r="J825" s="36"/>
    </row>
    <row r="826" spans="1:10" ht="12.75">
      <c r="A826" s="36"/>
      <c r="B826" s="114"/>
      <c r="C826" s="36"/>
      <c r="D826" s="36"/>
      <c r="E826" s="36"/>
      <c r="F826" s="36"/>
      <c r="G826" s="36"/>
      <c r="H826" s="36"/>
      <c r="I826" s="36"/>
      <c r="J826" s="36"/>
    </row>
    <row r="827" spans="1:10" ht="12.75">
      <c r="A827" s="36"/>
      <c r="B827" s="114"/>
      <c r="C827" s="36"/>
      <c r="D827" s="36"/>
      <c r="E827" s="36"/>
      <c r="F827" s="36"/>
      <c r="G827" s="36"/>
      <c r="H827" s="36"/>
      <c r="I827" s="36"/>
      <c r="J827" s="36"/>
    </row>
    <row r="828" spans="1:10" ht="12.75">
      <c r="A828" s="36"/>
      <c r="B828" s="114"/>
      <c r="C828" s="36"/>
      <c r="D828" s="36"/>
      <c r="E828" s="36"/>
      <c r="F828" s="36"/>
      <c r="G828" s="36"/>
      <c r="H828" s="36"/>
      <c r="I828" s="36"/>
      <c r="J828" s="36"/>
    </row>
    <row r="829" spans="1:10" ht="12.75">
      <c r="A829" s="36"/>
      <c r="B829" s="114"/>
      <c r="C829" s="36"/>
      <c r="D829" s="36"/>
      <c r="E829" s="36"/>
      <c r="F829" s="36"/>
      <c r="G829" s="36"/>
      <c r="H829" s="36"/>
      <c r="I829" s="36"/>
      <c r="J829" s="36"/>
    </row>
    <row r="830" spans="1:10" ht="12.75">
      <c r="A830" s="36"/>
      <c r="B830" s="114"/>
      <c r="C830" s="36"/>
      <c r="D830" s="36"/>
      <c r="E830" s="36"/>
      <c r="F830" s="36"/>
      <c r="G830" s="36"/>
      <c r="H830" s="36"/>
      <c r="I830" s="36"/>
      <c r="J830" s="36"/>
    </row>
    <row r="831" spans="1:10" ht="12.75">
      <c r="A831" s="36"/>
      <c r="B831" s="114"/>
      <c r="C831" s="36"/>
      <c r="D831" s="36"/>
      <c r="E831" s="36"/>
      <c r="F831" s="36"/>
      <c r="G831" s="36"/>
      <c r="H831" s="36"/>
      <c r="I831" s="36"/>
      <c r="J831" s="36"/>
    </row>
    <row r="832" spans="1:10" ht="12.75">
      <c r="A832" s="36"/>
      <c r="B832" s="114"/>
      <c r="C832" s="36"/>
      <c r="D832" s="36"/>
      <c r="E832" s="36"/>
      <c r="F832" s="36"/>
      <c r="G832" s="36"/>
      <c r="H832" s="36"/>
      <c r="I832" s="36"/>
      <c r="J832" s="36"/>
    </row>
    <row r="833" spans="1:10" ht="12.75">
      <c r="A833" s="36"/>
      <c r="B833" s="114"/>
      <c r="C833" s="36"/>
      <c r="D833" s="36"/>
      <c r="E833" s="36"/>
      <c r="F833" s="36"/>
      <c r="G833" s="36"/>
      <c r="H833" s="36"/>
      <c r="I833" s="36"/>
      <c r="J833" s="36"/>
    </row>
    <row r="834" spans="1:10" ht="12.75">
      <c r="A834" s="36"/>
      <c r="B834" s="114"/>
      <c r="C834" s="36"/>
      <c r="D834" s="36"/>
      <c r="E834" s="36"/>
      <c r="F834" s="36"/>
      <c r="G834" s="36"/>
      <c r="H834" s="36"/>
      <c r="I834" s="36"/>
      <c r="J834" s="36"/>
    </row>
    <row r="835" spans="1:10" ht="12.75">
      <c r="A835" s="36"/>
      <c r="B835" s="114"/>
      <c r="C835" s="36"/>
      <c r="D835" s="36"/>
      <c r="E835" s="36"/>
      <c r="F835" s="36"/>
      <c r="G835" s="36"/>
      <c r="H835" s="36"/>
      <c r="I835" s="36"/>
      <c r="J835" s="36"/>
    </row>
    <row r="836" spans="1:10" ht="12.75">
      <c r="A836" s="36"/>
      <c r="B836" s="114"/>
      <c r="C836" s="36"/>
      <c r="D836" s="36"/>
      <c r="E836" s="36"/>
      <c r="F836" s="36"/>
      <c r="G836" s="36"/>
      <c r="H836" s="36"/>
      <c r="I836" s="36"/>
      <c r="J836" s="36"/>
    </row>
    <row r="837" spans="1:10" ht="12.75">
      <c r="A837" s="36"/>
      <c r="B837" s="114"/>
      <c r="C837" s="36"/>
      <c r="D837" s="36"/>
      <c r="E837" s="36"/>
      <c r="F837" s="36"/>
      <c r="G837" s="36"/>
      <c r="H837" s="36"/>
      <c r="I837" s="36"/>
      <c r="J837" s="36"/>
    </row>
    <row r="838" spans="1:10" ht="12.75">
      <c r="A838" s="36"/>
      <c r="B838" s="114"/>
      <c r="C838" s="36"/>
      <c r="D838" s="36"/>
      <c r="E838" s="36"/>
      <c r="F838" s="36"/>
      <c r="G838" s="36"/>
      <c r="H838" s="36"/>
      <c r="I838" s="36"/>
      <c r="J838" s="36"/>
    </row>
    <row r="839" spans="1:10" ht="12.75">
      <c r="A839" s="36"/>
      <c r="B839" s="114"/>
      <c r="C839" s="36"/>
      <c r="D839" s="36"/>
      <c r="E839" s="36"/>
      <c r="F839" s="36"/>
      <c r="G839" s="36"/>
      <c r="H839" s="36"/>
      <c r="I839" s="36"/>
      <c r="J839" s="36"/>
    </row>
    <row r="840" spans="1:10" ht="12.75">
      <c r="A840" s="36"/>
      <c r="B840" s="114"/>
      <c r="C840" s="36"/>
      <c r="D840" s="36"/>
      <c r="E840" s="36"/>
      <c r="F840" s="36"/>
      <c r="G840" s="36"/>
      <c r="H840" s="36"/>
      <c r="I840" s="36"/>
      <c r="J840" s="36"/>
    </row>
    <row r="841" spans="1:10" ht="12.75">
      <c r="A841" s="36"/>
      <c r="B841" s="114"/>
      <c r="C841" s="36"/>
      <c r="D841" s="36"/>
      <c r="E841" s="36"/>
      <c r="F841" s="36"/>
      <c r="G841" s="36"/>
      <c r="H841" s="36"/>
      <c r="I841" s="36"/>
      <c r="J841" s="36"/>
    </row>
    <row r="842" spans="1:10" ht="12.75">
      <c r="A842" s="36"/>
      <c r="B842" s="114"/>
      <c r="C842" s="36"/>
      <c r="D842" s="36"/>
      <c r="E842" s="36"/>
      <c r="F842" s="36"/>
      <c r="G842" s="36"/>
      <c r="H842" s="36"/>
      <c r="I842" s="36"/>
      <c r="J842" s="36"/>
    </row>
    <row r="843" spans="1:10" ht="12.75">
      <c r="A843" s="36"/>
      <c r="B843" s="114"/>
      <c r="C843" s="36"/>
      <c r="D843" s="36"/>
      <c r="E843" s="36"/>
      <c r="F843" s="36"/>
      <c r="G843" s="36"/>
      <c r="H843" s="36"/>
      <c r="I843" s="36"/>
      <c r="J843" s="36"/>
    </row>
    <row r="844" spans="1:10" ht="12.75">
      <c r="A844" s="36"/>
      <c r="B844" s="114"/>
      <c r="C844" s="36"/>
      <c r="D844" s="36"/>
      <c r="E844" s="36"/>
      <c r="F844" s="36"/>
      <c r="G844" s="36"/>
      <c r="H844" s="36"/>
      <c r="I844" s="36"/>
      <c r="J844" s="36"/>
    </row>
    <row r="845" spans="1:10" ht="12.75">
      <c r="A845" s="36"/>
      <c r="B845" s="114"/>
      <c r="C845" s="36"/>
      <c r="D845" s="36"/>
      <c r="E845" s="36"/>
      <c r="F845" s="36"/>
      <c r="G845" s="36"/>
      <c r="H845" s="36"/>
      <c r="I845" s="36"/>
      <c r="J845" s="36"/>
    </row>
    <row r="846" spans="1:10" ht="12.75">
      <c r="A846" s="36"/>
      <c r="B846" s="114"/>
      <c r="C846" s="36"/>
      <c r="D846" s="36"/>
      <c r="E846" s="36"/>
      <c r="F846" s="36"/>
      <c r="G846" s="36"/>
      <c r="H846" s="36"/>
      <c r="I846" s="36"/>
      <c r="J846" s="36"/>
    </row>
    <row r="847" spans="1:10" ht="12.75">
      <c r="A847" s="36"/>
      <c r="B847" s="114"/>
      <c r="C847" s="36"/>
      <c r="D847" s="36"/>
      <c r="E847" s="36"/>
      <c r="F847" s="36"/>
      <c r="G847" s="36"/>
      <c r="H847" s="36"/>
      <c r="I847" s="36"/>
      <c r="J847" s="36"/>
    </row>
    <row r="848" spans="1:10" ht="12.75">
      <c r="A848" s="36"/>
      <c r="B848" s="114"/>
      <c r="C848" s="36"/>
      <c r="D848" s="36"/>
      <c r="E848" s="36"/>
      <c r="F848" s="36"/>
      <c r="G848" s="36"/>
      <c r="H848" s="36"/>
      <c r="I848" s="36"/>
      <c r="J848" s="36"/>
    </row>
    <row r="849" spans="1:10" ht="12.75">
      <c r="A849" s="36"/>
      <c r="B849" s="114"/>
      <c r="C849" s="36"/>
      <c r="D849" s="36"/>
      <c r="E849" s="36"/>
      <c r="F849" s="36"/>
      <c r="G849" s="36"/>
      <c r="H849" s="36"/>
      <c r="I849" s="36"/>
      <c r="J849" s="36"/>
    </row>
    <row r="850" spans="1:10" ht="12.75">
      <c r="A850" s="36"/>
      <c r="B850" s="114"/>
      <c r="C850" s="36"/>
      <c r="D850" s="36"/>
      <c r="E850" s="36"/>
      <c r="F850" s="36"/>
      <c r="G850" s="36"/>
      <c r="H850" s="36"/>
      <c r="I850" s="36"/>
      <c r="J850" s="36"/>
    </row>
    <row r="851" spans="1:10" ht="12.75">
      <c r="A851" s="36"/>
      <c r="B851" s="114"/>
      <c r="C851" s="36"/>
      <c r="D851" s="36"/>
      <c r="E851" s="36"/>
      <c r="F851" s="36"/>
      <c r="G851" s="36"/>
      <c r="H851" s="36"/>
      <c r="I851" s="36"/>
      <c r="J851" s="36"/>
    </row>
    <row r="852" spans="1:10" ht="12.75">
      <c r="A852" s="36"/>
      <c r="B852" s="114"/>
      <c r="C852" s="36"/>
      <c r="D852" s="36"/>
      <c r="E852" s="36"/>
      <c r="F852" s="36"/>
      <c r="G852" s="36"/>
      <c r="H852" s="36"/>
      <c r="I852" s="36"/>
      <c r="J852" s="36"/>
    </row>
    <row r="853" spans="1:10" ht="12.75">
      <c r="A853" s="36"/>
      <c r="B853" s="114"/>
      <c r="C853" s="36"/>
      <c r="D853" s="36"/>
      <c r="E853" s="36"/>
      <c r="F853" s="36"/>
      <c r="G853" s="36"/>
      <c r="H853" s="36"/>
      <c r="I853" s="36"/>
      <c r="J853" s="36"/>
    </row>
    <row r="854" spans="1:10" ht="12.75">
      <c r="A854" s="36"/>
      <c r="B854" s="114"/>
      <c r="C854" s="36"/>
      <c r="D854" s="36"/>
      <c r="E854" s="36"/>
      <c r="F854" s="36"/>
      <c r="G854" s="36"/>
      <c r="H854" s="36"/>
      <c r="I854" s="36"/>
      <c r="J854" s="36"/>
    </row>
    <row r="855" spans="1:10" ht="12.75">
      <c r="A855" s="36"/>
      <c r="B855" s="114"/>
      <c r="C855" s="36"/>
      <c r="D855" s="36"/>
      <c r="E855" s="36"/>
      <c r="F855" s="36"/>
      <c r="G855" s="36"/>
      <c r="H855" s="36"/>
      <c r="I855" s="36"/>
      <c r="J855" s="36"/>
    </row>
    <row r="856" spans="1:10" ht="12.75">
      <c r="A856" s="36"/>
      <c r="B856" s="114"/>
      <c r="C856" s="36"/>
      <c r="D856" s="36"/>
      <c r="E856" s="36"/>
      <c r="F856" s="36"/>
      <c r="G856" s="36"/>
      <c r="H856" s="36"/>
      <c r="I856" s="36"/>
      <c r="J856" s="36"/>
    </row>
    <row r="857" spans="1:10" ht="12.75">
      <c r="A857" s="36"/>
      <c r="B857" s="114"/>
      <c r="C857" s="36"/>
      <c r="D857" s="36"/>
      <c r="E857" s="36"/>
      <c r="F857" s="36"/>
      <c r="G857" s="36"/>
      <c r="H857" s="36"/>
      <c r="I857" s="36"/>
      <c r="J857" s="36"/>
    </row>
    <row r="858" spans="1:10" ht="12.75">
      <c r="A858" s="36"/>
      <c r="B858" s="114"/>
      <c r="C858" s="36"/>
      <c r="D858" s="36"/>
      <c r="E858" s="36"/>
      <c r="F858" s="36"/>
      <c r="G858" s="36"/>
      <c r="H858" s="36"/>
      <c r="I858" s="36"/>
      <c r="J858" s="36"/>
    </row>
    <row r="859" spans="1:10" ht="12.75">
      <c r="A859" s="36"/>
      <c r="B859" s="114"/>
      <c r="C859" s="36"/>
      <c r="D859" s="36"/>
      <c r="E859" s="36"/>
      <c r="F859" s="36"/>
      <c r="G859" s="36"/>
      <c r="H859" s="36"/>
      <c r="I859" s="36"/>
      <c r="J859" s="36"/>
    </row>
    <row r="860" spans="1:10" ht="12.75">
      <c r="A860" s="36"/>
      <c r="B860" s="114"/>
      <c r="C860" s="36"/>
      <c r="D860" s="36"/>
      <c r="E860" s="36"/>
      <c r="F860" s="36"/>
      <c r="G860" s="36"/>
      <c r="H860" s="36"/>
      <c r="I860" s="36"/>
      <c r="J860" s="36"/>
    </row>
    <row r="861" spans="1:10" ht="12.75">
      <c r="A861" s="36"/>
      <c r="B861" s="114"/>
      <c r="C861" s="36"/>
      <c r="D861" s="36"/>
      <c r="E861" s="36"/>
      <c r="F861" s="36"/>
      <c r="G861" s="36"/>
      <c r="H861" s="36"/>
      <c r="I861" s="36"/>
      <c r="J861" s="36"/>
    </row>
    <row r="862" spans="1:10" ht="12.75">
      <c r="A862" s="36"/>
      <c r="B862" s="114"/>
      <c r="C862" s="36"/>
      <c r="D862" s="36"/>
      <c r="E862" s="36"/>
      <c r="F862" s="36"/>
      <c r="G862" s="36"/>
      <c r="H862" s="36"/>
      <c r="I862" s="36"/>
      <c r="J862" s="36"/>
    </row>
    <row r="863" spans="1:10" ht="12.75">
      <c r="A863" s="36"/>
      <c r="B863" s="114"/>
      <c r="C863" s="36"/>
      <c r="D863" s="36"/>
      <c r="E863" s="36"/>
      <c r="F863" s="36"/>
      <c r="G863" s="36"/>
      <c r="H863" s="36"/>
      <c r="I863" s="36"/>
      <c r="J863" s="36"/>
    </row>
    <row r="864" spans="1:10" ht="12.75">
      <c r="A864" s="36"/>
      <c r="B864" s="114"/>
      <c r="C864" s="36"/>
      <c r="D864" s="36"/>
      <c r="E864" s="36"/>
      <c r="F864" s="36"/>
      <c r="G864" s="36"/>
      <c r="H864" s="36"/>
      <c r="I864" s="36"/>
      <c r="J864" s="36"/>
    </row>
    <row r="865" spans="1:10" ht="12.75">
      <c r="A865" s="36"/>
      <c r="B865" s="114"/>
      <c r="C865" s="36"/>
      <c r="D865" s="36"/>
      <c r="E865" s="36"/>
      <c r="F865" s="36"/>
      <c r="G865" s="36"/>
      <c r="H865" s="36"/>
      <c r="I865" s="36"/>
      <c r="J865" s="36"/>
    </row>
    <row r="866" spans="1:10" ht="12.75">
      <c r="A866" s="36"/>
      <c r="B866" s="114"/>
      <c r="C866" s="36"/>
      <c r="D866" s="36"/>
      <c r="E866" s="36"/>
      <c r="F866" s="36"/>
      <c r="G866" s="36"/>
      <c r="H866" s="36"/>
      <c r="I866" s="36"/>
      <c r="J866" s="36"/>
    </row>
    <row r="867" spans="1:10" ht="12.75">
      <c r="A867" s="36"/>
      <c r="B867" s="114"/>
      <c r="C867" s="36"/>
      <c r="D867" s="36"/>
      <c r="E867" s="36"/>
      <c r="F867" s="36"/>
      <c r="G867" s="36"/>
      <c r="H867" s="36"/>
      <c r="I867" s="36"/>
      <c r="J867" s="36"/>
    </row>
    <row r="868" spans="1:10" ht="12.75">
      <c r="A868" s="36"/>
      <c r="B868" s="114"/>
      <c r="C868" s="36"/>
      <c r="D868" s="36"/>
      <c r="E868" s="36"/>
      <c r="F868" s="36"/>
      <c r="G868" s="36"/>
      <c r="H868" s="36"/>
      <c r="I868" s="36"/>
      <c r="J868" s="36"/>
    </row>
    <row r="869" spans="1:10" ht="12.75">
      <c r="A869" s="36"/>
      <c r="B869" s="114"/>
      <c r="C869" s="36"/>
      <c r="D869" s="36"/>
      <c r="E869" s="36"/>
      <c r="F869" s="36"/>
      <c r="G869" s="36"/>
      <c r="H869" s="36"/>
      <c r="I869" s="36"/>
      <c r="J869" s="36"/>
    </row>
    <row r="870" spans="1:10" ht="12.75">
      <c r="A870" s="36"/>
      <c r="B870" s="114"/>
      <c r="C870" s="36"/>
      <c r="D870" s="36"/>
      <c r="E870" s="36"/>
      <c r="F870" s="36"/>
      <c r="G870" s="36"/>
      <c r="H870" s="36"/>
      <c r="I870" s="36"/>
      <c r="J870" s="36"/>
    </row>
    <row r="871" spans="1:10" ht="12.75">
      <c r="A871" s="36"/>
      <c r="B871" s="114"/>
      <c r="C871" s="36"/>
      <c r="D871" s="36"/>
      <c r="E871" s="36"/>
      <c r="F871" s="36"/>
      <c r="G871" s="36"/>
      <c r="H871" s="36"/>
      <c r="I871" s="36"/>
      <c r="J871" s="36"/>
    </row>
    <row r="872" spans="1:10" ht="12.75">
      <c r="A872" s="36"/>
      <c r="B872" s="114"/>
      <c r="C872" s="36"/>
      <c r="D872" s="36"/>
      <c r="E872" s="36"/>
      <c r="F872" s="36"/>
      <c r="G872" s="36"/>
      <c r="H872" s="36"/>
      <c r="I872" s="36"/>
      <c r="J872" s="36"/>
    </row>
    <row r="873" spans="1:10" ht="12.75">
      <c r="A873" s="36"/>
      <c r="B873" s="114"/>
      <c r="C873" s="36"/>
      <c r="D873" s="36"/>
      <c r="E873" s="36"/>
      <c r="F873" s="36"/>
      <c r="G873" s="36"/>
      <c r="H873" s="36"/>
      <c r="I873" s="36"/>
      <c r="J873" s="36"/>
    </row>
    <row r="874" spans="1:10" ht="12.75">
      <c r="A874" s="36"/>
      <c r="B874" s="114"/>
      <c r="C874" s="36"/>
      <c r="D874" s="36"/>
      <c r="E874" s="36"/>
      <c r="F874" s="36"/>
      <c r="G874" s="36"/>
      <c r="H874" s="36"/>
      <c r="I874" s="36"/>
      <c r="J874" s="36"/>
    </row>
    <row r="875" spans="1:10" ht="12.75">
      <c r="A875" s="36"/>
      <c r="B875" s="114"/>
      <c r="C875" s="36"/>
      <c r="D875" s="36"/>
      <c r="E875" s="36"/>
      <c r="F875" s="36"/>
      <c r="G875" s="36"/>
      <c r="H875" s="36"/>
      <c r="I875" s="36"/>
      <c r="J875" s="36"/>
    </row>
    <row r="876" spans="1:10" ht="12.75">
      <c r="A876" s="36"/>
      <c r="B876" s="114"/>
      <c r="C876" s="36"/>
      <c r="D876" s="36"/>
      <c r="E876" s="36"/>
      <c r="F876" s="36"/>
      <c r="G876" s="36"/>
      <c r="H876" s="36"/>
      <c r="I876" s="36"/>
      <c r="J876" s="36"/>
    </row>
    <row r="877" spans="1:10" ht="12.75">
      <c r="A877" s="36"/>
      <c r="B877" s="114"/>
      <c r="C877" s="36"/>
      <c r="D877" s="36"/>
      <c r="E877" s="36"/>
      <c r="F877" s="36"/>
      <c r="G877" s="36"/>
      <c r="H877" s="36"/>
      <c r="I877" s="36"/>
      <c r="J877" s="36"/>
    </row>
    <row r="878" spans="1:10" ht="12.75">
      <c r="A878" s="36"/>
      <c r="B878" s="114"/>
      <c r="C878" s="36"/>
      <c r="D878" s="36"/>
      <c r="E878" s="36"/>
      <c r="F878" s="36"/>
      <c r="G878" s="36"/>
      <c r="H878" s="36"/>
      <c r="I878" s="36"/>
      <c r="J878" s="36"/>
    </row>
    <row r="879" spans="1:10" ht="12.75">
      <c r="A879" s="36"/>
      <c r="B879" s="114"/>
      <c r="C879" s="36"/>
      <c r="D879" s="36"/>
      <c r="E879" s="36"/>
      <c r="F879" s="36"/>
      <c r="G879" s="36"/>
      <c r="H879" s="36"/>
      <c r="I879" s="36"/>
      <c r="J879" s="36"/>
    </row>
    <row r="880" spans="1:10" ht="12.75">
      <c r="A880" s="36"/>
      <c r="B880" s="114"/>
      <c r="C880" s="36"/>
      <c r="D880" s="36"/>
      <c r="E880" s="36"/>
      <c r="F880" s="36"/>
      <c r="G880" s="36"/>
      <c r="H880" s="36"/>
      <c r="I880" s="36"/>
      <c r="J880" s="36"/>
    </row>
    <row r="881" spans="1:10" ht="12.75">
      <c r="A881" s="36"/>
      <c r="B881" s="114"/>
      <c r="C881" s="36"/>
      <c r="D881" s="36"/>
      <c r="E881" s="36"/>
      <c r="F881" s="36"/>
      <c r="G881" s="36"/>
      <c r="H881" s="36"/>
      <c r="I881" s="36"/>
      <c r="J881" s="36"/>
    </row>
    <row r="882" spans="1:10" ht="12.75">
      <c r="A882" s="36"/>
      <c r="B882" s="114"/>
      <c r="C882" s="36"/>
      <c r="D882" s="36"/>
      <c r="E882" s="36"/>
      <c r="F882" s="36"/>
      <c r="G882" s="36"/>
      <c r="H882" s="36"/>
      <c r="I882" s="36"/>
      <c r="J882" s="36"/>
    </row>
    <row r="883" spans="1:10" ht="12.75">
      <c r="A883" s="36"/>
      <c r="B883" s="114"/>
      <c r="C883" s="36"/>
      <c r="D883" s="36"/>
      <c r="E883" s="36"/>
      <c r="F883" s="36"/>
      <c r="G883" s="36"/>
      <c r="H883" s="36"/>
      <c r="I883" s="36"/>
      <c r="J883" s="36"/>
    </row>
    <row r="884" spans="1:10" ht="12.75">
      <c r="A884" s="36"/>
      <c r="B884" s="114"/>
      <c r="C884" s="36"/>
      <c r="D884" s="36"/>
      <c r="E884" s="36"/>
      <c r="F884" s="36"/>
      <c r="G884" s="36"/>
      <c r="H884" s="36"/>
      <c r="I884" s="36"/>
      <c r="J884" s="36"/>
    </row>
    <row r="885" spans="1:10" ht="12.75">
      <c r="A885" s="36"/>
      <c r="B885" s="114"/>
      <c r="C885" s="36"/>
      <c r="D885" s="36"/>
      <c r="E885" s="36"/>
      <c r="F885" s="36"/>
      <c r="G885" s="36"/>
      <c r="H885" s="36"/>
      <c r="I885" s="36"/>
      <c r="J885" s="36"/>
    </row>
    <row r="886" spans="1:10" ht="12.75">
      <c r="A886" s="36"/>
      <c r="B886" s="114"/>
      <c r="C886" s="36"/>
      <c r="D886" s="36"/>
      <c r="E886" s="36"/>
      <c r="F886" s="36"/>
      <c r="G886" s="36"/>
      <c r="H886" s="36"/>
      <c r="I886" s="36"/>
      <c r="J886" s="36"/>
    </row>
    <row r="887" spans="1:10" ht="12.75">
      <c r="A887" s="36"/>
      <c r="B887" s="114"/>
      <c r="C887" s="36"/>
      <c r="D887" s="36"/>
      <c r="E887" s="36"/>
      <c r="F887" s="36"/>
      <c r="G887" s="36"/>
      <c r="H887" s="36"/>
      <c r="I887" s="36"/>
      <c r="J887" s="36"/>
    </row>
    <row r="888" spans="1:10" ht="12.75">
      <c r="A888" s="36"/>
      <c r="B888" s="114"/>
      <c r="C888" s="36"/>
      <c r="D888" s="36"/>
      <c r="E888" s="36"/>
      <c r="F888" s="36"/>
      <c r="G888" s="36"/>
      <c r="H888" s="36"/>
      <c r="I888" s="36"/>
      <c r="J888" s="36"/>
    </row>
    <row r="889" spans="1:10" ht="12.75">
      <c r="A889" s="36"/>
      <c r="B889" s="114"/>
      <c r="C889" s="36"/>
      <c r="D889" s="36"/>
      <c r="E889" s="36"/>
      <c r="F889" s="36"/>
      <c r="G889" s="36"/>
      <c r="H889" s="36"/>
      <c r="I889" s="36"/>
      <c r="J889" s="36"/>
    </row>
    <row r="890" spans="1:10" ht="12.75">
      <c r="A890" s="36"/>
      <c r="B890" s="114"/>
      <c r="C890" s="36"/>
      <c r="D890" s="36"/>
      <c r="E890" s="36"/>
      <c r="F890" s="36"/>
      <c r="G890" s="36"/>
      <c r="H890" s="36"/>
      <c r="I890" s="36"/>
      <c r="J890" s="36"/>
    </row>
    <row r="891" spans="1:10" ht="12.75">
      <c r="A891" s="36"/>
      <c r="B891" s="114"/>
      <c r="C891" s="36"/>
      <c r="D891" s="36"/>
      <c r="E891" s="36"/>
      <c r="F891" s="36"/>
      <c r="G891" s="36"/>
      <c r="H891" s="36"/>
      <c r="I891" s="36"/>
      <c r="J891" s="36"/>
    </row>
    <row r="892" spans="1:10" ht="12.75">
      <c r="A892" s="36"/>
      <c r="B892" s="114"/>
      <c r="C892" s="36"/>
      <c r="D892" s="36"/>
      <c r="E892" s="36"/>
      <c r="F892" s="36"/>
      <c r="G892" s="36"/>
      <c r="H892" s="36"/>
      <c r="I892" s="36"/>
      <c r="J892" s="36"/>
    </row>
    <row r="893" spans="1:10" ht="12.75">
      <c r="A893" s="36"/>
      <c r="B893" s="114"/>
      <c r="C893" s="36"/>
      <c r="D893" s="36"/>
      <c r="E893" s="36"/>
      <c r="F893" s="36"/>
      <c r="G893" s="36"/>
      <c r="H893" s="36"/>
      <c r="I893" s="36"/>
      <c r="J893" s="36"/>
    </row>
    <row r="894" spans="1:10" ht="12.75">
      <c r="A894" s="36"/>
      <c r="B894" s="114"/>
      <c r="C894" s="36"/>
      <c r="D894" s="36"/>
      <c r="E894" s="36"/>
      <c r="F894" s="36"/>
      <c r="G894" s="36"/>
      <c r="H894" s="36"/>
      <c r="I894" s="36"/>
      <c r="J894" s="36"/>
    </row>
    <row r="895" spans="1:10" ht="12.75">
      <c r="A895" s="36"/>
      <c r="B895" s="114"/>
      <c r="C895" s="36"/>
      <c r="D895" s="36"/>
      <c r="E895" s="36"/>
      <c r="F895" s="36"/>
      <c r="G895" s="36"/>
      <c r="H895" s="36"/>
      <c r="I895" s="36"/>
      <c r="J895" s="36"/>
    </row>
    <row r="896" spans="1:10" ht="12.75">
      <c r="A896" s="36"/>
      <c r="B896" s="114"/>
      <c r="C896" s="36"/>
      <c r="D896" s="36"/>
      <c r="E896" s="36"/>
      <c r="F896" s="36"/>
      <c r="G896" s="36"/>
      <c r="H896" s="36"/>
      <c r="I896" s="36"/>
      <c r="J896" s="36"/>
    </row>
    <row r="897" spans="1:10" ht="12.75">
      <c r="A897" s="36"/>
      <c r="B897" s="114"/>
      <c r="C897" s="36"/>
      <c r="D897" s="36"/>
      <c r="E897" s="36"/>
      <c r="F897" s="36"/>
      <c r="G897" s="36"/>
      <c r="H897" s="36"/>
      <c r="I897" s="36"/>
      <c r="J897" s="36"/>
    </row>
    <row r="898" spans="1:10" ht="12.75">
      <c r="A898" s="36"/>
      <c r="B898" s="114"/>
      <c r="C898" s="36"/>
      <c r="D898" s="36"/>
      <c r="E898" s="36"/>
      <c r="F898" s="36"/>
      <c r="G898" s="36"/>
      <c r="H898" s="36"/>
      <c r="I898" s="36"/>
      <c r="J898" s="36"/>
    </row>
    <row r="899" spans="1:10" ht="12.75">
      <c r="A899" s="36"/>
      <c r="B899" s="114"/>
      <c r="C899" s="36"/>
      <c r="D899" s="36"/>
      <c r="E899" s="36"/>
      <c r="F899" s="36"/>
      <c r="G899" s="36"/>
      <c r="H899" s="36"/>
      <c r="I899" s="36"/>
      <c r="J899" s="36"/>
    </row>
    <row r="900" spans="1:10" ht="12.75">
      <c r="A900" s="36"/>
      <c r="B900" s="114"/>
      <c r="C900" s="36"/>
      <c r="D900" s="36"/>
      <c r="E900" s="36"/>
      <c r="F900" s="36"/>
      <c r="G900" s="36"/>
      <c r="H900" s="36"/>
      <c r="I900" s="36"/>
      <c r="J900" s="36"/>
    </row>
    <row r="901" spans="1:10" ht="12.75">
      <c r="A901" s="36"/>
      <c r="B901" s="114"/>
      <c r="C901" s="36"/>
      <c r="D901" s="36"/>
      <c r="E901" s="36"/>
      <c r="F901" s="36"/>
      <c r="G901" s="36"/>
      <c r="H901" s="36"/>
      <c r="I901" s="36"/>
      <c r="J901" s="36"/>
    </row>
    <row r="902" spans="1:10" ht="12.75">
      <c r="A902" s="36"/>
      <c r="B902" s="114"/>
      <c r="C902" s="36"/>
      <c r="D902" s="36"/>
      <c r="E902" s="36"/>
      <c r="F902" s="36"/>
      <c r="G902" s="36"/>
      <c r="H902" s="36"/>
      <c r="I902" s="36"/>
      <c r="J902" s="36"/>
    </row>
    <row r="903" spans="1:10" ht="12.75">
      <c r="A903" s="36"/>
      <c r="B903" s="114"/>
      <c r="C903" s="36"/>
      <c r="D903" s="36"/>
      <c r="E903" s="36"/>
      <c r="F903" s="36"/>
      <c r="G903" s="36"/>
      <c r="H903" s="36"/>
      <c r="I903" s="36"/>
      <c r="J903" s="36"/>
    </row>
    <row r="904" spans="1:10" ht="12.75">
      <c r="A904" s="36"/>
      <c r="B904" s="114"/>
      <c r="C904" s="36"/>
      <c r="D904" s="36"/>
      <c r="E904" s="36"/>
      <c r="F904" s="36"/>
      <c r="G904" s="36"/>
      <c r="H904" s="36"/>
      <c r="I904" s="36"/>
      <c r="J904" s="36"/>
    </row>
    <row r="905" spans="1:10" ht="12.75">
      <c r="A905" s="36"/>
      <c r="B905" s="114"/>
      <c r="C905" s="36"/>
      <c r="D905" s="36"/>
      <c r="E905" s="36"/>
      <c r="F905" s="36"/>
      <c r="G905" s="36"/>
      <c r="H905" s="36"/>
      <c r="I905" s="36"/>
      <c r="J905" s="36"/>
    </row>
    <row r="906" spans="1:10" ht="12.75">
      <c r="A906" s="36"/>
      <c r="B906" s="114"/>
      <c r="C906" s="36"/>
      <c r="D906" s="36"/>
      <c r="E906" s="36"/>
      <c r="F906" s="36"/>
      <c r="G906" s="36"/>
      <c r="H906" s="36"/>
      <c r="I906" s="36"/>
      <c r="J906" s="36"/>
    </row>
    <row r="907" spans="1:10" ht="12.75">
      <c r="A907" s="36"/>
      <c r="B907" s="114"/>
      <c r="C907" s="36"/>
      <c r="D907" s="36"/>
      <c r="E907" s="36"/>
      <c r="F907" s="36"/>
      <c r="G907" s="36"/>
      <c r="H907" s="36"/>
      <c r="I907" s="36"/>
      <c r="J907" s="36"/>
    </row>
    <row r="908" spans="1:10" ht="12.75">
      <c r="A908" s="36"/>
      <c r="B908" s="114"/>
      <c r="C908" s="36"/>
      <c r="D908" s="36"/>
      <c r="E908" s="36"/>
      <c r="F908" s="36"/>
      <c r="G908" s="36"/>
      <c r="H908" s="36"/>
      <c r="I908" s="36"/>
      <c r="J908" s="36"/>
    </row>
    <row r="909" spans="1:10" ht="12.75">
      <c r="A909" s="36"/>
      <c r="B909" s="114"/>
      <c r="C909" s="36"/>
      <c r="D909" s="36"/>
      <c r="E909" s="36"/>
      <c r="F909" s="36"/>
      <c r="G909" s="36"/>
      <c r="H909" s="36"/>
      <c r="I909" s="36"/>
      <c r="J909" s="36"/>
    </row>
    <row r="910" spans="1:10" ht="12.75">
      <c r="A910" s="36"/>
      <c r="B910" s="114"/>
      <c r="C910" s="36"/>
      <c r="D910" s="36"/>
      <c r="E910" s="36"/>
      <c r="F910" s="36"/>
      <c r="G910" s="36"/>
      <c r="H910" s="36"/>
      <c r="I910" s="36"/>
      <c r="J910" s="36"/>
    </row>
    <row r="911" spans="1:10" ht="12.75">
      <c r="A911" s="36"/>
      <c r="B911" s="114"/>
      <c r="C911" s="36"/>
      <c r="D911" s="36"/>
      <c r="E911" s="36"/>
      <c r="F911" s="36"/>
      <c r="G911" s="36"/>
      <c r="H911" s="36"/>
      <c r="I911" s="36"/>
      <c r="J911" s="36"/>
    </row>
    <row r="912" spans="1:10" ht="12.75">
      <c r="A912" s="36"/>
      <c r="B912" s="114"/>
      <c r="C912" s="36"/>
      <c r="D912" s="36"/>
      <c r="E912" s="36"/>
      <c r="F912" s="36"/>
      <c r="G912" s="36"/>
      <c r="H912" s="36"/>
      <c r="I912" s="36"/>
      <c r="J912" s="36"/>
    </row>
    <row r="913" spans="1:10" ht="12.75">
      <c r="A913" s="36"/>
      <c r="B913" s="114"/>
      <c r="C913" s="36"/>
      <c r="D913" s="36"/>
      <c r="E913" s="36"/>
      <c r="F913" s="36"/>
      <c r="G913" s="36"/>
      <c r="H913" s="36"/>
      <c r="I913" s="36"/>
      <c r="J913" s="36"/>
    </row>
    <row r="914" spans="1:10" ht="12.75">
      <c r="A914" s="36"/>
      <c r="B914" s="114"/>
      <c r="C914" s="36"/>
      <c r="D914" s="36"/>
      <c r="E914" s="36"/>
      <c r="F914" s="36"/>
      <c r="G914" s="36"/>
      <c r="H914" s="36"/>
      <c r="I914" s="36"/>
      <c r="J914" s="36"/>
    </row>
    <row r="915" spans="1:10" ht="12.75">
      <c r="A915" s="36"/>
      <c r="B915" s="114"/>
      <c r="C915" s="36"/>
      <c r="D915" s="36"/>
      <c r="E915" s="36"/>
      <c r="F915" s="36"/>
      <c r="G915" s="36"/>
      <c r="H915" s="36"/>
      <c r="I915" s="36"/>
      <c r="J915" s="36"/>
    </row>
    <row r="916" spans="1:10" ht="12.75">
      <c r="A916" s="36"/>
      <c r="B916" s="114"/>
      <c r="C916" s="36"/>
      <c r="D916" s="36"/>
      <c r="E916" s="36"/>
      <c r="F916" s="36"/>
      <c r="G916" s="36"/>
      <c r="H916" s="36"/>
      <c r="I916" s="36"/>
      <c r="J916" s="36"/>
    </row>
    <row r="917" spans="1:10" ht="12.75">
      <c r="A917" s="36"/>
      <c r="B917" s="114"/>
      <c r="C917" s="36"/>
      <c r="D917" s="36"/>
      <c r="E917" s="36"/>
      <c r="F917" s="36"/>
      <c r="G917" s="36"/>
      <c r="H917" s="36"/>
      <c r="I917" s="36"/>
      <c r="J917" s="36"/>
    </row>
    <row r="918" spans="1:10" ht="12.75">
      <c r="A918" s="36"/>
      <c r="B918" s="114"/>
      <c r="C918" s="36"/>
      <c r="D918" s="36"/>
      <c r="E918" s="36"/>
      <c r="F918" s="36"/>
      <c r="G918" s="36"/>
      <c r="H918" s="36"/>
      <c r="I918" s="36"/>
      <c r="J918" s="36"/>
    </row>
    <row r="919" spans="1:10" ht="12.75">
      <c r="A919" s="36"/>
      <c r="B919" s="114"/>
      <c r="C919" s="36"/>
      <c r="D919" s="36"/>
      <c r="E919" s="36"/>
      <c r="F919" s="36"/>
      <c r="G919" s="36"/>
      <c r="H919" s="36"/>
      <c r="I919" s="36"/>
      <c r="J919" s="36"/>
    </row>
    <row r="920" spans="1:10" ht="12.75">
      <c r="A920" s="36"/>
      <c r="B920" s="114"/>
      <c r="C920" s="36"/>
      <c r="D920" s="36"/>
      <c r="E920" s="36"/>
      <c r="F920" s="36"/>
      <c r="G920" s="36"/>
      <c r="H920" s="36"/>
      <c r="I920" s="36"/>
      <c r="J920" s="36"/>
    </row>
    <row r="921" spans="1:10" ht="12.75">
      <c r="A921" s="36"/>
      <c r="B921" s="114"/>
      <c r="C921" s="36"/>
      <c r="D921" s="36"/>
      <c r="E921" s="36"/>
      <c r="F921" s="36"/>
      <c r="G921" s="36"/>
      <c r="H921" s="36"/>
      <c r="I921" s="36"/>
      <c r="J921" s="36"/>
    </row>
    <row r="922" spans="1:10" ht="12.75">
      <c r="A922" s="36"/>
      <c r="B922" s="114"/>
      <c r="C922" s="36"/>
      <c r="D922" s="36"/>
      <c r="E922" s="36"/>
      <c r="F922" s="36"/>
      <c r="G922" s="36"/>
      <c r="H922" s="36"/>
      <c r="I922" s="36"/>
      <c r="J922" s="36"/>
    </row>
    <row r="923" spans="1:10" ht="12.75">
      <c r="A923" s="36"/>
      <c r="B923" s="114"/>
      <c r="C923" s="36"/>
      <c r="D923" s="36"/>
      <c r="E923" s="36"/>
      <c r="F923" s="36"/>
      <c r="G923" s="36"/>
      <c r="H923" s="36"/>
      <c r="I923" s="36"/>
      <c r="J923" s="36"/>
    </row>
    <row r="924" spans="1:10" ht="12.75">
      <c r="A924" s="36"/>
      <c r="B924" s="114"/>
      <c r="C924" s="36"/>
      <c r="D924" s="36"/>
      <c r="E924" s="36"/>
      <c r="F924" s="36"/>
      <c r="G924" s="36"/>
      <c r="H924" s="36"/>
      <c r="I924" s="36"/>
      <c r="J924" s="36"/>
    </row>
    <row r="925" spans="1:10" ht="12.75">
      <c r="A925" s="36"/>
      <c r="B925" s="114"/>
      <c r="C925" s="36"/>
      <c r="D925" s="36"/>
      <c r="E925" s="36"/>
      <c r="F925" s="36"/>
      <c r="G925" s="36"/>
      <c r="H925" s="36"/>
      <c r="I925" s="36"/>
      <c r="J925" s="36"/>
    </row>
    <row r="926" spans="1:10" ht="12.75">
      <c r="A926" s="36"/>
      <c r="B926" s="114"/>
      <c r="C926" s="36"/>
      <c r="D926" s="36"/>
      <c r="E926" s="36"/>
      <c r="F926" s="36"/>
      <c r="G926" s="36"/>
      <c r="H926" s="36"/>
      <c r="I926" s="36"/>
      <c r="J926" s="36"/>
    </row>
    <row r="927" spans="1:10" ht="12.75">
      <c r="A927" s="36"/>
      <c r="B927" s="114"/>
      <c r="C927" s="36"/>
      <c r="D927" s="36"/>
      <c r="E927" s="36"/>
      <c r="F927" s="36"/>
      <c r="G927" s="36"/>
      <c r="H927" s="36"/>
      <c r="I927" s="36"/>
      <c r="J927" s="36"/>
    </row>
    <row r="928" spans="1:10" ht="12.75">
      <c r="A928" s="36"/>
      <c r="B928" s="114"/>
      <c r="C928" s="36"/>
      <c r="D928" s="36"/>
      <c r="E928" s="36"/>
      <c r="F928" s="36"/>
      <c r="G928" s="36"/>
      <c r="H928" s="36"/>
      <c r="I928" s="36"/>
      <c r="J928" s="36"/>
    </row>
    <row r="929" spans="1:10" ht="12.75">
      <c r="A929" s="36"/>
      <c r="B929" s="114"/>
      <c r="C929" s="36"/>
      <c r="D929" s="36"/>
      <c r="E929" s="36"/>
      <c r="F929" s="36"/>
      <c r="G929" s="36"/>
      <c r="H929" s="36"/>
      <c r="I929" s="36"/>
      <c r="J929" s="36"/>
    </row>
    <row r="930" spans="1:10" ht="12.75">
      <c r="A930" s="36"/>
      <c r="B930" s="114"/>
      <c r="C930" s="36"/>
      <c r="D930" s="36"/>
      <c r="E930" s="36"/>
      <c r="F930" s="36"/>
      <c r="G930" s="36"/>
      <c r="H930" s="36"/>
      <c r="I930" s="36"/>
      <c r="J930" s="36"/>
    </row>
    <row r="931" spans="1:10" ht="12.75">
      <c r="A931" s="36"/>
      <c r="B931" s="114"/>
      <c r="C931" s="36"/>
      <c r="D931" s="36"/>
      <c r="E931" s="36"/>
      <c r="F931" s="36"/>
      <c r="G931" s="36"/>
      <c r="H931" s="36"/>
      <c r="I931" s="36"/>
      <c r="J931" s="36"/>
    </row>
    <row r="932" spans="1:10" ht="12.75">
      <c r="A932" s="36"/>
      <c r="B932" s="114"/>
      <c r="C932" s="36"/>
      <c r="D932" s="36"/>
      <c r="E932" s="36"/>
      <c r="F932" s="36"/>
      <c r="G932" s="36"/>
      <c r="H932" s="36"/>
      <c r="I932" s="36"/>
      <c r="J932" s="36"/>
    </row>
    <row r="933" spans="1:10" ht="12.75">
      <c r="A933" s="36"/>
      <c r="B933" s="114"/>
      <c r="C933" s="36"/>
      <c r="D933" s="36"/>
      <c r="E933" s="36"/>
      <c r="F933" s="36"/>
      <c r="G933" s="36"/>
      <c r="H933" s="36"/>
      <c r="I933" s="36"/>
      <c r="J933" s="36"/>
    </row>
    <row r="934" spans="1:10" ht="12.75">
      <c r="A934" s="36"/>
      <c r="B934" s="114"/>
      <c r="C934" s="36"/>
      <c r="D934" s="36"/>
      <c r="E934" s="36"/>
      <c r="F934" s="36"/>
      <c r="G934" s="36"/>
      <c r="H934" s="36"/>
      <c r="I934" s="36"/>
      <c r="J934" s="36"/>
    </row>
    <row r="935" spans="1:10" ht="12.75">
      <c r="A935" s="36"/>
      <c r="B935" s="114"/>
      <c r="C935" s="36"/>
      <c r="D935" s="36"/>
      <c r="E935" s="36"/>
      <c r="F935" s="36"/>
      <c r="G935" s="36"/>
      <c r="H935" s="36"/>
      <c r="I935" s="36"/>
      <c r="J935" s="36"/>
    </row>
    <row r="936" spans="1:10" ht="12.75">
      <c r="A936" s="36"/>
      <c r="B936" s="114"/>
      <c r="C936" s="36"/>
      <c r="D936" s="36"/>
      <c r="E936" s="36"/>
      <c r="F936" s="36"/>
      <c r="G936" s="36"/>
      <c r="H936" s="36"/>
      <c r="I936" s="36"/>
      <c r="J936" s="36"/>
    </row>
    <row r="937" spans="1:10" ht="12.75">
      <c r="A937" s="36"/>
      <c r="B937" s="114"/>
      <c r="C937" s="36"/>
      <c r="D937" s="36"/>
      <c r="E937" s="36"/>
      <c r="F937" s="36"/>
      <c r="G937" s="36"/>
      <c r="H937" s="36"/>
      <c r="I937" s="36"/>
      <c r="J937" s="36"/>
    </row>
    <row r="938" spans="1:10" ht="12.75">
      <c r="A938" s="36"/>
      <c r="B938" s="114"/>
      <c r="C938" s="36"/>
      <c r="D938" s="36"/>
      <c r="E938" s="36"/>
      <c r="F938" s="36"/>
      <c r="G938" s="36"/>
      <c r="H938" s="36"/>
      <c r="I938" s="36"/>
      <c r="J938" s="36"/>
    </row>
    <row r="939" spans="1:10" ht="12.75">
      <c r="A939" s="36"/>
      <c r="B939" s="114"/>
      <c r="C939" s="36"/>
      <c r="D939" s="36"/>
      <c r="E939" s="36"/>
      <c r="F939" s="36"/>
      <c r="G939" s="36"/>
      <c r="H939" s="36"/>
      <c r="I939" s="36"/>
      <c r="J939" s="36"/>
    </row>
    <row r="940" spans="1:10" ht="12.75">
      <c r="A940" s="36"/>
      <c r="B940" s="114"/>
      <c r="C940" s="36"/>
      <c r="D940" s="36"/>
      <c r="E940" s="36"/>
      <c r="F940" s="36"/>
      <c r="G940" s="36"/>
      <c r="H940" s="36"/>
      <c r="I940" s="36"/>
      <c r="J940" s="36"/>
    </row>
    <row r="941" spans="1:10" ht="12.75">
      <c r="A941" s="36"/>
      <c r="B941" s="114"/>
      <c r="C941" s="36"/>
      <c r="D941" s="36"/>
      <c r="E941" s="36"/>
      <c r="F941" s="36"/>
      <c r="G941" s="36"/>
      <c r="H941" s="36"/>
      <c r="I941" s="36"/>
      <c r="J941" s="36"/>
    </row>
    <row r="942" spans="1:10" ht="12.75">
      <c r="A942" s="36"/>
      <c r="B942" s="114"/>
      <c r="C942" s="36"/>
      <c r="D942" s="36"/>
      <c r="E942" s="36"/>
      <c r="F942" s="36"/>
      <c r="G942" s="36"/>
      <c r="H942" s="36"/>
      <c r="I942" s="36"/>
      <c r="J942" s="36"/>
    </row>
    <row r="943" spans="1:10" ht="12.75">
      <c r="A943" s="36"/>
      <c r="B943" s="114"/>
      <c r="C943" s="36"/>
      <c r="D943" s="36"/>
      <c r="E943" s="36"/>
      <c r="F943" s="36"/>
      <c r="G943" s="36"/>
      <c r="H943" s="36"/>
      <c r="I943" s="36"/>
      <c r="J943" s="36"/>
    </row>
    <row r="944" spans="1:10" ht="12.75">
      <c r="A944" s="36"/>
      <c r="B944" s="114"/>
      <c r="C944" s="36"/>
      <c r="D944" s="36"/>
      <c r="E944" s="36"/>
      <c r="F944" s="36"/>
      <c r="G944" s="36"/>
      <c r="H944" s="36"/>
      <c r="I944" s="36"/>
      <c r="J944" s="36"/>
    </row>
    <row r="945" spans="1:10" ht="12.75">
      <c r="A945" s="36"/>
      <c r="B945" s="114"/>
      <c r="C945" s="36"/>
      <c r="D945" s="36"/>
      <c r="E945" s="36"/>
      <c r="F945" s="36"/>
      <c r="G945" s="36"/>
      <c r="H945" s="36"/>
      <c r="I945" s="36"/>
      <c r="J945" s="36"/>
    </row>
    <row r="946" spans="1:10" ht="12.75">
      <c r="A946" s="36"/>
      <c r="B946" s="114"/>
      <c r="C946" s="36"/>
      <c r="D946" s="36"/>
      <c r="E946" s="36"/>
      <c r="F946" s="36"/>
      <c r="G946" s="36"/>
      <c r="H946" s="36"/>
      <c r="I946" s="36"/>
      <c r="J946" s="36"/>
    </row>
    <row r="947" spans="1:10" ht="12.75">
      <c r="A947" s="36"/>
      <c r="B947" s="114"/>
      <c r="C947" s="36"/>
      <c r="D947" s="36"/>
      <c r="E947" s="36"/>
      <c r="F947" s="36"/>
      <c r="G947" s="36"/>
      <c r="H947" s="36"/>
      <c r="I947" s="36"/>
      <c r="J947" s="36"/>
    </row>
    <row r="948" spans="1:10" ht="12.75">
      <c r="A948" s="36"/>
      <c r="B948" s="114"/>
      <c r="C948" s="36"/>
      <c r="D948" s="36"/>
      <c r="E948" s="36"/>
      <c r="F948" s="36"/>
      <c r="G948" s="36"/>
      <c r="H948" s="36"/>
      <c r="I948" s="36"/>
      <c r="J948" s="36"/>
    </row>
    <row r="949" spans="1:10" ht="12.75">
      <c r="A949" s="36"/>
      <c r="B949" s="114"/>
      <c r="C949" s="36"/>
      <c r="D949" s="36"/>
      <c r="E949" s="36"/>
      <c r="F949" s="36"/>
      <c r="G949" s="36"/>
      <c r="H949" s="36"/>
      <c r="I949" s="36"/>
      <c r="J949" s="36"/>
    </row>
    <row r="950" spans="1:10" ht="12.75">
      <c r="A950" s="36"/>
      <c r="B950" s="114"/>
      <c r="C950" s="36"/>
      <c r="D950" s="36"/>
      <c r="E950" s="36"/>
      <c r="F950" s="36"/>
      <c r="G950" s="36"/>
      <c r="H950" s="36"/>
      <c r="I950" s="36"/>
      <c r="J950" s="36"/>
    </row>
    <row r="951" spans="1:10" ht="12.75">
      <c r="A951" s="36"/>
      <c r="B951" s="114"/>
      <c r="C951" s="36"/>
      <c r="D951" s="36"/>
      <c r="E951" s="36"/>
      <c r="F951" s="36"/>
      <c r="G951" s="36"/>
      <c r="H951" s="36"/>
      <c r="I951" s="36"/>
      <c r="J951" s="36"/>
    </row>
    <row r="952" spans="1:10" ht="12.75">
      <c r="A952" s="36"/>
      <c r="B952" s="114"/>
      <c r="C952" s="36"/>
      <c r="D952" s="36"/>
      <c r="E952" s="36"/>
      <c r="F952" s="36"/>
      <c r="G952" s="36"/>
      <c r="H952" s="36"/>
      <c r="I952" s="36"/>
      <c r="J952" s="36"/>
    </row>
    <row r="953" spans="1:10" ht="12.75">
      <c r="A953" s="36"/>
      <c r="B953" s="114"/>
      <c r="C953" s="36"/>
      <c r="D953" s="36"/>
      <c r="E953" s="36"/>
      <c r="F953" s="36"/>
      <c r="G953" s="36"/>
      <c r="H953" s="36"/>
      <c r="I953" s="36"/>
      <c r="J953" s="36"/>
    </row>
    <row r="954" spans="1:10" ht="12.75">
      <c r="A954" s="36"/>
      <c r="B954" s="114"/>
      <c r="C954" s="36"/>
      <c r="D954" s="36"/>
      <c r="E954" s="36"/>
      <c r="F954" s="36"/>
      <c r="G954" s="36"/>
      <c r="H954" s="36"/>
      <c r="I954" s="36"/>
      <c r="J954" s="36"/>
    </row>
    <row r="955" spans="1:10" ht="12.75">
      <c r="A955" s="36"/>
      <c r="B955" s="114"/>
      <c r="C955" s="36"/>
      <c r="D955" s="36"/>
      <c r="E955" s="36"/>
      <c r="F955" s="36"/>
      <c r="G955" s="36"/>
      <c r="H955" s="36"/>
      <c r="I955" s="36"/>
      <c r="J955" s="36"/>
    </row>
    <row r="956" spans="1:10" ht="12.75">
      <c r="A956" s="36"/>
      <c r="B956" s="114"/>
      <c r="C956" s="36"/>
      <c r="D956" s="36"/>
      <c r="E956" s="36"/>
      <c r="F956" s="36"/>
      <c r="G956" s="36"/>
      <c r="H956" s="36"/>
      <c r="I956" s="36"/>
      <c r="J956" s="36"/>
    </row>
    <row r="957" spans="1:10" ht="12.75">
      <c r="A957" s="36"/>
      <c r="B957" s="114"/>
      <c r="C957" s="36"/>
      <c r="D957" s="36"/>
      <c r="E957" s="36"/>
      <c r="F957" s="36"/>
      <c r="G957" s="36"/>
      <c r="H957" s="36"/>
      <c r="I957" s="36"/>
      <c r="J957" s="36"/>
    </row>
    <row r="958" spans="1:10" ht="12.75">
      <c r="A958" s="36"/>
      <c r="B958" s="114"/>
      <c r="C958" s="36"/>
      <c r="D958" s="36"/>
      <c r="E958" s="36"/>
      <c r="F958" s="36"/>
      <c r="G958" s="36"/>
      <c r="H958" s="36"/>
      <c r="I958" s="36"/>
      <c r="J958" s="36"/>
    </row>
    <row r="959" spans="1:10" ht="12.75">
      <c r="A959" s="36"/>
      <c r="B959" s="114"/>
      <c r="C959" s="36"/>
      <c r="D959" s="36"/>
      <c r="E959" s="36"/>
      <c r="F959" s="36"/>
      <c r="G959" s="36"/>
      <c r="H959" s="36"/>
      <c r="I959" s="36"/>
      <c r="J959" s="36"/>
    </row>
    <row r="960" spans="1:10" ht="12.75">
      <c r="A960" s="36"/>
      <c r="B960" s="114"/>
      <c r="C960" s="36"/>
      <c r="D960" s="36"/>
      <c r="E960" s="36"/>
      <c r="F960" s="36"/>
      <c r="G960" s="36"/>
      <c r="H960" s="36"/>
      <c r="I960" s="36"/>
      <c r="J960" s="36"/>
    </row>
    <row r="961" spans="1:10" ht="12.75">
      <c r="A961" s="36"/>
      <c r="B961" s="114"/>
      <c r="C961" s="36"/>
      <c r="D961" s="36"/>
      <c r="E961" s="36"/>
      <c r="F961" s="36"/>
      <c r="G961" s="36"/>
      <c r="H961" s="36"/>
      <c r="I961" s="36"/>
      <c r="J961" s="36"/>
    </row>
    <row r="962" spans="1:10" ht="12.75">
      <c r="A962" s="36"/>
      <c r="B962" s="114"/>
      <c r="C962" s="36"/>
      <c r="D962" s="36"/>
      <c r="E962" s="36"/>
      <c r="F962" s="36"/>
      <c r="G962" s="36"/>
      <c r="H962" s="36"/>
      <c r="I962" s="36"/>
      <c r="J962" s="36"/>
    </row>
    <row r="963" spans="1:10" ht="12.75">
      <c r="A963" s="36"/>
      <c r="B963" s="114"/>
      <c r="C963" s="36"/>
      <c r="D963" s="36"/>
      <c r="E963" s="36"/>
      <c r="F963" s="36"/>
      <c r="G963" s="36"/>
      <c r="H963" s="36"/>
      <c r="I963" s="36"/>
      <c r="J963" s="36"/>
    </row>
    <row r="964" spans="1:10" ht="12.75">
      <c r="A964" s="36"/>
      <c r="B964" s="114"/>
      <c r="C964" s="36"/>
      <c r="D964" s="36"/>
      <c r="E964" s="36"/>
      <c r="F964" s="36"/>
      <c r="G964" s="36"/>
      <c r="H964" s="36"/>
      <c r="I964" s="36"/>
      <c r="J964" s="36"/>
    </row>
    <row r="965" spans="1:10" ht="12.75">
      <c r="A965" s="36"/>
      <c r="B965" s="114"/>
      <c r="C965" s="36"/>
      <c r="D965" s="36"/>
      <c r="E965" s="36"/>
      <c r="F965" s="36"/>
      <c r="G965" s="36"/>
      <c r="H965" s="36"/>
      <c r="I965" s="36"/>
      <c r="J965" s="36"/>
    </row>
    <row r="966" spans="1:10" ht="12.75">
      <c r="A966" s="36"/>
      <c r="B966" s="114"/>
      <c r="C966" s="36"/>
      <c r="D966" s="36"/>
      <c r="E966" s="36"/>
      <c r="F966" s="36"/>
      <c r="G966" s="36"/>
      <c r="H966" s="36"/>
      <c r="I966" s="36"/>
      <c r="J966" s="36"/>
    </row>
    <row r="967" spans="1:10" ht="12.75">
      <c r="A967" s="36"/>
      <c r="B967" s="114"/>
      <c r="C967" s="36"/>
      <c r="D967" s="36"/>
      <c r="E967" s="36"/>
      <c r="F967" s="36"/>
      <c r="G967" s="36"/>
      <c r="H967" s="36"/>
      <c r="I967" s="36"/>
      <c r="J967" s="36"/>
    </row>
    <row r="968" spans="1:10" ht="12.75">
      <c r="A968" s="36"/>
      <c r="B968" s="114"/>
      <c r="C968" s="36"/>
      <c r="D968" s="36"/>
      <c r="E968" s="36"/>
      <c r="F968" s="36"/>
      <c r="G968" s="36"/>
      <c r="H968" s="36"/>
      <c r="I968" s="36"/>
      <c r="J968" s="36"/>
    </row>
    <row r="969" spans="1:10" ht="12.75">
      <c r="A969" s="36"/>
      <c r="B969" s="114"/>
      <c r="C969" s="36"/>
      <c r="D969" s="36"/>
      <c r="E969" s="36"/>
      <c r="F969" s="36"/>
      <c r="G969" s="36"/>
      <c r="H969" s="36"/>
      <c r="I969" s="36"/>
      <c r="J969" s="36"/>
    </row>
    <row r="970" spans="1:10" ht="12.75">
      <c r="A970" s="36"/>
      <c r="B970" s="114"/>
      <c r="C970" s="36"/>
      <c r="D970" s="36"/>
      <c r="E970" s="36"/>
      <c r="F970" s="36"/>
      <c r="G970" s="36"/>
      <c r="H970" s="36"/>
      <c r="I970" s="36"/>
      <c r="J970" s="36"/>
    </row>
    <row r="971" spans="1:10" ht="12.75">
      <c r="A971" s="36"/>
      <c r="B971" s="114"/>
      <c r="C971" s="36"/>
      <c r="D971" s="36"/>
      <c r="E971" s="36"/>
      <c r="F971" s="36"/>
      <c r="G971" s="36"/>
      <c r="H971" s="36"/>
      <c r="I971" s="36"/>
      <c r="J971" s="36"/>
    </row>
    <row r="972" spans="1:10" ht="12.75">
      <c r="A972" s="36"/>
      <c r="B972" s="114"/>
      <c r="C972" s="36"/>
      <c r="D972" s="36"/>
      <c r="E972" s="36"/>
      <c r="F972" s="36"/>
      <c r="G972" s="36"/>
      <c r="H972" s="36"/>
      <c r="I972" s="36"/>
      <c r="J972" s="36"/>
    </row>
    <row r="973" spans="1:10" ht="12.75">
      <c r="A973" s="36"/>
      <c r="B973" s="114"/>
      <c r="C973" s="36"/>
      <c r="D973" s="36"/>
      <c r="E973" s="36"/>
      <c r="F973" s="36"/>
      <c r="G973" s="36"/>
      <c r="H973" s="36"/>
      <c r="I973" s="36"/>
      <c r="J973" s="36"/>
    </row>
    <row r="974" spans="1:10" ht="12.75">
      <c r="A974" s="36"/>
      <c r="B974" s="114"/>
      <c r="C974" s="36"/>
      <c r="D974" s="36"/>
      <c r="E974" s="36"/>
      <c r="F974" s="36"/>
      <c r="G974" s="36"/>
      <c r="H974" s="36"/>
      <c r="I974" s="36"/>
      <c r="J974" s="36"/>
    </row>
    <row r="975" spans="1:10" ht="12.75">
      <c r="A975" s="36"/>
      <c r="B975" s="114"/>
      <c r="C975" s="36"/>
      <c r="D975" s="36"/>
      <c r="E975" s="36"/>
      <c r="F975" s="36"/>
      <c r="G975" s="36"/>
      <c r="H975" s="36"/>
      <c r="I975" s="36"/>
      <c r="J975" s="36"/>
    </row>
    <row r="976" spans="1:10" ht="12.75">
      <c r="A976" s="36"/>
      <c r="B976" s="114"/>
      <c r="C976" s="36"/>
      <c r="D976" s="36"/>
      <c r="E976" s="36"/>
      <c r="F976" s="36"/>
      <c r="G976" s="36"/>
      <c r="H976" s="36"/>
      <c r="I976" s="36"/>
      <c r="J976" s="36"/>
    </row>
    <row r="977" spans="1:10" ht="12.75">
      <c r="A977" s="36"/>
      <c r="B977" s="114"/>
      <c r="C977" s="36"/>
      <c r="D977" s="36"/>
      <c r="E977" s="36"/>
      <c r="F977" s="36"/>
      <c r="G977" s="36"/>
      <c r="H977" s="36"/>
      <c r="I977" s="36"/>
      <c r="J977" s="36"/>
    </row>
    <row r="978" spans="1:10" ht="12.75">
      <c r="A978" s="36"/>
      <c r="B978" s="114"/>
      <c r="C978" s="36"/>
      <c r="D978" s="36"/>
      <c r="E978" s="36"/>
      <c r="F978" s="36"/>
      <c r="G978" s="36"/>
      <c r="H978" s="36"/>
      <c r="I978" s="36"/>
      <c r="J978" s="36"/>
    </row>
    <row r="979" spans="1:10" ht="12.75">
      <c r="A979" s="36"/>
      <c r="B979" s="114"/>
      <c r="C979" s="36"/>
      <c r="D979" s="36"/>
      <c r="E979" s="36"/>
      <c r="F979" s="36"/>
      <c r="G979" s="36"/>
      <c r="H979" s="36"/>
      <c r="I979" s="36"/>
      <c r="J979" s="36"/>
    </row>
    <row r="980" spans="1:10" ht="12.75">
      <c r="A980" s="36"/>
      <c r="B980" s="114"/>
      <c r="C980" s="36"/>
      <c r="D980" s="36"/>
      <c r="E980" s="36"/>
      <c r="F980" s="36"/>
      <c r="G980" s="36"/>
      <c r="H980" s="36"/>
      <c r="I980" s="36"/>
      <c r="J980" s="36"/>
    </row>
    <row r="981" spans="1:10" ht="12.75">
      <c r="A981" s="36"/>
      <c r="B981" s="114"/>
      <c r="C981" s="36"/>
      <c r="D981" s="36"/>
      <c r="E981" s="36"/>
      <c r="F981" s="36"/>
      <c r="G981" s="36"/>
      <c r="H981" s="36"/>
      <c r="I981" s="36"/>
      <c r="J981" s="36"/>
    </row>
    <row r="982" spans="1:10" ht="12.75">
      <c r="A982" s="36"/>
      <c r="B982" s="114"/>
      <c r="C982" s="36"/>
      <c r="D982" s="36"/>
      <c r="E982" s="36"/>
      <c r="F982" s="36"/>
      <c r="G982" s="36"/>
      <c r="H982" s="36"/>
      <c r="I982" s="36"/>
      <c r="J982" s="36"/>
    </row>
    <row r="983" spans="1:10" ht="12.75">
      <c r="A983" s="36"/>
      <c r="B983" s="114"/>
      <c r="C983" s="36"/>
      <c r="D983" s="36"/>
      <c r="E983" s="36"/>
      <c r="F983" s="36"/>
      <c r="G983" s="36"/>
      <c r="H983" s="36"/>
      <c r="I983" s="36"/>
      <c r="J983" s="36"/>
    </row>
    <row r="984" spans="1:10" ht="12.75">
      <c r="A984" s="36"/>
      <c r="B984" s="114"/>
      <c r="C984" s="36"/>
      <c r="D984" s="36"/>
      <c r="E984" s="36"/>
      <c r="F984" s="36"/>
      <c r="G984" s="36"/>
      <c r="H984" s="36"/>
      <c r="I984" s="36"/>
      <c r="J984" s="36"/>
    </row>
    <row r="985" spans="1:10" ht="12.75">
      <c r="A985" s="36"/>
      <c r="B985" s="114"/>
      <c r="C985" s="36"/>
      <c r="D985" s="36"/>
      <c r="E985" s="36"/>
      <c r="F985" s="36"/>
      <c r="G985" s="36"/>
      <c r="H985" s="36"/>
      <c r="I985" s="36"/>
      <c r="J985" s="36"/>
    </row>
    <row r="986" spans="1:10" ht="12.75">
      <c r="A986" s="36"/>
      <c r="B986" s="114"/>
      <c r="C986" s="36"/>
      <c r="D986" s="36"/>
      <c r="E986" s="36"/>
      <c r="F986" s="36"/>
      <c r="G986" s="36"/>
      <c r="H986" s="36"/>
      <c r="I986" s="36"/>
      <c r="J986" s="36"/>
    </row>
    <row r="987" spans="1:10" ht="12.75">
      <c r="A987" s="36"/>
      <c r="B987" s="114"/>
      <c r="C987" s="36"/>
      <c r="D987" s="36"/>
      <c r="E987" s="36"/>
      <c r="F987" s="36"/>
      <c r="G987" s="36"/>
      <c r="H987" s="36"/>
      <c r="I987" s="36"/>
      <c r="J987" s="36"/>
    </row>
    <row r="988" spans="1:10" ht="12.75">
      <c r="A988" s="36"/>
      <c r="B988" s="114"/>
      <c r="C988" s="36"/>
      <c r="D988" s="36"/>
      <c r="E988" s="36"/>
      <c r="F988" s="36"/>
      <c r="G988" s="36"/>
      <c r="H988" s="36"/>
      <c r="I988" s="36"/>
      <c r="J988" s="36"/>
    </row>
    <row r="989" spans="1:10" ht="12.75">
      <c r="A989" s="36"/>
      <c r="B989" s="114"/>
      <c r="C989" s="36"/>
      <c r="D989" s="36"/>
      <c r="E989" s="36"/>
      <c r="F989" s="36"/>
      <c r="G989" s="36"/>
      <c r="H989" s="36"/>
      <c r="I989" s="36"/>
      <c r="J989" s="36"/>
    </row>
    <row r="990" spans="1:10" ht="12.75">
      <c r="A990" s="36"/>
      <c r="B990" s="114"/>
      <c r="C990" s="36"/>
      <c r="D990" s="36"/>
      <c r="E990" s="36"/>
      <c r="F990" s="36"/>
      <c r="G990" s="36"/>
      <c r="H990" s="36"/>
      <c r="I990" s="36"/>
      <c r="J990" s="36"/>
    </row>
    <row r="991" spans="1:10" ht="12.75">
      <c r="A991" s="36"/>
      <c r="B991" s="114"/>
      <c r="C991" s="36"/>
      <c r="D991" s="36"/>
      <c r="E991" s="36"/>
      <c r="F991" s="36"/>
      <c r="G991" s="36"/>
      <c r="H991" s="36"/>
      <c r="I991" s="36"/>
      <c r="J991" s="36"/>
    </row>
    <row r="992" spans="1:10" ht="12.75">
      <c r="A992" s="36"/>
      <c r="B992" s="114"/>
      <c r="C992" s="36"/>
      <c r="D992" s="36"/>
      <c r="E992" s="36"/>
      <c r="F992" s="36"/>
      <c r="G992" s="36"/>
      <c r="H992" s="36"/>
      <c r="I992" s="36"/>
      <c r="J992" s="36"/>
    </row>
    <row r="993" spans="1:10" ht="12.75">
      <c r="A993" s="36"/>
      <c r="B993" s="114"/>
      <c r="C993" s="36"/>
      <c r="D993" s="36"/>
      <c r="E993" s="36"/>
      <c r="F993" s="36"/>
      <c r="G993" s="36"/>
      <c r="H993" s="36"/>
      <c r="I993" s="36"/>
      <c r="J993" s="36"/>
    </row>
    <row r="994" spans="1:10" ht="12.75">
      <c r="A994" s="36"/>
      <c r="B994" s="114"/>
      <c r="C994" s="36"/>
      <c r="D994" s="36"/>
      <c r="E994" s="36"/>
      <c r="F994" s="36"/>
      <c r="G994" s="36"/>
      <c r="H994" s="36"/>
      <c r="I994" s="36"/>
      <c r="J994" s="36"/>
    </row>
    <row r="995" spans="1:10" ht="12.75">
      <c r="A995" s="36"/>
      <c r="B995" s="114"/>
      <c r="C995" s="36"/>
      <c r="D995" s="36"/>
      <c r="E995" s="36"/>
      <c r="F995" s="36"/>
      <c r="G995" s="36"/>
      <c r="H995" s="36"/>
      <c r="I995" s="36"/>
      <c r="J995" s="36"/>
    </row>
    <row r="996" spans="1:10" ht="12.75">
      <c r="A996" s="36"/>
      <c r="B996" s="114"/>
      <c r="C996" s="36"/>
      <c r="D996" s="36"/>
      <c r="E996" s="36"/>
      <c r="F996" s="36"/>
      <c r="G996" s="36"/>
      <c r="H996" s="36"/>
      <c r="I996" s="36"/>
      <c r="J996" s="36"/>
    </row>
    <row r="997" spans="1:10" ht="12.75">
      <c r="A997" s="36"/>
      <c r="B997" s="114"/>
      <c r="C997" s="36"/>
      <c r="D997" s="36"/>
      <c r="E997" s="36"/>
      <c r="F997" s="36"/>
      <c r="G997" s="36"/>
      <c r="H997" s="36"/>
      <c r="I997" s="36"/>
      <c r="J997" s="36"/>
    </row>
    <row r="998" spans="1:10" ht="12.75">
      <c r="A998" s="36"/>
      <c r="B998" s="114"/>
      <c r="C998" s="36"/>
      <c r="D998" s="36"/>
      <c r="E998" s="36"/>
      <c r="F998" s="36"/>
      <c r="G998" s="36"/>
      <c r="H998" s="36"/>
      <c r="I998" s="36"/>
      <c r="J998" s="36"/>
    </row>
    <row r="999" spans="1:10" ht="12.75">
      <c r="A999" s="36"/>
      <c r="B999" s="114"/>
      <c r="C999" s="36"/>
      <c r="D999" s="36"/>
      <c r="E999" s="36"/>
      <c r="F999" s="36"/>
      <c r="G999" s="36"/>
      <c r="H999" s="36"/>
      <c r="I999" s="36"/>
      <c r="J999" s="36"/>
    </row>
    <row r="1000" spans="1:10" ht="12.75">
      <c r="A1000" s="36"/>
      <c r="B1000" s="114"/>
      <c r="C1000" s="36"/>
      <c r="D1000" s="36"/>
      <c r="E1000" s="36"/>
      <c r="F1000" s="36"/>
      <c r="G1000" s="36"/>
      <c r="H1000" s="36"/>
      <c r="I1000" s="36"/>
      <c r="J1000" s="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12"/>
  <sheetViews>
    <sheetView workbookViewId="0"/>
  </sheetViews>
  <sheetFormatPr defaultColWidth="12.5703125" defaultRowHeight="15.75" customHeight="1"/>
  <sheetData>
    <row r="1" spans="1:5">
      <c r="A1" s="36" t="s">
        <v>9807</v>
      </c>
      <c r="B1" s="36" t="s">
        <v>9808</v>
      </c>
      <c r="C1" s="36" t="s">
        <v>9809</v>
      </c>
      <c r="D1" s="36" t="s">
        <v>9810</v>
      </c>
      <c r="E1" s="36" t="s">
        <v>9811</v>
      </c>
    </row>
    <row r="2" spans="1:5">
      <c r="A2" s="36" t="s">
        <v>44</v>
      </c>
      <c r="B2" s="622">
        <v>45078</v>
      </c>
      <c r="C2" s="449">
        <f t="shared" ref="C2:C12" si="0">EDATE(B2,3)</f>
        <v>45170</v>
      </c>
      <c r="D2" s="449">
        <f t="shared" ref="D2:D12" si="1">EDATE(B2,6)</f>
        <v>45261</v>
      </c>
      <c r="E2" s="623">
        <f t="shared" ref="E2:E12" si="2">EDATE(B2,12)</f>
        <v>45444</v>
      </c>
    </row>
    <row r="3" spans="1:5">
      <c r="A3" s="36" t="s">
        <v>1539</v>
      </c>
      <c r="B3" s="622">
        <v>45108</v>
      </c>
      <c r="C3" s="449">
        <f t="shared" si="0"/>
        <v>45200</v>
      </c>
      <c r="D3" s="449">
        <f t="shared" si="1"/>
        <v>45292</v>
      </c>
      <c r="E3" s="623">
        <f t="shared" si="2"/>
        <v>45474</v>
      </c>
    </row>
    <row r="4" spans="1:5">
      <c r="A4" s="36" t="s">
        <v>1186</v>
      </c>
      <c r="B4" s="622">
        <v>45139</v>
      </c>
      <c r="C4" s="449">
        <f t="shared" si="0"/>
        <v>45231</v>
      </c>
      <c r="D4" s="449">
        <f t="shared" si="1"/>
        <v>45323</v>
      </c>
      <c r="E4" s="623">
        <f t="shared" si="2"/>
        <v>45505</v>
      </c>
    </row>
    <row r="5" spans="1:5">
      <c r="A5" s="36" t="s">
        <v>28</v>
      </c>
      <c r="B5" s="622">
        <v>45170</v>
      </c>
      <c r="C5" s="449">
        <f t="shared" si="0"/>
        <v>45261</v>
      </c>
      <c r="D5" s="449">
        <f t="shared" si="1"/>
        <v>45352</v>
      </c>
      <c r="E5" s="623">
        <f t="shared" si="2"/>
        <v>45536</v>
      </c>
    </row>
    <row r="6" spans="1:5">
      <c r="A6" s="36" t="s">
        <v>4</v>
      </c>
      <c r="B6" s="622">
        <v>45200</v>
      </c>
      <c r="C6" s="449">
        <f t="shared" si="0"/>
        <v>45292</v>
      </c>
      <c r="D6" s="449">
        <f t="shared" si="1"/>
        <v>45383</v>
      </c>
      <c r="E6" s="623">
        <f t="shared" si="2"/>
        <v>45566</v>
      </c>
    </row>
    <row r="7" spans="1:5">
      <c r="A7" s="36" t="s">
        <v>902</v>
      </c>
      <c r="B7" s="622">
        <v>45231</v>
      </c>
      <c r="C7" s="449">
        <f t="shared" si="0"/>
        <v>45323</v>
      </c>
      <c r="D7" s="449">
        <f t="shared" si="1"/>
        <v>45413</v>
      </c>
      <c r="E7" s="623">
        <f t="shared" si="2"/>
        <v>45597</v>
      </c>
    </row>
    <row r="8" spans="1:5">
      <c r="A8" s="36" t="s">
        <v>2698</v>
      </c>
      <c r="B8" s="622">
        <v>45261</v>
      </c>
      <c r="C8" s="449">
        <f t="shared" si="0"/>
        <v>45352</v>
      </c>
      <c r="D8" s="449">
        <f t="shared" si="1"/>
        <v>45444</v>
      </c>
      <c r="E8" s="623">
        <f t="shared" si="2"/>
        <v>45627</v>
      </c>
    </row>
    <row r="9" spans="1:5">
      <c r="A9" s="36" t="s">
        <v>2858</v>
      </c>
      <c r="B9" s="622">
        <v>45292</v>
      </c>
      <c r="C9" s="449">
        <f t="shared" si="0"/>
        <v>45383</v>
      </c>
      <c r="D9" s="449">
        <f t="shared" si="1"/>
        <v>45474</v>
      </c>
      <c r="E9" s="623">
        <f t="shared" si="2"/>
        <v>45658</v>
      </c>
    </row>
    <row r="10" spans="1:5">
      <c r="A10" s="36" t="s">
        <v>3061</v>
      </c>
      <c r="B10" s="622">
        <v>45323</v>
      </c>
      <c r="C10" s="449">
        <f t="shared" si="0"/>
        <v>45413</v>
      </c>
      <c r="D10" s="449">
        <f t="shared" si="1"/>
        <v>45505</v>
      </c>
      <c r="E10" s="623">
        <f t="shared" si="2"/>
        <v>45689</v>
      </c>
    </row>
    <row r="11" spans="1:5">
      <c r="A11" s="36" t="s">
        <v>3194</v>
      </c>
      <c r="B11" s="622">
        <v>45352</v>
      </c>
      <c r="C11" s="449">
        <f t="shared" si="0"/>
        <v>45444</v>
      </c>
      <c r="D11" s="449">
        <f t="shared" si="1"/>
        <v>45536</v>
      </c>
      <c r="E11" s="623">
        <f t="shared" si="2"/>
        <v>45717</v>
      </c>
    </row>
    <row r="12" spans="1:5">
      <c r="A12" s="36" t="s">
        <v>3332</v>
      </c>
      <c r="B12" s="622">
        <v>45383</v>
      </c>
      <c r="C12" s="449">
        <f t="shared" si="0"/>
        <v>45474</v>
      </c>
      <c r="D12" s="449">
        <f t="shared" si="1"/>
        <v>45566</v>
      </c>
      <c r="E12" s="623">
        <f t="shared" si="2"/>
        <v>45748</v>
      </c>
    </row>
  </sheetData>
  <conditionalFormatting sqref="C2:E12">
    <cfRule type="expression" dxfId="0" priority="1">
      <formula>C2&lt;45384</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2.5703125" defaultRowHeight="15.75" customHeight="1"/>
  <sheetData>
    <row r="1" spans="1:26" ht="15">
      <c r="A1" s="624" t="str">
        <f ca="1">IFERROR(__xludf.DUMMYFUNCTION("IMPORTRANGE(""https://docs.google.com/spreadsheets/d/1GVCDD1k3NkS1yJsNFNucBG-L-CNVHxp4rkxC1g2mrp8/edit#gid=0"",""'Свод по курсу'!A:AA"")"),"#REF!")</f>
        <v>#REF!</v>
      </c>
      <c r="B1" s="624"/>
      <c r="C1" s="624"/>
      <c r="D1" s="624"/>
      <c r="E1" s="624"/>
      <c r="F1" s="624"/>
      <c r="G1" s="624"/>
      <c r="H1" s="624"/>
      <c r="I1" s="593"/>
      <c r="J1" s="593"/>
      <c r="K1" s="593"/>
      <c r="L1" s="593"/>
      <c r="M1" s="593"/>
      <c r="N1" s="625"/>
      <c r="O1" s="625"/>
      <c r="P1" s="625"/>
      <c r="Q1" s="625"/>
      <c r="R1" s="625"/>
      <c r="S1" s="625"/>
      <c r="T1" s="625"/>
      <c r="U1" s="625"/>
      <c r="V1" s="625"/>
      <c r="W1" s="593"/>
      <c r="X1" s="593"/>
      <c r="Y1" s="593"/>
      <c r="Z1" s="593"/>
    </row>
    <row r="2" spans="1:26" ht="15" hidden="1">
      <c r="A2" s="16"/>
      <c r="B2" s="16"/>
      <c r="C2" s="16"/>
      <c r="D2" s="16"/>
      <c r="E2" s="16"/>
      <c r="F2" s="16"/>
      <c r="G2" s="16"/>
      <c r="H2" s="16"/>
      <c r="N2" s="580"/>
      <c r="O2" s="580"/>
      <c r="P2" s="580"/>
      <c r="Q2" s="580"/>
      <c r="R2" s="580"/>
      <c r="S2" s="580"/>
      <c r="T2" s="580"/>
      <c r="U2" s="580"/>
      <c r="V2" s="580"/>
    </row>
    <row r="3" spans="1:26" ht="15">
      <c r="A3" s="418"/>
      <c r="B3" s="418"/>
      <c r="C3" s="418"/>
      <c r="D3" s="418"/>
      <c r="E3" s="418"/>
      <c r="F3" s="418"/>
      <c r="G3" s="418"/>
      <c r="H3" s="418"/>
      <c r="N3" s="580"/>
      <c r="O3" s="580"/>
      <c r="P3" s="580"/>
      <c r="Q3" s="580"/>
      <c r="R3" s="580"/>
      <c r="S3" s="580"/>
      <c r="T3" s="580"/>
      <c r="U3" s="580"/>
      <c r="V3" s="580"/>
    </row>
    <row r="4" spans="1:26" ht="15">
      <c r="A4" s="418"/>
      <c r="B4" s="418"/>
      <c r="C4" s="418"/>
      <c r="D4" s="418"/>
      <c r="E4" s="418"/>
      <c r="F4" s="418"/>
      <c r="G4" s="418"/>
      <c r="H4" s="418"/>
      <c r="N4" s="580"/>
      <c r="O4" s="580"/>
      <c r="P4" s="580"/>
      <c r="Q4" s="580"/>
      <c r="R4" s="580"/>
      <c r="S4" s="580"/>
      <c r="T4" s="580"/>
      <c r="U4" s="580"/>
      <c r="V4" s="580"/>
    </row>
    <row r="5" spans="1:26" ht="15">
      <c r="A5" s="418"/>
      <c r="B5" s="418"/>
      <c r="C5" s="418"/>
      <c r="D5" s="418"/>
      <c r="E5" s="418"/>
      <c r="F5" s="418"/>
      <c r="G5" s="418"/>
      <c r="H5" s="418"/>
      <c r="N5" s="580"/>
      <c r="O5" s="580"/>
      <c r="P5" s="580"/>
      <c r="Q5" s="580"/>
      <c r="R5" s="580"/>
      <c r="S5" s="580"/>
      <c r="T5" s="580"/>
      <c r="U5" s="580"/>
      <c r="V5" s="580"/>
    </row>
    <row r="6" spans="1:26" ht="15">
      <c r="A6" s="418"/>
      <c r="B6" s="418"/>
      <c r="C6" s="418"/>
      <c r="D6" s="418"/>
      <c r="E6" s="418"/>
      <c r="F6" s="418"/>
      <c r="G6" s="418"/>
      <c r="H6" s="418"/>
      <c r="N6" s="580"/>
      <c r="O6" s="580"/>
      <c r="P6" s="580"/>
      <c r="Q6" s="580"/>
      <c r="R6" s="580"/>
      <c r="S6" s="580"/>
      <c r="T6" s="580"/>
      <c r="U6" s="580"/>
      <c r="V6" s="580"/>
    </row>
    <row r="7" spans="1:26" ht="15">
      <c r="A7" s="418"/>
      <c r="B7" s="418"/>
      <c r="C7" s="418"/>
      <c r="D7" s="418"/>
      <c r="E7" s="418"/>
      <c r="F7" s="418"/>
      <c r="G7" s="418"/>
      <c r="H7" s="418"/>
      <c r="N7" s="580"/>
      <c r="O7" s="580"/>
      <c r="P7" s="580"/>
      <c r="Q7" s="580"/>
      <c r="R7" s="580"/>
      <c r="S7" s="580"/>
      <c r="T7" s="580"/>
      <c r="U7" s="580"/>
      <c r="V7" s="580"/>
    </row>
    <row r="8" spans="1:26" ht="15">
      <c r="A8" s="418"/>
      <c r="B8" s="418"/>
      <c r="C8" s="418"/>
      <c r="D8" s="418"/>
      <c r="E8" s="418"/>
      <c r="F8" s="418"/>
      <c r="G8" s="418"/>
      <c r="H8" s="418"/>
      <c r="N8" s="580"/>
      <c r="O8" s="580"/>
      <c r="P8" s="580"/>
      <c r="Q8" s="580"/>
      <c r="R8" s="580"/>
      <c r="S8" s="580"/>
      <c r="T8" s="580"/>
      <c r="U8" s="580"/>
      <c r="V8" s="580"/>
    </row>
    <row r="9" spans="1:26" ht="15">
      <c r="A9" s="418"/>
      <c r="B9" s="418"/>
      <c r="C9" s="418"/>
      <c r="D9" s="418"/>
      <c r="E9" s="418"/>
      <c r="F9" s="418"/>
      <c r="G9" s="418"/>
      <c r="H9" s="418"/>
      <c r="N9" s="580"/>
      <c r="O9" s="580"/>
      <c r="P9" s="580"/>
      <c r="Q9" s="580"/>
      <c r="R9" s="580"/>
      <c r="S9" s="580"/>
      <c r="T9" s="580"/>
      <c r="U9" s="580"/>
      <c r="V9" s="580"/>
    </row>
    <row r="10" spans="1:26" ht="15">
      <c r="A10" s="418"/>
      <c r="B10" s="418"/>
      <c r="C10" s="418"/>
      <c r="D10" s="418"/>
      <c r="E10" s="418"/>
      <c r="F10" s="418"/>
      <c r="G10" s="418"/>
      <c r="H10" s="418"/>
      <c r="N10" s="580"/>
      <c r="O10" s="580"/>
      <c r="P10" s="580"/>
      <c r="Q10" s="580"/>
      <c r="R10" s="580"/>
      <c r="S10" s="580"/>
      <c r="T10" s="580"/>
      <c r="U10" s="580"/>
      <c r="V10" s="580"/>
    </row>
    <row r="11" spans="1:26" ht="15">
      <c r="A11" s="418"/>
      <c r="B11" s="418"/>
      <c r="C11" s="418"/>
      <c r="D11" s="418"/>
      <c r="E11" s="418"/>
      <c r="F11" s="418"/>
      <c r="G11" s="418"/>
      <c r="H11" s="418"/>
      <c r="N11" s="580"/>
      <c r="O11" s="580"/>
      <c r="P11" s="580"/>
      <c r="Q11" s="580"/>
      <c r="R11" s="580"/>
      <c r="S11" s="580"/>
      <c r="T11" s="580"/>
      <c r="U11" s="580"/>
      <c r="V11" s="580"/>
    </row>
    <row r="12" spans="1:26" ht="15">
      <c r="A12" s="418"/>
      <c r="B12" s="418"/>
      <c r="C12" s="418"/>
      <c r="D12" s="418"/>
      <c r="E12" s="418"/>
      <c r="F12" s="418"/>
      <c r="G12" s="418"/>
      <c r="H12" s="418"/>
      <c r="N12" s="580"/>
      <c r="O12" s="580"/>
      <c r="P12" s="580"/>
      <c r="Q12" s="580"/>
      <c r="R12" s="580"/>
      <c r="S12" s="580"/>
      <c r="T12" s="580"/>
      <c r="U12" s="580"/>
      <c r="V12" s="580"/>
    </row>
    <row r="13" spans="1:26" ht="15">
      <c r="A13" s="16"/>
      <c r="B13" s="16"/>
      <c r="C13" s="16"/>
      <c r="D13" s="16"/>
      <c r="E13" s="16"/>
      <c r="F13" s="16"/>
      <c r="G13" s="16"/>
      <c r="H13" s="16"/>
      <c r="N13" s="580"/>
      <c r="O13" s="580"/>
      <c r="P13" s="580"/>
      <c r="Q13" s="580"/>
      <c r="R13" s="580"/>
      <c r="S13" s="580"/>
      <c r="T13" s="580"/>
      <c r="U13" s="580"/>
      <c r="V13" s="580"/>
    </row>
    <row r="14" spans="1:26" ht="15">
      <c r="A14" s="16"/>
      <c r="B14" s="16"/>
      <c r="C14" s="16"/>
      <c r="D14" s="16"/>
      <c r="E14" s="16"/>
      <c r="F14" s="16"/>
      <c r="G14" s="16"/>
      <c r="H14" s="16"/>
      <c r="N14" s="580"/>
      <c r="O14" s="580"/>
      <c r="P14" s="580"/>
      <c r="Q14" s="580"/>
      <c r="R14" s="580"/>
      <c r="S14" s="580"/>
      <c r="T14" s="580"/>
      <c r="U14" s="580"/>
      <c r="V14" s="580"/>
    </row>
    <row r="15" spans="1:26" ht="15">
      <c r="A15" s="16"/>
      <c r="B15" s="16"/>
      <c r="C15" s="16"/>
      <c r="D15" s="16"/>
      <c r="E15" s="16"/>
      <c r="F15" s="16"/>
      <c r="G15" s="16"/>
      <c r="H15" s="16"/>
      <c r="N15" s="580"/>
      <c r="O15" s="580"/>
      <c r="P15" s="580"/>
      <c r="Q15" s="580"/>
      <c r="R15" s="580"/>
      <c r="S15" s="580"/>
      <c r="T15" s="580"/>
      <c r="U15" s="580"/>
      <c r="V15" s="580"/>
    </row>
    <row r="16" spans="1:26" ht="15">
      <c r="A16" s="16"/>
      <c r="B16" s="16"/>
      <c r="C16" s="16"/>
      <c r="D16" s="16"/>
      <c r="E16" s="16"/>
      <c r="F16" s="16"/>
      <c r="G16" s="16"/>
      <c r="H16" s="16"/>
      <c r="N16" s="580"/>
      <c r="O16" s="580"/>
      <c r="P16" s="580"/>
      <c r="Q16" s="580"/>
      <c r="R16" s="580"/>
      <c r="S16" s="580"/>
      <c r="T16" s="580"/>
      <c r="U16" s="580"/>
      <c r="V16" s="580"/>
    </row>
    <row r="17" spans="1:22" ht="15">
      <c r="A17" s="16"/>
      <c r="B17" s="16"/>
      <c r="C17" s="16"/>
      <c r="D17" s="16"/>
      <c r="E17" s="16"/>
      <c r="F17" s="16"/>
      <c r="G17" s="16"/>
      <c r="H17" s="16"/>
      <c r="N17" s="580"/>
      <c r="O17" s="580"/>
      <c r="P17" s="580"/>
      <c r="Q17" s="580"/>
      <c r="R17" s="580"/>
      <c r="S17" s="580"/>
      <c r="T17" s="580"/>
      <c r="U17" s="580"/>
      <c r="V17" s="580"/>
    </row>
    <row r="18" spans="1:22" ht="15">
      <c r="A18" s="16"/>
      <c r="B18" s="16"/>
      <c r="C18" s="16"/>
      <c r="D18" s="16"/>
      <c r="E18" s="16"/>
      <c r="F18" s="16"/>
      <c r="G18" s="16"/>
      <c r="H18" s="16"/>
      <c r="N18" s="580"/>
      <c r="O18" s="580"/>
      <c r="P18" s="580"/>
      <c r="Q18" s="580"/>
      <c r="R18" s="580"/>
      <c r="S18" s="580"/>
      <c r="T18" s="580"/>
      <c r="U18" s="580"/>
      <c r="V18" s="580"/>
    </row>
    <row r="19" spans="1:22" ht="15">
      <c r="A19" s="16"/>
      <c r="B19" s="16"/>
      <c r="C19" s="16"/>
      <c r="D19" s="16"/>
      <c r="E19" s="16"/>
      <c r="F19" s="16"/>
      <c r="G19" s="16"/>
      <c r="H19" s="16"/>
      <c r="N19" s="580"/>
      <c r="O19" s="580"/>
      <c r="P19" s="580"/>
      <c r="Q19" s="580"/>
      <c r="R19" s="580"/>
      <c r="S19" s="580"/>
      <c r="T19" s="580"/>
      <c r="U19" s="580"/>
      <c r="V19" s="580"/>
    </row>
    <row r="20" spans="1:22" ht="15">
      <c r="A20" s="16"/>
      <c r="B20" s="16"/>
      <c r="C20" s="16"/>
      <c r="D20" s="16"/>
      <c r="E20" s="16"/>
      <c r="F20" s="16"/>
      <c r="G20" s="16"/>
      <c r="H20" s="16"/>
      <c r="N20" s="580"/>
      <c r="O20" s="580"/>
      <c r="P20" s="580"/>
      <c r="Q20" s="580"/>
      <c r="R20" s="580"/>
      <c r="S20" s="580"/>
      <c r="T20" s="580"/>
      <c r="U20" s="580"/>
      <c r="V20" s="580"/>
    </row>
    <row r="21" spans="1:22" ht="15">
      <c r="A21" s="16"/>
      <c r="B21" s="16"/>
      <c r="C21" s="16"/>
      <c r="D21" s="16"/>
      <c r="E21" s="16"/>
      <c r="F21" s="16"/>
      <c r="G21" s="16"/>
      <c r="H21" s="16"/>
      <c r="N21" s="580"/>
      <c r="O21" s="580"/>
      <c r="P21" s="580"/>
      <c r="Q21" s="580"/>
      <c r="R21" s="580"/>
      <c r="S21" s="580"/>
      <c r="T21" s="580"/>
      <c r="U21" s="580"/>
      <c r="V21" s="580"/>
    </row>
    <row r="22" spans="1:22" ht="15">
      <c r="A22" s="16"/>
      <c r="B22" s="16"/>
      <c r="C22" s="16"/>
      <c r="D22" s="16"/>
      <c r="E22" s="16"/>
      <c r="F22" s="16"/>
      <c r="G22" s="16"/>
      <c r="H22" s="16"/>
      <c r="N22" s="580"/>
      <c r="O22" s="580"/>
      <c r="P22" s="580"/>
      <c r="Q22" s="580"/>
      <c r="R22" s="580"/>
      <c r="S22" s="580"/>
      <c r="T22" s="580"/>
      <c r="U22" s="580"/>
      <c r="V22" s="580"/>
    </row>
    <row r="23" spans="1:22" ht="15">
      <c r="A23" s="16"/>
      <c r="B23" s="16"/>
      <c r="C23" s="16"/>
      <c r="D23" s="16"/>
      <c r="E23" s="16"/>
      <c r="F23" s="16"/>
      <c r="G23" s="16"/>
      <c r="H23" s="16"/>
      <c r="N23" s="580"/>
      <c r="O23" s="580"/>
      <c r="P23" s="580"/>
      <c r="Q23" s="580"/>
      <c r="R23" s="580"/>
      <c r="S23" s="580"/>
      <c r="T23" s="580"/>
      <c r="U23" s="580"/>
      <c r="V23" s="580"/>
    </row>
    <row r="24" spans="1:22" ht="15">
      <c r="A24" s="16"/>
      <c r="B24" s="16"/>
      <c r="C24" s="16"/>
      <c r="D24" s="16"/>
      <c r="E24" s="16"/>
      <c r="F24" s="16"/>
      <c r="G24" s="16"/>
      <c r="H24" s="16"/>
      <c r="N24" s="580"/>
      <c r="O24" s="580"/>
      <c r="P24" s="580"/>
      <c r="Q24" s="580"/>
      <c r="R24" s="580"/>
      <c r="S24" s="580"/>
      <c r="T24" s="580"/>
      <c r="U24" s="580"/>
      <c r="V24" s="580"/>
    </row>
    <row r="25" spans="1:22" ht="15">
      <c r="A25" s="16"/>
      <c r="B25" s="16"/>
      <c r="C25" s="16"/>
      <c r="D25" s="16"/>
      <c r="E25" s="16"/>
      <c r="F25" s="16"/>
      <c r="G25" s="16"/>
      <c r="H25" s="16"/>
      <c r="N25" s="580"/>
      <c r="O25" s="580"/>
      <c r="P25" s="580"/>
      <c r="Q25" s="580"/>
      <c r="R25" s="580"/>
      <c r="S25" s="580"/>
      <c r="T25" s="580"/>
      <c r="U25" s="580"/>
      <c r="V25" s="580"/>
    </row>
    <row r="26" spans="1:22" ht="15">
      <c r="A26" s="16"/>
      <c r="B26" s="16"/>
      <c r="C26" s="16"/>
      <c r="D26" s="16"/>
      <c r="E26" s="16"/>
      <c r="F26" s="16"/>
      <c r="G26" s="16"/>
      <c r="H26" s="16"/>
      <c r="N26" s="580"/>
      <c r="O26" s="580"/>
      <c r="P26" s="580"/>
      <c r="Q26" s="580"/>
      <c r="R26" s="580"/>
      <c r="S26" s="580"/>
      <c r="T26" s="580"/>
      <c r="U26" s="580"/>
      <c r="V26" s="580"/>
    </row>
    <row r="27" spans="1:22" ht="15">
      <c r="A27" s="16"/>
      <c r="B27" s="16"/>
      <c r="C27" s="16"/>
      <c r="D27" s="16"/>
      <c r="E27" s="16"/>
      <c r="F27" s="16"/>
      <c r="G27" s="16"/>
      <c r="H27" s="16"/>
      <c r="N27" s="580"/>
      <c r="O27" s="580"/>
      <c r="P27" s="580"/>
      <c r="Q27" s="580"/>
      <c r="R27" s="580"/>
      <c r="S27" s="580"/>
      <c r="T27" s="580"/>
      <c r="U27" s="580"/>
      <c r="V27" s="580"/>
    </row>
    <row r="28" spans="1:22" ht="15">
      <c r="A28" s="16"/>
      <c r="B28" s="16"/>
      <c r="C28" s="16"/>
      <c r="D28" s="16"/>
      <c r="E28" s="16"/>
      <c r="F28" s="16"/>
      <c r="G28" s="16"/>
      <c r="H28" s="16"/>
      <c r="N28" s="580"/>
      <c r="O28" s="580"/>
      <c r="P28" s="580"/>
      <c r="Q28" s="580"/>
      <c r="R28" s="580"/>
      <c r="S28" s="580"/>
      <c r="T28" s="580"/>
      <c r="U28" s="580"/>
      <c r="V28" s="580"/>
    </row>
    <row r="29" spans="1:22" ht="15">
      <c r="A29" s="16"/>
      <c r="B29" s="16"/>
      <c r="C29" s="16"/>
      <c r="D29" s="16"/>
      <c r="E29" s="16"/>
      <c r="F29" s="16"/>
      <c r="G29" s="16"/>
      <c r="H29" s="16"/>
      <c r="N29" s="580"/>
      <c r="O29" s="580"/>
      <c r="P29" s="580"/>
      <c r="Q29" s="580"/>
      <c r="R29" s="580"/>
      <c r="S29" s="580"/>
      <c r="T29" s="580"/>
      <c r="U29" s="580"/>
      <c r="V29" s="580"/>
    </row>
    <row r="30" spans="1:22" ht="15">
      <c r="A30" s="16"/>
      <c r="B30" s="16"/>
      <c r="C30" s="16"/>
      <c r="D30" s="16"/>
      <c r="E30" s="16"/>
      <c r="F30" s="16"/>
      <c r="G30" s="16"/>
      <c r="H30" s="16"/>
      <c r="N30" s="626"/>
      <c r="O30" s="626"/>
      <c r="P30" s="626"/>
      <c r="Q30" s="626"/>
      <c r="R30" s="626"/>
      <c r="S30" s="626"/>
      <c r="T30" s="626"/>
      <c r="U30" s="626"/>
      <c r="V30" s="626"/>
    </row>
    <row r="31" spans="1:22" ht="15">
      <c r="A31" s="16"/>
      <c r="B31" s="16"/>
      <c r="C31" s="16"/>
      <c r="D31" s="16"/>
      <c r="E31" s="16"/>
      <c r="F31" s="16"/>
      <c r="G31" s="16"/>
      <c r="H31" s="16"/>
      <c r="N31" s="580"/>
      <c r="O31" s="580"/>
      <c r="P31" s="580"/>
      <c r="Q31" s="580"/>
      <c r="R31" s="580"/>
      <c r="S31" s="580"/>
      <c r="T31" s="580"/>
      <c r="U31" s="580"/>
      <c r="V31" s="580"/>
    </row>
    <row r="32" spans="1:22" ht="15">
      <c r="A32" s="16"/>
      <c r="B32" s="16"/>
      <c r="C32" s="16"/>
      <c r="D32" s="16"/>
      <c r="E32" s="16"/>
      <c r="F32" s="16"/>
      <c r="G32" s="16"/>
      <c r="H32" s="16"/>
      <c r="N32" s="580"/>
      <c r="O32" s="580"/>
      <c r="P32" s="580"/>
      <c r="Q32" s="580"/>
      <c r="R32" s="580"/>
      <c r="S32" s="580"/>
      <c r="T32" s="580"/>
      <c r="U32" s="580"/>
      <c r="V32" s="580"/>
    </row>
    <row r="33" spans="1:22" ht="15">
      <c r="A33" s="16"/>
      <c r="B33" s="16"/>
      <c r="C33" s="16"/>
      <c r="D33" s="16"/>
      <c r="E33" s="16"/>
      <c r="F33" s="16"/>
      <c r="G33" s="16"/>
      <c r="H33" s="16"/>
      <c r="N33" s="580"/>
      <c r="O33" s="580"/>
      <c r="P33" s="580"/>
      <c r="Q33" s="580"/>
      <c r="R33" s="580"/>
      <c r="S33" s="580"/>
      <c r="T33" s="580"/>
      <c r="U33" s="580"/>
      <c r="V33" s="580"/>
    </row>
    <row r="34" spans="1:22" ht="15">
      <c r="A34" s="16"/>
      <c r="B34" s="16"/>
      <c r="C34" s="16"/>
      <c r="D34" s="16"/>
      <c r="E34" s="16"/>
      <c r="F34" s="16"/>
      <c r="G34" s="16"/>
      <c r="H34" s="16"/>
      <c r="N34" s="580"/>
      <c r="O34" s="580"/>
      <c r="P34" s="580"/>
      <c r="Q34" s="580"/>
      <c r="R34" s="580"/>
      <c r="S34" s="580"/>
      <c r="T34" s="580"/>
      <c r="U34" s="580"/>
      <c r="V34" s="580"/>
    </row>
    <row r="35" spans="1:22" ht="15">
      <c r="A35" s="16"/>
      <c r="B35" s="16"/>
      <c r="C35" s="16"/>
      <c r="D35" s="16"/>
      <c r="E35" s="16"/>
      <c r="F35" s="16"/>
      <c r="G35" s="16"/>
      <c r="H35" s="16"/>
      <c r="N35" s="580"/>
      <c r="O35" s="580"/>
      <c r="P35" s="580"/>
      <c r="Q35" s="580"/>
      <c r="R35" s="580"/>
      <c r="S35" s="580"/>
      <c r="T35" s="580"/>
      <c r="U35" s="580"/>
      <c r="V35" s="580"/>
    </row>
    <row r="36" spans="1:22" ht="15">
      <c r="A36" s="16"/>
      <c r="B36" s="16"/>
      <c r="C36" s="16"/>
      <c r="D36" s="16"/>
      <c r="E36" s="16"/>
      <c r="F36" s="16"/>
      <c r="G36" s="16"/>
      <c r="H36" s="16"/>
      <c r="N36" s="580"/>
      <c r="O36" s="580"/>
      <c r="P36" s="580"/>
      <c r="Q36" s="580"/>
      <c r="R36" s="580"/>
      <c r="S36" s="580"/>
      <c r="T36" s="580"/>
      <c r="U36" s="580"/>
      <c r="V36" s="580"/>
    </row>
    <row r="37" spans="1:22" ht="15">
      <c r="A37" s="16"/>
      <c r="B37" s="16"/>
      <c r="C37" s="16"/>
      <c r="D37" s="16"/>
      <c r="E37" s="16"/>
      <c r="F37" s="16"/>
      <c r="G37" s="16"/>
      <c r="H37" s="16"/>
      <c r="N37" s="580"/>
      <c r="O37" s="580"/>
      <c r="P37" s="580"/>
      <c r="Q37" s="580"/>
      <c r="R37" s="580"/>
      <c r="S37" s="580"/>
      <c r="T37" s="580"/>
      <c r="U37" s="580"/>
      <c r="V37" s="580"/>
    </row>
    <row r="38" spans="1:22" ht="15">
      <c r="A38" s="16"/>
      <c r="B38" s="16"/>
      <c r="C38" s="16"/>
      <c r="D38" s="16"/>
      <c r="E38" s="16"/>
      <c r="F38" s="16"/>
      <c r="G38" s="16"/>
      <c r="H38" s="16"/>
      <c r="N38" s="580"/>
      <c r="O38" s="580"/>
      <c r="P38" s="580"/>
      <c r="Q38" s="580"/>
      <c r="R38" s="580"/>
      <c r="S38" s="580"/>
      <c r="T38" s="580"/>
      <c r="U38" s="580"/>
      <c r="V38" s="580"/>
    </row>
    <row r="39" spans="1:22" ht="15">
      <c r="A39" s="16"/>
      <c r="B39" s="16"/>
      <c r="C39" s="16"/>
      <c r="D39" s="16"/>
      <c r="E39" s="16"/>
      <c r="F39" s="16"/>
      <c r="G39" s="16"/>
      <c r="H39" s="16"/>
      <c r="N39" s="626"/>
      <c r="O39" s="626"/>
      <c r="P39" s="626"/>
      <c r="Q39" s="626"/>
      <c r="R39" s="626"/>
      <c r="S39" s="626"/>
      <c r="T39" s="626"/>
      <c r="U39" s="626"/>
      <c r="V39" s="626"/>
    </row>
    <row r="40" spans="1:22" ht="15">
      <c r="A40" s="16"/>
      <c r="B40" s="16"/>
      <c r="C40" s="16"/>
      <c r="D40" s="16"/>
      <c r="E40" s="16"/>
      <c r="F40" s="16"/>
      <c r="G40" s="16"/>
      <c r="H40" s="16"/>
      <c r="N40" s="580"/>
      <c r="O40" s="580"/>
      <c r="P40" s="580"/>
      <c r="Q40" s="580"/>
      <c r="R40" s="580"/>
      <c r="S40" s="580"/>
      <c r="T40" s="580"/>
      <c r="U40" s="580"/>
      <c r="V40" s="580"/>
    </row>
    <row r="41" spans="1:22" ht="15">
      <c r="A41" s="16"/>
      <c r="B41" s="16"/>
      <c r="C41" s="16"/>
      <c r="D41" s="16"/>
      <c r="E41" s="16"/>
      <c r="F41" s="16"/>
      <c r="G41" s="16"/>
      <c r="H41" s="16"/>
      <c r="N41" s="580"/>
      <c r="O41" s="580"/>
      <c r="P41" s="580"/>
      <c r="Q41" s="580"/>
      <c r="R41" s="580"/>
      <c r="S41" s="580"/>
      <c r="T41" s="580"/>
      <c r="U41" s="580"/>
      <c r="V41" s="580"/>
    </row>
    <row r="42" spans="1:22" ht="15">
      <c r="A42" s="16"/>
      <c r="B42" s="16"/>
      <c r="C42" s="16"/>
      <c r="D42" s="16"/>
      <c r="E42" s="16"/>
      <c r="F42" s="16"/>
      <c r="G42" s="16"/>
      <c r="H42" s="16"/>
      <c r="N42" s="580"/>
      <c r="O42" s="580"/>
      <c r="P42" s="580"/>
      <c r="Q42" s="580"/>
      <c r="R42" s="580"/>
      <c r="S42" s="580"/>
      <c r="T42" s="580"/>
      <c r="U42" s="580"/>
      <c r="V42" s="580"/>
    </row>
    <row r="43" spans="1:22" ht="15">
      <c r="A43" s="16"/>
      <c r="B43" s="16"/>
      <c r="C43" s="16"/>
      <c r="D43" s="16"/>
      <c r="E43" s="16"/>
      <c r="F43" s="16"/>
      <c r="G43" s="16"/>
      <c r="H43" s="16"/>
      <c r="N43" s="580"/>
      <c r="O43" s="580"/>
      <c r="P43" s="580"/>
      <c r="Q43" s="580"/>
      <c r="R43" s="580"/>
      <c r="S43" s="580"/>
      <c r="T43" s="580"/>
      <c r="U43" s="580"/>
      <c r="V43" s="580"/>
    </row>
    <row r="44" spans="1:22" ht="15">
      <c r="A44" s="16"/>
      <c r="B44" s="16"/>
      <c r="C44" s="16"/>
      <c r="D44" s="16"/>
      <c r="E44" s="16"/>
      <c r="F44" s="16"/>
      <c r="G44" s="16"/>
      <c r="H44" s="16"/>
      <c r="N44" s="580"/>
      <c r="O44" s="580"/>
      <c r="P44" s="580"/>
      <c r="Q44" s="580"/>
      <c r="R44" s="580"/>
      <c r="S44" s="580"/>
      <c r="T44" s="580"/>
      <c r="U44" s="580"/>
      <c r="V44" s="580"/>
    </row>
    <row r="45" spans="1:22" ht="15">
      <c r="A45" s="16"/>
      <c r="B45" s="16"/>
      <c r="C45" s="16"/>
      <c r="D45" s="16"/>
      <c r="E45" s="16"/>
      <c r="F45" s="16"/>
      <c r="G45" s="16"/>
      <c r="H45" s="16"/>
      <c r="N45" s="580"/>
      <c r="O45" s="580"/>
      <c r="P45" s="580"/>
      <c r="Q45" s="580"/>
      <c r="R45" s="580"/>
      <c r="S45" s="580"/>
      <c r="T45" s="580"/>
      <c r="U45" s="580"/>
      <c r="V45" s="580"/>
    </row>
    <row r="46" spans="1:22" ht="15">
      <c r="A46" s="16"/>
      <c r="B46" s="16"/>
      <c r="C46" s="16"/>
      <c r="D46" s="16"/>
      <c r="E46" s="16"/>
      <c r="F46" s="16"/>
      <c r="G46" s="16"/>
      <c r="H46" s="16"/>
      <c r="N46" s="580"/>
      <c r="O46" s="580"/>
      <c r="P46" s="580"/>
      <c r="Q46" s="580"/>
      <c r="R46" s="580"/>
      <c r="S46" s="580"/>
      <c r="T46" s="580"/>
      <c r="U46" s="580"/>
      <c r="V46" s="580"/>
    </row>
    <row r="47" spans="1:22" ht="15">
      <c r="A47" s="16"/>
      <c r="B47" s="16"/>
      <c r="C47" s="16"/>
      <c r="D47" s="16"/>
      <c r="E47" s="16"/>
      <c r="F47" s="16"/>
      <c r="G47" s="16"/>
      <c r="H47" s="16"/>
      <c r="N47" s="580"/>
      <c r="O47" s="580"/>
      <c r="P47" s="580"/>
      <c r="Q47" s="580"/>
      <c r="R47" s="580"/>
      <c r="S47" s="580"/>
      <c r="T47" s="580"/>
      <c r="U47" s="580"/>
      <c r="V47" s="580"/>
    </row>
    <row r="48" spans="1:22" ht="15">
      <c r="A48" s="16"/>
      <c r="B48" s="16"/>
      <c r="C48" s="16"/>
      <c r="D48" s="16"/>
      <c r="E48" s="16"/>
      <c r="F48" s="16"/>
      <c r="G48" s="16"/>
      <c r="H48" s="16"/>
      <c r="N48" s="580"/>
      <c r="O48" s="580"/>
      <c r="P48" s="580"/>
      <c r="Q48" s="580"/>
      <c r="R48" s="580"/>
      <c r="S48" s="580"/>
      <c r="T48" s="580"/>
      <c r="U48" s="580"/>
      <c r="V48" s="580"/>
    </row>
    <row r="49" spans="1:22" ht="15">
      <c r="A49" s="16"/>
      <c r="B49" s="16"/>
      <c r="C49" s="16"/>
      <c r="D49" s="16"/>
      <c r="E49" s="16"/>
      <c r="F49" s="16"/>
      <c r="G49" s="16"/>
      <c r="H49" s="16"/>
      <c r="N49" s="580"/>
      <c r="O49" s="580"/>
      <c r="P49" s="580"/>
      <c r="Q49" s="580"/>
      <c r="R49" s="580"/>
      <c r="S49" s="580"/>
      <c r="T49" s="580"/>
      <c r="U49" s="580"/>
      <c r="V49" s="580"/>
    </row>
    <row r="50" spans="1:22" ht="15">
      <c r="A50" s="16"/>
      <c r="B50" s="16"/>
      <c r="C50" s="16"/>
      <c r="D50" s="16"/>
      <c r="E50" s="16"/>
      <c r="F50" s="16"/>
      <c r="G50" s="16"/>
      <c r="H50" s="16"/>
      <c r="N50" s="580"/>
      <c r="O50" s="580"/>
      <c r="P50" s="580"/>
      <c r="Q50" s="580"/>
      <c r="R50" s="580"/>
      <c r="S50" s="580"/>
      <c r="T50" s="580"/>
      <c r="U50" s="580"/>
      <c r="V50" s="580"/>
    </row>
    <row r="51" spans="1:22" ht="15">
      <c r="A51" s="16"/>
      <c r="B51" s="16"/>
      <c r="C51" s="16"/>
      <c r="D51" s="16"/>
      <c r="E51" s="16"/>
      <c r="F51" s="16"/>
      <c r="G51" s="16"/>
      <c r="H51" s="16"/>
      <c r="N51" s="580"/>
      <c r="O51" s="580"/>
      <c r="P51" s="580"/>
      <c r="Q51" s="580"/>
      <c r="R51" s="580"/>
      <c r="S51" s="580"/>
      <c r="T51" s="580"/>
      <c r="U51" s="580"/>
      <c r="V51" s="580"/>
    </row>
    <row r="52" spans="1:22" ht="15">
      <c r="A52" s="16"/>
      <c r="B52" s="16"/>
      <c r="C52" s="16"/>
      <c r="D52" s="16"/>
      <c r="E52" s="16"/>
      <c r="F52" s="16"/>
      <c r="G52" s="16"/>
      <c r="H52" s="16"/>
      <c r="N52" s="580"/>
      <c r="O52" s="580"/>
      <c r="P52" s="580"/>
      <c r="Q52" s="580"/>
      <c r="R52" s="580"/>
      <c r="S52" s="580"/>
      <c r="T52" s="580"/>
      <c r="U52" s="580"/>
      <c r="V52" s="580"/>
    </row>
    <row r="53" spans="1:22" ht="15">
      <c r="A53" s="16"/>
      <c r="B53" s="16"/>
      <c r="C53" s="16"/>
      <c r="D53" s="16"/>
      <c r="E53" s="16"/>
      <c r="F53" s="16"/>
      <c r="G53" s="16"/>
      <c r="H53" s="16"/>
      <c r="N53" s="626"/>
      <c r="O53" s="626"/>
      <c r="P53" s="626"/>
      <c r="Q53" s="626"/>
      <c r="R53" s="626"/>
      <c r="S53" s="626"/>
      <c r="T53" s="626"/>
      <c r="U53" s="626"/>
      <c r="V53" s="626"/>
    </row>
    <row r="54" spans="1:22" ht="15">
      <c r="A54" s="16"/>
      <c r="B54" s="16"/>
      <c r="C54" s="16"/>
      <c r="D54" s="16"/>
      <c r="E54" s="16"/>
      <c r="F54" s="16"/>
      <c r="G54" s="16"/>
      <c r="H54" s="16"/>
      <c r="N54" s="580"/>
      <c r="O54" s="580"/>
      <c r="P54" s="580"/>
      <c r="Q54" s="580"/>
      <c r="R54" s="580"/>
      <c r="S54" s="580"/>
      <c r="T54" s="580"/>
      <c r="U54" s="580"/>
      <c r="V54" s="580"/>
    </row>
    <row r="55" spans="1:22" ht="15">
      <c r="A55" s="16"/>
      <c r="B55" s="16"/>
      <c r="C55" s="16"/>
      <c r="D55" s="16"/>
      <c r="E55" s="16"/>
      <c r="F55" s="16"/>
      <c r="G55" s="16"/>
      <c r="H55" s="16"/>
      <c r="N55" s="626"/>
      <c r="O55" s="626"/>
      <c r="P55" s="626"/>
      <c r="Q55" s="626"/>
      <c r="R55" s="626"/>
      <c r="S55" s="626"/>
      <c r="T55" s="626"/>
      <c r="U55" s="626"/>
      <c r="V55" s="626"/>
    </row>
    <row r="56" spans="1:22" ht="15">
      <c r="A56" s="16"/>
      <c r="B56" s="16"/>
      <c r="C56" s="16"/>
      <c r="D56" s="16"/>
      <c r="E56" s="16"/>
      <c r="F56" s="16"/>
      <c r="G56" s="16"/>
      <c r="H56" s="16"/>
      <c r="N56" s="580"/>
      <c r="O56" s="580"/>
      <c r="P56" s="580"/>
      <c r="Q56" s="580"/>
      <c r="R56" s="580"/>
      <c r="S56" s="580"/>
      <c r="T56" s="580"/>
      <c r="U56" s="580"/>
      <c r="V56" s="580"/>
    </row>
    <row r="57" spans="1:22" ht="15">
      <c r="A57" s="16"/>
      <c r="B57" s="16"/>
      <c r="C57" s="16"/>
      <c r="D57" s="16"/>
      <c r="E57" s="16"/>
      <c r="F57" s="16"/>
      <c r="G57" s="16"/>
      <c r="H57" s="16"/>
      <c r="N57" s="580"/>
      <c r="O57" s="580"/>
      <c r="P57" s="580"/>
      <c r="Q57" s="580"/>
      <c r="R57" s="580"/>
      <c r="S57" s="580"/>
      <c r="T57" s="580"/>
      <c r="U57" s="580"/>
      <c r="V57" s="580"/>
    </row>
    <row r="58" spans="1:22" ht="15">
      <c r="A58" s="16"/>
      <c r="B58" s="16"/>
      <c r="C58" s="16"/>
      <c r="D58" s="16"/>
      <c r="E58" s="16"/>
      <c r="F58" s="16"/>
      <c r="G58" s="16"/>
      <c r="H58" s="16"/>
      <c r="N58" s="580"/>
      <c r="O58" s="580"/>
      <c r="P58" s="580"/>
      <c r="Q58" s="580"/>
      <c r="R58" s="580"/>
      <c r="S58" s="580"/>
      <c r="T58" s="580"/>
      <c r="U58" s="580"/>
      <c r="V58" s="580"/>
    </row>
    <row r="59" spans="1:22" ht="15">
      <c r="A59" s="16"/>
      <c r="B59" s="16"/>
      <c r="C59" s="16"/>
      <c r="D59" s="16"/>
      <c r="E59" s="16"/>
      <c r="F59" s="16"/>
      <c r="G59" s="16"/>
      <c r="H59" s="16"/>
      <c r="N59" s="580"/>
      <c r="O59" s="580"/>
      <c r="P59" s="580"/>
      <c r="Q59" s="580"/>
      <c r="R59" s="580"/>
      <c r="S59" s="580"/>
      <c r="T59" s="580"/>
      <c r="U59" s="580"/>
      <c r="V59" s="580"/>
    </row>
    <row r="60" spans="1:22" ht="15">
      <c r="A60" s="16"/>
      <c r="B60" s="16"/>
      <c r="C60" s="16"/>
      <c r="D60" s="16"/>
      <c r="E60" s="16"/>
      <c r="F60" s="16"/>
      <c r="G60" s="16"/>
      <c r="H60" s="16"/>
      <c r="N60" s="580"/>
      <c r="O60" s="580"/>
      <c r="P60" s="580"/>
      <c r="Q60" s="580"/>
      <c r="R60" s="580"/>
      <c r="S60" s="580"/>
      <c r="T60" s="580"/>
      <c r="U60" s="580"/>
      <c r="V60" s="580"/>
    </row>
    <row r="61" spans="1:22" ht="15">
      <c r="A61" s="16"/>
      <c r="B61" s="16"/>
      <c r="C61" s="16"/>
      <c r="D61" s="16"/>
      <c r="E61" s="16"/>
      <c r="F61" s="16"/>
      <c r="G61" s="16"/>
      <c r="H61" s="16"/>
      <c r="N61" s="580"/>
      <c r="O61" s="580"/>
      <c r="P61" s="580"/>
      <c r="Q61" s="580"/>
      <c r="R61" s="580"/>
      <c r="S61" s="580"/>
      <c r="T61" s="580"/>
      <c r="U61" s="580"/>
      <c r="V61" s="580"/>
    </row>
    <row r="62" spans="1:22" ht="15">
      <c r="A62" s="16"/>
      <c r="B62" s="16"/>
      <c r="C62" s="16"/>
      <c r="D62" s="16"/>
      <c r="E62" s="16"/>
      <c r="F62" s="16"/>
      <c r="G62" s="16"/>
      <c r="H62" s="16"/>
      <c r="N62" s="580"/>
      <c r="O62" s="580"/>
      <c r="P62" s="580"/>
      <c r="Q62" s="580"/>
      <c r="R62" s="580"/>
      <c r="S62" s="580"/>
      <c r="T62" s="580"/>
      <c r="U62" s="580"/>
      <c r="V62" s="580"/>
    </row>
    <row r="63" spans="1:22" ht="15">
      <c r="A63" s="16"/>
      <c r="B63" s="16"/>
      <c r="C63" s="16"/>
      <c r="D63" s="16"/>
      <c r="E63" s="16"/>
      <c r="F63" s="16"/>
      <c r="G63" s="16"/>
      <c r="H63" s="16"/>
      <c r="N63" s="580"/>
      <c r="O63" s="580"/>
      <c r="P63" s="580"/>
      <c r="Q63" s="580"/>
      <c r="R63" s="580"/>
      <c r="S63" s="580"/>
      <c r="T63" s="580"/>
      <c r="U63" s="580"/>
      <c r="V63" s="580"/>
    </row>
    <row r="64" spans="1:22" ht="15">
      <c r="A64" s="16"/>
      <c r="B64" s="16"/>
      <c r="C64" s="16"/>
      <c r="D64" s="16"/>
      <c r="E64" s="16"/>
      <c r="F64" s="16"/>
      <c r="G64" s="16"/>
      <c r="H64" s="16"/>
      <c r="N64" s="580"/>
      <c r="O64" s="580"/>
      <c r="P64" s="580"/>
      <c r="Q64" s="580"/>
      <c r="R64" s="580"/>
      <c r="S64" s="580"/>
      <c r="T64" s="580"/>
      <c r="U64" s="580"/>
      <c r="V64" s="580"/>
    </row>
    <row r="65" spans="1:22" ht="15">
      <c r="A65" s="16"/>
      <c r="B65" s="16"/>
      <c r="C65" s="16"/>
      <c r="D65" s="16"/>
      <c r="E65" s="16"/>
      <c r="F65" s="16"/>
      <c r="G65" s="16"/>
      <c r="H65" s="16"/>
      <c r="N65" s="580"/>
      <c r="O65" s="580"/>
      <c r="P65" s="580"/>
      <c r="Q65" s="580"/>
      <c r="R65" s="580"/>
      <c r="S65" s="580"/>
      <c r="T65" s="580"/>
      <c r="U65" s="580"/>
      <c r="V65" s="580"/>
    </row>
    <row r="66" spans="1:22" ht="15">
      <c r="A66" s="16"/>
      <c r="B66" s="16"/>
      <c r="C66" s="16"/>
      <c r="D66" s="16"/>
      <c r="E66" s="16"/>
      <c r="F66" s="16"/>
      <c r="G66" s="16"/>
      <c r="H66" s="16"/>
      <c r="N66" s="626"/>
      <c r="O66" s="626"/>
      <c r="P66" s="626"/>
      <c r="Q66" s="626"/>
      <c r="R66" s="626"/>
      <c r="S66" s="626"/>
      <c r="T66" s="626"/>
      <c r="U66" s="626"/>
      <c r="V66" s="626"/>
    </row>
    <row r="67" spans="1:22" ht="15">
      <c r="A67" s="16"/>
      <c r="B67" s="16"/>
      <c r="C67" s="16"/>
      <c r="D67" s="16"/>
      <c r="E67" s="16"/>
      <c r="F67" s="16"/>
      <c r="G67" s="16"/>
      <c r="H67" s="16"/>
      <c r="N67" s="580"/>
      <c r="O67" s="580"/>
      <c r="P67" s="580"/>
      <c r="Q67" s="580"/>
      <c r="R67" s="580"/>
      <c r="S67" s="580"/>
      <c r="T67" s="580"/>
      <c r="U67" s="580"/>
      <c r="V67" s="580"/>
    </row>
    <row r="68" spans="1:22" ht="15">
      <c r="A68" s="16"/>
      <c r="B68" s="16"/>
      <c r="C68" s="16"/>
      <c r="D68" s="16"/>
      <c r="E68" s="16"/>
      <c r="F68" s="16"/>
      <c r="G68" s="16"/>
      <c r="H68" s="16"/>
      <c r="N68" s="580"/>
      <c r="O68" s="580"/>
      <c r="P68" s="580"/>
      <c r="Q68" s="580"/>
      <c r="R68" s="580"/>
      <c r="S68" s="580"/>
      <c r="T68" s="580"/>
      <c r="U68" s="580"/>
      <c r="V68" s="580"/>
    </row>
    <row r="69" spans="1:22" ht="15">
      <c r="A69" s="16"/>
      <c r="B69" s="16"/>
      <c r="C69" s="16"/>
      <c r="D69" s="16"/>
      <c r="E69" s="16"/>
      <c r="F69" s="16"/>
      <c r="G69" s="16"/>
      <c r="H69" s="16"/>
      <c r="N69" s="580"/>
      <c r="O69" s="580"/>
      <c r="P69" s="580"/>
      <c r="Q69" s="580"/>
      <c r="R69" s="580"/>
      <c r="S69" s="580"/>
      <c r="T69" s="580"/>
      <c r="U69" s="580"/>
      <c r="V69" s="580"/>
    </row>
    <row r="70" spans="1:22" ht="15">
      <c r="A70" s="16"/>
      <c r="B70" s="16"/>
      <c r="C70" s="16"/>
      <c r="D70" s="16"/>
      <c r="E70" s="16"/>
      <c r="F70" s="16"/>
      <c r="G70" s="16"/>
      <c r="H70" s="16"/>
      <c r="N70" s="580"/>
      <c r="O70" s="580"/>
      <c r="P70" s="580"/>
      <c r="Q70" s="580"/>
      <c r="R70" s="580"/>
      <c r="S70" s="580"/>
      <c r="T70" s="580"/>
      <c r="U70" s="580"/>
      <c r="V70" s="580"/>
    </row>
    <row r="71" spans="1:22" ht="15">
      <c r="A71" s="16"/>
      <c r="B71" s="16"/>
      <c r="C71" s="16"/>
      <c r="D71" s="16"/>
      <c r="E71" s="16"/>
      <c r="F71" s="16"/>
      <c r="G71" s="16"/>
      <c r="H71" s="16"/>
      <c r="N71" s="580"/>
      <c r="O71" s="580"/>
      <c r="P71" s="580"/>
      <c r="Q71" s="580"/>
      <c r="R71" s="580"/>
      <c r="S71" s="580"/>
      <c r="T71" s="580"/>
      <c r="U71" s="580"/>
      <c r="V71" s="580"/>
    </row>
    <row r="72" spans="1:22" ht="15">
      <c r="A72" s="16"/>
      <c r="B72" s="16"/>
      <c r="C72" s="16"/>
      <c r="D72" s="16"/>
      <c r="E72" s="16"/>
      <c r="F72" s="16"/>
      <c r="G72" s="16"/>
      <c r="H72" s="16"/>
      <c r="N72" s="580"/>
      <c r="O72" s="580"/>
      <c r="P72" s="580"/>
      <c r="Q72" s="580"/>
      <c r="R72" s="580"/>
      <c r="S72" s="580"/>
      <c r="T72" s="580"/>
      <c r="U72" s="580"/>
      <c r="V72" s="580"/>
    </row>
    <row r="73" spans="1:22" ht="15">
      <c r="A73" s="16"/>
      <c r="B73" s="16"/>
      <c r="C73" s="16"/>
      <c r="D73" s="16"/>
      <c r="E73" s="16"/>
      <c r="F73" s="16"/>
      <c r="G73" s="16"/>
      <c r="H73" s="16"/>
      <c r="N73" s="580"/>
      <c r="O73" s="580"/>
      <c r="P73" s="580"/>
      <c r="Q73" s="580"/>
      <c r="R73" s="580"/>
      <c r="S73" s="580"/>
      <c r="T73" s="580"/>
      <c r="U73" s="580"/>
      <c r="V73" s="580"/>
    </row>
    <row r="74" spans="1:22" ht="15">
      <c r="A74" s="16"/>
      <c r="B74" s="16"/>
      <c r="C74" s="16"/>
      <c r="D74" s="16"/>
      <c r="E74" s="16"/>
      <c r="F74" s="16"/>
      <c r="G74" s="16"/>
      <c r="H74" s="16"/>
      <c r="N74" s="580"/>
      <c r="O74" s="580"/>
      <c r="P74" s="580"/>
      <c r="Q74" s="580"/>
      <c r="R74" s="580"/>
      <c r="S74" s="580"/>
      <c r="T74" s="580"/>
      <c r="U74" s="580"/>
      <c r="V74" s="580"/>
    </row>
    <row r="75" spans="1:22" ht="15">
      <c r="A75" s="16"/>
      <c r="B75" s="16"/>
      <c r="C75" s="16"/>
      <c r="D75" s="16"/>
      <c r="E75" s="16"/>
      <c r="F75" s="16"/>
      <c r="G75" s="16"/>
      <c r="H75" s="16"/>
      <c r="N75" s="580"/>
      <c r="O75" s="580"/>
      <c r="P75" s="580"/>
      <c r="Q75" s="580"/>
      <c r="R75" s="580"/>
      <c r="S75" s="580"/>
      <c r="T75" s="580"/>
      <c r="U75" s="580"/>
      <c r="V75" s="580"/>
    </row>
    <row r="76" spans="1:22" ht="15">
      <c r="A76" s="16"/>
      <c r="B76" s="16"/>
      <c r="C76" s="16"/>
      <c r="D76" s="16"/>
      <c r="E76" s="16"/>
      <c r="F76" s="16"/>
      <c r="G76" s="16"/>
      <c r="H76" s="16"/>
      <c r="N76" s="580"/>
      <c r="O76" s="580"/>
      <c r="P76" s="580"/>
      <c r="Q76" s="580"/>
      <c r="R76" s="580"/>
      <c r="S76" s="580"/>
      <c r="T76" s="580"/>
      <c r="U76" s="580"/>
      <c r="V76" s="580"/>
    </row>
    <row r="77" spans="1:22" ht="15">
      <c r="A77" s="16"/>
      <c r="B77" s="16"/>
      <c r="C77" s="16"/>
      <c r="D77" s="16"/>
      <c r="E77" s="16"/>
      <c r="F77" s="16"/>
      <c r="G77" s="16"/>
      <c r="H77" s="16"/>
      <c r="N77" s="580"/>
      <c r="O77" s="580"/>
      <c r="P77" s="580"/>
      <c r="Q77" s="580"/>
      <c r="R77" s="580"/>
      <c r="S77" s="580"/>
      <c r="T77" s="580"/>
      <c r="U77" s="580"/>
      <c r="V77" s="580"/>
    </row>
    <row r="78" spans="1:22" ht="15">
      <c r="A78" s="16"/>
      <c r="B78" s="16"/>
      <c r="C78" s="16"/>
      <c r="D78" s="16"/>
      <c r="E78" s="16"/>
      <c r="F78" s="16"/>
      <c r="G78" s="16"/>
      <c r="H78" s="16"/>
      <c r="N78" s="580"/>
      <c r="O78" s="580"/>
      <c r="P78" s="580"/>
      <c r="Q78" s="580"/>
      <c r="R78" s="580"/>
      <c r="S78" s="580"/>
      <c r="T78" s="580"/>
      <c r="U78" s="580"/>
      <c r="V78" s="580"/>
    </row>
    <row r="79" spans="1:22" ht="15">
      <c r="A79" s="16"/>
      <c r="B79" s="16"/>
      <c r="C79" s="16"/>
      <c r="D79" s="16"/>
      <c r="E79" s="16"/>
      <c r="F79" s="16"/>
      <c r="G79" s="16"/>
      <c r="H79" s="16"/>
      <c r="N79" s="580"/>
      <c r="O79" s="580"/>
      <c r="P79" s="580"/>
      <c r="Q79" s="580"/>
      <c r="R79" s="580"/>
      <c r="S79" s="580"/>
      <c r="T79" s="580"/>
      <c r="U79" s="580"/>
      <c r="V79" s="580"/>
    </row>
    <row r="80" spans="1:22" ht="15">
      <c r="A80" s="16"/>
      <c r="B80" s="16"/>
      <c r="C80" s="16"/>
      <c r="D80" s="16"/>
      <c r="E80" s="16"/>
      <c r="F80" s="16"/>
      <c r="G80" s="16"/>
      <c r="H80" s="16"/>
      <c r="N80" s="580"/>
      <c r="O80" s="580"/>
      <c r="P80" s="580"/>
      <c r="Q80" s="580"/>
      <c r="R80" s="580"/>
      <c r="S80" s="580"/>
      <c r="T80" s="580"/>
      <c r="U80" s="580"/>
      <c r="V80" s="580"/>
    </row>
    <row r="81" spans="1:22" ht="15">
      <c r="A81" s="16"/>
      <c r="B81" s="16"/>
      <c r="C81" s="16"/>
      <c r="D81" s="16"/>
      <c r="E81" s="16"/>
      <c r="F81" s="16"/>
      <c r="G81" s="16"/>
      <c r="H81" s="16"/>
      <c r="N81" s="580"/>
      <c r="O81" s="580"/>
      <c r="P81" s="580"/>
      <c r="Q81" s="580"/>
      <c r="R81" s="580"/>
      <c r="S81" s="580"/>
      <c r="T81" s="580"/>
      <c r="U81" s="580"/>
      <c r="V81" s="580"/>
    </row>
    <row r="82" spans="1:22" ht="15">
      <c r="A82" s="16"/>
      <c r="B82" s="16"/>
      <c r="C82" s="16"/>
      <c r="D82" s="16"/>
      <c r="E82" s="16"/>
      <c r="F82" s="16"/>
      <c r="G82" s="16"/>
      <c r="H82" s="16"/>
      <c r="N82" s="580"/>
      <c r="O82" s="580"/>
      <c r="P82" s="580"/>
      <c r="Q82" s="580"/>
      <c r="R82" s="580"/>
      <c r="S82" s="580"/>
      <c r="T82" s="580"/>
      <c r="U82" s="580"/>
      <c r="V82" s="580"/>
    </row>
    <row r="83" spans="1:22" ht="15">
      <c r="A83" s="16"/>
      <c r="B83" s="16"/>
      <c r="C83" s="16"/>
      <c r="D83" s="16"/>
      <c r="E83" s="16"/>
      <c r="F83" s="16"/>
      <c r="G83" s="16"/>
      <c r="H83" s="16"/>
      <c r="N83" s="580"/>
      <c r="O83" s="580"/>
      <c r="P83" s="580"/>
      <c r="Q83" s="580"/>
      <c r="R83" s="580"/>
      <c r="S83" s="580"/>
      <c r="T83" s="580"/>
      <c r="U83" s="580"/>
      <c r="V83" s="580"/>
    </row>
    <row r="84" spans="1:22" ht="15">
      <c r="A84" s="16"/>
      <c r="B84" s="16"/>
      <c r="C84" s="16"/>
      <c r="D84" s="16"/>
      <c r="E84" s="16"/>
      <c r="F84" s="16"/>
      <c r="G84" s="16"/>
      <c r="H84" s="16"/>
      <c r="N84" s="580"/>
      <c r="O84" s="580"/>
      <c r="P84" s="580"/>
      <c r="Q84" s="580"/>
      <c r="R84" s="580"/>
      <c r="S84" s="580"/>
      <c r="T84" s="580"/>
      <c r="U84" s="580"/>
      <c r="V84" s="580"/>
    </row>
    <row r="85" spans="1:22" ht="15">
      <c r="A85" s="16"/>
      <c r="B85" s="16"/>
      <c r="C85" s="16"/>
      <c r="D85" s="16"/>
      <c r="E85" s="16"/>
      <c r="F85" s="16"/>
      <c r="G85" s="16"/>
      <c r="H85" s="16"/>
      <c r="N85" s="580"/>
      <c r="O85" s="580"/>
      <c r="P85" s="580"/>
      <c r="Q85" s="580"/>
      <c r="R85" s="580"/>
      <c r="S85" s="580"/>
      <c r="T85" s="580"/>
      <c r="U85" s="580"/>
      <c r="V85" s="580"/>
    </row>
    <row r="86" spans="1:22" ht="15">
      <c r="A86" s="16"/>
      <c r="B86" s="16"/>
      <c r="C86" s="16"/>
      <c r="D86" s="16"/>
      <c r="E86" s="16"/>
      <c r="F86" s="16"/>
      <c r="G86" s="16"/>
      <c r="H86" s="16"/>
      <c r="N86" s="580"/>
      <c r="O86" s="580"/>
      <c r="P86" s="580"/>
      <c r="Q86" s="580"/>
      <c r="R86" s="580"/>
      <c r="S86" s="580"/>
      <c r="T86" s="580"/>
      <c r="U86" s="580"/>
      <c r="V86" s="580"/>
    </row>
    <row r="87" spans="1:22" ht="15">
      <c r="A87" s="16"/>
      <c r="B87" s="16"/>
      <c r="C87" s="16"/>
      <c r="D87" s="16"/>
      <c r="E87" s="16"/>
      <c r="F87" s="16"/>
      <c r="G87" s="16"/>
      <c r="H87" s="16"/>
      <c r="N87" s="580"/>
      <c r="O87" s="580"/>
      <c r="P87" s="580"/>
      <c r="Q87" s="580"/>
      <c r="R87" s="580"/>
      <c r="S87" s="580"/>
      <c r="T87" s="580"/>
      <c r="U87" s="580"/>
      <c r="V87" s="580"/>
    </row>
    <row r="88" spans="1:22" ht="15">
      <c r="A88" s="16"/>
      <c r="B88" s="16"/>
      <c r="C88" s="16"/>
      <c r="D88" s="16"/>
      <c r="E88" s="16"/>
      <c r="F88" s="16"/>
      <c r="G88" s="16"/>
      <c r="H88" s="16"/>
      <c r="N88" s="580"/>
      <c r="O88" s="580"/>
      <c r="P88" s="580"/>
      <c r="Q88" s="580"/>
      <c r="R88" s="580"/>
      <c r="S88" s="580"/>
      <c r="T88" s="580"/>
      <c r="U88" s="580"/>
      <c r="V88" s="580"/>
    </row>
    <row r="89" spans="1:22" ht="15">
      <c r="A89" s="16"/>
      <c r="B89" s="16"/>
      <c r="C89" s="16"/>
      <c r="D89" s="16"/>
      <c r="E89" s="16"/>
      <c r="F89" s="16"/>
      <c r="G89" s="16"/>
      <c r="H89" s="16"/>
      <c r="N89" s="580"/>
      <c r="O89" s="580"/>
      <c r="P89" s="580"/>
      <c r="Q89" s="580"/>
      <c r="R89" s="580"/>
      <c r="S89" s="580"/>
      <c r="T89" s="580"/>
      <c r="U89" s="580"/>
      <c r="V89" s="580"/>
    </row>
    <row r="90" spans="1:22" ht="15">
      <c r="A90" s="16"/>
      <c r="B90" s="16"/>
      <c r="C90" s="16"/>
      <c r="D90" s="16"/>
      <c r="E90" s="16"/>
      <c r="F90" s="16"/>
      <c r="G90" s="16"/>
      <c r="H90" s="16"/>
      <c r="N90" s="580"/>
      <c r="O90" s="580"/>
      <c r="P90" s="580"/>
      <c r="Q90" s="580"/>
      <c r="R90" s="580"/>
      <c r="S90" s="580"/>
      <c r="T90" s="580"/>
      <c r="U90" s="580"/>
      <c r="V90" s="580"/>
    </row>
    <row r="91" spans="1:22" ht="15">
      <c r="A91" s="16"/>
      <c r="B91" s="16"/>
      <c r="C91" s="16"/>
      <c r="D91" s="16"/>
      <c r="E91" s="16"/>
      <c r="F91" s="16"/>
      <c r="G91" s="16"/>
      <c r="H91" s="16"/>
      <c r="N91" s="580"/>
      <c r="O91" s="580"/>
      <c r="P91" s="580"/>
      <c r="Q91" s="580"/>
      <c r="R91" s="580"/>
      <c r="S91" s="580"/>
      <c r="T91" s="580"/>
      <c r="U91" s="580"/>
      <c r="V91" s="580"/>
    </row>
    <row r="92" spans="1:22" ht="15">
      <c r="A92" s="16"/>
      <c r="B92" s="16"/>
      <c r="C92" s="16"/>
      <c r="D92" s="16"/>
      <c r="E92" s="16"/>
      <c r="F92" s="16"/>
      <c r="G92" s="16"/>
      <c r="H92" s="16"/>
      <c r="N92" s="580"/>
      <c r="O92" s="580"/>
      <c r="P92" s="580"/>
      <c r="Q92" s="580"/>
      <c r="R92" s="580"/>
      <c r="S92" s="580"/>
      <c r="T92" s="580"/>
      <c r="U92" s="580"/>
      <c r="V92" s="580"/>
    </row>
    <row r="93" spans="1:22" ht="15">
      <c r="A93" s="16"/>
      <c r="B93" s="16"/>
      <c r="C93" s="16"/>
      <c r="D93" s="16"/>
      <c r="E93" s="16"/>
      <c r="F93" s="16"/>
      <c r="G93" s="16"/>
      <c r="H93" s="16"/>
      <c r="N93" s="580"/>
      <c r="O93" s="580"/>
      <c r="P93" s="580"/>
      <c r="Q93" s="580"/>
      <c r="R93" s="580"/>
      <c r="S93" s="580"/>
      <c r="T93" s="580"/>
      <c r="U93" s="580"/>
      <c r="V93" s="580"/>
    </row>
    <row r="94" spans="1:22" ht="15">
      <c r="A94" s="16"/>
      <c r="B94" s="16"/>
      <c r="C94" s="16"/>
      <c r="D94" s="16"/>
      <c r="E94" s="16"/>
      <c r="F94" s="16"/>
      <c r="G94" s="16"/>
      <c r="H94" s="16"/>
      <c r="N94" s="626"/>
      <c r="O94" s="626"/>
      <c r="P94" s="626"/>
      <c r="Q94" s="626"/>
      <c r="R94" s="626"/>
      <c r="S94" s="626"/>
      <c r="T94" s="626"/>
      <c r="U94" s="626"/>
      <c r="V94" s="626"/>
    </row>
    <row r="95" spans="1:22" ht="15">
      <c r="A95" s="16"/>
      <c r="B95" s="16"/>
      <c r="C95" s="16"/>
      <c r="D95" s="16"/>
      <c r="E95" s="16"/>
      <c r="F95" s="16"/>
      <c r="G95" s="16"/>
      <c r="H95" s="16"/>
      <c r="N95" s="580"/>
      <c r="O95" s="580"/>
      <c r="P95" s="580"/>
      <c r="Q95" s="580"/>
      <c r="R95" s="580"/>
      <c r="S95" s="580"/>
      <c r="T95" s="580"/>
      <c r="U95" s="580"/>
      <c r="V95" s="580"/>
    </row>
    <row r="96" spans="1:22" ht="15">
      <c r="A96" s="16"/>
      <c r="B96" s="16"/>
      <c r="C96" s="16"/>
      <c r="D96" s="16"/>
      <c r="E96" s="16"/>
      <c r="F96" s="16"/>
      <c r="G96" s="16"/>
      <c r="H96" s="16"/>
      <c r="N96" s="580"/>
      <c r="O96" s="580"/>
      <c r="P96" s="580"/>
      <c r="Q96" s="580"/>
      <c r="R96" s="580"/>
      <c r="S96" s="580"/>
      <c r="T96" s="580"/>
      <c r="U96" s="580"/>
      <c r="V96" s="580"/>
    </row>
    <row r="97" spans="1:22" ht="15">
      <c r="A97" s="16"/>
      <c r="B97" s="16"/>
      <c r="C97" s="16"/>
      <c r="D97" s="16"/>
      <c r="E97" s="16"/>
      <c r="F97" s="16"/>
      <c r="G97" s="16"/>
      <c r="H97" s="16"/>
      <c r="N97" s="626"/>
      <c r="O97" s="626"/>
      <c r="P97" s="626"/>
      <c r="Q97" s="626"/>
      <c r="R97" s="626"/>
      <c r="S97" s="626"/>
      <c r="T97" s="626"/>
      <c r="U97" s="626"/>
      <c r="V97" s="626"/>
    </row>
    <row r="98" spans="1:22" ht="15">
      <c r="A98" s="16"/>
      <c r="B98" s="16"/>
      <c r="C98" s="16"/>
      <c r="D98" s="16"/>
      <c r="E98" s="16"/>
      <c r="F98" s="16"/>
      <c r="G98" s="16"/>
      <c r="H98" s="16"/>
      <c r="N98" s="580"/>
      <c r="O98" s="580"/>
      <c r="P98" s="580"/>
      <c r="Q98" s="580"/>
      <c r="R98" s="580"/>
      <c r="S98" s="580"/>
      <c r="T98" s="580"/>
      <c r="U98" s="580"/>
      <c r="V98" s="580"/>
    </row>
    <row r="99" spans="1:22" ht="15">
      <c r="A99" s="16"/>
      <c r="B99" s="16"/>
      <c r="C99" s="16"/>
      <c r="D99" s="16"/>
      <c r="E99" s="16"/>
      <c r="F99" s="16"/>
      <c r="G99" s="16"/>
      <c r="H99" s="16"/>
      <c r="N99" s="580"/>
      <c r="O99" s="580"/>
      <c r="P99" s="580"/>
      <c r="Q99" s="580"/>
      <c r="R99" s="580"/>
      <c r="S99" s="580"/>
      <c r="T99" s="580"/>
      <c r="U99" s="580"/>
      <c r="V99" s="580"/>
    </row>
    <row r="100" spans="1:22" ht="15">
      <c r="A100" s="16"/>
      <c r="B100" s="16"/>
      <c r="C100" s="16"/>
      <c r="D100" s="16"/>
      <c r="E100" s="16"/>
      <c r="F100" s="16"/>
      <c r="G100" s="16"/>
      <c r="H100" s="16"/>
      <c r="N100" s="580"/>
      <c r="O100" s="580"/>
      <c r="P100" s="580"/>
      <c r="Q100" s="580"/>
      <c r="R100" s="580"/>
      <c r="S100" s="580"/>
      <c r="T100" s="580"/>
      <c r="U100" s="580"/>
      <c r="V100" s="580"/>
    </row>
    <row r="101" spans="1:22" ht="15">
      <c r="A101" s="16"/>
      <c r="B101" s="16"/>
      <c r="C101" s="16"/>
      <c r="D101" s="16"/>
      <c r="E101" s="16"/>
      <c r="F101" s="16"/>
      <c r="G101" s="16"/>
      <c r="H101" s="16"/>
      <c r="N101" s="580"/>
      <c r="O101" s="580"/>
      <c r="P101" s="580"/>
      <c r="Q101" s="580"/>
      <c r="R101" s="580"/>
      <c r="S101" s="580"/>
      <c r="T101" s="580"/>
      <c r="U101" s="580"/>
      <c r="V101" s="580"/>
    </row>
    <row r="102" spans="1:22" ht="15">
      <c r="A102" s="16"/>
      <c r="B102" s="16"/>
      <c r="C102" s="16"/>
      <c r="D102" s="16"/>
      <c r="E102" s="16"/>
      <c r="F102" s="16"/>
      <c r="G102" s="16"/>
      <c r="H102" s="16"/>
      <c r="N102" s="580"/>
      <c r="O102" s="580"/>
      <c r="P102" s="580"/>
      <c r="Q102" s="580"/>
      <c r="R102" s="580"/>
      <c r="S102" s="580"/>
      <c r="T102" s="580"/>
      <c r="U102" s="580"/>
      <c r="V102" s="580"/>
    </row>
    <row r="103" spans="1:22" ht="15">
      <c r="A103" s="16"/>
      <c r="B103" s="16"/>
      <c r="C103" s="16"/>
      <c r="D103" s="16"/>
      <c r="E103" s="16"/>
      <c r="F103" s="16"/>
      <c r="G103" s="16"/>
      <c r="H103" s="16"/>
      <c r="N103" s="580"/>
      <c r="O103" s="580"/>
      <c r="P103" s="580"/>
      <c r="Q103" s="580"/>
      <c r="R103" s="580"/>
      <c r="S103" s="580"/>
      <c r="T103" s="580"/>
      <c r="U103" s="580"/>
      <c r="V103" s="580"/>
    </row>
    <row r="104" spans="1:22" ht="15">
      <c r="A104" s="16"/>
      <c r="B104" s="16"/>
      <c r="C104" s="16"/>
      <c r="D104" s="16"/>
      <c r="E104" s="16"/>
      <c r="F104" s="16"/>
      <c r="G104" s="16"/>
      <c r="H104" s="16"/>
      <c r="N104" s="580"/>
      <c r="O104" s="580"/>
      <c r="P104" s="580"/>
      <c r="Q104" s="580"/>
      <c r="R104" s="580"/>
      <c r="S104" s="580"/>
      <c r="T104" s="580"/>
      <c r="U104" s="580"/>
      <c r="V104" s="580"/>
    </row>
    <row r="105" spans="1:22" ht="15">
      <c r="A105" s="16"/>
      <c r="B105" s="16"/>
      <c r="C105" s="16"/>
      <c r="D105" s="16"/>
      <c r="E105" s="16"/>
      <c r="F105" s="16"/>
      <c r="G105" s="16"/>
      <c r="H105" s="16"/>
      <c r="N105" s="580"/>
      <c r="O105" s="580"/>
      <c r="P105" s="580"/>
      <c r="Q105" s="580"/>
      <c r="R105" s="580"/>
      <c r="S105" s="580"/>
      <c r="T105" s="580"/>
      <c r="U105" s="580"/>
      <c r="V105" s="580"/>
    </row>
    <row r="106" spans="1:22" ht="15">
      <c r="A106" s="16"/>
      <c r="B106" s="16"/>
      <c r="C106" s="16"/>
      <c r="D106" s="16"/>
      <c r="E106" s="16"/>
      <c r="F106" s="16"/>
      <c r="G106" s="16"/>
      <c r="H106" s="16"/>
      <c r="N106" s="580"/>
      <c r="O106" s="580"/>
      <c r="P106" s="580"/>
      <c r="Q106" s="580"/>
      <c r="R106" s="580"/>
      <c r="S106" s="580"/>
      <c r="T106" s="580"/>
      <c r="U106" s="580"/>
      <c r="V106" s="580"/>
    </row>
    <row r="107" spans="1:22" ht="15">
      <c r="A107" s="16"/>
      <c r="B107" s="16"/>
      <c r="C107" s="16"/>
      <c r="D107" s="16"/>
      <c r="E107" s="16"/>
      <c r="F107" s="16"/>
      <c r="G107" s="16"/>
      <c r="H107" s="16"/>
      <c r="N107" s="580"/>
      <c r="O107" s="580"/>
      <c r="P107" s="580"/>
      <c r="Q107" s="580"/>
      <c r="R107" s="580"/>
      <c r="S107" s="580"/>
      <c r="T107" s="580"/>
      <c r="U107" s="580"/>
      <c r="V107" s="580"/>
    </row>
    <row r="108" spans="1:22" ht="15">
      <c r="A108" s="16"/>
      <c r="B108" s="16"/>
      <c r="C108" s="16"/>
      <c r="D108" s="16"/>
      <c r="E108" s="16"/>
      <c r="F108" s="16"/>
      <c r="G108" s="16"/>
      <c r="H108" s="16"/>
      <c r="N108" s="580"/>
      <c r="O108" s="580"/>
      <c r="P108" s="580"/>
      <c r="Q108" s="580"/>
      <c r="R108" s="580"/>
      <c r="S108" s="580"/>
      <c r="T108" s="580"/>
      <c r="U108" s="580"/>
      <c r="V108" s="580"/>
    </row>
    <row r="109" spans="1:22" ht="15">
      <c r="A109" s="16"/>
      <c r="B109" s="16"/>
      <c r="C109" s="16"/>
      <c r="D109" s="16"/>
      <c r="E109" s="16"/>
      <c r="F109" s="16"/>
      <c r="G109" s="16"/>
      <c r="H109" s="16"/>
      <c r="N109" s="580"/>
      <c r="O109" s="580"/>
      <c r="P109" s="580"/>
      <c r="Q109" s="580"/>
      <c r="R109" s="580"/>
      <c r="S109" s="580"/>
      <c r="T109" s="580"/>
      <c r="U109" s="580"/>
      <c r="V109" s="580"/>
    </row>
    <row r="110" spans="1:22" ht="15">
      <c r="A110" s="16"/>
      <c r="B110" s="16"/>
      <c r="C110" s="16"/>
      <c r="D110" s="16"/>
      <c r="E110" s="16"/>
      <c r="F110" s="16"/>
      <c r="G110" s="16"/>
      <c r="H110" s="16"/>
      <c r="N110" s="580"/>
      <c r="O110" s="580"/>
      <c r="P110" s="580"/>
      <c r="Q110" s="580"/>
      <c r="R110" s="580"/>
      <c r="S110" s="580"/>
      <c r="T110" s="580"/>
      <c r="U110" s="580"/>
      <c r="V110" s="580"/>
    </row>
    <row r="111" spans="1:22" ht="15">
      <c r="A111" s="16"/>
      <c r="B111" s="16"/>
      <c r="C111" s="16"/>
      <c r="D111" s="16"/>
      <c r="E111" s="16"/>
      <c r="F111" s="16"/>
      <c r="G111" s="16"/>
      <c r="H111" s="16"/>
      <c r="N111" s="626"/>
      <c r="O111" s="626"/>
      <c r="P111" s="626"/>
      <c r="Q111" s="626"/>
      <c r="R111" s="626"/>
      <c r="S111" s="626"/>
      <c r="T111" s="626"/>
      <c r="U111" s="626"/>
      <c r="V111" s="626"/>
    </row>
    <row r="112" spans="1:22" ht="15">
      <c r="A112" s="16"/>
      <c r="B112" s="16"/>
      <c r="C112" s="16"/>
      <c r="D112" s="16"/>
      <c r="E112" s="16"/>
      <c r="F112" s="16"/>
      <c r="G112" s="16"/>
      <c r="H112" s="16"/>
      <c r="N112" s="580"/>
      <c r="O112" s="580"/>
      <c r="P112" s="580"/>
      <c r="Q112" s="580"/>
      <c r="R112" s="580"/>
      <c r="S112" s="580"/>
      <c r="T112" s="580"/>
      <c r="U112" s="580"/>
      <c r="V112" s="580"/>
    </row>
    <row r="113" spans="1:22" ht="15">
      <c r="A113" s="16"/>
      <c r="B113" s="16"/>
      <c r="C113" s="16"/>
      <c r="D113" s="16"/>
      <c r="E113" s="16"/>
      <c r="F113" s="16"/>
      <c r="G113" s="16"/>
      <c r="H113" s="16"/>
      <c r="N113" s="580"/>
      <c r="O113" s="580"/>
      <c r="P113" s="580"/>
      <c r="Q113" s="580"/>
      <c r="R113" s="580"/>
      <c r="S113" s="580"/>
      <c r="T113" s="580"/>
      <c r="U113" s="580"/>
      <c r="V113" s="580"/>
    </row>
    <row r="114" spans="1:22" ht="15">
      <c r="A114" s="16"/>
      <c r="B114" s="16"/>
      <c r="C114" s="16"/>
      <c r="D114" s="16"/>
      <c r="E114" s="16"/>
      <c r="F114" s="16"/>
      <c r="G114" s="16"/>
      <c r="H114" s="16"/>
      <c r="N114" s="580"/>
      <c r="O114" s="580"/>
      <c r="P114" s="580"/>
      <c r="Q114" s="580"/>
      <c r="R114" s="580"/>
      <c r="S114" s="580"/>
      <c r="T114" s="580"/>
      <c r="U114" s="580"/>
      <c r="V114" s="580"/>
    </row>
    <row r="115" spans="1:22" ht="15">
      <c r="A115" s="16"/>
      <c r="B115" s="16"/>
      <c r="C115" s="16"/>
      <c r="D115" s="16"/>
      <c r="E115" s="16"/>
      <c r="F115" s="16"/>
      <c r="G115" s="16"/>
      <c r="H115" s="16"/>
      <c r="N115" s="580"/>
      <c r="O115" s="580"/>
      <c r="P115" s="580"/>
      <c r="Q115" s="580"/>
      <c r="R115" s="580"/>
      <c r="S115" s="580"/>
      <c r="T115" s="580"/>
      <c r="U115" s="580"/>
      <c r="V115" s="580"/>
    </row>
    <row r="116" spans="1:22" ht="15">
      <c r="A116" s="16"/>
      <c r="B116" s="16"/>
      <c r="C116" s="16"/>
      <c r="D116" s="16"/>
      <c r="E116" s="16"/>
      <c r="F116" s="16"/>
      <c r="G116" s="16"/>
      <c r="H116" s="16"/>
      <c r="N116" s="580"/>
      <c r="O116" s="580"/>
      <c r="P116" s="580"/>
      <c r="Q116" s="580"/>
      <c r="R116" s="580"/>
      <c r="S116" s="580"/>
      <c r="T116" s="580"/>
      <c r="U116" s="580"/>
      <c r="V116" s="580"/>
    </row>
    <row r="117" spans="1:22" ht="15">
      <c r="A117" s="16"/>
      <c r="B117" s="16"/>
      <c r="C117" s="16"/>
      <c r="D117" s="16"/>
      <c r="E117" s="16"/>
      <c r="F117" s="16"/>
      <c r="G117" s="16"/>
      <c r="H117" s="16"/>
      <c r="N117" s="580"/>
      <c r="O117" s="580"/>
      <c r="P117" s="580"/>
      <c r="Q117" s="580"/>
      <c r="R117" s="580"/>
      <c r="S117" s="580"/>
      <c r="T117" s="580"/>
      <c r="U117" s="580"/>
      <c r="V117" s="580"/>
    </row>
    <row r="118" spans="1:22" ht="15">
      <c r="A118" s="16"/>
      <c r="B118" s="16"/>
      <c r="C118" s="16"/>
      <c r="D118" s="16"/>
      <c r="E118" s="16"/>
      <c r="F118" s="16"/>
      <c r="G118" s="16"/>
      <c r="H118" s="16"/>
      <c r="N118" s="580"/>
      <c r="O118" s="580"/>
      <c r="P118" s="580"/>
      <c r="Q118" s="580"/>
      <c r="R118" s="580"/>
      <c r="S118" s="580"/>
      <c r="T118" s="580"/>
      <c r="U118" s="580"/>
      <c r="V118" s="580"/>
    </row>
    <row r="119" spans="1:22" ht="15">
      <c r="A119" s="16"/>
      <c r="B119" s="16"/>
      <c r="C119" s="16"/>
      <c r="D119" s="16"/>
      <c r="E119" s="16"/>
      <c r="F119" s="16"/>
      <c r="G119" s="16"/>
      <c r="H119" s="16"/>
      <c r="N119" s="580"/>
      <c r="O119" s="580"/>
      <c r="P119" s="580"/>
      <c r="Q119" s="580"/>
      <c r="R119" s="580"/>
      <c r="S119" s="580"/>
      <c r="T119" s="580"/>
      <c r="U119" s="580"/>
      <c r="V119" s="580"/>
    </row>
    <row r="120" spans="1:22" ht="15">
      <c r="A120" s="16"/>
      <c r="B120" s="16"/>
      <c r="C120" s="16"/>
      <c r="D120" s="16"/>
      <c r="E120" s="16"/>
      <c r="F120" s="16"/>
      <c r="G120" s="16"/>
      <c r="H120" s="16"/>
      <c r="N120" s="580"/>
      <c r="O120" s="580"/>
      <c r="P120" s="580"/>
      <c r="Q120" s="580"/>
      <c r="R120" s="580"/>
      <c r="S120" s="580"/>
      <c r="T120" s="580"/>
      <c r="U120" s="580"/>
      <c r="V120" s="580"/>
    </row>
    <row r="121" spans="1:22" ht="15">
      <c r="A121" s="16"/>
      <c r="B121" s="16"/>
      <c r="C121" s="16"/>
      <c r="D121" s="16"/>
      <c r="E121" s="16"/>
      <c r="F121" s="16"/>
      <c r="G121" s="16"/>
      <c r="H121" s="16"/>
      <c r="N121" s="580"/>
      <c r="O121" s="580"/>
      <c r="P121" s="580"/>
      <c r="Q121" s="580"/>
      <c r="R121" s="580"/>
      <c r="S121" s="580"/>
      <c r="T121" s="580"/>
      <c r="U121" s="580"/>
      <c r="V121" s="580"/>
    </row>
    <row r="122" spans="1:22" ht="15">
      <c r="A122" s="16"/>
      <c r="B122" s="16"/>
      <c r="C122" s="16"/>
      <c r="D122" s="16"/>
      <c r="E122" s="16"/>
      <c r="F122" s="16"/>
      <c r="G122" s="16"/>
      <c r="H122" s="16"/>
      <c r="N122" s="580"/>
      <c r="O122" s="580"/>
      <c r="P122" s="580"/>
      <c r="Q122" s="580"/>
      <c r="R122" s="580"/>
      <c r="S122" s="580"/>
      <c r="T122" s="580"/>
      <c r="U122" s="580"/>
      <c r="V122" s="580"/>
    </row>
    <row r="123" spans="1:22" ht="15">
      <c r="A123" s="16"/>
      <c r="B123" s="16"/>
      <c r="C123" s="16"/>
      <c r="D123" s="16"/>
      <c r="E123" s="16"/>
      <c r="F123" s="16"/>
      <c r="G123" s="16"/>
      <c r="H123" s="16"/>
      <c r="N123" s="580"/>
      <c r="O123" s="580"/>
      <c r="P123" s="580"/>
      <c r="Q123" s="580"/>
      <c r="R123" s="580"/>
      <c r="S123" s="580"/>
      <c r="T123" s="580"/>
      <c r="U123" s="580"/>
      <c r="V123" s="580"/>
    </row>
    <row r="124" spans="1:22" ht="15">
      <c r="A124" s="16"/>
      <c r="B124" s="16"/>
      <c r="C124" s="16"/>
      <c r="D124" s="16"/>
      <c r="E124" s="16"/>
      <c r="F124" s="16"/>
      <c r="G124" s="16"/>
      <c r="H124" s="16"/>
      <c r="N124" s="580"/>
      <c r="O124" s="580"/>
      <c r="P124" s="580"/>
      <c r="Q124" s="580"/>
      <c r="R124" s="580"/>
      <c r="S124" s="580"/>
      <c r="T124" s="580"/>
      <c r="U124" s="580"/>
      <c r="V124" s="580"/>
    </row>
    <row r="125" spans="1:22" ht="15">
      <c r="A125" s="16"/>
      <c r="B125" s="16"/>
      <c r="C125" s="16"/>
      <c r="D125" s="16"/>
      <c r="E125" s="16"/>
      <c r="F125" s="16"/>
      <c r="G125" s="16"/>
      <c r="H125" s="16"/>
      <c r="N125" s="580"/>
      <c r="O125" s="580"/>
      <c r="P125" s="580"/>
      <c r="Q125" s="580"/>
      <c r="R125" s="580"/>
      <c r="S125" s="580"/>
      <c r="T125" s="580"/>
      <c r="U125" s="580"/>
      <c r="V125" s="580"/>
    </row>
    <row r="126" spans="1:22" ht="15">
      <c r="A126" s="16"/>
      <c r="B126" s="16"/>
      <c r="C126" s="16"/>
      <c r="D126" s="16"/>
      <c r="E126" s="16"/>
      <c r="F126" s="16"/>
      <c r="G126" s="16"/>
      <c r="H126" s="16"/>
      <c r="N126" s="580"/>
      <c r="O126" s="580"/>
      <c r="P126" s="580"/>
      <c r="Q126" s="580"/>
      <c r="R126" s="580"/>
      <c r="S126" s="580"/>
      <c r="T126" s="580"/>
      <c r="U126" s="580"/>
      <c r="V126" s="580"/>
    </row>
    <row r="127" spans="1:22" ht="15">
      <c r="A127" s="16"/>
      <c r="B127" s="16"/>
      <c r="C127" s="16"/>
      <c r="D127" s="16"/>
      <c r="E127" s="16"/>
      <c r="F127" s="16"/>
      <c r="G127" s="16"/>
      <c r="H127" s="16"/>
      <c r="N127" s="580"/>
      <c r="O127" s="580"/>
      <c r="P127" s="580"/>
      <c r="Q127" s="580"/>
      <c r="R127" s="580"/>
      <c r="S127" s="580"/>
      <c r="T127" s="580"/>
      <c r="U127" s="580"/>
      <c r="V127" s="580"/>
    </row>
    <row r="128" spans="1:22" ht="15">
      <c r="A128" s="16"/>
      <c r="B128" s="16"/>
      <c r="C128" s="16"/>
      <c r="D128" s="16"/>
      <c r="E128" s="16"/>
      <c r="F128" s="16"/>
      <c r="G128" s="16"/>
      <c r="H128" s="16"/>
      <c r="N128" s="580"/>
      <c r="O128" s="580"/>
      <c r="P128" s="580"/>
      <c r="Q128" s="580"/>
      <c r="R128" s="580"/>
      <c r="S128" s="580"/>
      <c r="T128" s="580"/>
      <c r="U128" s="580"/>
      <c r="V128" s="580"/>
    </row>
    <row r="129" spans="1:22" ht="15">
      <c r="A129" s="16"/>
      <c r="B129" s="16"/>
      <c r="C129" s="16"/>
      <c r="D129" s="16"/>
      <c r="E129" s="16"/>
      <c r="F129" s="16"/>
      <c r="G129" s="16"/>
      <c r="H129" s="16"/>
      <c r="N129" s="580"/>
      <c r="O129" s="580"/>
      <c r="P129" s="580"/>
      <c r="Q129" s="580"/>
      <c r="R129" s="580"/>
      <c r="S129" s="580"/>
      <c r="T129" s="580"/>
      <c r="U129" s="580"/>
      <c r="V129" s="580"/>
    </row>
    <row r="130" spans="1:22" ht="15">
      <c r="A130" s="16"/>
      <c r="B130" s="16"/>
      <c r="C130" s="16"/>
      <c r="D130" s="16"/>
      <c r="E130" s="16"/>
      <c r="F130" s="16"/>
      <c r="G130" s="16"/>
      <c r="H130" s="16"/>
      <c r="N130" s="580"/>
      <c r="O130" s="580"/>
      <c r="P130" s="580"/>
      <c r="Q130" s="580"/>
      <c r="R130" s="580"/>
      <c r="S130" s="580"/>
      <c r="T130" s="580"/>
      <c r="U130" s="580"/>
      <c r="V130" s="580"/>
    </row>
    <row r="131" spans="1:22" ht="15">
      <c r="A131" s="16"/>
      <c r="B131" s="16"/>
      <c r="C131" s="16"/>
      <c r="D131" s="16"/>
      <c r="E131" s="16"/>
      <c r="F131" s="16"/>
      <c r="G131" s="16"/>
      <c r="H131" s="16"/>
      <c r="N131" s="626"/>
      <c r="O131" s="626"/>
      <c r="P131" s="626"/>
      <c r="Q131" s="626"/>
      <c r="R131" s="626"/>
      <c r="S131" s="626"/>
      <c r="T131" s="626"/>
      <c r="U131" s="626"/>
      <c r="V131" s="626"/>
    </row>
    <row r="132" spans="1:22" ht="15">
      <c r="A132" s="16"/>
      <c r="B132" s="16"/>
      <c r="C132" s="16"/>
      <c r="D132" s="16"/>
      <c r="E132" s="16"/>
      <c r="F132" s="16"/>
      <c r="G132" s="16"/>
      <c r="H132" s="16"/>
      <c r="N132" s="580"/>
      <c r="O132" s="580"/>
      <c r="P132" s="580"/>
      <c r="Q132" s="580"/>
      <c r="R132" s="580"/>
      <c r="S132" s="580"/>
      <c r="T132" s="580"/>
      <c r="U132" s="580"/>
      <c r="V132" s="580"/>
    </row>
    <row r="133" spans="1:22" ht="15">
      <c r="A133" s="16"/>
      <c r="B133" s="16"/>
      <c r="C133" s="16"/>
      <c r="D133" s="16"/>
      <c r="E133" s="16"/>
      <c r="F133" s="16"/>
      <c r="G133" s="16"/>
      <c r="H133" s="16"/>
      <c r="N133" s="580"/>
      <c r="O133" s="580"/>
      <c r="P133" s="580"/>
      <c r="Q133" s="580"/>
      <c r="R133" s="580"/>
      <c r="S133" s="580"/>
      <c r="T133" s="580"/>
      <c r="U133" s="580"/>
      <c r="V133" s="580"/>
    </row>
    <row r="134" spans="1:22" ht="15">
      <c r="A134" s="16"/>
      <c r="B134" s="16"/>
      <c r="C134" s="16"/>
      <c r="D134" s="16"/>
      <c r="E134" s="16"/>
      <c r="F134" s="16"/>
      <c r="G134" s="16"/>
      <c r="H134" s="16"/>
      <c r="N134" s="580"/>
      <c r="O134" s="580"/>
      <c r="P134" s="580"/>
      <c r="Q134" s="580"/>
      <c r="R134" s="580"/>
      <c r="S134" s="580"/>
      <c r="T134" s="580"/>
      <c r="U134" s="580"/>
      <c r="V134" s="580"/>
    </row>
    <row r="135" spans="1:22" ht="15">
      <c r="A135" s="16"/>
      <c r="B135" s="16"/>
      <c r="C135" s="16"/>
      <c r="D135" s="16"/>
      <c r="E135" s="16"/>
      <c r="F135" s="16"/>
      <c r="G135" s="16"/>
      <c r="H135" s="16"/>
      <c r="N135" s="580"/>
      <c r="O135" s="580"/>
      <c r="P135" s="580"/>
      <c r="Q135" s="580"/>
      <c r="R135" s="580"/>
      <c r="S135" s="580"/>
      <c r="T135" s="580"/>
      <c r="U135" s="580"/>
      <c r="V135" s="580"/>
    </row>
    <row r="136" spans="1:22" ht="15">
      <c r="A136" s="16"/>
      <c r="B136" s="16"/>
      <c r="C136" s="16"/>
      <c r="D136" s="16"/>
      <c r="E136" s="16"/>
      <c r="F136" s="16"/>
      <c r="G136" s="16"/>
      <c r="H136" s="16"/>
      <c r="N136" s="580"/>
      <c r="O136" s="580"/>
      <c r="P136" s="580"/>
      <c r="Q136" s="580"/>
      <c r="R136" s="580"/>
      <c r="S136" s="580"/>
      <c r="T136" s="580"/>
      <c r="U136" s="580"/>
      <c r="V136" s="580"/>
    </row>
    <row r="137" spans="1:22" ht="15">
      <c r="A137" s="16"/>
      <c r="B137" s="16"/>
      <c r="C137" s="16"/>
      <c r="D137" s="16"/>
      <c r="E137" s="16"/>
      <c r="F137" s="16"/>
      <c r="G137" s="16"/>
      <c r="H137" s="16"/>
      <c r="N137" s="580"/>
      <c r="O137" s="580"/>
      <c r="P137" s="580"/>
      <c r="Q137" s="580"/>
      <c r="R137" s="580"/>
      <c r="S137" s="580"/>
      <c r="T137" s="580"/>
      <c r="U137" s="580"/>
      <c r="V137" s="580"/>
    </row>
    <row r="138" spans="1:22" ht="15">
      <c r="A138" s="16"/>
      <c r="B138" s="16"/>
      <c r="C138" s="16"/>
      <c r="D138" s="16"/>
      <c r="E138" s="16"/>
      <c r="F138" s="16"/>
      <c r="G138" s="16"/>
      <c r="H138" s="16"/>
      <c r="N138" s="580"/>
      <c r="O138" s="580"/>
      <c r="P138" s="580"/>
      <c r="Q138" s="580"/>
      <c r="R138" s="580"/>
      <c r="S138" s="580"/>
      <c r="T138" s="580"/>
      <c r="U138" s="580"/>
      <c r="V138" s="580"/>
    </row>
    <row r="139" spans="1:22" ht="15">
      <c r="A139" s="16"/>
      <c r="B139" s="16"/>
      <c r="C139" s="16"/>
      <c r="D139" s="16"/>
      <c r="E139" s="16"/>
      <c r="F139" s="16"/>
      <c r="G139" s="16"/>
      <c r="H139" s="16"/>
      <c r="N139" s="580"/>
      <c r="O139" s="580"/>
      <c r="P139" s="580"/>
      <c r="Q139" s="580"/>
      <c r="R139" s="580"/>
      <c r="S139" s="580"/>
      <c r="T139" s="580"/>
      <c r="U139" s="580"/>
      <c r="V139" s="580"/>
    </row>
    <row r="140" spans="1:22" ht="15">
      <c r="A140" s="16"/>
      <c r="B140" s="16"/>
      <c r="C140" s="16"/>
      <c r="D140" s="16"/>
      <c r="E140" s="16"/>
      <c r="F140" s="16"/>
      <c r="G140" s="16"/>
      <c r="H140" s="16"/>
      <c r="N140" s="580"/>
      <c r="O140" s="580"/>
      <c r="P140" s="580"/>
      <c r="Q140" s="580"/>
      <c r="R140" s="580"/>
      <c r="S140" s="580"/>
      <c r="T140" s="580"/>
      <c r="U140" s="580"/>
      <c r="V140" s="580"/>
    </row>
    <row r="141" spans="1:22" ht="15">
      <c r="A141" s="16"/>
      <c r="B141" s="16"/>
      <c r="C141" s="16"/>
      <c r="D141" s="16"/>
      <c r="E141" s="16"/>
      <c r="F141" s="16"/>
      <c r="G141" s="16"/>
      <c r="H141" s="16"/>
      <c r="N141" s="580"/>
      <c r="O141" s="580"/>
      <c r="P141" s="580"/>
      <c r="Q141" s="580"/>
      <c r="R141" s="580"/>
      <c r="S141" s="580"/>
      <c r="T141" s="580"/>
      <c r="U141" s="580"/>
      <c r="V141" s="580"/>
    </row>
    <row r="142" spans="1:22" ht="15">
      <c r="A142" s="16"/>
      <c r="B142" s="16"/>
      <c r="C142" s="16"/>
      <c r="D142" s="16"/>
      <c r="E142" s="16"/>
      <c r="F142" s="16"/>
      <c r="G142" s="16"/>
      <c r="H142" s="16"/>
      <c r="N142" s="580"/>
      <c r="O142" s="580"/>
      <c r="P142" s="580"/>
      <c r="Q142" s="580"/>
      <c r="R142" s="580"/>
      <c r="S142" s="580"/>
      <c r="T142" s="580"/>
      <c r="U142" s="580"/>
      <c r="V142" s="580"/>
    </row>
    <row r="143" spans="1:22" ht="15">
      <c r="A143" s="16"/>
      <c r="B143" s="16"/>
      <c r="C143" s="16"/>
      <c r="D143" s="16"/>
      <c r="E143" s="16"/>
      <c r="F143" s="16"/>
      <c r="G143" s="16"/>
      <c r="H143" s="16"/>
      <c r="N143" s="580"/>
      <c r="O143" s="580"/>
      <c r="P143" s="580"/>
      <c r="Q143" s="580"/>
      <c r="R143" s="580"/>
      <c r="S143" s="580"/>
      <c r="T143" s="580"/>
      <c r="U143" s="580"/>
      <c r="V143" s="580"/>
    </row>
    <row r="144" spans="1:22" ht="15">
      <c r="A144" s="16"/>
      <c r="B144" s="16"/>
      <c r="C144" s="16"/>
      <c r="D144" s="16"/>
      <c r="E144" s="16"/>
      <c r="F144" s="16"/>
      <c r="G144" s="16"/>
      <c r="H144" s="16"/>
      <c r="N144" s="626"/>
      <c r="O144" s="626"/>
      <c r="P144" s="626"/>
      <c r="Q144" s="626"/>
      <c r="R144" s="626"/>
      <c r="S144" s="626"/>
      <c r="T144" s="626"/>
      <c r="U144" s="626"/>
      <c r="V144" s="626"/>
    </row>
    <row r="145" spans="1:22" ht="15">
      <c r="A145" s="16"/>
      <c r="B145" s="16"/>
      <c r="C145" s="16"/>
      <c r="D145" s="16"/>
      <c r="E145" s="16"/>
      <c r="F145" s="16"/>
      <c r="G145" s="16"/>
      <c r="H145" s="16"/>
      <c r="N145" s="626"/>
      <c r="O145" s="626"/>
      <c r="P145" s="626"/>
      <c r="Q145" s="626"/>
      <c r="R145" s="626"/>
      <c r="S145" s="626"/>
      <c r="T145" s="626"/>
      <c r="U145" s="626"/>
      <c r="V145" s="626"/>
    </row>
    <row r="146" spans="1:22" ht="15">
      <c r="A146" s="16"/>
      <c r="B146" s="16"/>
      <c r="C146" s="16"/>
      <c r="D146" s="16"/>
      <c r="E146" s="16"/>
      <c r="F146" s="16"/>
      <c r="G146" s="16"/>
      <c r="H146" s="16"/>
      <c r="N146" s="580"/>
      <c r="O146" s="580"/>
      <c r="P146" s="580"/>
      <c r="Q146" s="580"/>
      <c r="R146" s="580"/>
      <c r="S146" s="580"/>
      <c r="T146" s="580"/>
      <c r="U146" s="580"/>
      <c r="V146" s="580"/>
    </row>
    <row r="147" spans="1:22" ht="15">
      <c r="A147" s="16"/>
      <c r="B147" s="16"/>
      <c r="C147" s="16"/>
      <c r="D147" s="16"/>
      <c r="E147" s="16"/>
      <c r="F147" s="16"/>
      <c r="G147" s="16"/>
      <c r="H147" s="16"/>
      <c r="N147" s="580"/>
      <c r="O147" s="580"/>
      <c r="P147" s="580"/>
      <c r="Q147" s="580"/>
      <c r="R147" s="580"/>
      <c r="S147" s="580"/>
      <c r="T147" s="580"/>
      <c r="U147" s="580"/>
      <c r="V147" s="580"/>
    </row>
    <row r="148" spans="1:22" ht="15">
      <c r="A148" s="16"/>
      <c r="B148" s="16"/>
      <c r="C148" s="16"/>
      <c r="D148" s="16"/>
      <c r="E148" s="16"/>
      <c r="F148" s="16"/>
      <c r="G148" s="16"/>
      <c r="H148" s="16"/>
      <c r="N148" s="580"/>
      <c r="O148" s="580"/>
      <c r="P148" s="580"/>
      <c r="Q148" s="580"/>
      <c r="R148" s="580"/>
      <c r="S148" s="580"/>
      <c r="T148" s="580"/>
      <c r="U148" s="580"/>
      <c r="V148" s="580"/>
    </row>
    <row r="149" spans="1:22" ht="15">
      <c r="A149" s="16"/>
      <c r="B149" s="16"/>
      <c r="C149" s="16"/>
      <c r="D149" s="16"/>
      <c r="E149" s="16"/>
      <c r="F149" s="16"/>
      <c r="G149" s="16"/>
      <c r="H149" s="16"/>
      <c r="N149" s="580"/>
      <c r="O149" s="580"/>
      <c r="P149" s="580"/>
      <c r="Q149" s="580"/>
      <c r="R149" s="580"/>
      <c r="S149" s="580"/>
      <c r="T149" s="580"/>
      <c r="U149" s="580"/>
      <c r="V149" s="580"/>
    </row>
    <row r="150" spans="1:22" ht="15">
      <c r="A150" s="16"/>
      <c r="B150" s="16"/>
      <c r="C150" s="16"/>
      <c r="D150" s="16"/>
      <c r="E150" s="16"/>
      <c r="F150" s="16"/>
      <c r="G150" s="16"/>
      <c r="H150" s="16"/>
      <c r="N150" s="580"/>
      <c r="O150" s="580"/>
      <c r="P150" s="580"/>
      <c r="Q150" s="580"/>
      <c r="R150" s="580"/>
      <c r="S150" s="580"/>
      <c r="T150" s="580"/>
      <c r="U150" s="580"/>
      <c r="V150" s="580"/>
    </row>
    <row r="151" spans="1:22" ht="15">
      <c r="A151" s="16"/>
      <c r="B151" s="16"/>
      <c r="C151" s="16"/>
      <c r="D151" s="16"/>
      <c r="E151" s="16"/>
      <c r="F151" s="16"/>
      <c r="G151" s="16"/>
      <c r="H151" s="16"/>
      <c r="N151" s="580"/>
      <c r="O151" s="580"/>
      <c r="P151" s="580"/>
      <c r="Q151" s="580"/>
      <c r="R151" s="580"/>
      <c r="S151" s="580"/>
      <c r="T151" s="580"/>
      <c r="U151" s="580"/>
      <c r="V151" s="580"/>
    </row>
    <row r="152" spans="1:22" ht="15">
      <c r="A152" s="16"/>
      <c r="B152" s="16"/>
      <c r="C152" s="16"/>
      <c r="D152" s="16"/>
      <c r="E152" s="16"/>
      <c r="F152" s="16"/>
      <c r="G152" s="16"/>
      <c r="H152" s="16"/>
      <c r="N152" s="580"/>
      <c r="O152" s="580"/>
      <c r="P152" s="580"/>
      <c r="Q152" s="580"/>
      <c r="R152" s="580"/>
      <c r="S152" s="580"/>
      <c r="T152" s="580"/>
      <c r="U152" s="580"/>
      <c r="V152" s="580"/>
    </row>
    <row r="153" spans="1:22" ht="15">
      <c r="A153" s="16"/>
      <c r="B153" s="16"/>
      <c r="C153" s="16"/>
      <c r="D153" s="16"/>
      <c r="E153" s="16"/>
      <c r="F153" s="16"/>
      <c r="G153" s="16"/>
      <c r="H153" s="16"/>
      <c r="N153" s="580"/>
      <c r="O153" s="580"/>
      <c r="P153" s="580"/>
      <c r="Q153" s="580"/>
      <c r="R153" s="580"/>
      <c r="S153" s="580"/>
      <c r="T153" s="580"/>
      <c r="U153" s="580"/>
      <c r="V153" s="580"/>
    </row>
    <row r="154" spans="1:22" ht="15">
      <c r="A154" s="16"/>
      <c r="B154" s="16"/>
      <c r="C154" s="16"/>
      <c r="D154" s="16"/>
      <c r="E154" s="16"/>
      <c r="F154" s="16"/>
      <c r="G154" s="16"/>
      <c r="H154" s="16"/>
      <c r="N154" s="580"/>
      <c r="O154" s="580"/>
      <c r="P154" s="580"/>
      <c r="Q154" s="580"/>
      <c r="R154" s="580"/>
      <c r="S154" s="580"/>
      <c r="T154" s="580"/>
      <c r="U154" s="580"/>
      <c r="V154" s="580"/>
    </row>
    <row r="155" spans="1:22" ht="15">
      <c r="A155" s="16"/>
      <c r="B155" s="16"/>
      <c r="C155" s="16"/>
      <c r="D155" s="16"/>
      <c r="E155" s="16"/>
      <c r="F155" s="16"/>
      <c r="G155" s="16"/>
      <c r="H155" s="16"/>
      <c r="N155" s="580"/>
      <c r="O155" s="580"/>
      <c r="P155" s="580"/>
      <c r="Q155" s="580"/>
      <c r="R155" s="580"/>
      <c r="S155" s="580"/>
      <c r="T155" s="580"/>
      <c r="U155" s="580"/>
      <c r="V155" s="580"/>
    </row>
    <row r="156" spans="1:22" ht="15">
      <c r="A156" s="16"/>
      <c r="B156" s="16"/>
      <c r="C156" s="16"/>
      <c r="D156" s="16"/>
      <c r="E156" s="16"/>
      <c r="F156" s="16"/>
      <c r="G156" s="16"/>
      <c r="H156" s="16"/>
      <c r="N156" s="580"/>
      <c r="O156" s="580"/>
      <c r="P156" s="580"/>
      <c r="Q156" s="580"/>
      <c r="R156" s="580"/>
      <c r="S156" s="580"/>
      <c r="T156" s="580"/>
      <c r="U156" s="580"/>
      <c r="V156" s="580"/>
    </row>
    <row r="157" spans="1:22" ht="15">
      <c r="A157" s="16"/>
      <c r="B157" s="16"/>
      <c r="C157" s="16"/>
      <c r="D157" s="16"/>
      <c r="E157" s="16"/>
      <c r="F157" s="16"/>
      <c r="G157" s="16"/>
      <c r="H157" s="16"/>
      <c r="N157" s="580"/>
      <c r="O157" s="580"/>
      <c r="P157" s="580"/>
      <c r="Q157" s="580"/>
      <c r="R157" s="580"/>
      <c r="S157" s="580"/>
      <c r="T157" s="580"/>
      <c r="U157" s="580"/>
      <c r="V157" s="580"/>
    </row>
    <row r="158" spans="1:22" ht="15">
      <c r="A158" s="16"/>
      <c r="B158" s="16"/>
      <c r="C158" s="16"/>
      <c r="D158" s="16"/>
      <c r="E158" s="16"/>
      <c r="F158" s="16"/>
      <c r="G158" s="16"/>
      <c r="H158" s="16"/>
      <c r="N158" s="580"/>
      <c r="O158" s="580"/>
      <c r="P158" s="580"/>
      <c r="Q158" s="580"/>
      <c r="R158" s="580"/>
      <c r="S158" s="580"/>
      <c r="T158" s="580"/>
      <c r="U158" s="580"/>
      <c r="V158" s="580"/>
    </row>
    <row r="159" spans="1:22" ht="15">
      <c r="A159" s="16"/>
      <c r="B159" s="16"/>
      <c r="C159" s="16"/>
      <c r="D159" s="16"/>
      <c r="E159" s="16"/>
      <c r="F159" s="16"/>
      <c r="G159" s="16"/>
      <c r="H159" s="16"/>
      <c r="N159" s="580"/>
      <c r="O159" s="580"/>
      <c r="P159" s="580"/>
      <c r="Q159" s="580"/>
      <c r="R159" s="580"/>
      <c r="S159" s="580"/>
      <c r="T159" s="580"/>
      <c r="U159" s="580"/>
      <c r="V159" s="580"/>
    </row>
    <row r="160" spans="1:22" ht="15">
      <c r="A160" s="16"/>
      <c r="B160" s="16"/>
      <c r="C160" s="16"/>
      <c r="D160" s="16"/>
      <c r="E160" s="16"/>
      <c r="F160" s="16"/>
      <c r="G160" s="16"/>
      <c r="H160" s="16"/>
      <c r="N160" s="580"/>
      <c r="O160" s="580"/>
      <c r="P160" s="580"/>
      <c r="Q160" s="580"/>
      <c r="R160" s="580"/>
      <c r="S160" s="580"/>
      <c r="T160" s="580"/>
      <c r="U160" s="580"/>
      <c r="V160" s="580"/>
    </row>
    <row r="161" spans="1:22" ht="15">
      <c r="A161" s="16"/>
      <c r="B161" s="16"/>
      <c r="C161" s="16"/>
      <c r="D161" s="16"/>
      <c r="E161" s="16"/>
      <c r="F161" s="16"/>
      <c r="G161" s="16"/>
      <c r="H161" s="16"/>
      <c r="N161" s="580"/>
      <c r="O161" s="580"/>
      <c r="P161" s="580"/>
      <c r="Q161" s="580"/>
      <c r="R161" s="580"/>
      <c r="S161" s="580"/>
      <c r="T161" s="580"/>
      <c r="U161" s="580"/>
      <c r="V161" s="580"/>
    </row>
    <row r="162" spans="1:22" ht="15">
      <c r="A162" s="16"/>
      <c r="B162" s="16"/>
      <c r="C162" s="16"/>
      <c r="D162" s="16"/>
      <c r="E162" s="16"/>
      <c r="F162" s="16"/>
      <c r="G162" s="16"/>
      <c r="H162" s="16"/>
      <c r="N162" s="580"/>
      <c r="O162" s="580"/>
      <c r="P162" s="580"/>
      <c r="Q162" s="580"/>
      <c r="R162" s="580"/>
      <c r="S162" s="580"/>
      <c r="T162" s="580"/>
      <c r="U162" s="580"/>
      <c r="V162" s="580"/>
    </row>
    <row r="163" spans="1:22" ht="15">
      <c r="A163" s="16"/>
      <c r="B163" s="16"/>
      <c r="C163" s="16"/>
      <c r="D163" s="16"/>
      <c r="E163" s="16"/>
      <c r="F163" s="16"/>
      <c r="G163" s="16"/>
      <c r="H163" s="16"/>
      <c r="N163" s="580"/>
      <c r="O163" s="580"/>
      <c r="P163" s="580"/>
      <c r="Q163" s="580"/>
      <c r="R163" s="580"/>
      <c r="S163" s="580"/>
      <c r="T163" s="580"/>
      <c r="U163" s="580"/>
      <c r="V163" s="580"/>
    </row>
    <row r="164" spans="1:22" ht="15">
      <c r="A164" s="16"/>
      <c r="B164" s="16"/>
      <c r="C164" s="16"/>
      <c r="D164" s="16"/>
      <c r="E164" s="16"/>
      <c r="F164" s="16"/>
      <c r="G164" s="16"/>
      <c r="H164" s="16"/>
      <c r="N164" s="580"/>
      <c r="O164" s="580"/>
      <c r="P164" s="580"/>
      <c r="Q164" s="580"/>
      <c r="R164" s="580"/>
      <c r="S164" s="580"/>
      <c r="T164" s="580"/>
      <c r="U164" s="580"/>
      <c r="V164" s="580"/>
    </row>
    <row r="165" spans="1:22" ht="15">
      <c r="A165" s="16"/>
      <c r="B165" s="16"/>
      <c r="C165" s="16"/>
      <c r="D165" s="16"/>
      <c r="E165" s="16"/>
      <c r="F165" s="16"/>
      <c r="G165" s="16"/>
      <c r="H165" s="16"/>
      <c r="N165" s="580"/>
      <c r="O165" s="580"/>
      <c r="P165" s="580"/>
      <c r="Q165" s="580"/>
      <c r="R165" s="580"/>
      <c r="S165" s="580"/>
      <c r="T165" s="580"/>
      <c r="U165" s="580"/>
      <c r="V165" s="580"/>
    </row>
    <row r="166" spans="1:22" ht="15">
      <c r="A166" s="16"/>
      <c r="B166" s="16"/>
      <c r="C166" s="16"/>
      <c r="D166" s="16"/>
      <c r="E166" s="16"/>
      <c r="F166" s="16"/>
      <c r="G166" s="16"/>
      <c r="H166" s="16"/>
      <c r="N166" s="580"/>
      <c r="O166" s="580"/>
      <c r="P166" s="580"/>
      <c r="Q166" s="580"/>
      <c r="R166" s="580"/>
      <c r="S166" s="580"/>
      <c r="T166" s="580"/>
      <c r="U166" s="580"/>
      <c r="V166" s="580"/>
    </row>
    <row r="167" spans="1:22" ht="15">
      <c r="A167" s="16"/>
      <c r="B167" s="16"/>
      <c r="C167" s="16"/>
      <c r="D167" s="16"/>
      <c r="E167" s="16"/>
      <c r="F167" s="16"/>
      <c r="G167" s="16"/>
      <c r="H167" s="16"/>
      <c r="N167" s="580"/>
      <c r="O167" s="580"/>
      <c r="P167" s="580"/>
      <c r="Q167" s="580"/>
      <c r="R167" s="580"/>
      <c r="S167" s="580"/>
      <c r="T167" s="580"/>
      <c r="U167" s="580"/>
      <c r="V167" s="580"/>
    </row>
    <row r="168" spans="1:22" ht="15">
      <c r="A168" s="16"/>
      <c r="B168" s="16"/>
      <c r="C168" s="16"/>
      <c r="D168" s="16"/>
      <c r="E168" s="16"/>
      <c r="F168" s="16"/>
      <c r="G168" s="16"/>
      <c r="H168" s="16"/>
      <c r="N168" s="580"/>
      <c r="O168" s="580"/>
      <c r="P168" s="580"/>
      <c r="Q168" s="580"/>
      <c r="R168" s="580"/>
      <c r="S168" s="580"/>
      <c r="T168" s="580"/>
      <c r="U168" s="580"/>
      <c r="V168" s="580"/>
    </row>
    <row r="169" spans="1:22" ht="15">
      <c r="A169" s="16"/>
      <c r="B169" s="16"/>
      <c r="C169" s="16"/>
      <c r="D169" s="16"/>
      <c r="E169" s="16"/>
      <c r="F169" s="16"/>
      <c r="G169" s="16"/>
      <c r="H169" s="16"/>
      <c r="N169" s="580"/>
      <c r="O169" s="580"/>
      <c r="P169" s="580"/>
      <c r="Q169" s="580"/>
      <c r="R169" s="580"/>
      <c r="S169" s="580"/>
      <c r="T169" s="580"/>
      <c r="U169" s="580"/>
      <c r="V169" s="580"/>
    </row>
    <row r="170" spans="1:22" ht="15">
      <c r="A170" s="16"/>
      <c r="B170" s="16"/>
      <c r="C170" s="16"/>
      <c r="D170" s="16"/>
      <c r="E170" s="16"/>
      <c r="F170" s="16"/>
      <c r="G170" s="16"/>
      <c r="H170" s="16"/>
      <c r="N170" s="580"/>
      <c r="O170" s="580"/>
      <c r="P170" s="580"/>
      <c r="Q170" s="580"/>
      <c r="R170" s="580"/>
      <c r="S170" s="580"/>
      <c r="T170" s="580"/>
      <c r="U170" s="580"/>
      <c r="V170" s="580"/>
    </row>
    <row r="171" spans="1:22" ht="15">
      <c r="A171" s="16"/>
      <c r="B171" s="16"/>
      <c r="C171" s="16"/>
      <c r="D171" s="16"/>
      <c r="E171" s="16"/>
      <c r="F171" s="16"/>
      <c r="G171" s="16"/>
      <c r="H171" s="16"/>
      <c r="N171" s="580"/>
      <c r="O171" s="580"/>
      <c r="P171" s="580"/>
      <c r="Q171" s="580"/>
      <c r="R171" s="580"/>
      <c r="S171" s="580"/>
      <c r="T171" s="580"/>
      <c r="U171" s="580"/>
      <c r="V171" s="580"/>
    </row>
    <row r="172" spans="1:22" ht="15">
      <c r="A172" s="16"/>
      <c r="B172" s="16"/>
      <c r="C172" s="16"/>
      <c r="D172" s="16"/>
      <c r="E172" s="16"/>
      <c r="F172" s="16"/>
      <c r="G172" s="16"/>
      <c r="H172" s="16"/>
      <c r="N172" s="580"/>
      <c r="O172" s="580"/>
      <c r="P172" s="580"/>
      <c r="Q172" s="580"/>
      <c r="R172" s="580"/>
      <c r="S172" s="580"/>
      <c r="T172" s="580"/>
      <c r="U172" s="580"/>
      <c r="V172" s="580"/>
    </row>
    <row r="173" spans="1:22" ht="15">
      <c r="A173" s="16"/>
      <c r="B173" s="16"/>
      <c r="C173" s="16"/>
      <c r="D173" s="16"/>
      <c r="E173" s="16"/>
      <c r="F173" s="16"/>
      <c r="G173" s="16"/>
      <c r="H173" s="16"/>
      <c r="N173" s="580"/>
      <c r="O173" s="580"/>
      <c r="P173" s="580"/>
      <c r="Q173" s="580"/>
      <c r="R173" s="580"/>
      <c r="S173" s="580"/>
      <c r="T173" s="580"/>
      <c r="U173" s="580"/>
      <c r="V173" s="580"/>
    </row>
    <row r="174" spans="1:22" ht="15">
      <c r="A174" s="16"/>
      <c r="B174" s="16"/>
      <c r="C174" s="16"/>
      <c r="D174" s="16"/>
      <c r="E174" s="16"/>
      <c r="F174" s="16"/>
      <c r="G174" s="16"/>
      <c r="H174" s="16"/>
      <c r="N174" s="580"/>
      <c r="O174" s="580"/>
      <c r="P174" s="580"/>
      <c r="Q174" s="580"/>
      <c r="R174" s="580"/>
      <c r="S174" s="580"/>
      <c r="T174" s="580"/>
      <c r="U174" s="580"/>
      <c r="V174" s="580"/>
    </row>
    <row r="175" spans="1:22" ht="15">
      <c r="A175" s="16"/>
      <c r="B175" s="16"/>
      <c r="C175" s="16"/>
      <c r="D175" s="16"/>
      <c r="E175" s="16"/>
      <c r="F175" s="16"/>
      <c r="G175" s="16"/>
      <c r="H175" s="16"/>
      <c r="N175" s="580"/>
      <c r="O175" s="580"/>
      <c r="P175" s="580"/>
      <c r="Q175" s="580"/>
      <c r="R175" s="580"/>
      <c r="S175" s="580"/>
      <c r="T175" s="580"/>
      <c r="U175" s="580"/>
      <c r="V175" s="580"/>
    </row>
    <row r="176" spans="1:22" ht="15">
      <c r="A176" s="16"/>
      <c r="B176" s="16"/>
      <c r="C176" s="16"/>
      <c r="D176" s="16"/>
      <c r="E176" s="16"/>
      <c r="F176" s="16"/>
      <c r="G176" s="16"/>
      <c r="H176" s="16"/>
      <c r="N176" s="580"/>
      <c r="O176" s="580"/>
      <c r="P176" s="580"/>
      <c r="Q176" s="580"/>
      <c r="R176" s="580"/>
      <c r="S176" s="580"/>
      <c r="T176" s="580"/>
      <c r="U176" s="580"/>
      <c r="V176" s="580"/>
    </row>
    <row r="177" spans="1:22" ht="15">
      <c r="A177" s="16"/>
      <c r="B177" s="16"/>
      <c r="C177" s="16"/>
      <c r="D177" s="16"/>
      <c r="E177" s="16"/>
      <c r="F177" s="16"/>
      <c r="G177" s="16"/>
      <c r="H177" s="16"/>
      <c r="N177" s="580"/>
      <c r="O177" s="580"/>
      <c r="P177" s="580"/>
      <c r="Q177" s="580"/>
      <c r="R177" s="580"/>
      <c r="S177" s="580"/>
      <c r="T177" s="580"/>
      <c r="U177" s="580"/>
      <c r="V177" s="580"/>
    </row>
    <row r="178" spans="1:22" ht="15">
      <c r="A178" s="16"/>
      <c r="B178" s="16"/>
      <c r="C178" s="16"/>
      <c r="D178" s="16"/>
      <c r="E178" s="16"/>
      <c r="F178" s="16"/>
      <c r="G178" s="16"/>
      <c r="H178" s="16"/>
      <c r="N178" s="580"/>
      <c r="O178" s="580"/>
      <c r="P178" s="580"/>
      <c r="Q178" s="580"/>
      <c r="R178" s="580"/>
      <c r="S178" s="580"/>
      <c r="T178" s="580"/>
      <c r="U178" s="580"/>
      <c r="V178" s="580"/>
    </row>
    <row r="179" spans="1:22" ht="15">
      <c r="A179" s="16"/>
      <c r="B179" s="16"/>
      <c r="C179" s="16"/>
      <c r="D179" s="16"/>
      <c r="E179" s="16"/>
      <c r="F179" s="16"/>
      <c r="G179" s="16"/>
      <c r="H179" s="16"/>
      <c r="N179" s="580"/>
      <c r="O179" s="580"/>
      <c r="P179" s="580"/>
      <c r="Q179" s="580"/>
      <c r="R179" s="580"/>
      <c r="S179" s="580"/>
      <c r="T179" s="580"/>
      <c r="U179" s="580"/>
      <c r="V179" s="580"/>
    </row>
    <row r="180" spans="1:22" ht="15">
      <c r="A180" s="16"/>
      <c r="B180" s="16"/>
      <c r="C180" s="16"/>
      <c r="D180" s="16"/>
      <c r="E180" s="16"/>
      <c r="F180" s="16"/>
      <c r="G180" s="16"/>
      <c r="H180" s="16"/>
      <c r="N180" s="580"/>
      <c r="O180" s="580"/>
      <c r="P180" s="580"/>
      <c r="Q180" s="580"/>
      <c r="R180" s="580"/>
      <c r="S180" s="580"/>
      <c r="T180" s="580"/>
      <c r="U180" s="580"/>
      <c r="V180" s="580"/>
    </row>
    <row r="181" spans="1:22" ht="15">
      <c r="A181" s="16"/>
      <c r="B181" s="16"/>
      <c r="C181" s="16"/>
      <c r="D181" s="16"/>
      <c r="E181" s="16"/>
      <c r="F181" s="16"/>
      <c r="G181" s="16"/>
      <c r="H181" s="16"/>
      <c r="N181" s="580"/>
      <c r="O181" s="580"/>
      <c r="P181" s="580"/>
      <c r="Q181" s="580"/>
      <c r="R181" s="580"/>
      <c r="S181" s="580"/>
      <c r="T181" s="580"/>
      <c r="U181" s="580"/>
      <c r="V181" s="580"/>
    </row>
    <row r="182" spans="1:22" ht="15">
      <c r="A182" s="16"/>
      <c r="B182" s="16"/>
      <c r="C182" s="16"/>
      <c r="D182" s="16"/>
      <c r="E182" s="16"/>
      <c r="F182" s="16"/>
      <c r="G182" s="16"/>
      <c r="H182" s="16"/>
      <c r="N182" s="580"/>
      <c r="O182" s="580"/>
      <c r="P182" s="580"/>
      <c r="Q182" s="580"/>
      <c r="R182" s="580"/>
      <c r="S182" s="580"/>
      <c r="T182" s="580"/>
      <c r="U182" s="580"/>
      <c r="V182" s="580"/>
    </row>
    <row r="183" spans="1:22" ht="15">
      <c r="A183" s="16"/>
      <c r="B183" s="16"/>
      <c r="C183" s="16"/>
      <c r="D183" s="16"/>
      <c r="E183" s="16"/>
      <c r="F183" s="16"/>
      <c r="G183" s="16"/>
      <c r="H183" s="16"/>
      <c r="N183" s="580"/>
      <c r="O183" s="580"/>
      <c r="P183" s="580"/>
      <c r="Q183" s="580"/>
      <c r="R183" s="580"/>
      <c r="S183" s="580"/>
      <c r="T183" s="580"/>
      <c r="U183" s="580"/>
      <c r="V183" s="580"/>
    </row>
    <row r="184" spans="1:22" ht="15">
      <c r="A184" s="16"/>
      <c r="B184" s="16"/>
      <c r="C184" s="16"/>
      <c r="D184" s="16"/>
      <c r="E184" s="16"/>
      <c r="F184" s="16"/>
      <c r="G184" s="16"/>
      <c r="H184" s="16"/>
      <c r="N184" s="580"/>
      <c r="O184" s="580"/>
      <c r="P184" s="580"/>
      <c r="Q184" s="580"/>
      <c r="R184" s="580"/>
      <c r="S184" s="580"/>
      <c r="T184" s="580"/>
      <c r="U184" s="580"/>
      <c r="V184" s="580"/>
    </row>
    <row r="185" spans="1:22" ht="15">
      <c r="A185" s="16"/>
      <c r="B185" s="16"/>
      <c r="C185" s="16"/>
      <c r="D185" s="16"/>
      <c r="E185" s="16"/>
      <c r="F185" s="16"/>
      <c r="G185" s="16"/>
      <c r="H185" s="16"/>
      <c r="N185" s="580"/>
      <c r="O185" s="580"/>
      <c r="P185" s="580"/>
      <c r="Q185" s="580"/>
      <c r="R185" s="580"/>
      <c r="S185" s="580"/>
      <c r="T185" s="580"/>
      <c r="U185" s="580"/>
      <c r="V185" s="580"/>
    </row>
    <row r="186" spans="1:22" ht="15">
      <c r="A186" s="16"/>
      <c r="B186" s="16"/>
      <c r="C186" s="16"/>
      <c r="D186" s="16"/>
      <c r="E186" s="16"/>
      <c r="F186" s="16"/>
      <c r="G186" s="16"/>
      <c r="H186" s="16"/>
      <c r="N186" s="580"/>
      <c r="O186" s="580"/>
      <c r="P186" s="580"/>
      <c r="Q186" s="580"/>
      <c r="R186" s="580"/>
      <c r="S186" s="580"/>
      <c r="T186" s="580"/>
      <c r="U186" s="580"/>
      <c r="V186" s="580"/>
    </row>
    <row r="187" spans="1:22" ht="15">
      <c r="A187" s="16"/>
      <c r="B187" s="16"/>
      <c r="C187" s="16"/>
      <c r="D187" s="16"/>
      <c r="E187" s="16"/>
      <c r="F187" s="16"/>
      <c r="G187" s="16"/>
      <c r="H187" s="16"/>
      <c r="N187" s="580"/>
      <c r="O187" s="580"/>
      <c r="P187" s="580"/>
      <c r="Q187" s="580"/>
      <c r="R187" s="580"/>
      <c r="S187" s="580"/>
      <c r="T187" s="580"/>
      <c r="U187" s="580"/>
      <c r="V187" s="580"/>
    </row>
    <row r="188" spans="1:22" ht="15">
      <c r="A188" s="16"/>
      <c r="B188" s="16"/>
      <c r="C188" s="16"/>
      <c r="D188" s="16"/>
      <c r="E188" s="16"/>
      <c r="F188" s="16"/>
      <c r="G188" s="16"/>
      <c r="H188" s="16"/>
      <c r="N188" s="580"/>
      <c r="O188" s="580"/>
      <c r="P188" s="580"/>
      <c r="Q188" s="580"/>
      <c r="R188" s="580"/>
      <c r="S188" s="580"/>
      <c r="T188" s="580"/>
      <c r="U188" s="580"/>
      <c r="V188" s="580"/>
    </row>
    <row r="189" spans="1:22" ht="15">
      <c r="A189" s="16"/>
      <c r="B189" s="16"/>
      <c r="C189" s="16"/>
      <c r="D189" s="16"/>
      <c r="E189" s="16"/>
      <c r="F189" s="16"/>
      <c r="G189" s="16"/>
      <c r="H189" s="16"/>
      <c r="N189" s="580"/>
      <c r="O189" s="580"/>
      <c r="P189" s="580"/>
      <c r="Q189" s="580"/>
      <c r="R189" s="580"/>
      <c r="S189" s="580"/>
      <c r="T189" s="580"/>
      <c r="U189" s="580"/>
      <c r="V189" s="580"/>
    </row>
    <row r="190" spans="1:22" ht="15">
      <c r="A190" s="16"/>
      <c r="B190" s="16"/>
      <c r="C190" s="16"/>
      <c r="D190" s="16"/>
      <c r="E190" s="16"/>
      <c r="F190" s="16"/>
      <c r="G190" s="16"/>
      <c r="H190" s="16"/>
      <c r="N190" s="580"/>
      <c r="O190" s="580"/>
      <c r="P190" s="580"/>
      <c r="Q190" s="580"/>
      <c r="R190" s="580"/>
      <c r="S190" s="580"/>
      <c r="T190" s="580"/>
      <c r="U190" s="580"/>
      <c r="V190" s="580"/>
    </row>
    <row r="191" spans="1:22" ht="15">
      <c r="A191" s="16"/>
      <c r="B191" s="16"/>
      <c r="C191" s="16"/>
      <c r="D191" s="16"/>
      <c r="E191" s="16"/>
      <c r="F191" s="16"/>
      <c r="G191" s="16"/>
      <c r="H191" s="16"/>
      <c r="N191" s="580"/>
      <c r="O191" s="580"/>
      <c r="P191" s="580"/>
      <c r="Q191" s="580"/>
      <c r="R191" s="580"/>
      <c r="S191" s="580"/>
      <c r="T191" s="580"/>
      <c r="U191" s="580"/>
      <c r="V191" s="580"/>
    </row>
    <row r="192" spans="1:22" ht="15">
      <c r="A192" s="16"/>
      <c r="B192" s="16"/>
      <c r="C192" s="16"/>
      <c r="D192" s="16"/>
      <c r="E192" s="16"/>
      <c r="F192" s="16"/>
      <c r="G192" s="16"/>
      <c r="H192" s="16"/>
      <c r="N192" s="580"/>
      <c r="O192" s="580"/>
      <c r="P192" s="580"/>
      <c r="Q192" s="580"/>
      <c r="R192" s="580"/>
      <c r="S192" s="580"/>
      <c r="T192" s="580"/>
      <c r="U192" s="580"/>
      <c r="V192" s="580"/>
    </row>
    <row r="193" spans="1:22" ht="15">
      <c r="A193" s="16"/>
      <c r="B193" s="16"/>
      <c r="C193" s="16"/>
      <c r="D193" s="16"/>
      <c r="E193" s="16"/>
      <c r="F193" s="16"/>
      <c r="G193" s="16"/>
      <c r="H193" s="16"/>
      <c r="N193" s="580"/>
      <c r="O193" s="580"/>
      <c r="P193" s="580"/>
      <c r="Q193" s="580"/>
      <c r="R193" s="580"/>
      <c r="S193" s="580"/>
      <c r="T193" s="580"/>
      <c r="U193" s="580"/>
      <c r="V193" s="580"/>
    </row>
    <row r="194" spans="1:22" ht="15">
      <c r="A194" s="16"/>
      <c r="B194" s="16"/>
      <c r="C194" s="16"/>
      <c r="D194" s="16"/>
      <c r="E194" s="16"/>
      <c r="F194" s="16"/>
      <c r="G194" s="16"/>
      <c r="H194" s="16"/>
      <c r="N194" s="580"/>
      <c r="O194" s="580"/>
      <c r="P194" s="580"/>
      <c r="Q194" s="580"/>
      <c r="R194" s="580"/>
      <c r="S194" s="580"/>
      <c r="T194" s="580"/>
      <c r="U194" s="580"/>
      <c r="V194" s="580"/>
    </row>
    <row r="195" spans="1:22" ht="15">
      <c r="A195" s="16"/>
      <c r="B195" s="16"/>
      <c r="C195" s="16"/>
      <c r="D195" s="16"/>
      <c r="E195" s="16"/>
      <c r="F195" s="16"/>
      <c r="G195" s="16"/>
      <c r="H195" s="16"/>
      <c r="N195" s="580"/>
      <c r="O195" s="580"/>
      <c r="P195" s="580"/>
      <c r="Q195" s="580"/>
      <c r="R195" s="580"/>
      <c r="S195" s="580"/>
      <c r="T195" s="580"/>
      <c r="U195" s="580"/>
      <c r="V195" s="580"/>
    </row>
    <row r="196" spans="1:22" ht="15">
      <c r="A196" s="16"/>
      <c r="B196" s="16"/>
      <c r="C196" s="16"/>
      <c r="D196" s="16"/>
      <c r="E196" s="16"/>
      <c r="F196" s="16"/>
      <c r="G196" s="16"/>
      <c r="H196" s="16"/>
      <c r="N196" s="580"/>
      <c r="O196" s="580"/>
      <c r="P196" s="580"/>
      <c r="Q196" s="580"/>
      <c r="R196" s="580"/>
      <c r="S196" s="580"/>
      <c r="T196" s="580"/>
      <c r="U196" s="580"/>
      <c r="V196" s="580"/>
    </row>
    <row r="197" spans="1:22" ht="15">
      <c r="A197" s="16"/>
      <c r="B197" s="16"/>
      <c r="C197" s="16"/>
      <c r="D197" s="16"/>
      <c r="E197" s="16"/>
      <c r="F197" s="16"/>
      <c r="G197" s="16"/>
      <c r="H197" s="16"/>
      <c r="N197" s="580"/>
      <c r="O197" s="580"/>
      <c r="P197" s="580"/>
      <c r="Q197" s="580"/>
      <c r="R197" s="580"/>
      <c r="S197" s="580"/>
      <c r="T197" s="580"/>
      <c r="U197" s="580"/>
      <c r="V197" s="580"/>
    </row>
    <row r="198" spans="1:22" ht="15">
      <c r="A198" s="16"/>
      <c r="B198" s="16"/>
      <c r="C198" s="16"/>
      <c r="D198" s="16"/>
      <c r="E198" s="16"/>
      <c r="F198" s="16"/>
      <c r="G198" s="16"/>
      <c r="H198" s="16"/>
      <c r="N198" s="580"/>
      <c r="O198" s="580"/>
      <c r="P198" s="580"/>
      <c r="Q198" s="580"/>
      <c r="R198" s="580"/>
      <c r="S198" s="580"/>
      <c r="T198" s="580"/>
      <c r="U198" s="580"/>
      <c r="V198" s="580"/>
    </row>
    <row r="199" spans="1:22" ht="15">
      <c r="A199" s="16"/>
      <c r="B199" s="16"/>
      <c r="C199" s="16"/>
      <c r="D199" s="16"/>
      <c r="E199" s="16"/>
      <c r="F199" s="16"/>
      <c r="G199" s="16"/>
      <c r="H199" s="16"/>
      <c r="N199" s="580"/>
      <c r="O199" s="580"/>
      <c r="P199" s="580"/>
      <c r="Q199" s="580"/>
      <c r="R199" s="580"/>
      <c r="S199" s="580"/>
      <c r="T199" s="580"/>
      <c r="U199" s="580"/>
      <c r="V199" s="580"/>
    </row>
    <row r="200" spans="1:22" ht="15">
      <c r="A200" s="16"/>
      <c r="B200" s="16"/>
      <c r="C200" s="16"/>
      <c r="D200" s="16"/>
      <c r="E200" s="16"/>
      <c r="F200" s="16"/>
      <c r="G200" s="16"/>
      <c r="H200" s="16"/>
      <c r="N200" s="580"/>
      <c r="O200" s="580"/>
      <c r="P200" s="580"/>
      <c r="Q200" s="580"/>
      <c r="R200" s="580"/>
      <c r="S200" s="580"/>
      <c r="T200" s="580"/>
      <c r="U200" s="580"/>
      <c r="V200" s="580"/>
    </row>
    <row r="201" spans="1:22" ht="15">
      <c r="A201" s="16"/>
      <c r="B201" s="16"/>
      <c r="C201" s="16"/>
      <c r="D201" s="16"/>
      <c r="E201" s="16"/>
      <c r="F201" s="16"/>
      <c r="G201" s="16"/>
      <c r="H201" s="16"/>
      <c r="N201" s="580"/>
      <c r="O201" s="580"/>
      <c r="P201" s="580"/>
      <c r="Q201" s="580"/>
      <c r="R201" s="580"/>
      <c r="S201" s="580"/>
      <c r="T201" s="580"/>
      <c r="U201" s="580"/>
      <c r="V201" s="580"/>
    </row>
    <row r="202" spans="1:22" ht="15">
      <c r="A202" s="16"/>
      <c r="B202" s="16"/>
      <c r="C202" s="16"/>
      <c r="D202" s="16"/>
      <c r="E202" s="16"/>
      <c r="F202" s="16"/>
      <c r="G202" s="16"/>
      <c r="H202" s="16"/>
      <c r="N202" s="580"/>
      <c r="O202" s="580"/>
      <c r="P202" s="580"/>
      <c r="Q202" s="580"/>
      <c r="R202" s="580"/>
      <c r="S202" s="580"/>
      <c r="T202" s="580"/>
      <c r="U202" s="580"/>
      <c r="V202" s="580"/>
    </row>
    <row r="203" spans="1:22" ht="15">
      <c r="A203" s="16"/>
      <c r="B203" s="16"/>
      <c r="C203" s="16"/>
      <c r="D203" s="16"/>
      <c r="E203" s="16"/>
      <c r="F203" s="16"/>
      <c r="G203" s="16"/>
      <c r="H203" s="16"/>
      <c r="N203" s="580"/>
      <c r="O203" s="580"/>
      <c r="P203" s="580"/>
      <c r="Q203" s="580"/>
      <c r="R203" s="580"/>
      <c r="S203" s="580"/>
      <c r="T203" s="580"/>
      <c r="U203" s="580"/>
      <c r="V203" s="580"/>
    </row>
    <row r="204" spans="1:22" ht="15">
      <c r="A204" s="16"/>
      <c r="B204" s="16"/>
      <c r="C204" s="16"/>
      <c r="D204" s="16"/>
      <c r="E204" s="16"/>
      <c r="F204" s="16"/>
      <c r="G204" s="16"/>
      <c r="H204" s="16"/>
      <c r="N204" s="580"/>
      <c r="O204" s="580"/>
      <c r="P204" s="580"/>
      <c r="Q204" s="580"/>
      <c r="R204" s="580"/>
      <c r="S204" s="580"/>
      <c r="T204" s="580"/>
      <c r="U204" s="580"/>
      <c r="V204" s="580"/>
    </row>
    <row r="205" spans="1:22" ht="15">
      <c r="A205" s="16"/>
      <c r="B205" s="16"/>
      <c r="C205" s="16"/>
      <c r="D205" s="16"/>
      <c r="E205" s="16"/>
      <c r="F205" s="16"/>
      <c r="G205" s="16"/>
      <c r="H205" s="16"/>
      <c r="N205" s="580"/>
      <c r="O205" s="580"/>
      <c r="P205" s="580"/>
      <c r="Q205" s="580"/>
      <c r="R205" s="580"/>
      <c r="S205" s="580"/>
      <c r="T205" s="580"/>
      <c r="U205" s="580"/>
      <c r="V205" s="580"/>
    </row>
    <row r="206" spans="1:22" ht="15">
      <c r="A206" s="16"/>
      <c r="B206" s="16"/>
      <c r="C206" s="16"/>
      <c r="D206" s="16"/>
      <c r="E206" s="16"/>
      <c r="F206" s="16"/>
      <c r="G206" s="16"/>
      <c r="H206" s="16"/>
      <c r="N206" s="580"/>
      <c r="O206" s="580"/>
      <c r="P206" s="580"/>
      <c r="Q206" s="580"/>
      <c r="R206" s="580"/>
      <c r="S206" s="580"/>
      <c r="T206" s="580"/>
      <c r="U206" s="580"/>
      <c r="V206" s="580"/>
    </row>
    <row r="207" spans="1:22" ht="15">
      <c r="A207" s="16"/>
      <c r="B207" s="16"/>
      <c r="C207" s="16"/>
      <c r="D207" s="16"/>
      <c r="E207" s="16"/>
      <c r="F207" s="16"/>
      <c r="G207" s="16"/>
      <c r="H207" s="16"/>
      <c r="N207" s="580"/>
      <c r="O207" s="580"/>
      <c r="P207" s="580"/>
      <c r="Q207" s="580"/>
      <c r="R207" s="580"/>
      <c r="S207" s="580"/>
      <c r="T207" s="580"/>
      <c r="U207" s="580"/>
      <c r="V207" s="580"/>
    </row>
    <row r="208" spans="1:22" ht="15">
      <c r="A208" s="16"/>
      <c r="B208" s="16"/>
      <c r="C208" s="16"/>
      <c r="D208" s="16"/>
      <c r="E208" s="16"/>
      <c r="F208" s="16"/>
      <c r="G208" s="16"/>
      <c r="H208" s="16"/>
      <c r="N208" s="580"/>
      <c r="O208" s="580"/>
      <c r="P208" s="580"/>
      <c r="Q208" s="580"/>
      <c r="R208" s="580"/>
      <c r="S208" s="580"/>
      <c r="T208" s="580"/>
      <c r="U208" s="580"/>
      <c r="V208" s="580"/>
    </row>
    <row r="209" spans="1:22" ht="15">
      <c r="A209" s="16"/>
      <c r="B209" s="16"/>
      <c r="C209" s="16"/>
      <c r="D209" s="16"/>
      <c r="E209" s="16"/>
      <c r="F209" s="16"/>
      <c r="G209" s="16"/>
      <c r="H209" s="16"/>
      <c r="N209" s="580"/>
      <c r="O209" s="580"/>
      <c r="P209" s="580"/>
      <c r="Q209" s="580"/>
      <c r="R209" s="580"/>
      <c r="S209" s="580"/>
      <c r="T209" s="580"/>
      <c r="U209" s="580"/>
      <c r="V209" s="580"/>
    </row>
    <row r="210" spans="1:22" ht="15">
      <c r="A210" s="16"/>
      <c r="B210" s="16"/>
      <c r="C210" s="16"/>
      <c r="D210" s="16"/>
      <c r="E210" s="16"/>
      <c r="F210" s="16"/>
      <c r="G210" s="16"/>
      <c r="H210" s="16"/>
      <c r="N210" s="580"/>
      <c r="O210" s="580"/>
      <c r="P210" s="580"/>
      <c r="Q210" s="580"/>
      <c r="R210" s="580"/>
      <c r="S210" s="580"/>
      <c r="T210" s="580"/>
      <c r="U210" s="580"/>
      <c r="V210" s="580"/>
    </row>
    <row r="211" spans="1:22" ht="15">
      <c r="A211" s="16"/>
      <c r="B211" s="16"/>
      <c r="C211" s="16"/>
      <c r="D211" s="16"/>
      <c r="E211" s="16"/>
      <c r="F211" s="16"/>
      <c r="G211" s="16"/>
      <c r="H211" s="16"/>
      <c r="N211" s="580"/>
      <c r="O211" s="580"/>
      <c r="P211" s="580"/>
      <c r="Q211" s="580"/>
      <c r="R211" s="580"/>
      <c r="S211" s="580"/>
      <c r="T211" s="580"/>
      <c r="U211" s="580"/>
      <c r="V211" s="580"/>
    </row>
    <row r="212" spans="1:22" ht="15">
      <c r="A212" s="16"/>
      <c r="B212" s="16"/>
      <c r="C212" s="16"/>
      <c r="D212" s="16"/>
      <c r="E212" s="16"/>
      <c r="F212" s="16"/>
      <c r="G212" s="16"/>
      <c r="H212" s="16"/>
      <c r="N212" s="580"/>
      <c r="O212" s="580"/>
      <c r="P212" s="580"/>
      <c r="Q212" s="580"/>
      <c r="R212" s="580"/>
      <c r="S212" s="580"/>
      <c r="T212" s="580"/>
      <c r="U212" s="580"/>
      <c r="V212" s="580"/>
    </row>
    <row r="213" spans="1:22" ht="15">
      <c r="A213" s="16"/>
      <c r="B213" s="16"/>
      <c r="C213" s="16"/>
      <c r="D213" s="16"/>
      <c r="E213" s="16"/>
      <c r="F213" s="16"/>
      <c r="G213" s="16"/>
      <c r="H213" s="16"/>
      <c r="N213" s="580"/>
      <c r="O213" s="580"/>
      <c r="P213" s="580"/>
      <c r="Q213" s="580"/>
      <c r="R213" s="580"/>
      <c r="S213" s="580"/>
      <c r="T213" s="580"/>
      <c r="U213" s="580"/>
      <c r="V213" s="580"/>
    </row>
    <row r="214" spans="1:22" ht="15">
      <c r="A214" s="16"/>
      <c r="B214" s="16"/>
      <c r="C214" s="16"/>
      <c r="D214" s="16"/>
      <c r="E214" s="16"/>
      <c r="F214" s="16"/>
      <c r="G214" s="16"/>
      <c r="H214" s="16"/>
      <c r="N214" s="580"/>
      <c r="O214" s="580"/>
      <c r="P214" s="580"/>
      <c r="Q214" s="580"/>
      <c r="R214" s="580"/>
      <c r="S214" s="580"/>
      <c r="T214" s="580"/>
      <c r="U214" s="580"/>
      <c r="V214" s="580"/>
    </row>
    <row r="215" spans="1:22" ht="15">
      <c r="A215" s="16"/>
      <c r="B215" s="16"/>
      <c r="C215" s="16"/>
      <c r="D215" s="16"/>
      <c r="E215" s="16"/>
      <c r="F215" s="16"/>
      <c r="G215" s="16"/>
      <c r="H215" s="16"/>
      <c r="N215" s="580"/>
      <c r="O215" s="580"/>
      <c r="P215" s="580"/>
      <c r="Q215" s="580"/>
      <c r="R215" s="580"/>
      <c r="S215" s="580"/>
      <c r="T215" s="580"/>
      <c r="U215" s="580"/>
      <c r="V215" s="580"/>
    </row>
    <row r="216" spans="1:22" ht="15">
      <c r="A216" s="16"/>
      <c r="B216" s="16"/>
      <c r="C216" s="16"/>
      <c r="D216" s="16"/>
      <c r="E216" s="16"/>
      <c r="F216" s="16"/>
      <c r="G216" s="16"/>
      <c r="H216" s="16"/>
      <c r="N216" s="580"/>
      <c r="O216" s="580"/>
      <c r="P216" s="580"/>
      <c r="Q216" s="580"/>
      <c r="R216" s="580"/>
      <c r="S216" s="580"/>
      <c r="T216" s="580"/>
      <c r="U216" s="580"/>
      <c r="V216" s="580"/>
    </row>
    <row r="217" spans="1:22" ht="15">
      <c r="A217" s="16"/>
      <c r="B217" s="16"/>
      <c r="C217" s="16"/>
      <c r="D217" s="16"/>
      <c r="E217" s="16"/>
      <c r="F217" s="16"/>
      <c r="G217" s="16"/>
      <c r="H217" s="16"/>
      <c r="N217" s="580"/>
      <c r="O217" s="580"/>
      <c r="P217" s="580"/>
      <c r="Q217" s="580"/>
      <c r="R217" s="580"/>
      <c r="S217" s="580"/>
      <c r="T217" s="580"/>
      <c r="U217" s="580"/>
      <c r="V217" s="580"/>
    </row>
    <row r="218" spans="1:22" ht="15">
      <c r="A218" s="16"/>
      <c r="B218" s="16"/>
      <c r="C218" s="16"/>
      <c r="D218" s="16"/>
      <c r="E218" s="16"/>
      <c r="F218" s="16"/>
      <c r="G218" s="16"/>
      <c r="H218" s="16"/>
      <c r="N218" s="580"/>
      <c r="O218" s="580"/>
      <c r="P218" s="580"/>
      <c r="Q218" s="580"/>
      <c r="R218" s="580"/>
      <c r="S218" s="580"/>
      <c r="T218" s="580"/>
      <c r="U218" s="580"/>
      <c r="V218" s="580"/>
    </row>
    <row r="219" spans="1:22" ht="15">
      <c r="A219" s="16"/>
      <c r="B219" s="16"/>
      <c r="C219" s="16"/>
      <c r="D219" s="16"/>
      <c r="E219" s="16"/>
      <c r="F219" s="16"/>
      <c r="G219" s="16"/>
      <c r="H219" s="16"/>
      <c r="N219" s="580"/>
      <c r="O219" s="580"/>
      <c r="P219" s="580"/>
      <c r="Q219" s="580"/>
      <c r="R219" s="580"/>
      <c r="S219" s="580"/>
      <c r="T219" s="580"/>
      <c r="U219" s="580"/>
      <c r="V219" s="580"/>
    </row>
    <row r="220" spans="1:22" ht="15">
      <c r="A220" s="16"/>
      <c r="B220" s="16"/>
      <c r="C220" s="16"/>
      <c r="D220" s="16"/>
      <c r="E220" s="16"/>
      <c r="F220" s="16"/>
      <c r="G220" s="16"/>
      <c r="H220" s="16"/>
      <c r="N220" s="580"/>
      <c r="O220" s="580"/>
      <c r="P220" s="580"/>
      <c r="Q220" s="580"/>
      <c r="R220" s="580"/>
      <c r="S220" s="580"/>
      <c r="T220" s="580"/>
      <c r="U220" s="580"/>
      <c r="V220" s="580"/>
    </row>
    <row r="221" spans="1:22" ht="15">
      <c r="A221" s="16"/>
      <c r="B221" s="16"/>
      <c r="C221" s="16"/>
      <c r="D221" s="16"/>
      <c r="E221" s="16"/>
      <c r="F221" s="16"/>
      <c r="G221" s="16"/>
      <c r="H221" s="16"/>
      <c r="N221" s="580"/>
      <c r="O221" s="580"/>
      <c r="P221" s="580"/>
      <c r="Q221" s="580"/>
      <c r="R221" s="580"/>
      <c r="S221" s="580"/>
      <c r="T221" s="580"/>
      <c r="U221" s="580"/>
      <c r="V221" s="580"/>
    </row>
    <row r="222" spans="1:22" ht="15">
      <c r="A222" s="16"/>
      <c r="B222" s="16"/>
      <c r="C222" s="16"/>
      <c r="D222" s="16"/>
      <c r="E222" s="16"/>
      <c r="F222" s="16"/>
      <c r="G222" s="16"/>
      <c r="H222" s="16"/>
      <c r="N222" s="580"/>
      <c r="O222" s="580"/>
      <c r="P222" s="580"/>
      <c r="Q222" s="580"/>
      <c r="R222" s="580"/>
      <c r="S222" s="580"/>
      <c r="T222" s="580"/>
      <c r="U222" s="580"/>
      <c r="V222" s="580"/>
    </row>
    <row r="223" spans="1:22" ht="15">
      <c r="A223" s="16"/>
      <c r="B223" s="16"/>
      <c r="C223" s="16"/>
      <c r="D223" s="16"/>
      <c r="E223" s="16"/>
      <c r="F223" s="16"/>
      <c r="G223" s="16"/>
      <c r="H223" s="16"/>
      <c r="N223" s="580"/>
      <c r="O223" s="580"/>
      <c r="P223" s="580"/>
      <c r="Q223" s="580"/>
      <c r="R223" s="580"/>
      <c r="S223" s="580"/>
      <c r="T223" s="580"/>
      <c r="U223" s="580"/>
      <c r="V223" s="580"/>
    </row>
    <row r="224" spans="1:22" ht="15">
      <c r="A224" s="16"/>
      <c r="B224" s="16"/>
      <c r="C224" s="16"/>
      <c r="D224" s="16"/>
      <c r="E224" s="16"/>
      <c r="F224" s="16"/>
      <c r="G224" s="16"/>
      <c r="H224" s="16"/>
      <c r="N224" s="580"/>
      <c r="O224" s="580"/>
      <c r="P224" s="580"/>
      <c r="Q224" s="580"/>
      <c r="R224" s="580"/>
      <c r="S224" s="580"/>
      <c r="T224" s="580"/>
      <c r="U224" s="580"/>
      <c r="V224" s="580"/>
    </row>
    <row r="225" spans="1:22" ht="15">
      <c r="A225" s="16"/>
      <c r="B225" s="16"/>
      <c r="C225" s="16"/>
      <c r="D225" s="16"/>
      <c r="E225" s="16"/>
      <c r="F225" s="16"/>
      <c r="G225" s="16"/>
      <c r="H225" s="16"/>
      <c r="N225" s="580"/>
      <c r="O225" s="580"/>
      <c r="P225" s="580"/>
      <c r="Q225" s="580"/>
      <c r="R225" s="580"/>
      <c r="S225" s="580"/>
      <c r="T225" s="580"/>
      <c r="U225" s="580"/>
      <c r="V225" s="580"/>
    </row>
    <row r="226" spans="1:22" ht="15">
      <c r="A226" s="16"/>
      <c r="B226" s="16"/>
      <c r="C226" s="16"/>
      <c r="D226" s="16"/>
      <c r="E226" s="16"/>
      <c r="F226" s="16"/>
      <c r="G226" s="16"/>
      <c r="H226" s="16"/>
      <c r="N226" s="580"/>
      <c r="O226" s="580"/>
      <c r="P226" s="580"/>
      <c r="Q226" s="580"/>
      <c r="R226" s="580"/>
      <c r="S226" s="580"/>
      <c r="T226" s="580"/>
      <c r="U226" s="580"/>
      <c r="V226" s="580"/>
    </row>
    <row r="227" spans="1:22" ht="15">
      <c r="A227" s="16"/>
      <c r="B227" s="16"/>
      <c r="C227" s="16"/>
      <c r="D227" s="16"/>
      <c r="E227" s="16"/>
      <c r="F227" s="16"/>
      <c r="G227" s="16"/>
      <c r="H227" s="16"/>
      <c r="N227" s="580"/>
      <c r="O227" s="580"/>
      <c r="P227" s="580"/>
      <c r="Q227" s="580"/>
      <c r="R227" s="580"/>
      <c r="S227" s="580"/>
      <c r="T227" s="580"/>
      <c r="U227" s="580"/>
      <c r="V227" s="580"/>
    </row>
    <row r="228" spans="1:22" ht="15">
      <c r="A228" s="16"/>
      <c r="B228" s="16"/>
      <c r="C228" s="16"/>
      <c r="D228" s="16"/>
      <c r="E228" s="16"/>
      <c r="F228" s="16"/>
      <c r="G228" s="16"/>
      <c r="H228" s="16"/>
      <c r="N228" s="580"/>
      <c r="O228" s="580"/>
      <c r="P228" s="580"/>
      <c r="Q228" s="580"/>
      <c r="R228" s="580"/>
      <c r="S228" s="580"/>
      <c r="T228" s="580"/>
      <c r="U228" s="580"/>
      <c r="V228" s="580"/>
    </row>
    <row r="229" spans="1:22" ht="15">
      <c r="A229" s="16"/>
      <c r="B229" s="16"/>
      <c r="C229" s="16"/>
      <c r="D229" s="16"/>
      <c r="E229" s="16"/>
      <c r="F229" s="16"/>
      <c r="G229" s="16"/>
      <c r="H229" s="16"/>
      <c r="N229" s="580"/>
      <c r="O229" s="580"/>
      <c r="P229" s="580"/>
      <c r="Q229" s="580"/>
      <c r="R229" s="580"/>
      <c r="S229" s="580"/>
      <c r="T229" s="580"/>
      <c r="U229" s="580"/>
      <c r="V229" s="580"/>
    </row>
    <row r="230" spans="1:22" ht="15">
      <c r="A230" s="16"/>
      <c r="B230" s="16"/>
      <c r="C230" s="16"/>
      <c r="D230" s="16"/>
      <c r="E230" s="16"/>
      <c r="F230" s="16"/>
      <c r="G230" s="16"/>
      <c r="H230" s="16"/>
      <c r="N230" s="580"/>
      <c r="O230" s="580"/>
      <c r="P230" s="580"/>
      <c r="Q230" s="580"/>
      <c r="R230" s="580"/>
      <c r="S230" s="580"/>
      <c r="T230" s="580"/>
      <c r="U230" s="580"/>
      <c r="V230" s="580"/>
    </row>
    <row r="231" spans="1:22" ht="15">
      <c r="A231" s="16"/>
      <c r="B231" s="16"/>
      <c r="C231" s="16"/>
      <c r="D231" s="16"/>
      <c r="E231" s="16"/>
      <c r="F231" s="16"/>
      <c r="G231" s="16"/>
      <c r="H231" s="16"/>
      <c r="N231" s="580"/>
      <c r="O231" s="580"/>
      <c r="P231" s="580"/>
      <c r="Q231" s="580"/>
      <c r="R231" s="580"/>
      <c r="S231" s="580"/>
      <c r="T231" s="580"/>
      <c r="U231" s="580"/>
      <c r="V231" s="580"/>
    </row>
    <row r="232" spans="1:22" ht="15">
      <c r="A232" s="16"/>
      <c r="B232" s="16"/>
      <c r="C232" s="16"/>
      <c r="D232" s="16"/>
      <c r="E232" s="16"/>
      <c r="F232" s="16"/>
      <c r="G232" s="16"/>
      <c r="H232" s="16"/>
      <c r="N232" s="580"/>
      <c r="O232" s="580"/>
      <c r="P232" s="580"/>
      <c r="Q232" s="580"/>
      <c r="R232" s="580"/>
      <c r="S232" s="580"/>
      <c r="T232" s="580"/>
      <c r="U232" s="580"/>
      <c r="V232" s="580"/>
    </row>
    <row r="233" spans="1:22" ht="15">
      <c r="A233" s="16"/>
      <c r="B233" s="16"/>
      <c r="C233" s="16"/>
      <c r="D233" s="16"/>
      <c r="E233" s="16"/>
      <c r="F233" s="16"/>
      <c r="G233" s="16"/>
      <c r="H233" s="16"/>
      <c r="N233" s="580"/>
      <c r="O233" s="580"/>
      <c r="P233" s="580"/>
      <c r="Q233" s="580"/>
      <c r="R233" s="580"/>
      <c r="S233" s="580"/>
      <c r="T233" s="580"/>
      <c r="U233" s="580"/>
      <c r="V233" s="580"/>
    </row>
    <row r="234" spans="1:22" ht="15">
      <c r="A234" s="16"/>
      <c r="B234" s="16"/>
      <c r="C234" s="16"/>
      <c r="D234" s="16"/>
      <c r="E234" s="16"/>
      <c r="F234" s="16"/>
      <c r="G234" s="16"/>
      <c r="H234" s="16"/>
      <c r="N234" s="580"/>
      <c r="O234" s="580"/>
      <c r="P234" s="580"/>
      <c r="Q234" s="580"/>
      <c r="R234" s="580"/>
      <c r="S234" s="580"/>
      <c r="T234" s="580"/>
      <c r="U234" s="580"/>
      <c r="V234" s="580"/>
    </row>
    <row r="235" spans="1:22" ht="15">
      <c r="A235" s="16"/>
      <c r="B235" s="16"/>
      <c r="C235" s="16"/>
      <c r="D235" s="16"/>
      <c r="E235" s="16"/>
      <c r="F235" s="16"/>
      <c r="G235" s="16"/>
      <c r="H235" s="16"/>
      <c r="N235" s="580"/>
      <c r="O235" s="580"/>
      <c r="P235" s="580"/>
      <c r="Q235" s="580"/>
      <c r="R235" s="580"/>
      <c r="S235" s="580"/>
      <c r="T235" s="580"/>
      <c r="U235" s="580"/>
      <c r="V235" s="580"/>
    </row>
    <row r="236" spans="1:22" ht="15">
      <c r="A236" s="16"/>
      <c r="B236" s="16"/>
      <c r="C236" s="16"/>
      <c r="D236" s="16"/>
      <c r="E236" s="16"/>
      <c r="F236" s="16"/>
      <c r="G236" s="16"/>
      <c r="H236" s="16"/>
      <c r="N236" s="580"/>
      <c r="O236" s="580"/>
      <c r="P236" s="580"/>
      <c r="Q236" s="580"/>
      <c r="R236" s="580"/>
      <c r="S236" s="580"/>
      <c r="T236" s="580"/>
      <c r="U236" s="580"/>
      <c r="V236" s="580"/>
    </row>
    <row r="237" spans="1:22" ht="15">
      <c r="A237" s="16"/>
      <c r="B237" s="16"/>
      <c r="C237" s="16"/>
      <c r="D237" s="16"/>
      <c r="E237" s="16"/>
      <c r="F237" s="16"/>
      <c r="G237" s="16"/>
      <c r="H237" s="16"/>
      <c r="N237" s="580"/>
      <c r="O237" s="580"/>
      <c r="P237" s="580"/>
      <c r="Q237" s="580"/>
      <c r="R237" s="580"/>
      <c r="S237" s="580"/>
      <c r="T237" s="580"/>
      <c r="U237" s="580"/>
      <c r="V237" s="580"/>
    </row>
    <row r="238" spans="1:22" ht="15">
      <c r="A238" s="16"/>
      <c r="B238" s="16"/>
      <c r="C238" s="16"/>
      <c r="D238" s="16"/>
      <c r="E238" s="16"/>
      <c r="F238" s="16"/>
      <c r="G238" s="16"/>
      <c r="H238" s="16"/>
      <c r="N238" s="580"/>
      <c r="O238" s="580"/>
      <c r="P238" s="580"/>
      <c r="Q238" s="580"/>
      <c r="R238" s="580"/>
      <c r="S238" s="580"/>
      <c r="T238" s="580"/>
      <c r="U238" s="580"/>
      <c r="V238" s="580"/>
    </row>
    <row r="239" spans="1:22" ht="15">
      <c r="A239" s="16"/>
      <c r="B239" s="16"/>
      <c r="C239" s="16"/>
      <c r="D239" s="16"/>
      <c r="E239" s="16"/>
      <c r="F239" s="16"/>
      <c r="G239" s="16"/>
      <c r="H239" s="16"/>
      <c r="N239" s="580"/>
      <c r="O239" s="580"/>
      <c r="P239" s="580"/>
      <c r="Q239" s="580"/>
      <c r="R239" s="580"/>
      <c r="S239" s="580"/>
      <c r="T239" s="580"/>
      <c r="U239" s="580"/>
      <c r="V239" s="580"/>
    </row>
    <row r="240" spans="1:22" ht="15">
      <c r="A240" s="16"/>
      <c r="B240" s="16"/>
      <c r="C240" s="16"/>
      <c r="D240" s="16"/>
      <c r="E240" s="16"/>
      <c r="F240" s="16"/>
      <c r="G240" s="16"/>
      <c r="H240" s="16"/>
      <c r="N240" s="580"/>
      <c r="O240" s="580"/>
      <c r="P240" s="580"/>
      <c r="Q240" s="580"/>
      <c r="R240" s="580"/>
      <c r="S240" s="580"/>
      <c r="T240" s="580"/>
      <c r="U240" s="580"/>
      <c r="V240" s="580"/>
    </row>
    <row r="241" spans="1:22" ht="15">
      <c r="A241" s="16"/>
      <c r="B241" s="16"/>
      <c r="C241" s="16"/>
      <c r="D241" s="16"/>
      <c r="E241" s="16"/>
      <c r="F241" s="16"/>
      <c r="G241" s="16"/>
      <c r="H241" s="16"/>
      <c r="N241" s="580"/>
      <c r="O241" s="580"/>
      <c r="P241" s="580"/>
      <c r="Q241" s="580"/>
      <c r="R241" s="580"/>
      <c r="S241" s="580"/>
      <c r="T241" s="580"/>
      <c r="U241" s="580"/>
      <c r="V241" s="580"/>
    </row>
    <row r="242" spans="1:22" ht="15">
      <c r="A242" s="16"/>
      <c r="B242" s="16"/>
      <c r="C242" s="16"/>
      <c r="D242" s="16"/>
      <c r="E242" s="16"/>
      <c r="F242" s="16"/>
      <c r="G242" s="16"/>
      <c r="H242" s="16"/>
      <c r="N242" s="580"/>
      <c r="O242" s="580"/>
      <c r="P242" s="580"/>
      <c r="Q242" s="580"/>
      <c r="R242" s="580"/>
      <c r="S242" s="580"/>
      <c r="T242" s="580"/>
      <c r="U242" s="580"/>
      <c r="V242" s="580"/>
    </row>
    <row r="243" spans="1:22" ht="15">
      <c r="A243" s="16"/>
      <c r="B243" s="16"/>
      <c r="C243" s="16"/>
      <c r="D243" s="16"/>
      <c r="E243" s="16"/>
      <c r="F243" s="16"/>
      <c r="G243" s="16"/>
      <c r="H243" s="16"/>
      <c r="N243" s="580"/>
      <c r="O243" s="580"/>
      <c r="P243" s="580"/>
      <c r="Q243" s="580"/>
      <c r="R243" s="580"/>
      <c r="S243" s="580"/>
      <c r="T243" s="580"/>
      <c r="U243" s="580"/>
      <c r="V243" s="580"/>
    </row>
    <row r="244" spans="1:22" ht="15">
      <c r="A244" s="16"/>
      <c r="B244" s="16"/>
      <c r="C244" s="16"/>
      <c r="D244" s="16"/>
      <c r="E244" s="16"/>
      <c r="F244" s="16"/>
      <c r="G244" s="16"/>
      <c r="H244" s="16"/>
      <c r="N244" s="580"/>
      <c r="O244" s="580"/>
      <c r="P244" s="580"/>
      <c r="Q244" s="580"/>
      <c r="R244" s="580"/>
      <c r="S244" s="580"/>
      <c r="T244" s="580"/>
      <c r="U244" s="580"/>
      <c r="V244" s="580"/>
    </row>
    <row r="245" spans="1:22" ht="15">
      <c r="A245" s="16"/>
      <c r="B245" s="16"/>
      <c r="C245" s="16"/>
      <c r="D245" s="16"/>
      <c r="E245" s="16"/>
      <c r="F245" s="16"/>
      <c r="G245" s="16"/>
      <c r="H245" s="16"/>
      <c r="N245" s="580"/>
      <c r="O245" s="580"/>
      <c r="P245" s="580"/>
      <c r="Q245" s="580"/>
      <c r="R245" s="580"/>
      <c r="S245" s="580"/>
      <c r="T245" s="580"/>
      <c r="U245" s="580"/>
      <c r="V245" s="580"/>
    </row>
    <row r="246" spans="1:22" ht="15">
      <c r="A246" s="16"/>
      <c r="B246" s="16"/>
      <c r="C246" s="16"/>
      <c r="D246" s="16"/>
      <c r="E246" s="16"/>
      <c r="F246" s="16"/>
      <c r="G246" s="16"/>
      <c r="H246" s="16"/>
      <c r="N246" s="580"/>
      <c r="O246" s="580"/>
      <c r="P246" s="580"/>
      <c r="Q246" s="580"/>
      <c r="R246" s="580"/>
      <c r="S246" s="580"/>
      <c r="T246" s="580"/>
      <c r="U246" s="580"/>
      <c r="V246" s="580"/>
    </row>
    <row r="247" spans="1:22" ht="15">
      <c r="A247" s="16"/>
      <c r="B247" s="16"/>
      <c r="C247" s="16"/>
      <c r="D247" s="16"/>
      <c r="E247" s="16"/>
      <c r="F247" s="16"/>
      <c r="G247" s="16"/>
      <c r="H247" s="16"/>
      <c r="N247" s="580"/>
      <c r="O247" s="580"/>
      <c r="P247" s="580"/>
      <c r="Q247" s="580"/>
      <c r="R247" s="580"/>
      <c r="S247" s="580"/>
      <c r="T247" s="580"/>
      <c r="U247" s="580"/>
      <c r="V247" s="580"/>
    </row>
    <row r="248" spans="1:22" ht="15">
      <c r="A248" s="16"/>
      <c r="B248" s="16"/>
      <c r="C248" s="16"/>
      <c r="D248" s="16"/>
      <c r="E248" s="16"/>
      <c r="F248" s="16"/>
      <c r="G248" s="16"/>
      <c r="H248" s="16"/>
      <c r="N248" s="580"/>
      <c r="O248" s="580"/>
      <c r="P248" s="580"/>
      <c r="Q248" s="580"/>
      <c r="R248" s="580"/>
      <c r="S248" s="580"/>
      <c r="T248" s="580"/>
      <c r="U248" s="580"/>
      <c r="V248" s="580"/>
    </row>
    <row r="249" spans="1:22" ht="15">
      <c r="A249" s="16"/>
      <c r="B249" s="16"/>
      <c r="C249" s="16"/>
      <c r="D249" s="16"/>
      <c r="E249" s="16"/>
      <c r="F249" s="16"/>
      <c r="G249" s="16"/>
      <c r="H249" s="16"/>
      <c r="N249" s="580"/>
      <c r="O249" s="580"/>
      <c r="P249" s="580"/>
      <c r="Q249" s="580"/>
      <c r="R249" s="580"/>
      <c r="S249" s="580"/>
      <c r="T249" s="580"/>
      <c r="U249" s="580"/>
      <c r="V249" s="580"/>
    </row>
    <row r="250" spans="1:22" ht="15">
      <c r="A250" s="16"/>
      <c r="B250" s="16"/>
      <c r="C250" s="16"/>
      <c r="D250" s="16"/>
      <c r="E250" s="16"/>
      <c r="F250" s="16"/>
      <c r="G250" s="16"/>
      <c r="H250" s="16"/>
      <c r="N250" s="580"/>
      <c r="O250" s="580"/>
      <c r="P250" s="580"/>
      <c r="Q250" s="580"/>
      <c r="R250" s="580"/>
      <c r="S250" s="580"/>
      <c r="T250" s="580"/>
      <c r="U250" s="580"/>
      <c r="V250" s="580"/>
    </row>
    <row r="251" spans="1:22" ht="15">
      <c r="A251" s="16"/>
      <c r="B251" s="16"/>
      <c r="C251" s="16"/>
      <c r="D251" s="16"/>
      <c r="E251" s="16"/>
      <c r="F251" s="16"/>
      <c r="G251" s="16"/>
      <c r="H251" s="16"/>
      <c r="N251" s="580"/>
      <c r="O251" s="580"/>
      <c r="P251" s="580"/>
      <c r="Q251" s="580"/>
      <c r="R251" s="580"/>
      <c r="S251" s="580"/>
      <c r="T251" s="580"/>
      <c r="U251" s="580"/>
      <c r="V251" s="580"/>
    </row>
    <row r="252" spans="1:22" ht="15">
      <c r="A252" s="16"/>
      <c r="B252" s="16"/>
      <c r="C252" s="16"/>
      <c r="D252" s="16"/>
      <c r="E252" s="16"/>
      <c r="F252" s="16"/>
      <c r="G252" s="16"/>
      <c r="H252" s="16"/>
      <c r="N252" s="580"/>
      <c r="O252" s="580"/>
      <c r="P252" s="580"/>
      <c r="Q252" s="580"/>
      <c r="R252" s="580"/>
      <c r="S252" s="580"/>
      <c r="T252" s="580"/>
      <c r="U252" s="580"/>
      <c r="V252" s="580"/>
    </row>
    <row r="253" spans="1:22" ht="15">
      <c r="A253" s="16"/>
      <c r="B253" s="16"/>
      <c r="C253" s="16"/>
      <c r="D253" s="16"/>
      <c r="E253" s="16"/>
      <c r="F253" s="16"/>
      <c r="G253" s="16"/>
      <c r="H253" s="16"/>
      <c r="N253" s="580"/>
      <c r="O253" s="580"/>
      <c r="P253" s="580"/>
      <c r="Q253" s="580"/>
      <c r="R253" s="580"/>
      <c r="S253" s="580"/>
      <c r="T253" s="580"/>
      <c r="U253" s="580"/>
      <c r="V253" s="580"/>
    </row>
    <row r="254" spans="1:22" ht="15">
      <c r="A254" s="16"/>
      <c r="B254" s="16"/>
      <c r="C254" s="16"/>
      <c r="D254" s="16"/>
      <c r="E254" s="16"/>
      <c r="F254" s="16"/>
      <c r="G254" s="16"/>
      <c r="H254" s="16"/>
      <c r="N254" s="580"/>
      <c r="O254" s="580"/>
      <c r="P254" s="580"/>
      <c r="Q254" s="580"/>
      <c r="R254" s="580"/>
      <c r="S254" s="580"/>
      <c r="T254" s="580"/>
      <c r="U254" s="580"/>
      <c r="V254" s="580"/>
    </row>
    <row r="255" spans="1:22" ht="15">
      <c r="A255" s="16"/>
      <c r="B255" s="16"/>
      <c r="C255" s="16"/>
      <c r="D255" s="16"/>
      <c r="E255" s="16"/>
      <c r="F255" s="16"/>
      <c r="G255" s="16"/>
      <c r="H255" s="16"/>
      <c r="N255" s="580"/>
      <c r="O255" s="580"/>
      <c r="P255" s="580"/>
      <c r="Q255" s="580"/>
      <c r="R255" s="580"/>
      <c r="S255" s="580"/>
      <c r="T255" s="580"/>
      <c r="U255" s="580"/>
      <c r="V255" s="580"/>
    </row>
    <row r="256" spans="1:22" ht="15">
      <c r="A256" s="16"/>
      <c r="B256" s="16"/>
      <c r="C256" s="16"/>
      <c r="D256" s="16"/>
      <c r="E256" s="16"/>
      <c r="F256" s="16"/>
      <c r="G256" s="16"/>
      <c r="H256" s="16"/>
      <c r="N256" s="580"/>
      <c r="O256" s="580"/>
      <c r="P256" s="580"/>
      <c r="Q256" s="580"/>
      <c r="R256" s="580"/>
      <c r="S256" s="580"/>
      <c r="T256" s="580"/>
      <c r="U256" s="580"/>
      <c r="V256" s="580"/>
    </row>
    <row r="257" spans="1:22" ht="15">
      <c r="A257" s="16"/>
      <c r="B257" s="16"/>
      <c r="C257" s="16"/>
      <c r="D257" s="16"/>
      <c r="E257" s="16"/>
      <c r="F257" s="16"/>
      <c r="G257" s="16"/>
      <c r="H257" s="16"/>
      <c r="N257" s="580"/>
      <c r="O257" s="580"/>
      <c r="P257" s="580"/>
      <c r="Q257" s="580"/>
      <c r="R257" s="580"/>
      <c r="S257" s="580"/>
      <c r="T257" s="580"/>
      <c r="U257" s="580"/>
      <c r="V257" s="580"/>
    </row>
    <row r="258" spans="1:22" ht="15">
      <c r="A258" s="16"/>
      <c r="B258" s="16"/>
      <c r="C258" s="16"/>
      <c r="D258" s="16"/>
      <c r="E258" s="16"/>
      <c r="F258" s="16"/>
      <c r="G258" s="16"/>
      <c r="H258" s="16"/>
      <c r="N258" s="580"/>
      <c r="O258" s="580"/>
      <c r="P258" s="580"/>
      <c r="Q258" s="580"/>
      <c r="R258" s="580"/>
      <c r="S258" s="580"/>
      <c r="T258" s="580"/>
      <c r="U258" s="580"/>
      <c r="V258" s="580"/>
    </row>
    <row r="259" spans="1:22" ht="15">
      <c r="A259" s="16"/>
      <c r="B259" s="16"/>
      <c r="C259" s="16"/>
      <c r="D259" s="16"/>
      <c r="E259" s="16"/>
      <c r="F259" s="16"/>
      <c r="G259" s="16"/>
      <c r="H259" s="16"/>
      <c r="N259" s="580"/>
      <c r="O259" s="580"/>
      <c r="P259" s="580"/>
      <c r="Q259" s="580"/>
      <c r="R259" s="580"/>
      <c r="S259" s="580"/>
      <c r="T259" s="580"/>
      <c r="U259" s="580"/>
      <c r="V259" s="580"/>
    </row>
    <row r="260" spans="1:22" ht="15">
      <c r="A260" s="16"/>
      <c r="B260" s="16"/>
      <c r="C260" s="16"/>
      <c r="D260" s="16"/>
      <c r="E260" s="16"/>
      <c r="F260" s="16"/>
      <c r="G260" s="16"/>
      <c r="H260" s="16"/>
      <c r="N260" s="580"/>
      <c r="O260" s="580"/>
      <c r="P260" s="580"/>
      <c r="Q260" s="580"/>
      <c r="R260" s="580"/>
      <c r="S260" s="580"/>
      <c r="T260" s="580"/>
      <c r="U260" s="580"/>
      <c r="V260" s="580"/>
    </row>
    <row r="261" spans="1:22" ht="15">
      <c r="A261" s="16"/>
      <c r="B261" s="16"/>
      <c r="C261" s="16"/>
      <c r="D261" s="16"/>
      <c r="E261" s="16"/>
      <c r="F261" s="16"/>
      <c r="G261" s="16"/>
      <c r="H261" s="16"/>
      <c r="N261" s="580"/>
      <c r="O261" s="580"/>
      <c r="P261" s="580"/>
      <c r="Q261" s="580"/>
      <c r="R261" s="580"/>
      <c r="S261" s="580"/>
      <c r="T261" s="580"/>
      <c r="U261" s="580"/>
      <c r="V261" s="580"/>
    </row>
    <row r="262" spans="1:22" ht="15">
      <c r="A262" s="16"/>
      <c r="B262" s="16"/>
      <c r="C262" s="16"/>
      <c r="D262" s="16"/>
      <c r="E262" s="16"/>
      <c r="F262" s="16"/>
      <c r="G262" s="16"/>
      <c r="H262" s="16"/>
      <c r="N262" s="580"/>
      <c r="O262" s="580"/>
      <c r="P262" s="580"/>
      <c r="Q262" s="580"/>
      <c r="R262" s="580"/>
      <c r="S262" s="580"/>
      <c r="T262" s="580"/>
      <c r="U262" s="580"/>
      <c r="V262" s="580"/>
    </row>
    <row r="263" spans="1:22" ht="15">
      <c r="A263" s="16"/>
      <c r="B263" s="16"/>
      <c r="C263" s="16"/>
      <c r="D263" s="16"/>
      <c r="E263" s="16"/>
      <c r="F263" s="16"/>
      <c r="G263" s="16"/>
      <c r="H263" s="16"/>
      <c r="N263" s="580"/>
      <c r="O263" s="580"/>
      <c r="P263" s="580"/>
      <c r="Q263" s="580"/>
      <c r="R263" s="580"/>
      <c r="S263" s="580"/>
      <c r="T263" s="580"/>
      <c r="U263" s="580"/>
      <c r="V263" s="580"/>
    </row>
    <row r="264" spans="1:22" ht="15">
      <c r="A264" s="16"/>
      <c r="B264" s="16"/>
      <c r="C264" s="16"/>
      <c r="D264" s="16"/>
      <c r="E264" s="16"/>
      <c r="F264" s="16"/>
      <c r="G264" s="16"/>
      <c r="H264" s="16"/>
      <c r="N264" s="580"/>
      <c r="O264" s="580"/>
      <c r="P264" s="580"/>
      <c r="Q264" s="580"/>
      <c r="R264" s="580"/>
      <c r="S264" s="580"/>
      <c r="T264" s="580"/>
      <c r="U264" s="580"/>
      <c r="V264" s="580"/>
    </row>
    <row r="265" spans="1:22" ht="15">
      <c r="A265" s="16"/>
      <c r="B265" s="16"/>
      <c r="C265" s="16"/>
      <c r="D265" s="16"/>
      <c r="E265" s="16"/>
      <c r="F265" s="16"/>
      <c r="G265" s="16"/>
      <c r="H265" s="16"/>
      <c r="N265" s="580"/>
      <c r="O265" s="580"/>
      <c r="P265" s="580"/>
      <c r="Q265" s="580"/>
      <c r="R265" s="580"/>
      <c r="S265" s="580"/>
      <c r="T265" s="580"/>
      <c r="U265" s="580"/>
      <c r="V265" s="580"/>
    </row>
    <row r="266" spans="1:22" ht="15">
      <c r="A266" s="16"/>
      <c r="B266" s="16"/>
      <c r="C266" s="16"/>
      <c r="D266" s="16"/>
      <c r="E266" s="16"/>
      <c r="F266" s="16"/>
      <c r="G266" s="16"/>
      <c r="H266" s="16"/>
      <c r="N266" s="580"/>
      <c r="O266" s="580"/>
      <c r="P266" s="580"/>
      <c r="Q266" s="580"/>
      <c r="R266" s="580"/>
      <c r="S266" s="580"/>
      <c r="T266" s="580"/>
      <c r="U266" s="580"/>
      <c r="V266" s="580"/>
    </row>
    <row r="267" spans="1:22" ht="15">
      <c r="A267" s="16"/>
      <c r="B267" s="16"/>
      <c r="C267" s="16"/>
      <c r="D267" s="16"/>
      <c r="E267" s="16"/>
      <c r="F267" s="16"/>
      <c r="G267" s="16"/>
      <c r="H267" s="16"/>
      <c r="N267" s="580"/>
      <c r="O267" s="580"/>
      <c r="P267" s="580"/>
      <c r="Q267" s="580"/>
      <c r="R267" s="580"/>
      <c r="S267" s="580"/>
      <c r="T267" s="580"/>
      <c r="U267" s="580"/>
      <c r="V267" s="580"/>
    </row>
    <row r="268" spans="1:22" ht="15">
      <c r="A268" s="16"/>
      <c r="B268" s="16"/>
      <c r="C268" s="16"/>
      <c r="D268" s="16"/>
      <c r="E268" s="16"/>
      <c r="F268" s="16"/>
      <c r="G268" s="16"/>
      <c r="H268" s="16"/>
      <c r="N268" s="580"/>
      <c r="O268" s="580"/>
      <c r="P268" s="580"/>
      <c r="Q268" s="580"/>
      <c r="R268" s="580"/>
      <c r="S268" s="580"/>
      <c r="T268" s="580"/>
      <c r="U268" s="580"/>
      <c r="V268" s="580"/>
    </row>
    <row r="269" spans="1:22" ht="15">
      <c r="A269" s="16"/>
      <c r="B269" s="16"/>
      <c r="C269" s="16"/>
      <c r="D269" s="16"/>
      <c r="E269" s="16"/>
      <c r="F269" s="16"/>
      <c r="G269" s="16"/>
      <c r="H269" s="16"/>
      <c r="N269" s="580"/>
      <c r="O269" s="580"/>
      <c r="P269" s="580"/>
      <c r="Q269" s="580"/>
      <c r="R269" s="580"/>
      <c r="S269" s="580"/>
      <c r="T269" s="580"/>
      <c r="U269" s="580"/>
      <c r="V269" s="580"/>
    </row>
    <row r="270" spans="1:22" ht="15">
      <c r="A270" s="16"/>
      <c r="B270" s="16"/>
      <c r="C270" s="16"/>
      <c r="D270" s="16"/>
      <c r="E270" s="16"/>
      <c r="F270" s="16"/>
      <c r="G270" s="16"/>
      <c r="H270" s="16"/>
      <c r="N270" s="580"/>
      <c r="O270" s="580"/>
      <c r="P270" s="580"/>
      <c r="Q270" s="580"/>
      <c r="R270" s="580"/>
      <c r="S270" s="580"/>
      <c r="T270" s="580"/>
      <c r="U270" s="580"/>
      <c r="V270" s="580"/>
    </row>
    <row r="271" spans="1:22" ht="15">
      <c r="A271" s="16"/>
      <c r="B271" s="16"/>
      <c r="C271" s="16"/>
      <c r="D271" s="16"/>
      <c r="E271" s="16"/>
      <c r="F271" s="16"/>
      <c r="G271" s="16"/>
      <c r="H271" s="16"/>
      <c r="N271" s="580"/>
      <c r="O271" s="580"/>
      <c r="P271" s="580"/>
      <c r="Q271" s="580"/>
      <c r="R271" s="580"/>
      <c r="S271" s="580"/>
      <c r="T271" s="580"/>
      <c r="U271" s="580"/>
      <c r="V271" s="580"/>
    </row>
    <row r="272" spans="1:22" ht="15">
      <c r="A272" s="16"/>
      <c r="B272" s="16"/>
      <c r="C272" s="16"/>
      <c r="D272" s="16"/>
      <c r="E272" s="16"/>
      <c r="F272" s="16"/>
      <c r="G272" s="16"/>
      <c r="H272" s="16"/>
      <c r="N272" s="580"/>
      <c r="O272" s="580"/>
      <c r="P272" s="580"/>
      <c r="Q272" s="580"/>
      <c r="R272" s="580"/>
      <c r="S272" s="580"/>
      <c r="T272" s="580"/>
      <c r="U272" s="580"/>
      <c r="V272" s="580"/>
    </row>
    <row r="273" spans="1:22" ht="15">
      <c r="A273" s="16"/>
      <c r="B273" s="16"/>
      <c r="C273" s="16"/>
      <c r="D273" s="16"/>
      <c r="E273" s="16"/>
      <c r="F273" s="16"/>
      <c r="G273" s="16"/>
      <c r="H273" s="16"/>
      <c r="N273" s="580"/>
      <c r="O273" s="580"/>
      <c r="P273" s="580"/>
      <c r="Q273" s="580"/>
      <c r="R273" s="580"/>
      <c r="S273" s="580"/>
      <c r="T273" s="580"/>
      <c r="U273" s="580"/>
      <c r="V273" s="580"/>
    </row>
    <row r="274" spans="1:22" ht="15">
      <c r="A274" s="16"/>
      <c r="B274" s="16"/>
      <c r="C274" s="16"/>
      <c r="D274" s="16"/>
      <c r="E274" s="16"/>
      <c r="F274" s="16"/>
      <c r="G274" s="16"/>
      <c r="H274" s="16"/>
      <c r="N274" s="580"/>
      <c r="O274" s="580"/>
      <c r="P274" s="580"/>
      <c r="Q274" s="580"/>
      <c r="R274" s="580"/>
      <c r="S274" s="580"/>
      <c r="T274" s="580"/>
      <c r="U274" s="580"/>
      <c r="V274" s="580"/>
    </row>
    <row r="275" spans="1:22" ht="15">
      <c r="A275" s="16"/>
      <c r="B275" s="16"/>
      <c r="C275" s="16"/>
      <c r="D275" s="16"/>
      <c r="E275" s="16"/>
      <c r="F275" s="16"/>
      <c r="G275" s="16"/>
      <c r="H275" s="16"/>
      <c r="N275" s="580"/>
      <c r="O275" s="580"/>
      <c r="P275" s="580"/>
      <c r="Q275" s="580"/>
      <c r="R275" s="580"/>
      <c r="S275" s="580"/>
      <c r="T275" s="580"/>
      <c r="U275" s="580"/>
      <c r="V275" s="580"/>
    </row>
    <row r="276" spans="1:22" ht="15">
      <c r="A276" s="16"/>
      <c r="B276" s="16"/>
      <c r="C276" s="16"/>
      <c r="D276" s="16"/>
      <c r="E276" s="16"/>
      <c r="F276" s="16"/>
      <c r="G276" s="16"/>
      <c r="H276" s="16"/>
      <c r="N276" s="580"/>
      <c r="O276" s="580"/>
      <c r="P276" s="580"/>
      <c r="Q276" s="580"/>
      <c r="R276" s="580"/>
      <c r="S276" s="580"/>
      <c r="T276" s="580"/>
      <c r="U276" s="580"/>
      <c r="V276" s="580"/>
    </row>
    <row r="277" spans="1:22" ht="15">
      <c r="A277" s="16"/>
      <c r="B277" s="16"/>
      <c r="C277" s="16"/>
      <c r="D277" s="16"/>
      <c r="E277" s="16"/>
      <c r="F277" s="16"/>
      <c r="G277" s="16"/>
      <c r="H277" s="16"/>
      <c r="N277" s="580"/>
      <c r="O277" s="580"/>
      <c r="P277" s="580"/>
      <c r="Q277" s="580"/>
      <c r="R277" s="580"/>
      <c r="S277" s="580"/>
      <c r="T277" s="580"/>
      <c r="U277" s="580"/>
      <c r="V277" s="580"/>
    </row>
    <row r="278" spans="1:22" ht="15">
      <c r="A278" s="16"/>
      <c r="B278" s="16"/>
      <c r="C278" s="16"/>
      <c r="D278" s="16"/>
      <c r="E278" s="16"/>
      <c r="F278" s="16"/>
      <c r="G278" s="16"/>
      <c r="H278" s="16"/>
      <c r="N278" s="580"/>
      <c r="O278" s="580"/>
      <c r="P278" s="580"/>
      <c r="Q278" s="580"/>
      <c r="R278" s="580"/>
      <c r="S278" s="580"/>
      <c r="T278" s="580"/>
      <c r="U278" s="580"/>
      <c r="V278" s="580"/>
    </row>
    <row r="279" spans="1:22" ht="15">
      <c r="A279" s="16"/>
      <c r="B279" s="16"/>
      <c r="C279" s="16"/>
      <c r="D279" s="16"/>
      <c r="E279" s="16"/>
      <c r="F279" s="16"/>
      <c r="G279" s="16"/>
      <c r="H279" s="16"/>
      <c r="N279" s="580"/>
      <c r="O279" s="580"/>
      <c r="P279" s="580"/>
      <c r="Q279" s="580"/>
      <c r="R279" s="580"/>
      <c r="S279" s="580"/>
      <c r="T279" s="580"/>
      <c r="U279" s="580"/>
      <c r="V279" s="580"/>
    </row>
    <row r="280" spans="1:22" ht="15">
      <c r="A280" s="16"/>
      <c r="B280" s="16"/>
      <c r="C280" s="16"/>
      <c r="D280" s="16"/>
      <c r="E280" s="16"/>
      <c r="F280" s="16"/>
      <c r="G280" s="16"/>
      <c r="H280" s="16"/>
      <c r="N280" s="580"/>
      <c r="O280" s="580"/>
      <c r="P280" s="580"/>
      <c r="Q280" s="580"/>
      <c r="R280" s="580"/>
      <c r="S280" s="580"/>
      <c r="T280" s="580"/>
      <c r="U280" s="580"/>
      <c r="V280" s="580"/>
    </row>
    <row r="281" spans="1:22" ht="15">
      <c r="A281" s="16"/>
      <c r="B281" s="16"/>
      <c r="C281" s="16"/>
      <c r="D281" s="16"/>
      <c r="E281" s="16"/>
      <c r="F281" s="16"/>
      <c r="G281" s="16"/>
      <c r="H281" s="16"/>
      <c r="N281" s="580"/>
      <c r="O281" s="580"/>
      <c r="P281" s="580"/>
      <c r="Q281" s="580"/>
      <c r="R281" s="580"/>
      <c r="S281" s="580"/>
      <c r="T281" s="580"/>
      <c r="U281" s="580"/>
      <c r="V281" s="580"/>
    </row>
    <row r="282" spans="1:22" ht="15">
      <c r="A282" s="16"/>
      <c r="B282" s="16"/>
      <c r="C282" s="16"/>
      <c r="D282" s="16"/>
      <c r="E282" s="16"/>
      <c r="F282" s="16"/>
      <c r="G282" s="16"/>
      <c r="H282" s="16"/>
      <c r="N282" s="580"/>
      <c r="O282" s="580"/>
      <c r="P282" s="580"/>
      <c r="Q282" s="580"/>
      <c r="R282" s="580"/>
      <c r="S282" s="580"/>
      <c r="T282" s="580"/>
      <c r="U282" s="580"/>
      <c r="V282" s="580"/>
    </row>
    <row r="283" spans="1:22" ht="15">
      <c r="A283" s="16"/>
      <c r="B283" s="16"/>
      <c r="C283" s="16"/>
      <c r="D283" s="16"/>
      <c r="E283" s="16"/>
      <c r="F283" s="16"/>
      <c r="G283" s="16"/>
      <c r="H283" s="16"/>
      <c r="N283" s="580"/>
      <c r="O283" s="580"/>
      <c r="P283" s="580"/>
      <c r="Q283" s="580"/>
      <c r="R283" s="580"/>
      <c r="S283" s="580"/>
      <c r="T283" s="580"/>
      <c r="U283" s="580"/>
      <c r="V283" s="580"/>
    </row>
    <row r="284" spans="1:22" ht="15">
      <c r="A284" s="16"/>
      <c r="B284" s="16"/>
      <c r="C284" s="16"/>
      <c r="D284" s="16"/>
      <c r="E284" s="16"/>
      <c r="F284" s="16"/>
      <c r="G284" s="16"/>
      <c r="H284" s="16"/>
      <c r="N284" s="580"/>
      <c r="O284" s="580"/>
      <c r="P284" s="580"/>
      <c r="Q284" s="580"/>
      <c r="R284" s="580"/>
      <c r="S284" s="580"/>
      <c r="T284" s="580"/>
      <c r="U284" s="580"/>
      <c r="V284" s="580"/>
    </row>
    <row r="285" spans="1:22" ht="15">
      <c r="A285" s="16"/>
      <c r="B285" s="16"/>
      <c r="C285" s="16"/>
      <c r="D285" s="16"/>
      <c r="E285" s="16"/>
      <c r="F285" s="16"/>
      <c r="G285" s="16"/>
      <c r="H285" s="16"/>
      <c r="N285" s="580"/>
      <c r="O285" s="580"/>
      <c r="P285" s="580"/>
      <c r="Q285" s="580"/>
      <c r="R285" s="580"/>
      <c r="S285" s="580"/>
      <c r="T285" s="580"/>
      <c r="U285" s="580"/>
      <c r="V285" s="580"/>
    </row>
    <row r="286" spans="1:22" ht="15">
      <c r="A286" s="16"/>
      <c r="B286" s="16"/>
      <c r="C286" s="16"/>
      <c r="D286" s="16"/>
      <c r="E286" s="16"/>
      <c r="F286" s="16"/>
      <c r="G286" s="16"/>
      <c r="H286" s="16"/>
      <c r="N286" s="580"/>
      <c r="O286" s="580"/>
      <c r="P286" s="580"/>
      <c r="Q286" s="580"/>
      <c r="R286" s="580"/>
      <c r="S286" s="580"/>
      <c r="T286" s="580"/>
      <c r="U286" s="580"/>
      <c r="V286" s="580"/>
    </row>
    <row r="287" spans="1:22" ht="15">
      <c r="A287" s="16"/>
      <c r="B287" s="16"/>
      <c r="C287" s="16"/>
      <c r="D287" s="16"/>
      <c r="E287" s="16"/>
      <c r="F287" s="16"/>
      <c r="G287" s="16"/>
      <c r="H287" s="16"/>
      <c r="N287" s="580"/>
      <c r="O287" s="580"/>
      <c r="P287" s="580"/>
      <c r="Q287" s="580"/>
      <c r="R287" s="580"/>
      <c r="S287" s="580"/>
      <c r="T287" s="580"/>
      <c r="U287" s="580"/>
      <c r="V287" s="580"/>
    </row>
    <row r="288" spans="1:22" ht="15">
      <c r="A288" s="16"/>
      <c r="B288" s="16"/>
      <c r="C288" s="16"/>
      <c r="D288" s="16"/>
      <c r="E288" s="16"/>
      <c r="F288" s="16"/>
      <c r="G288" s="16"/>
      <c r="H288" s="16"/>
      <c r="N288" s="580"/>
      <c r="O288" s="580"/>
      <c r="P288" s="580"/>
      <c r="Q288" s="580"/>
      <c r="R288" s="580"/>
      <c r="S288" s="580"/>
      <c r="T288" s="580"/>
      <c r="U288" s="580"/>
      <c r="V288" s="580"/>
    </row>
    <row r="289" spans="1:22" ht="15">
      <c r="A289" s="16"/>
      <c r="B289" s="16"/>
      <c r="C289" s="16"/>
      <c r="D289" s="16"/>
      <c r="E289" s="16"/>
      <c r="F289" s="16"/>
      <c r="G289" s="16"/>
      <c r="H289" s="16"/>
      <c r="N289" s="580"/>
      <c r="O289" s="580"/>
      <c r="P289" s="580"/>
      <c r="Q289" s="580"/>
      <c r="R289" s="580"/>
      <c r="S289" s="580"/>
      <c r="T289" s="580"/>
      <c r="U289" s="580"/>
      <c r="V289" s="580"/>
    </row>
    <row r="290" spans="1:22" ht="15">
      <c r="A290" s="16"/>
      <c r="B290" s="16"/>
      <c r="C290" s="16"/>
      <c r="D290" s="16"/>
      <c r="E290" s="16"/>
      <c r="F290" s="16"/>
      <c r="G290" s="16"/>
      <c r="H290" s="16"/>
      <c r="N290" s="580"/>
      <c r="O290" s="580"/>
      <c r="P290" s="580"/>
      <c r="Q290" s="580"/>
      <c r="R290" s="580"/>
      <c r="S290" s="580"/>
      <c r="T290" s="580"/>
      <c r="U290" s="580"/>
      <c r="V290" s="580"/>
    </row>
    <row r="291" spans="1:22" ht="15">
      <c r="A291" s="16"/>
      <c r="B291" s="16"/>
      <c r="C291" s="16"/>
      <c r="D291" s="16"/>
      <c r="E291" s="16"/>
      <c r="F291" s="16"/>
      <c r="G291" s="16"/>
      <c r="H291" s="16"/>
      <c r="N291" s="580"/>
      <c r="O291" s="580"/>
      <c r="P291" s="580"/>
      <c r="Q291" s="580"/>
      <c r="R291" s="580"/>
      <c r="S291" s="580"/>
      <c r="T291" s="580"/>
      <c r="U291" s="580"/>
      <c r="V291" s="580"/>
    </row>
    <row r="292" spans="1:22" ht="15">
      <c r="A292" s="16"/>
      <c r="B292" s="16"/>
      <c r="C292" s="16"/>
      <c r="D292" s="16"/>
      <c r="E292" s="16"/>
      <c r="F292" s="16"/>
      <c r="G292" s="16"/>
      <c r="H292" s="16"/>
      <c r="N292" s="580"/>
      <c r="O292" s="580"/>
      <c r="P292" s="580"/>
      <c r="Q292" s="580"/>
      <c r="R292" s="580"/>
      <c r="S292" s="580"/>
      <c r="T292" s="580"/>
      <c r="U292" s="580"/>
      <c r="V292" s="580"/>
    </row>
    <row r="293" spans="1:22" ht="15">
      <c r="A293" s="16"/>
      <c r="B293" s="16"/>
      <c r="C293" s="16"/>
      <c r="D293" s="16"/>
      <c r="E293" s="16"/>
      <c r="F293" s="16"/>
      <c r="G293" s="16"/>
      <c r="H293" s="16"/>
      <c r="N293" s="580"/>
      <c r="O293" s="580"/>
      <c r="P293" s="580"/>
      <c r="Q293" s="580"/>
      <c r="R293" s="580"/>
      <c r="S293" s="580"/>
      <c r="T293" s="580"/>
      <c r="U293" s="580"/>
      <c r="V293" s="580"/>
    </row>
    <row r="294" spans="1:22" ht="15">
      <c r="A294" s="16"/>
      <c r="B294" s="16"/>
      <c r="C294" s="16"/>
      <c r="D294" s="16"/>
      <c r="E294" s="16"/>
      <c r="F294" s="16"/>
      <c r="G294" s="16"/>
      <c r="H294" s="16"/>
      <c r="N294" s="580"/>
      <c r="O294" s="580"/>
      <c r="P294" s="580"/>
      <c r="Q294" s="580"/>
      <c r="R294" s="580"/>
      <c r="S294" s="580"/>
      <c r="T294" s="580"/>
      <c r="U294" s="580"/>
      <c r="V294" s="580"/>
    </row>
    <row r="295" spans="1:22" ht="15">
      <c r="A295" s="16"/>
      <c r="B295" s="16"/>
      <c r="C295" s="16"/>
      <c r="D295" s="16"/>
      <c r="E295" s="16"/>
      <c r="F295" s="16"/>
      <c r="G295" s="16"/>
      <c r="H295" s="16"/>
      <c r="N295" s="580"/>
      <c r="O295" s="580"/>
      <c r="P295" s="580"/>
      <c r="Q295" s="580"/>
      <c r="R295" s="580"/>
      <c r="S295" s="580"/>
      <c r="T295" s="580"/>
      <c r="U295" s="580"/>
      <c r="V295" s="580"/>
    </row>
    <row r="296" spans="1:22" ht="15">
      <c r="A296" s="16"/>
      <c r="B296" s="16"/>
      <c r="C296" s="16"/>
      <c r="D296" s="16"/>
      <c r="E296" s="16"/>
      <c r="F296" s="16"/>
      <c r="G296" s="16"/>
      <c r="H296" s="16"/>
      <c r="N296" s="580"/>
      <c r="O296" s="580"/>
      <c r="P296" s="580"/>
      <c r="Q296" s="580"/>
      <c r="R296" s="580"/>
      <c r="S296" s="580"/>
      <c r="T296" s="580"/>
      <c r="U296" s="580"/>
      <c r="V296" s="580"/>
    </row>
    <row r="297" spans="1:22" ht="15">
      <c r="A297" s="16"/>
      <c r="B297" s="16"/>
      <c r="C297" s="16"/>
      <c r="D297" s="16"/>
      <c r="E297" s="16"/>
      <c r="F297" s="16"/>
      <c r="G297" s="16"/>
      <c r="H297" s="16"/>
      <c r="N297" s="580"/>
      <c r="O297" s="580"/>
      <c r="P297" s="580"/>
      <c r="Q297" s="580"/>
      <c r="R297" s="580"/>
      <c r="S297" s="580"/>
      <c r="T297" s="580"/>
      <c r="U297" s="580"/>
      <c r="V297" s="580"/>
    </row>
    <row r="298" spans="1:22" ht="15">
      <c r="A298" s="16"/>
      <c r="B298" s="16"/>
      <c r="C298" s="16"/>
      <c r="D298" s="16"/>
      <c r="E298" s="16"/>
      <c r="F298" s="16"/>
      <c r="G298" s="16"/>
      <c r="H298" s="16"/>
      <c r="N298" s="580"/>
      <c r="O298" s="580"/>
      <c r="P298" s="580"/>
      <c r="Q298" s="580"/>
      <c r="R298" s="580"/>
      <c r="S298" s="580"/>
      <c r="T298" s="580"/>
      <c r="U298" s="580"/>
      <c r="V298" s="580"/>
    </row>
    <row r="299" spans="1:22" ht="15">
      <c r="A299" s="16"/>
      <c r="B299" s="16"/>
      <c r="C299" s="16"/>
      <c r="D299" s="16"/>
      <c r="E299" s="16"/>
      <c r="F299" s="16"/>
      <c r="G299" s="16"/>
      <c r="H299" s="16"/>
      <c r="N299" s="580"/>
      <c r="O299" s="580"/>
      <c r="P299" s="580"/>
      <c r="Q299" s="580"/>
      <c r="R299" s="580"/>
      <c r="S299" s="580"/>
      <c r="T299" s="580"/>
      <c r="U299" s="580"/>
      <c r="V299" s="580"/>
    </row>
    <row r="300" spans="1:22" ht="15">
      <c r="A300" s="16"/>
      <c r="B300" s="16"/>
      <c r="C300" s="16"/>
      <c r="D300" s="16"/>
      <c r="E300" s="16"/>
      <c r="F300" s="16"/>
      <c r="G300" s="16"/>
      <c r="H300" s="16"/>
      <c r="N300" s="580"/>
      <c r="O300" s="580"/>
      <c r="P300" s="580"/>
      <c r="Q300" s="580"/>
      <c r="R300" s="580"/>
      <c r="S300" s="580"/>
      <c r="T300" s="580"/>
      <c r="U300" s="580"/>
      <c r="V300" s="580"/>
    </row>
    <row r="301" spans="1:22" ht="15">
      <c r="A301" s="16"/>
      <c r="B301" s="16"/>
      <c r="C301" s="16"/>
      <c r="D301" s="16"/>
      <c r="E301" s="16"/>
      <c r="F301" s="16"/>
      <c r="G301" s="16"/>
      <c r="H301" s="16"/>
      <c r="N301" s="580"/>
      <c r="O301" s="580"/>
      <c r="P301" s="580"/>
      <c r="Q301" s="580"/>
      <c r="R301" s="580"/>
      <c r="S301" s="580"/>
      <c r="T301" s="580"/>
      <c r="U301" s="580"/>
      <c r="V301" s="580"/>
    </row>
    <row r="302" spans="1:22" ht="15">
      <c r="A302" s="16"/>
      <c r="B302" s="16"/>
      <c r="C302" s="16"/>
      <c r="D302" s="16"/>
      <c r="E302" s="16"/>
      <c r="F302" s="16"/>
      <c r="G302" s="16"/>
      <c r="H302" s="16"/>
      <c r="N302" s="580"/>
      <c r="O302" s="580"/>
      <c r="P302" s="580"/>
      <c r="Q302" s="580"/>
      <c r="R302" s="580"/>
      <c r="S302" s="580"/>
      <c r="T302" s="580"/>
      <c r="U302" s="580"/>
      <c r="V302" s="580"/>
    </row>
    <row r="303" spans="1:22" ht="15">
      <c r="A303" s="16"/>
      <c r="B303" s="16"/>
      <c r="C303" s="16"/>
      <c r="D303" s="16"/>
      <c r="E303" s="16"/>
      <c r="F303" s="16"/>
      <c r="G303" s="16"/>
      <c r="H303" s="16"/>
      <c r="N303" s="580"/>
      <c r="O303" s="580"/>
      <c r="P303" s="580"/>
      <c r="Q303" s="580"/>
      <c r="R303" s="580"/>
      <c r="S303" s="580"/>
      <c r="T303" s="580"/>
      <c r="U303" s="580"/>
      <c r="V303" s="580"/>
    </row>
    <row r="304" spans="1:22" ht="15">
      <c r="A304" s="16"/>
      <c r="B304" s="16"/>
      <c r="C304" s="16"/>
      <c r="D304" s="16"/>
      <c r="E304" s="16"/>
      <c r="F304" s="16"/>
      <c r="G304" s="16"/>
      <c r="H304" s="16"/>
      <c r="N304" s="580"/>
      <c r="O304" s="580"/>
      <c r="P304" s="580"/>
      <c r="Q304" s="580"/>
      <c r="R304" s="580"/>
      <c r="S304" s="580"/>
      <c r="T304" s="580"/>
      <c r="U304" s="580"/>
      <c r="V304" s="580"/>
    </row>
    <row r="305" spans="1:22" ht="15">
      <c r="A305" s="16"/>
      <c r="B305" s="16"/>
      <c r="C305" s="16"/>
      <c r="D305" s="16"/>
      <c r="E305" s="16"/>
      <c r="F305" s="16"/>
      <c r="G305" s="16"/>
      <c r="H305" s="16"/>
      <c r="N305" s="580"/>
      <c r="O305" s="580"/>
      <c r="P305" s="580"/>
      <c r="Q305" s="580"/>
      <c r="R305" s="580"/>
      <c r="S305" s="580"/>
      <c r="T305" s="580"/>
      <c r="U305" s="580"/>
      <c r="V305" s="580"/>
    </row>
    <row r="306" spans="1:22" ht="15">
      <c r="A306" s="16"/>
      <c r="B306" s="16"/>
      <c r="C306" s="16"/>
      <c r="D306" s="16"/>
      <c r="E306" s="16"/>
      <c r="F306" s="16"/>
      <c r="G306" s="16"/>
      <c r="H306" s="16"/>
      <c r="N306" s="580"/>
      <c r="O306" s="580"/>
      <c r="P306" s="580"/>
      <c r="Q306" s="580"/>
      <c r="R306" s="580"/>
      <c r="S306" s="580"/>
      <c r="T306" s="580"/>
      <c r="U306" s="580"/>
      <c r="V306" s="580"/>
    </row>
    <row r="307" spans="1:22" ht="15">
      <c r="A307" s="16"/>
      <c r="B307" s="16"/>
      <c r="C307" s="16"/>
      <c r="D307" s="16"/>
      <c r="E307" s="16"/>
      <c r="F307" s="16"/>
      <c r="G307" s="16"/>
      <c r="H307" s="16"/>
      <c r="N307" s="580"/>
      <c r="O307" s="580"/>
      <c r="P307" s="580"/>
      <c r="Q307" s="580"/>
      <c r="R307" s="580"/>
      <c r="S307" s="580"/>
      <c r="T307" s="580"/>
      <c r="U307" s="580"/>
      <c r="V307" s="580"/>
    </row>
    <row r="308" spans="1:22" ht="15">
      <c r="A308" s="16"/>
      <c r="B308" s="16"/>
      <c r="C308" s="16"/>
      <c r="D308" s="16"/>
      <c r="E308" s="16"/>
      <c r="F308" s="16"/>
      <c r="G308" s="16"/>
      <c r="H308" s="16"/>
      <c r="N308" s="580"/>
      <c r="O308" s="580"/>
      <c r="P308" s="580"/>
      <c r="Q308" s="580"/>
      <c r="R308" s="580"/>
      <c r="S308" s="580"/>
      <c r="T308" s="580"/>
      <c r="U308" s="580"/>
      <c r="V308" s="580"/>
    </row>
    <row r="309" spans="1:22" ht="15">
      <c r="A309" s="16"/>
      <c r="B309" s="16"/>
      <c r="C309" s="16"/>
      <c r="D309" s="16"/>
      <c r="E309" s="16"/>
      <c r="F309" s="16"/>
      <c r="G309" s="16"/>
      <c r="H309" s="16"/>
      <c r="N309" s="580"/>
      <c r="O309" s="580"/>
      <c r="P309" s="580"/>
      <c r="Q309" s="580"/>
      <c r="R309" s="580"/>
      <c r="S309" s="580"/>
      <c r="T309" s="580"/>
      <c r="U309" s="580"/>
      <c r="V309" s="580"/>
    </row>
    <row r="310" spans="1:22" ht="15">
      <c r="A310" s="16"/>
      <c r="B310" s="16"/>
      <c r="C310" s="16"/>
      <c r="D310" s="16"/>
      <c r="E310" s="16"/>
      <c r="F310" s="16"/>
      <c r="G310" s="16"/>
      <c r="H310" s="16"/>
      <c r="N310" s="580"/>
      <c r="O310" s="580"/>
      <c r="P310" s="580"/>
      <c r="Q310" s="580"/>
      <c r="R310" s="580"/>
      <c r="S310" s="580"/>
      <c r="T310" s="580"/>
      <c r="U310" s="580"/>
      <c r="V310" s="580"/>
    </row>
    <row r="311" spans="1:22" ht="15">
      <c r="A311" s="16"/>
      <c r="B311" s="16"/>
      <c r="C311" s="16"/>
      <c r="D311" s="16"/>
      <c r="E311" s="16"/>
      <c r="F311" s="16"/>
      <c r="G311" s="16"/>
      <c r="H311" s="16"/>
      <c r="N311" s="580"/>
      <c r="O311" s="580"/>
      <c r="P311" s="580"/>
      <c r="Q311" s="580"/>
      <c r="R311" s="580"/>
      <c r="S311" s="580"/>
      <c r="T311" s="580"/>
      <c r="U311" s="580"/>
      <c r="V311" s="580"/>
    </row>
    <row r="312" spans="1:22" ht="15">
      <c r="A312" s="16"/>
      <c r="B312" s="16"/>
      <c r="C312" s="16"/>
      <c r="D312" s="16"/>
      <c r="E312" s="16"/>
      <c r="F312" s="16"/>
      <c r="G312" s="16"/>
      <c r="H312" s="16"/>
      <c r="N312" s="580"/>
      <c r="O312" s="580"/>
      <c r="P312" s="580"/>
      <c r="Q312" s="580"/>
      <c r="R312" s="580"/>
      <c r="S312" s="580"/>
      <c r="T312" s="580"/>
      <c r="U312" s="580"/>
      <c r="V312" s="580"/>
    </row>
    <row r="313" spans="1:22" ht="15">
      <c r="A313" s="16"/>
      <c r="B313" s="16"/>
      <c r="C313" s="16"/>
      <c r="D313" s="16"/>
      <c r="E313" s="16"/>
      <c r="F313" s="16"/>
      <c r="G313" s="16"/>
      <c r="H313" s="16"/>
      <c r="N313" s="580"/>
      <c r="O313" s="580"/>
      <c r="P313" s="580"/>
      <c r="Q313" s="580"/>
      <c r="R313" s="580"/>
      <c r="S313" s="580"/>
      <c r="T313" s="580"/>
      <c r="U313" s="580"/>
      <c r="V313" s="580"/>
    </row>
    <row r="314" spans="1:22" ht="15">
      <c r="A314" s="16"/>
      <c r="B314" s="16"/>
      <c r="C314" s="16"/>
      <c r="D314" s="16"/>
      <c r="E314" s="16"/>
      <c r="F314" s="16"/>
      <c r="G314" s="16"/>
      <c r="H314" s="16"/>
      <c r="N314" s="580"/>
      <c r="O314" s="580"/>
      <c r="P314" s="580"/>
      <c r="Q314" s="580"/>
      <c r="R314" s="580"/>
      <c r="S314" s="580"/>
      <c r="T314" s="580"/>
      <c r="U314" s="580"/>
      <c r="V314" s="580"/>
    </row>
    <row r="315" spans="1:22" ht="15">
      <c r="A315" s="16"/>
      <c r="B315" s="16"/>
      <c r="C315" s="16"/>
      <c r="D315" s="16"/>
      <c r="E315" s="16"/>
      <c r="F315" s="16"/>
      <c r="G315" s="16"/>
      <c r="H315" s="16"/>
      <c r="N315" s="580"/>
      <c r="O315" s="580"/>
      <c r="P315" s="580"/>
      <c r="Q315" s="580"/>
      <c r="R315" s="580"/>
      <c r="S315" s="580"/>
      <c r="T315" s="580"/>
      <c r="U315" s="580"/>
      <c r="V315" s="580"/>
    </row>
    <row r="316" spans="1:22" ht="15">
      <c r="A316" s="16"/>
      <c r="B316" s="16"/>
      <c r="C316" s="16"/>
      <c r="D316" s="16"/>
      <c r="E316" s="16"/>
      <c r="F316" s="16"/>
      <c r="G316" s="16"/>
      <c r="H316" s="16"/>
      <c r="N316" s="580"/>
      <c r="O316" s="580"/>
      <c r="P316" s="580"/>
      <c r="Q316" s="580"/>
      <c r="R316" s="580"/>
      <c r="S316" s="580"/>
      <c r="T316" s="580"/>
      <c r="U316" s="580"/>
      <c r="V316" s="580"/>
    </row>
    <row r="317" spans="1:22" ht="15">
      <c r="A317" s="16"/>
      <c r="B317" s="16"/>
      <c r="C317" s="16"/>
      <c r="D317" s="16"/>
      <c r="E317" s="16"/>
      <c r="F317" s="16"/>
      <c r="G317" s="16"/>
      <c r="H317" s="16"/>
      <c r="N317" s="580"/>
      <c r="O317" s="580"/>
      <c r="P317" s="580"/>
      <c r="Q317" s="580"/>
      <c r="R317" s="580"/>
      <c r="S317" s="580"/>
      <c r="T317" s="580"/>
      <c r="U317" s="580"/>
      <c r="V317" s="580"/>
    </row>
    <row r="318" spans="1:22" ht="15">
      <c r="A318" s="16"/>
      <c r="B318" s="16"/>
      <c r="C318" s="16"/>
      <c r="D318" s="16"/>
      <c r="E318" s="16"/>
      <c r="F318" s="16"/>
      <c r="G318" s="16"/>
      <c r="H318" s="16"/>
      <c r="N318" s="580"/>
      <c r="O318" s="580"/>
      <c r="P318" s="580"/>
      <c r="Q318" s="580"/>
      <c r="R318" s="580"/>
      <c r="S318" s="580"/>
      <c r="T318" s="580"/>
      <c r="U318" s="580"/>
      <c r="V318" s="580"/>
    </row>
    <row r="319" spans="1:22" ht="15">
      <c r="A319" s="16"/>
      <c r="B319" s="16"/>
      <c r="C319" s="16"/>
      <c r="D319" s="16"/>
      <c r="E319" s="16"/>
      <c r="F319" s="16"/>
      <c r="G319" s="16"/>
      <c r="H319" s="16"/>
      <c r="N319" s="580"/>
      <c r="O319" s="580"/>
      <c r="P319" s="580"/>
      <c r="Q319" s="580"/>
      <c r="R319" s="580"/>
      <c r="S319" s="580"/>
      <c r="T319" s="580"/>
      <c r="U319" s="580"/>
      <c r="V319" s="580"/>
    </row>
    <row r="320" spans="1:22" ht="15">
      <c r="A320" s="16"/>
      <c r="B320" s="16"/>
      <c r="C320" s="16"/>
      <c r="D320" s="16"/>
      <c r="E320" s="16"/>
      <c r="F320" s="16"/>
      <c r="G320" s="16"/>
      <c r="H320" s="16"/>
      <c r="N320" s="580"/>
      <c r="O320" s="580"/>
      <c r="P320" s="580"/>
      <c r="Q320" s="580"/>
      <c r="R320" s="580"/>
      <c r="S320" s="580"/>
      <c r="T320" s="580"/>
      <c r="U320" s="580"/>
      <c r="V320" s="580"/>
    </row>
    <row r="321" spans="1:22" ht="15">
      <c r="A321" s="16"/>
      <c r="B321" s="16"/>
      <c r="C321" s="16"/>
      <c r="D321" s="16"/>
      <c r="E321" s="16"/>
      <c r="F321" s="16"/>
      <c r="G321" s="16"/>
      <c r="H321" s="16"/>
      <c r="N321" s="580"/>
      <c r="O321" s="580"/>
      <c r="P321" s="580"/>
      <c r="Q321" s="580"/>
      <c r="R321" s="580"/>
      <c r="S321" s="580"/>
      <c r="T321" s="580"/>
      <c r="U321" s="580"/>
      <c r="V321" s="580"/>
    </row>
    <row r="322" spans="1:22" ht="15">
      <c r="A322" s="16"/>
      <c r="B322" s="16"/>
      <c r="C322" s="16"/>
      <c r="D322" s="16"/>
      <c r="E322" s="16"/>
      <c r="F322" s="16"/>
      <c r="G322" s="16"/>
      <c r="H322" s="16"/>
      <c r="N322" s="580"/>
      <c r="O322" s="580"/>
      <c r="P322" s="580"/>
      <c r="Q322" s="580"/>
      <c r="R322" s="580"/>
      <c r="S322" s="580"/>
      <c r="T322" s="580"/>
      <c r="U322" s="580"/>
      <c r="V322" s="580"/>
    </row>
    <row r="323" spans="1:22" ht="15">
      <c r="A323" s="16"/>
      <c r="B323" s="16"/>
      <c r="C323" s="16"/>
      <c r="D323" s="16"/>
      <c r="E323" s="16"/>
      <c r="F323" s="16"/>
      <c r="G323" s="16"/>
      <c r="H323" s="16"/>
      <c r="N323" s="580"/>
      <c r="O323" s="580"/>
      <c r="P323" s="580"/>
      <c r="Q323" s="580"/>
      <c r="R323" s="580"/>
      <c r="S323" s="580"/>
      <c r="T323" s="580"/>
      <c r="U323" s="580"/>
      <c r="V323" s="580"/>
    </row>
    <row r="324" spans="1:22" ht="15">
      <c r="A324" s="16"/>
      <c r="B324" s="16"/>
      <c r="C324" s="16"/>
      <c r="D324" s="16"/>
      <c r="E324" s="16"/>
      <c r="F324" s="16"/>
      <c r="G324" s="16"/>
      <c r="H324" s="16"/>
      <c r="N324" s="580"/>
      <c r="O324" s="580"/>
      <c r="P324" s="580"/>
      <c r="Q324" s="580"/>
      <c r="R324" s="580"/>
      <c r="S324" s="580"/>
      <c r="T324" s="580"/>
      <c r="U324" s="580"/>
      <c r="V324" s="580"/>
    </row>
    <row r="325" spans="1:22" ht="15">
      <c r="A325" s="16"/>
      <c r="B325" s="16"/>
      <c r="C325" s="16"/>
      <c r="D325" s="16"/>
      <c r="E325" s="16"/>
      <c r="F325" s="16"/>
      <c r="G325" s="16"/>
      <c r="H325" s="16"/>
      <c r="N325" s="580"/>
      <c r="O325" s="580"/>
      <c r="P325" s="580"/>
      <c r="Q325" s="580"/>
      <c r="R325" s="580"/>
      <c r="S325" s="580"/>
      <c r="T325" s="580"/>
      <c r="U325" s="580"/>
      <c r="V325" s="580"/>
    </row>
    <row r="326" spans="1:22" ht="15">
      <c r="A326" s="16"/>
      <c r="B326" s="16"/>
      <c r="C326" s="16"/>
      <c r="D326" s="16"/>
      <c r="E326" s="16"/>
      <c r="F326" s="16"/>
      <c r="G326" s="16"/>
      <c r="H326" s="16"/>
      <c r="N326" s="580"/>
      <c r="O326" s="580"/>
      <c r="P326" s="580"/>
      <c r="Q326" s="580"/>
      <c r="R326" s="580"/>
      <c r="S326" s="580"/>
      <c r="T326" s="580"/>
      <c r="U326" s="580"/>
      <c r="V326" s="580"/>
    </row>
    <row r="327" spans="1:22" ht="15">
      <c r="A327" s="16"/>
      <c r="B327" s="16"/>
      <c r="C327" s="16"/>
      <c r="D327" s="16"/>
      <c r="E327" s="16"/>
      <c r="F327" s="16"/>
      <c r="G327" s="16"/>
      <c r="H327" s="16"/>
      <c r="N327" s="580"/>
      <c r="O327" s="580"/>
      <c r="P327" s="580"/>
      <c r="Q327" s="580"/>
      <c r="R327" s="580"/>
      <c r="S327" s="580"/>
      <c r="T327" s="580"/>
      <c r="U327" s="580"/>
      <c r="V327" s="580"/>
    </row>
    <row r="328" spans="1:22" ht="15">
      <c r="A328" s="16"/>
      <c r="B328" s="16"/>
      <c r="C328" s="16"/>
      <c r="D328" s="16"/>
      <c r="E328" s="16"/>
      <c r="F328" s="16"/>
      <c r="G328" s="16"/>
      <c r="H328" s="16"/>
      <c r="N328" s="580"/>
      <c r="O328" s="580"/>
      <c r="P328" s="580"/>
      <c r="Q328" s="580"/>
      <c r="R328" s="580"/>
      <c r="S328" s="580"/>
      <c r="T328" s="580"/>
      <c r="U328" s="580"/>
      <c r="V328" s="580"/>
    </row>
    <row r="329" spans="1:22" ht="15">
      <c r="A329" s="16"/>
      <c r="B329" s="16"/>
      <c r="C329" s="16"/>
      <c r="D329" s="16"/>
      <c r="E329" s="16"/>
      <c r="F329" s="16"/>
      <c r="G329" s="16"/>
      <c r="H329" s="16"/>
      <c r="N329" s="580"/>
      <c r="O329" s="580"/>
      <c r="P329" s="580"/>
      <c r="Q329" s="580"/>
      <c r="R329" s="580"/>
      <c r="S329" s="580"/>
      <c r="T329" s="580"/>
      <c r="U329" s="580"/>
      <c r="V329" s="580"/>
    </row>
    <row r="330" spans="1:22" ht="15">
      <c r="A330" s="16"/>
      <c r="B330" s="16"/>
      <c r="C330" s="16"/>
      <c r="D330" s="16"/>
      <c r="E330" s="16"/>
      <c r="F330" s="16"/>
      <c r="G330" s="16"/>
      <c r="H330" s="16"/>
      <c r="N330" s="580"/>
      <c r="O330" s="580"/>
      <c r="P330" s="580"/>
      <c r="Q330" s="580"/>
      <c r="R330" s="580"/>
      <c r="S330" s="580"/>
      <c r="T330" s="580"/>
      <c r="U330" s="580"/>
      <c r="V330" s="580"/>
    </row>
    <row r="331" spans="1:22" ht="15">
      <c r="A331" s="16"/>
      <c r="B331" s="16"/>
      <c r="C331" s="16"/>
      <c r="D331" s="16"/>
      <c r="E331" s="16"/>
      <c r="F331" s="16"/>
      <c r="G331" s="16"/>
      <c r="H331" s="16"/>
      <c r="N331" s="580"/>
      <c r="O331" s="580"/>
      <c r="P331" s="580"/>
      <c r="Q331" s="580"/>
      <c r="R331" s="580"/>
      <c r="S331" s="580"/>
      <c r="T331" s="580"/>
      <c r="U331" s="580"/>
      <c r="V331" s="580"/>
    </row>
    <row r="332" spans="1:22" ht="15">
      <c r="A332" s="16"/>
      <c r="B332" s="16"/>
      <c r="C332" s="16"/>
      <c r="D332" s="16"/>
      <c r="E332" s="16"/>
      <c r="F332" s="16"/>
      <c r="G332" s="16"/>
      <c r="H332" s="16"/>
      <c r="N332" s="580"/>
      <c r="O332" s="580"/>
      <c r="P332" s="580"/>
      <c r="Q332" s="580"/>
      <c r="R332" s="580"/>
      <c r="S332" s="580"/>
      <c r="T332" s="580"/>
      <c r="U332" s="580"/>
      <c r="V332" s="580"/>
    </row>
    <row r="333" spans="1:22" ht="15">
      <c r="A333" s="16"/>
      <c r="B333" s="16"/>
      <c r="C333" s="16"/>
      <c r="D333" s="16"/>
      <c r="E333" s="16"/>
      <c r="F333" s="16"/>
      <c r="G333" s="16"/>
      <c r="H333" s="16"/>
      <c r="N333" s="580"/>
      <c r="O333" s="580"/>
      <c r="P333" s="580"/>
      <c r="Q333" s="580"/>
      <c r="R333" s="580"/>
      <c r="S333" s="580"/>
      <c r="T333" s="580"/>
      <c r="U333" s="580"/>
      <c r="V333" s="580"/>
    </row>
    <row r="334" spans="1:22" ht="15">
      <c r="A334" s="16"/>
      <c r="B334" s="16"/>
      <c r="C334" s="16"/>
      <c r="D334" s="16"/>
      <c r="E334" s="16"/>
      <c r="F334" s="16"/>
      <c r="G334" s="16"/>
      <c r="H334" s="16"/>
      <c r="N334" s="580"/>
      <c r="O334" s="580"/>
      <c r="P334" s="580"/>
      <c r="Q334" s="580"/>
      <c r="R334" s="580"/>
      <c r="S334" s="580"/>
      <c r="T334" s="580"/>
      <c r="U334" s="580"/>
      <c r="V334" s="580"/>
    </row>
    <row r="335" spans="1:22" ht="15">
      <c r="A335" s="16"/>
      <c r="B335" s="16"/>
      <c r="C335" s="16"/>
      <c r="D335" s="16"/>
      <c r="E335" s="16"/>
      <c r="F335" s="16"/>
      <c r="G335" s="16"/>
      <c r="H335" s="16"/>
      <c r="N335" s="580"/>
      <c r="O335" s="580"/>
      <c r="P335" s="580"/>
      <c r="Q335" s="580"/>
      <c r="R335" s="580"/>
      <c r="S335" s="580"/>
      <c r="T335" s="580"/>
      <c r="U335" s="580"/>
      <c r="V335" s="580"/>
    </row>
    <row r="336" spans="1:22" ht="15">
      <c r="A336" s="16"/>
      <c r="B336" s="16"/>
      <c r="C336" s="16"/>
      <c r="D336" s="16"/>
      <c r="E336" s="16"/>
      <c r="F336" s="16"/>
      <c r="G336" s="16"/>
      <c r="H336" s="16"/>
      <c r="N336" s="580"/>
      <c r="O336" s="580"/>
      <c r="P336" s="580"/>
      <c r="Q336" s="580"/>
      <c r="R336" s="580"/>
      <c r="S336" s="580"/>
      <c r="T336" s="580"/>
      <c r="U336" s="580"/>
      <c r="V336" s="580"/>
    </row>
    <row r="337" spans="1:22" ht="15">
      <c r="A337" s="16"/>
      <c r="B337" s="16"/>
      <c r="C337" s="16"/>
      <c r="D337" s="16"/>
      <c r="E337" s="16"/>
      <c r="F337" s="16"/>
      <c r="G337" s="16"/>
      <c r="H337" s="16"/>
      <c r="N337" s="580"/>
      <c r="O337" s="580"/>
      <c r="P337" s="580"/>
      <c r="Q337" s="580"/>
      <c r="R337" s="580"/>
      <c r="S337" s="580"/>
      <c r="T337" s="580"/>
      <c r="U337" s="580"/>
      <c r="V337" s="580"/>
    </row>
    <row r="338" spans="1:22" ht="15">
      <c r="A338" s="16"/>
      <c r="B338" s="16"/>
      <c r="C338" s="16"/>
      <c r="D338" s="16"/>
      <c r="E338" s="16"/>
      <c r="F338" s="16"/>
      <c r="G338" s="16"/>
      <c r="H338" s="16"/>
      <c r="N338" s="580"/>
      <c r="O338" s="580"/>
      <c r="P338" s="580"/>
      <c r="Q338" s="580"/>
      <c r="R338" s="580"/>
      <c r="S338" s="580"/>
      <c r="T338" s="580"/>
      <c r="U338" s="580"/>
      <c r="V338" s="580"/>
    </row>
    <row r="339" spans="1:22" ht="15">
      <c r="A339" s="16"/>
      <c r="B339" s="16"/>
      <c r="C339" s="16"/>
      <c r="D339" s="16"/>
      <c r="E339" s="16"/>
      <c r="F339" s="16"/>
      <c r="G339" s="16"/>
      <c r="H339" s="16"/>
      <c r="N339" s="580"/>
      <c r="O339" s="580"/>
      <c r="P339" s="580"/>
      <c r="Q339" s="580"/>
      <c r="R339" s="580"/>
      <c r="S339" s="580"/>
      <c r="T339" s="580"/>
      <c r="U339" s="580"/>
      <c r="V339" s="580"/>
    </row>
    <row r="340" spans="1:22" ht="15">
      <c r="A340" s="16"/>
      <c r="B340" s="16"/>
      <c r="C340" s="16"/>
      <c r="D340" s="16"/>
      <c r="E340" s="16"/>
      <c r="F340" s="16"/>
      <c r="G340" s="16"/>
      <c r="H340" s="16"/>
      <c r="N340" s="580"/>
      <c r="O340" s="580"/>
      <c r="P340" s="580"/>
      <c r="Q340" s="580"/>
      <c r="R340" s="580"/>
      <c r="S340" s="580"/>
      <c r="T340" s="580"/>
      <c r="U340" s="580"/>
      <c r="V340" s="580"/>
    </row>
    <row r="341" spans="1:22" ht="15">
      <c r="A341" s="16"/>
      <c r="B341" s="16"/>
      <c r="C341" s="16"/>
      <c r="D341" s="16"/>
      <c r="E341" s="16"/>
      <c r="F341" s="16"/>
      <c r="G341" s="16"/>
      <c r="H341" s="16"/>
      <c r="N341" s="580"/>
      <c r="O341" s="580"/>
      <c r="P341" s="580"/>
      <c r="Q341" s="580"/>
      <c r="R341" s="580"/>
      <c r="S341" s="580"/>
      <c r="T341" s="580"/>
      <c r="U341" s="580"/>
      <c r="V341" s="580"/>
    </row>
    <row r="342" spans="1:22" ht="15">
      <c r="A342" s="16"/>
      <c r="B342" s="16"/>
      <c r="C342" s="16"/>
      <c r="D342" s="16"/>
      <c r="E342" s="16"/>
      <c r="F342" s="16"/>
      <c r="G342" s="16"/>
      <c r="H342" s="16"/>
      <c r="N342" s="580"/>
      <c r="O342" s="580"/>
      <c r="P342" s="580"/>
      <c r="Q342" s="580"/>
      <c r="R342" s="580"/>
      <c r="S342" s="580"/>
      <c r="T342" s="580"/>
      <c r="U342" s="580"/>
      <c r="V342" s="580"/>
    </row>
    <row r="343" spans="1:22" ht="15">
      <c r="A343" s="16"/>
      <c r="B343" s="16"/>
      <c r="C343" s="16"/>
      <c r="D343" s="16"/>
      <c r="E343" s="16"/>
      <c r="F343" s="16"/>
      <c r="G343" s="16"/>
      <c r="H343" s="16"/>
      <c r="N343" s="580"/>
      <c r="O343" s="580"/>
      <c r="P343" s="580"/>
      <c r="Q343" s="580"/>
      <c r="R343" s="580"/>
      <c r="S343" s="580"/>
      <c r="T343" s="580"/>
      <c r="U343" s="580"/>
      <c r="V343" s="580"/>
    </row>
    <row r="344" spans="1:22" ht="15">
      <c r="A344" s="16"/>
      <c r="B344" s="16"/>
      <c r="C344" s="16"/>
      <c r="D344" s="16"/>
      <c r="E344" s="16"/>
      <c r="F344" s="16"/>
      <c r="G344" s="16"/>
      <c r="H344" s="16"/>
      <c r="N344" s="580"/>
      <c r="O344" s="580"/>
      <c r="P344" s="580"/>
      <c r="Q344" s="580"/>
      <c r="R344" s="580"/>
      <c r="S344" s="580"/>
      <c r="T344" s="580"/>
      <c r="U344" s="580"/>
      <c r="V344" s="580"/>
    </row>
    <row r="345" spans="1:22" ht="15">
      <c r="A345" s="16"/>
      <c r="B345" s="16"/>
      <c r="C345" s="16"/>
      <c r="D345" s="16"/>
      <c r="E345" s="16"/>
      <c r="F345" s="16"/>
      <c r="G345" s="16"/>
      <c r="H345" s="16"/>
      <c r="N345" s="580"/>
      <c r="O345" s="580"/>
      <c r="P345" s="580"/>
      <c r="Q345" s="580"/>
      <c r="R345" s="580"/>
      <c r="S345" s="580"/>
      <c r="T345" s="580"/>
      <c r="U345" s="580"/>
      <c r="V345" s="580"/>
    </row>
    <row r="346" spans="1:22" ht="15">
      <c r="A346" s="16"/>
      <c r="B346" s="16"/>
      <c r="C346" s="16"/>
      <c r="D346" s="16"/>
      <c r="E346" s="16"/>
      <c r="F346" s="16"/>
      <c r="G346" s="16"/>
      <c r="H346" s="16"/>
      <c r="N346" s="580"/>
      <c r="O346" s="580"/>
      <c r="P346" s="580"/>
      <c r="Q346" s="580"/>
      <c r="R346" s="580"/>
      <c r="S346" s="580"/>
      <c r="T346" s="580"/>
      <c r="U346" s="580"/>
      <c r="V346" s="580"/>
    </row>
    <row r="347" spans="1:22" ht="15">
      <c r="A347" s="16"/>
      <c r="B347" s="16"/>
      <c r="C347" s="16"/>
      <c r="D347" s="16"/>
      <c r="E347" s="16"/>
      <c r="F347" s="16"/>
      <c r="G347" s="16"/>
      <c r="H347" s="16"/>
      <c r="N347" s="580"/>
      <c r="O347" s="580"/>
      <c r="P347" s="580"/>
      <c r="Q347" s="580"/>
      <c r="R347" s="580"/>
      <c r="S347" s="580"/>
      <c r="T347" s="580"/>
      <c r="U347" s="580"/>
      <c r="V347" s="580"/>
    </row>
    <row r="348" spans="1:22" ht="15">
      <c r="A348" s="16"/>
      <c r="B348" s="16"/>
      <c r="C348" s="16"/>
      <c r="D348" s="16"/>
      <c r="E348" s="16"/>
      <c r="F348" s="16"/>
      <c r="G348" s="16"/>
      <c r="H348" s="16"/>
      <c r="N348" s="580"/>
      <c r="O348" s="580"/>
      <c r="P348" s="580"/>
      <c r="Q348" s="580"/>
      <c r="R348" s="580"/>
      <c r="S348" s="580"/>
      <c r="T348" s="580"/>
      <c r="U348" s="580"/>
      <c r="V348" s="580"/>
    </row>
    <row r="349" spans="1:22" ht="15">
      <c r="A349" s="16"/>
      <c r="B349" s="16"/>
      <c r="C349" s="16"/>
      <c r="D349" s="16"/>
      <c r="E349" s="16"/>
      <c r="F349" s="16"/>
      <c r="G349" s="16"/>
      <c r="H349" s="16"/>
      <c r="N349" s="580"/>
      <c r="O349" s="580"/>
      <c r="P349" s="580"/>
      <c r="Q349" s="580"/>
      <c r="R349" s="580"/>
      <c r="S349" s="580"/>
      <c r="T349" s="580"/>
      <c r="U349" s="580"/>
      <c r="V349" s="580"/>
    </row>
    <row r="350" spans="1:22" ht="15">
      <c r="A350" s="16"/>
      <c r="B350" s="16"/>
      <c r="C350" s="16"/>
      <c r="D350" s="16"/>
      <c r="E350" s="16"/>
      <c r="F350" s="16"/>
      <c r="G350" s="16"/>
      <c r="H350" s="16"/>
      <c r="N350" s="580"/>
      <c r="O350" s="580"/>
      <c r="P350" s="580"/>
      <c r="Q350" s="580"/>
      <c r="R350" s="580"/>
      <c r="S350" s="580"/>
      <c r="T350" s="580"/>
      <c r="U350" s="580"/>
      <c r="V350" s="580"/>
    </row>
    <row r="351" spans="1:22" ht="15">
      <c r="A351" s="16"/>
      <c r="B351" s="16"/>
      <c r="C351" s="16"/>
      <c r="D351" s="16"/>
      <c r="E351" s="16"/>
      <c r="F351" s="16"/>
      <c r="G351" s="16"/>
      <c r="H351" s="16"/>
      <c r="N351" s="580"/>
      <c r="O351" s="580"/>
      <c r="P351" s="580"/>
      <c r="Q351" s="580"/>
      <c r="R351" s="580"/>
      <c r="S351" s="580"/>
      <c r="T351" s="580"/>
      <c r="U351" s="580"/>
      <c r="V351" s="580"/>
    </row>
    <row r="352" spans="1:22" ht="15">
      <c r="A352" s="16"/>
      <c r="B352" s="16"/>
      <c r="C352" s="16"/>
      <c r="D352" s="16"/>
      <c r="E352" s="16"/>
      <c r="F352" s="16"/>
      <c r="G352" s="16"/>
      <c r="H352" s="16"/>
      <c r="N352" s="580"/>
      <c r="O352" s="580"/>
      <c r="P352" s="580"/>
      <c r="Q352" s="580"/>
      <c r="R352" s="580"/>
      <c r="S352" s="580"/>
      <c r="T352" s="580"/>
      <c r="U352" s="580"/>
      <c r="V352" s="580"/>
    </row>
    <row r="353" spans="1:22" ht="15">
      <c r="A353" s="16"/>
      <c r="B353" s="16"/>
      <c r="C353" s="16"/>
      <c r="D353" s="16"/>
      <c r="E353" s="16"/>
      <c r="F353" s="16"/>
      <c r="G353" s="16"/>
      <c r="H353" s="16"/>
      <c r="N353" s="580"/>
      <c r="O353" s="580"/>
      <c r="P353" s="580"/>
      <c r="Q353" s="580"/>
      <c r="R353" s="580"/>
      <c r="S353" s="580"/>
      <c r="T353" s="580"/>
      <c r="U353" s="580"/>
      <c r="V353" s="580"/>
    </row>
    <row r="354" spans="1:22" ht="15">
      <c r="A354" s="16"/>
      <c r="B354" s="16"/>
      <c r="C354" s="16"/>
      <c r="D354" s="16"/>
      <c r="E354" s="16"/>
      <c r="F354" s="16"/>
      <c r="G354" s="16"/>
      <c r="H354" s="16"/>
      <c r="N354" s="580"/>
      <c r="O354" s="580"/>
      <c r="P354" s="580"/>
      <c r="Q354" s="580"/>
      <c r="R354" s="580"/>
      <c r="S354" s="580"/>
      <c r="T354" s="580"/>
      <c r="U354" s="580"/>
      <c r="V354" s="580"/>
    </row>
    <row r="355" spans="1:22" ht="15">
      <c r="A355" s="16"/>
      <c r="B355" s="16"/>
      <c r="C355" s="16"/>
      <c r="D355" s="16"/>
      <c r="E355" s="16"/>
      <c r="F355" s="16"/>
      <c r="G355" s="16"/>
      <c r="H355" s="16"/>
      <c r="N355" s="580"/>
      <c r="O355" s="580"/>
      <c r="P355" s="580"/>
      <c r="Q355" s="580"/>
      <c r="R355" s="580"/>
      <c r="S355" s="580"/>
      <c r="T355" s="580"/>
      <c r="U355" s="580"/>
      <c r="V355" s="580"/>
    </row>
    <row r="356" spans="1:22" ht="15">
      <c r="A356" s="16"/>
      <c r="B356" s="16"/>
      <c r="C356" s="16"/>
      <c r="D356" s="16"/>
      <c r="E356" s="16"/>
      <c r="F356" s="16"/>
      <c r="G356" s="16"/>
      <c r="H356" s="16"/>
      <c r="N356" s="580"/>
      <c r="O356" s="580"/>
      <c r="P356" s="580"/>
      <c r="Q356" s="580"/>
      <c r="R356" s="580"/>
      <c r="S356" s="580"/>
      <c r="T356" s="580"/>
      <c r="U356" s="580"/>
      <c r="V356" s="580"/>
    </row>
    <row r="357" spans="1:22" ht="15">
      <c r="A357" s="16"/>
      <c r="B357" s="16"/>
      <c r="C357" s="16"/>
      <c r="D357" s="16"/>
      <c r="E357" s="16"/>
      <c r="F357" s="16"/>
      <c r="G357" s="16"/>
      <c r="H357" s="16"/>
      <c r="N357" s="580"/>
      <c r="O357" s="580"/>
      <c r="P357" s="580"/>
      <c r="Q357" s="580"/>
      <c r="R357" s="580"/>
      <c r="S357" s="580"/>
      <c r="T357" s="580"/>
      <c r="U357" s="580"/>
      <c r="V357" s="580"/>
    </row>
    <row r="358" spans="1:22" ht="15">
      <c r="A358" s="16"/>
      <c r="B358" s="16"/>
      <c r="C358" s="16"/>
      <c r="D358" s="16"/>
      <c r="E358" s="16"/>
      <c r="F358" s="16"/>
      <c r="G358" s="16"/>
      <c r="H358" s="16"/>
      <c r="N358" s="580"/>
      <c r="O358" s="580"/>
      <c r="P358" s="580"/>
      <c r="Q358" s="580"/>
      <c r="R358" s="580"/>
      <c r="S358" s="580"/>
      <c r="T358" s="580"/>
      <c r="U358" s="580"/>
      <c r="V358" s="580"/>
    </row>
    <row r="359" spans="1:22" ht="15">
      <c r="A359" s="16"/>
      <c r="B359" s="16"/>
      <c r="C359" s="16"/>
      <c r="D359" s="16"/>
      <c r="E359" s="16"/>
      <c r="F359" s="16"/>
      <c r="G359" s="16"/>
      <c r="H359" s="16"/>
      <c r="N359" s="580"/>
      <c r="O359" s="580"/>
      <c r="P359" s="580"/>
      <c r="Q359" s="580"/>
      <c r="R359" s="580"/>
      <c r="S359" s="580"/>
      <c r="T359" s="580"/>
      <c r="U359" s="580"/>
      <c r="V359" s="580"/>
    </row>
    <row r="360" spans="1:22" ht="15">
      <c r="A360" s="16"/>
      <c r="B360" s="16"/>
      <c r="C360" s="16"/>
      <c r="D360" s="16"/>
      <c r="E360" s="16"/>
      <c r="F360" s="16"/>
      <c r="G360" s="16"/>
      <c r="H360" s="16"/>
      <c r="N360" s="580"/>
      <c r="O360" s="580"/>
      <c r="P360" s="580"/>
      <c r="Q360" s="580"/>
      <c r="R360" s="580"/>
      <c r="S360" s="580"/>
      <c r="T360" s="580"/>
      <c r="U360" s="580"/>
      <c r="V360" s="580"/>
    </row>
    <row r="361" spans="1:22" ht="15">
      <c r="A361" s="16"/>
      <c r="B361" s="16"/>
      <c r="C361" s="16"/>
      <c r="D361" s="16"/>
      <c r="E361" s="16"/>
      <c r="F361" s="16"/>
      <c r="G361" s="16"/>
      <c r="H361" s="16"/>
      <c r="N361" s="580"/>
      <c r="O361" s="580"/>
      <c r="P361" s="580"/>
      <c r="Q361" s="580"/>
      <c r="R361" s="580"/>
      <c r="S361" s="580"/>
      <c r="T361" s="580"/>
      <c r="U361" s="580"/>
      <c r="V361" s="580"/>
    </row>
    <row r="362" spans="1:22" ht="15">
      <c r="A362" s="16"/>
      <c r="B362" s="16"/>
      <c r="C362" s="16"/>
      <c r="D362" s="16"/>
      <c r="E362" s="16"/>
      <c r="F362" s="16"/>
      <c r="G362" s="16"/>
      <c r="H362" s="16"/>
      <c r="N362" s="580"/>
      <c r="O362" s="580"/>
      <c r="P362" s="580"/>
      <c r="Q362" s="580"/>
      <c r="R362" s="580"/>
      <c r="S362" s="580"/>
      <c r="T362" s="580"/>
      <c r="U362" s="580"/>
      <c r="V362" s="580"/>
    </row>
    <row r="363" spans="1:22" ht="15">
      <c r="A363" s="16"/>
      <c r="B363" s="16"/>
      <c r="C363" s="16"/>
      <c r="D363" s="16"/>
      <c r="E363" s="16"/>
      <c r="F363" s="16"/>
      <c r="G363" s="16"/>
      <c r="H363" s="16"/>
      <c r="N363" s="580"/>
      <c r="O363" s="580"/>
      <c r="P363" s="580"/>
      <c r="Q363" s="580"/>
      <c r="R363" s="580"/>
      <c r="S363" s="580"/>
      <c r="T363" s="580"/>
      <c r="U363" s="580"/>
      <c r="V363" s="580"/>
    </row>
    <row r="364" spans="1:22" ht="15">
      <c r="A364" s="16"/>
      <c r="B364" s="16"/>
      <c r="C364" s="16"/>
      <c r="D364" s="16"/>
      <c r="E364" s="16"/>
      <c r="F364" s="16"/>
      <c r="G364" s="16"/>
      <c r="H364" s="16"/>
      <c r="N364" s="580"/>
      <c r="O364" s="580"/>
      <c r="P364" s="580"/>
      <c r="Q364" s="580"/>
      <c r="R364" s="580"/>
      <c r="S364" s="580"/>
      <c r="T364" s="580"/>
      <c r="U364" s="580"/>
      <c r="V364" s="580"/>
    </row>
    <row r="365" spans="1:22" ht="15">
      <c r="A365" s="16"/>
      <c r="B365" s="16"/>
      <c r="C365" s="16"/>
      <c r="D365" s="16"/>
      <c r="E365" s="16"/>
      <c r="F365" s="16"/>
      <c r="G365" s="16"/>
      <c r="H365" s="16"/>
      <c r="N365" s="580"/>
      <c r="O365" s="580"/>
      <c r="P365" s="580"/>
      <c r="Q365" s="580"/>
      <c r="R365" s="580"/>
      <c r="S365" s="580"/>
      <c r="T365" s="580"/>
      <c r="U365" s="580"/>
      <c r="V365" s="580"/>
    </row>
    <row r="366" spans="1:22" ht="15">
      <c r="A366" s="16"/>
      <c r="B366" s="16"/>
      <c r="C366" s="16"/>
      <c r="D366" s="16"/>
      <c r="E366" s="16"/>
      <c r="F366" s="16"/>
      <c r="G366" s="16"/>
      <c r="H366" s="16"/>
      <c r="N366" s="580"/>
      <c r="O366" s="580"/>
      <c r="P366" s="580"/>
      <c r="Q366" s="580"/>
      <c r="R366" s="580"/>
      <c r="S366" s="580"/>
      <c r="T366" s="580"/>
      <c r="U366" s="580"/>
      <c r="V366" s="580"/>
    </row>
    <row r="367" spans="1:22" ht="15">
      <c r="A367" s="16"/>
      <c r="B367" s="16"/>
      <c r="C367" s="16"/>
      <c r="D367" s="16"/>
      <c r="E367" s="16"/>
      <c r="F367" s="16"/>
      <c r="G367" s="16"/>
      <c r="H367" s="16"/>
      <c r="N367" s="580"/>
      <c r="O367" s="580"/>
      <c r="P367" s="580"/>
      <c r="Q367" s="580"/>
      <c r="R367" s="580"/>
      <c r="S367" s="580"/>
      <c r="T367" s="580"/>
      <c r="U367" s="580"/>
      <c r="V367" s="580"/>
    </row>
    <row r="368" spans="1:22" ht="15">
      <c r="A368" s="16"/>
      <c r="B368" s="16"/>
      <c r="C368" s="16"/>
      <c r="D368" s="16"/>
      <c r="E368" s="16"/>
      <c r="F368" s="16"/>
      <c r="G368" s="16"/>
      <c r="H368" s="16"/>
      <c r="N368" s="580"/>
      <c r="O368" s="580"/>
      <c r="P368" s="580"/>
      <c r="Q368" s="580"/>
      <c r="R368" s="580"/>
      <c r="S368" s="580"/>
      <c r="T368" s="580"/>
      <c r="U368" s="580"/>
      <c r="V368" s="580"/>
    </row>
    <row r="369" spans="1:22" ht="15">
      <c r="A369" s="16"/>
      <c r="B369" s="16"/>
      <c r="C369" s="16"/>
      <c r="D369" s="16"/>
      <c r="E369" s="16"/>
      <c r="F369" s="16"/>
      <c r="G369" s="16"/>
      <c r="H369" s="16"/>
      <c r="N369" s="580"/>
      <c r="O369" s="580"/>
      <c r="P369" s="580"/>
      <c r="Q369" s="580"/>
      <c r="R369" s="580"/>
      <c r="S369" s="580"/>
      <c r="T369" s="580"/>
      <c r="U369" s="580"/>
      <c r="V369" s="580"/>
    </row>
    <row r="370" spans="1:22" ht="15">
      <c r="A370" s="16"/>
      <c r="B370" s="16"/>
      <c r="C370" s="16"/>
      <c r="D370" s="16"/>
      <c r="E370" s="16"/>
      <c r="F370" s="16"/>
      <c r="G370" s="16"/>
      <c r="H370" s="16"/>
      <c r="N370" s="580"/>
      <c r="O370" s="580"/>
      <c r="P370" s="580"/>
      <c r="Q370" s="580"/>
      <c r="R370" s="580"/>
      <c r="S370" s="580"/>
      <c r="T370" s="580"/>
      <c r="U370" s="580"/>
      <c r="V370" s="580"/>
    </row>
    <row r="371" spans="1:22" ht="15">
      <c r="A371" s="16"/>
      <c r="B371" s="16"/>
      <c r="C371" s="16"/>
      <c r="D371" s="16"/>
      <c r="E371" s="16"/>
      <c r="F371" s="16"/>
      <c r="G371" s="16"/>
      <c r="H371" s="16"/>
      <c r="N371" s="580"/>
      <c r="O371" s="580"/>
      <c r="P371" s="580"/>
      <c r="Q371" s="580"/>
      <c r="R371" s="580"/>
      <c r="S371" s="580"/>
      <c r="T371" s="580"/>
      <c r="U371" s="580"/>
      <c r="V371" s="580"/>
    </row>
    <row r="372" spans="1:22" ht="15">
      <c r="A372" s="16"/>
      <c r="B372" s="16"/>
      <c r="C372" s="16"/>
      <c r="D372" s="16"/>
      <c r="E372" s="16"/>
      <c r="F372" s="16"/>
      <c r="G372" s="16"/>
      <c r="H372" s="16"/>
      <c r="N372" s="580"/>
      <c r="O372" s="580"/>
      <c r="P372" s="580"/>
      <c r="Q372" s="580"/>
      <c r="R372" s="580"/>
      <c r="S372" s="580"/>
      <c r="T372" s="580"/>
      <c r="U372" s="580"/>
      <c r="V372" s="580"/>
    </row>
    <row r="373" spans="1:22" ht="15">
      <c r="A373" s="16"/>
      <c r="B373" s="16"/>
      <c r="C373" s="16"/>
      <c r="D373" s="16"/>
      <c r="E373" s="16"/>
      <c r="F373" s="16"/>
      <c r="G373" s="16"/>
      <c r="H373" s="16"/>
      <c r="N373" s="580"/>
      <c r="O373" s="580"/>
      <c r="P373" s="580"/>
      <c r="Q373" s="580"/>
      <c r="R373" s="580"/>
      <c r="S373" s="580"/>
      <c r="T373" s="580"/>
      <c r="U373" s="580"/>
      <c r="V373" s="580"/>
    </row>
    <row r="374" spans="1:22" ht="15">
      <c r="A374" s="16"/>
      <c r="B374" s="16"/>
      <c r="C374" s="16"/>
      <c r="D374" s="16"/>
      <c r="E374" s="16"/>
      <c r="F374" s="16"/>
      <c r="G374" s="16"/>
      <c r="H374" s="16"/>
      <c r="N374" s="580"/>
      <c r="O374" s="580"/>
      <c r="P374" s="580"/>
      <c r="Q374" s="580"/>
      <c r="R374" s="580"/>
      <c r="S374" s="580"/>
      <c r="T374" s="580"/>
      <c r="U374" s="580"/>
      <c r="V374" s="580"/>
    </row>
    <row r="375" spans="1:22" ht="15">
      <c r="A375" s="16"/>
      <c r="B375" s="16"/>
      <c r="C375" s="16"/>
      <c r="D375" s="16"/>
      <c r="E375" s="16"/>
      <c r="F375" s="16"/>
      <c r="G375" s="16"/>
      <c r="H375" s="16"/>
      <c r="N375" s="580"/>
      <c r="O375" s="580"/>
      <c r="P375" s="580"/>
      <c r="Q375" s="580"/>
      <c r="R375" s="580"/>
      <c r="S375" s="580"/>
      <c r="T375" s="580"/>
      <c r="U375" s="580"/>
      <c r="V375" s="580"/>
    </row>
    <row r="376" spans="1:22" ht="15">
      <c r="A376" s="16"/>
      <c r="B376" s="16"/>
      <c r="C376" s="16"/>
      <c r="D376" s="16"/>
      <c r="E376" s="16"/>
      <c r="F376" s="16"/>
      <c r="G376" s="16"/>
      <c r="H376" s="16"/>
      <c r="N376" s="580"/>
      <c r="O376" s="580"/>
      <c r="P376" s="580"/>
      <c r="Q376" s="580"/>
      <c r="R376" s="580"/>
      <c r="S376" s="580"/>
      <c r="T376" s="580"/>
      <c r="U376" s="580"/>
      <c r="V376" s="580"/>
    </row>
    <row r="377" spans="1:22" ht="15">
      <c r="A377" s="16"/>
      <c r="B377" s="16"/>
      <c r="C377" s="16"/>
      <c r="D377" s="16"/>
      <c r="E377" s="16"/>
      <c r="F377" s="16"/>
      <c r="G377" s="16"/>
      <c r="H377" s="16"/>
      <c r="N377" s="580"/>
      <c r="O377" s="580"/>
      <c r="P377" s="580"/>
      <c r="Q377" s="580"/>
      <c r="R377" s="580"/>
      <c r="S377" s="580"/>
      <c r="T377" s="580"/>
      <c r="U377" s="580"/>
      <c r="V377" s="580"/>
    </row>
    <row r="378" spans="1:22" ht="15">
      <c r="A378" s="16"/>
      <c r="B378" s="16"/>
      <c r="C378" s="16"/>
      <c r="D378" s="16"/>
      <c r="E378" s="16"/>
      <c r="F378" s="16"/>
      <c r="G378" s="16"/>
      <c r="H378" s="16"/>
      <c r="N378" s="580"/>
      <c r="O378" s="580"/>
      <c r="P378" s="580"/>
      <c r="Q378" s="580"/>
      <c r="R378" s="580"/>
      <c r="S378" s="580"/>
      <c r="T378" s="580"/>
      <c r="U378" s="580"/>
      <c r="V378" s="580"/>
    </row>
    <row r="379" spans="1:22" ht="15">
      <c r="A379" s="16"/>
      <c r="B379" s="16"/>
      <c r="C379" s="16"/>
      <c r="D379" s="16"/>
      <c r="E379" s="16"/>
      <c r="F379" s="16"/>
      <c r="G379" s="16"/>
      <c r="H379" s="16"/>
      <c r="N379" s="580"/>
      <c r="O379" s="580"/>
      <c r="P379" s="580"/>
      <c r="Q379" s="580"/>
      <c r="R379" s="580"/>
      <c r="S379" s="580"/>
      <c r="T379" s="580"/>
      <c r="U379" s="580"/>
      <c r="V379" s="580"/>
    </row>
    <row r="380" spans="1:22" ht="15">
      <c r="A380" s="16"/>
      <c r="B380" s="16"/>
      <c r="C380" s="16"/>
      <c r="D380" s="16"/>
      <c r="E380" s="16"/>
      <c r="F380" s="16"/>
      <c r="G380" s="16"/>
      <c r="H380" s="16"/>
      <c r="N380" s="580"/>
      <c r="O380" s="580"/>
      <c r="P380" s="580"/>
      <c r="Q380" s="580"/>
      <c r="R380" s="580"/>
      <c r="S380" s="580"/>
      <c r="T380" s="580"/>
      <c r="U380" s="580"/>
      <c r="V380" s="580"/>
    </row>
    <row r="381" spans="1:22" ht="15">
      <c r="A381" s="16"/>
      <c r="B381" s="16"/>
      <c r="C381" s="16"/>
      <c r="D381" s="16"/>
      <c r="E381" s="16"/>
      <c r="F381" s="16"/>
      <c r="G381" s="16"/>
      <c r="H381" s="16"/>
      <c r="N381" s="580"/>
      <c r="O381" s="580"/>
      <c r="P381" s="580"/>
      <c r="Q381" s="580"/>
      <c r="R381" s="580"/>
      <c r="S381" s="580"/>
      <c r="T381" s="580"/>
      <c r="U381" s="580"/>
      <c r="V381" s="580"/>
    </row>
    <row r="382" spans="1:22" ht="15">
      <c r="A382" s="16"/>
      <c r="B382" s="16"/>
      <c r="C382" s="16"/>
      <c r="D382" s="16"/>
      <c r="E382" s="16"/>
      <c r="F382" s="16"/>
      <c r="G382" s="16"/>
      <c r="H382" s="16"/>
      <c r="N382" s="580"/>
      <c r="O382" s="580"/>
      <c r="P382" s="580"/>
      <c r="Q382" s="580"/>
      <c r="R382" s="580"/>
      <c r="S382" s="580"/>
      <c r="T382" s="580"/>
      <c r="U382" s="580"/>
      <c r="V382" s="580"/>
    </row>
    <row r="383" spans="1:22" ht="15">
      <c r="A383" s="16"/>
      <c r="B383" s="16"/>
      <c r="C383" s="16"/>
      <c r="D383" s="16"/>
      <c r="E383" s="16"/>
      <c r="F383" s="16"/>
      <c r="G383" s="16"/>
      <c r="H383" s="16"/>
      <c r="N383" s="580"/>
      <c r="O383" s="580"/>
      <c r="P383" s="580"/>
      <c r="Q383" s="580"/>
      <c r="R383" s="580"/>
      <c r="S383" s="580"/>
      <c r="T383" s="580"/>
      <c r="U383" s="580"/>
      <c r="V383" s="580"/>
    </row>
    <row r="384" spans="1:22" ht="15">
      <c r="A384" s="16"/>
      <c r="B384" s="16"/>
      <c r="C384" s="16"/>
      <c r="D384" s="16"/>
      <c r="E384" s="16"/>
      <c r="F384" s="16"/>
      <c r="G384" s="16"/>
      <c r="H384" s="16"/>
      <c r="N384" s="580"/>
      <c r="O384" s="580"/>
      <c r="P384" s="580"/>
      <c r="Q384" s="580"/>
      <c r="R384" s="580"/>
      <c r="S384" s="580"/>
      <c r="T384" s="580"/>
      <c r="U384" s="580"/>
      <c r="V384" s="580"/>
    </row>
    <row r="385" spans="1:22" ht="15">
      <c r="A385" s="16"/>
      <c r="B385" s="16"/>
      <c r="C385" s="16"/>
      <c r="D385" s="16"/>
      <c r="E385" s="16"/>
      <c r="F385" s="16"/>
      <c r="G385" s="16"/>
      <c r="H385" s="16"/>
      <c r="N385" s="580"/>
      <c r="O385" s="580"/>
      <c r="P385" s="580"/>
      <c r="Q385" s="580"/>
      <c r="R385" s="580"/>
      <c r="S385" s="580"/>
      <c r="T385" s="580"/>
      <c r="U385" s="580"/>
      <c r="V385" s="580"/>
    </row>
    <row r="386" spans="1:22" ht="15">
      <c r="A386" s="16"/>
      <c r="B386" s="16"/>
      <c r="C386" s="16"/>
      <c r="D386" s="16"/>
      <c r="E386" s="16"/>
      <c r="F386" s="16"/>
      <c r="G386" s="16"/>
      <c r="H386" s="16"/>
      <c r="N386" s="580"/>
      <c r="O386" s="580"/>
      <c r="P386" s="580"/>
      <c r="Q386" s="580"/>
      <c r="R386" s="580"/>
      <c r="S386" s="580"/>
      <c r="T386" s="580"/>
      <c r="U386" s="580"/>
      <c r="V386" s="580"/>
    </row>
    <row r="387" spans="1:22" ht="15">
      <c r="A387" s="16"/>
      <c r="B387" s="16"/>
      <c r="C387" s="16"/>
      <c r="D387" s="16"/>
      <c r="E387" s="16"/>
      <c r="F387" s="16"/>
      <c r="G387" s="16"/>
      <c r="H387" s="16"/>
      <c r="N387" s="580"/>
      <c r="O387" s="580"/>
      <c r="P387" s="580"/>
      <c r="Q387" s="580"/>
      <c r="R387" s="580"/>
      <c r="S387" s="580"/>
      <c r="T387" s="580"/>
      <c r="U387" s="580"/>
      <c r="V387" s="580"/>
    </row>
    <row r="388" spans="1:22" ht="15">
      <c r="A388" s="16"/>
      <c r="B388" s="16"/>
      <c r="C388" s="16"/>
      <c r="D388" s="16"/>
      <c r="E388" s="16"/>
      <c r="F388" s="16"/>
      <c r="G388" s="16"/>
      <c r="H388" s="16"/>
      <c r="N388" s="580"/>
      <c r="O388" s="580"/>
      <c r="P388" s="580"/>
      <c r="Q388" s="580"/>
      <c r="R388" s="580"/>
      <c r="S388" s="580"/>
      <c r="T388" s="580"/>
      <c r="U388" s="580"/>
      <c r="V388" s="580"/>
    </row>
    <row r="389" spans="1:22" ht="15">
      <c r="A389" s="16"/>
      <c r="B389" s="16"/>
      <c r="C389" s="16"/>
      <c r="D389" s="16"/>
      <c r="E389" s="16"/>
      <c r="F389" s="16"/>
      <c r="G389" s="16"/>
      <c r="H389" s="16"/>
      <c r="N389" s="580"/>
      <c r="O389" s="580"/>
      <c r="P389" s="580"/>
      <c r="Q389" s="580"/>
      <c r="R389" s="580"/>
      <c r="S389" s="580"/>
      <c r="T389" s="580"/>
      <c r="U389" s="580"/>
      <c r="V389" s="580"/>
    </row>
    <row r="390" spans="1:22" ht="15">
      <c r="A390" s="16"/>
      <c r="B390" s="16"/>
      <c r="C390" s="16"/>
      <c r="D390" s="16"/>
      <c r="E390" s="16"/>
      <c r="F390" s="16"/>
      <c r="G390" s="16"/>
      <c r="H390" s="16"/>
      <c r="N390" s="580"/>
      <c r="O390" s="580"/>
      <c r="P390" s="580"/>
      <c r="Q390" s="580"/>
      <c r="R390" s="580"/>
      <c r="S390" s="580"/>
      <c r="T390" s="580"/>
      <c r="U390" s="580"/>
      <c r="V390" s="580"/>
    </row>
    <row r="391" spans="1:22" ht="15">
      <c r="A391" s="16"/>
      <c r="B391" s="16"/>
      <c r="C391" s="16"/>
      <c r="D391" s="16"/>
      <c r="E391" s="16"/>
      <c r="F391" s="16"/>
      <c r="G391" s="16"/>
      <c r="H391" s="16"/>
      <c r="N391" s="580"/>
      <c r="O391" s="580"/>
      <c r="P391" s="580"/>
      <c r="Q391" s="580"/>
      <c r="R391" s="580"/>
      <c r="S391" s="580"/>
      <c r="T391" s="580"/>
      <c r="U391" s="580"/>
      <c r="V391" s="580"/>
    </row>
    <row r="392" spans="1:22" ht="15">
      <c r="A392" s="16"/>
      <c r="B392" s="16"/>
      <c r="C392" s="16"/>
      <c r="D392" s="16"/>
      <c r="E392" s="16"/>
      <c r="F392" s="16"/>
      <c r="G392" s="16"/>
      <c r="H392" s="16"/>
      <c r="N392" s="580"/>
      <c r="O392" s="580"/>
      <c r="P392" s="580"/>
      <c r="Q392" s="580"/>
      <c r="R392" s="580"/>
      <c r="S392" s="580"/>
      <c r="T392" s="580"/>
      <c r="U392" s="580"/>
      <c r="V392" s="580"/>
    </row>
    <row r="393" spans="1:22" ht="15">
      <c r="A393" s="16"/>
      <c r="B393" s="16"/>
      <c r="C393" s="16"/>
      <c r="D393" s="16"/>
      <c r="E393" s="16"/>
      <c r="F393" s="16"/>
      <c r="G393" s="16"/>
      <c r="H393" s="16"/>
      <c r="N393" s="580"/>
      <c r="O393" s="580"/>
      <c r="P393" s="580"/>
      <c r="Q393" s="580"/>
      <c r="R393" s="580"/>
      <c r="S393" s="580"/>
      <c r="T393" s="580"/>
      <c r="U393" s="580"/>
      <c r="V393" s="580"/>
    </row>
    <row r="394" spans="1:22" ht="15">
      <c r="A394" s="16"/>
      <c r="B394" s="16"/>
      <c r="C394" s="16"/>
      <c r="D394" s="16"/>
      <c r="E394" s="16"/>
      <c r="F394" s="16"/>
      <c r="G394" s="16"/>
      <c r="H394" s="16"/>
      <c r="N394" s="580"/>
      <c r="O394" s="580"/>
      <c r="P394" s="580"/>
      <c r="Q394" s="580"/>
      <c r="R394" s="580"/>
      <c r="S394" s="580"/>
      <c r="T394" s="580"/>
      <c r="U394" s="580"/>
      <c r="V394" s="580"/>
    </row>
    <row r="395" spans="1:22" ht="15">
      <c r="A395" s="16"/>
      <c r="B395" s="16"/>
      <c r="C395" s="16"/>
      <c r="D395" s="16"/>
      <c r="E395" s="16"/>
      <c r="F395" s="16"/>
      <c r="G395" s="16"/>
      <c r="H395" s="16"/>
      <c r="N395" s="580"/>
      <c r="O395" s="580"/>
      <c r="P395" s="580"/>
      <c r="Q395" s="580"/>
      <c r="R395" s="580"/>
      <c r="S395" s="580"/>
      <c r="T395" s="580"/>
      <c r="U395" s="580"/>
      <c r="V395" s="580"/>
    </row>
    <row r="396" spans="1:22" ht="15">
      <c r="A396" s="16"/>
      <c r="B396" s="16"/>
      <c r="C396" s="16"/>
      <c r="D396" s="16"/>
      <c r="E396" s="16"/>
      <c r="F396" s="16"/>
      <c r="G396" s="16"/>
      <c r="H396" s="16"/>
      <c r="N396" s="580"/>
      <c r="O396" s="580"/>
      <c r="P396" s="580"/>
      <c r="Q396" s="580"/>
      <c r="R396" s="580"/>
      <c r="S396" s="580"/>
      <c r="T396" s="580"/>
      <c r="U396" s="580"/>
      <c r="V396" s="580"/>
    </row>
    <row r="397" spans="1:22" ht="15">
      <c r="A397" s="16"/>
      <c r="B397" s="16"/>
      <c r="C397" s="16"/>
      <c r="D397" s="16"/>
      <c r="E397" s="16"/>
      <c r="F397" s="16"/>
      <c r="G397" s="16"/>
      <c r="H397" s="16"/>
      <c r="N397" s="580"/>
      <c r="O397" s="580"/>
      <c r="P397" s="580"/>
      <c r="Q397" s="580"/>
      <c r="R397" s="580"/>
      <c r="S397" s="580"/>
      <c r="T397" s="580"/>
      <c r="U397" s="580"/>
      <c r="V397" s="580"/>
    </row>
    <row r="398" spans="1:22" ht="15">
      <c r="A398" s="16"/>
      <c r="B398" s="16"/>
      <c r="C398" s="16"/>
      <c r="D398" s="16"/>
      <c r="E398" s="16"/>
      <c r="F398" s="16"/>
      <c r="G398" s="16"/>
      <c r="H398" s="16"/>
      <c r="N398" s="580"/>
      <c r="O398" s="580"/>
      <c r="P398" s="580"/>
      <c r="Q398" s="580"/>
      <c r="R398" s="580"/>
      <c r="S398" s="580"/>
      <c r="T398" s="580"/>
      <c r="U398" s="580"/>
      <c r="V398" s="580"/>
    </row>
    <row r="399" spans="1:22" ht="15">
      <c r="A399" s="16"/>
      <c r="B399" s="16"/>
      <c r="C399" s="16"/>
      <c r="D399" s="16"/>
      <c r="E399" s="16"/>
      <c r="F399" s="16"/>
      <c r="G399" s="16"/>
      <c r="H399" s="16"/>
      <c r="N399" s="580"/>
      <c r="O399" s="580"/>
      <c r="P399" s="580"/>
      <c r="Q399" s="580"/>
      <c r="R399" s="580"/>
      <c r="S399" s="580"/>
      <c r="T399" s="580"/>
      <c r="U399" s="580"/>
      <c r="V399" s="580"/>
    </row>
    <row r="400" spans="1:22" ht="15">
      <c r="A400" s="16"/>
      <c r="B400" s="16"/>
      <c r="C400" s="16"/>
      <c r="D400" s="16"/>
      <c r="E400" s="16"/>
      <c r="F400" s="16"/>
      <c r="G400" s="16"/>
      <c r="H400" s="16"/>
      <c r="N400" s="580"/>
      <c r="O400" s="580"/>
      <c r="P400" s="580"/>
      <c r="Q400" s="580"/>
      <c r="R400" s="580"/>
      <c r="S400" s="580"/>
      <c r="T400" s="580"/>
      <c r="U400" s="580"/>
      <c r="V400" s="580"/>
    </row>
    <row r="401" spans="1:22" ht="15">
      <c r="A401" s="16"/>
      <c r="B401" s="16"/>
      <c r="C401" s="16"/>
      <c r="D401" s="16"/>
      <c r="E401" s="16"/>
      <c r="F401" s="16"/>
      <c r="G401" s="16"/>
      <c r="H401" s="16"/>
      <c r="N401" s="580"/>
      <c r="O401" s="580"/>
      <c r="P401" s="580"/>
      <c r="Q401" s="580"/>
      <c r="R401" s="580"/>
      <c r="S401" s="580"/>
      <c r="T401" s="580"/>
      <c r="U401" s="580"/>
      <c r="V401" s="580"/>
    </row>
    <row r="402" spans="1:22" ht="15">
      <c r="A402" s="16"/>
      <c r="B402" s="16"/>
      <c r="C402" s="16"/>
      <c r="D402" s="16"/>
      <c r="E402" s="16"/>
      <c r="F402" s="16"/>
      <c r="G402" s="16"/>
      <c r="H402" s="16"/>
      <c r="N402" s="580"/>
      <c r="O402" s="580"/>
      <c r="P402" s="580"/>
      <c r="Q402" s="580"/>
      <c r="R402" s="580"/>
      <c r="S402" s="580"/>
      <c r="T402" s="580"/>
      <c r="U402" s="580"/>
      <c r="V402" s="580"/>
    </row>
    <row r="403" spans="1:22" ht="15">
      <c r="A403" s="16"/>
      <c r="B403" s="16"/>
      <c r="C403" s="16"/>
      <c r="D403" s="16"/>
      <c r="E403" s="16"/>
      <c r="F403" s="16"/>
      <c r="G403" s="16"/>
      <c r="H403" s="16"/>
      <c r="N403" s="580"/>
      <c r="O403" s="580"/>
      <c r="P403" s="580"/>
      <c r="Q403" s="580"/>
      <c r="R403" s="580"/>
      <c r="S403" s="580"/>
      <c r="T403" s="580"/>
      <c r="U403" s="580"/>
      <c r="V403" s="580"/>
    </row>
    <row r="404" spans="1:22" ht="15">
      <c r="A404" s="16"/>
      <c r="B404" s="16"/>
      <c r="C404" s="16"/>
      <c r="D404" s="16"/>
      <c r="E404" s="16"/>
      <c r="F404" s="16"/>
      <c r="G404" s="16"/>
      <c r="H404" s="16"/>
      <c r="N404" s="580"/>
      <c r="O404" s="580"/>
      <c r="P404" s="580"/>
      <c r="Q404" s="580"/>
      <c r="R404" s="580"/>
      <c r="S404" s="580"/>
      <c r="T404" s="580"/>
      <c r="U404" s="580"/>
      <c r="V404" s="580"/>
    </row>
    <row r="405" spans="1:22" ht="15">
      <c r="A405" s="16"/>
      <c r="B405" s="16"/>
      <c r="C405" s="16"/>
      <c r="D405" s="16"/>
      <c r="E405" s="16"/>
      <c r="F405" s="16"/>
      <c r="G405" s="16"/>
      <c r="H405" s="16"/>
      <c r="N405" s="580"/>
      <c r="O405" s="580"/>
      <c r="P405" s="580"/>
      <c r="Q405" s="580"/>
      <c r="R405" s="580"/>
      <c r="S405" s="580"/>
      <c r="T405" s="580"/>
      <c r="U405" s="580"/>
      <c r="V405" s="580"/>
    </row>
    <row r="406" spans="1:22" ht="15">
      <c r="A406" s="16"/>
      <c r="B406" s="16"/>
      <c r="C406" s="16"/>
      <c r="D406" s="16"/>
      <c r="E406" s="16"/>
      <c r="F406" s="16"/>
      <c r="G406" s="16"/>
      <c r="H406" s="16"/>
      <c r="N406" s="580"/>
      <c r="O406" s="580"/>
      <c r="P406" s="580"/>
      <c r="Q406" s="580"/>
      <c r="R406" s="580"/>
      <c r="S406" s="580"/>
      <c r="T406" s="580"/>
      <c r="U406" s="580"/>
      <c r="V406" s="580"/>
    </row>
    <row r="407" spans="1:22" ht="15">
      <c r="A407" s="16"/>
      <c r="B407" s="16"/>
      <c r="C407" s="16"/>
      <c r="D407" s="16"/>
      <c r="E407" s="16"/>
      <c r="F407" s="16"/>
      <c r="G407" s="16"/>
      <c r="H407" s="16"/>
      <c r="N407" s="580"/>
      <c r="O407" s="580"/>
      <c r="P407" s="580"/>
      <c r="Q407" s="580"/>
      <c r="R407" s="580"/>
      <c r="S407" s="580"/>
      <c r="T407" s="580"/>
      <c r="U407" s="580"/>
      <c r="V407" s="580"/>
    </row>
    <row r="408" spans="1:22" ht="15">
      <c r="A408" s="16"/>
      <c r="B408" s="16"/>
      <c r="C408" s="16"/>
      <c r="D408" s="16"/>
      <c r="E408" s="16"/>
      <c r="F408" s="16"/>
      <c r="G408" s="16"/>
      <c r="H408" s="16"/>
      <c r="N408" s="580"/>
      <c r="O408" s="580"/>
      <c r="P408" s="580"/>
      <c r="Q408" s="580"/>
      <c r="R408" s="580"/>
      <c r="S408" s="580"/>
      <c r="T408" s="580"/>
      <c r="U408" s="580"/>
      <c r="V408" s="580"/>
    </row>
    <row r="409" spans="1:22" ht="15">
      <c r="A409" s="16"/>
      <c r="B409" s="16"/>
      <c r="C409" s="16"/>
      <c r="D409" s="16"/>
      <c r="E409" s="16"/>
      <c r="F409" s="16"/>
      <c r="G409" s="16"/>
      <c r="H409" s="16"/>
      <c r="N409" s="580"/>
      <c r="O409" s="580"/>
      <c r="P409" s="580"/>
      <c r="Q409" s="580"/>
      <c r="R409" s="580"/>
      <c r="S409" s="580"/>
      <c r="T409" s="580"/>
      <c r="U409" s="580"/>
      <c r="V409" s="580"/>
    </row>
    <row r="410" spans="1:22" ht="15">
      <c r="A410" s="16"/>
      <c r="B410" s="16"/>
      <c r="C410" s="16"/>
      <c r="D410" s="16"/>
      <c r="E410" s="16"/>
      <c r="F410" s="16"/>
      <c r="G410" s="16"/>
      <c r="H410" s="16"/>
      <c r="N410" s="580"/>
      <c r="O410" s="580"/>
      <c r="P410" s="580"/>
      <c r="Q410" s="580"/>
      <c r="R410" s="580"/>
      <c r="S410" s="580"/>
      <c r="T410" s="580"/>
      <c r="U410" s="580"/>
      <c r="V410" s="580"/>
    </row>
    <row r="411" spans="1:22" ht="15">
      <c r="A411" s="16"/>
      <c r="B411" s="16"/>
      <c r="C411" s="16"/>
      <c r="D411" s="16"/>
      <c r="E411" s="16"/>
      <c r="F411" s="16"/>
      <c r="G411" s="16"/>
      <c r="H411" s="16"/>
      <c r="N411" s="580"/>
      <c r="O411" s="580"/>
      <c r="P411" s="580"/>
      <c r="Q411" s="580"/>
      <c r="R411" s="580"/>
      <c r="S411" s="580"/>
      <c r="T411" s="580"/>
      <c r="U411" s="580"/>
      <c r="V411" s="580"/>
    </row>
    <row r="412" spans="1:22" ht="15">
      <c r="A412" s="16"/>
      <c r="B412" s="16"/>
      <c r="C412" s="16"/>
      <c r="D412" s="16"/>
      <c r="E412" s="16"/>
      <c r="F412" s="16"/>
      <c r="G412" s="16"/>
      <c r="H412" s="16"/>
      <c r="N412" s="580"/>
      <c r="O412" s="580"/>
      <c r="P412" s="580"/>
      <c r="Q412" s="580"/>
      <c r="R412" s="580"/>
      <c r="S412" s="580"/>
      <c r="T412" s="580"/>
      <c r="U412" s="580"/>
      <c r="V412" s="580"/>
    </row>
    <row r="413" spans="1:22" ht="15">
      <c r="A413" s="16"/>
      <c r="B413" s="16"/>
      <c r="C413" s="16"/>
      <c r="D413" s="16"/>
      <c r="E413" s="16"/>
      <c r="F413" s="16"/>
      <c r="G413" s="16"/>
      <c r="H413" s="16"/>
      <c r="N413" s="580"/>
      <c r="O413" s="580"/>
      <c r="P413" s="580"/>
      <c r="Q413" s="580"/>
      <c r="R413" s="580"/>
      <c r="S413" s="580"/>
      <c r="T413" s="580"/>
      <c r="U413" s="580"/>
      <c r="V413" s="580"/>
    </row>
    <row r="414" spans="1:22" ht="15">
      <c r="A414" s="16"/>
      <c r="B414" s="16"/>
      <c r="C414" s="16"/>
      <c r="D414" s="16"/>
      <c r="E414" s="16"/>
      <c r="F414" s="16"/>
      <c r="G414" s="16"/>
      <c r="H414" s="16"/>
      <c r="N414" s="580"/>
      <c r="O414" s="580"/>
      <c r="P414" s="580"/>
      <c r="Q414" s="580"/>
      <c r="R414" s="580"/>
      <c r="S414" s="580"/>
      <c r="T414" s="580"/>
      <c r="U414" s="580"/>
      <c r="V414" s="580"/>
    </row>
    <row r="415" spans="1:22" ht="15">
      <c r="A415" s="16"/>
      <c r="B415" s="16"/>
      <c r="C415" s="16"/>
      <c r="D415" s="16"/>
      <c r="E415" s="16"/>
      <c r="F415" s="16"/>
      <c r="G415" s="16"/>
      <c r="H415" s="16"/>
      <c r="N415" s="580"/>
      <c r="O415" s="580"/>
      <c r="P415" s="580"/>
      <c r="Q415" s="580"/>
      <c r="R415" s="580"/>
      <c r="S415" s="580"/>
      <c r="T415" s="580"/>
      <c r="U415" s="580"/>
      <c r="V415" s="580"/>
    </row>
    <row r="416" spans="1:22" ht="15">
      <c r="A416" s="16"/>
      <c r="B416" s="16"/>
      <c r="C416" s="16"/>
      <c r="D416" s="16"/>
      <c r="E416" s="16"/>
      <c r="F416" s="16"/>
      <c r="G416" s="16"/>
      <c r="H416" s="16"/>
      <c r="N416" s="580"/>
      <c r="O416" s="580"/>
      <c r="P416" s="580"/>
      <c r="Q416" s="580"/>
      <c r="R416" s="580"/>
      <c r="S416" s="580"/>
      <c r="T416" s="580"/>
      <c r="U416" s="580"/>
      <c r="V416" s="580"/>
    </row>
    <row r="417" spans="1:22" ht="15">
      <c r="A417" s="16"/>
      <c r="B417" s="16"/>
      <c r="C417" s="16"/>
      <c r="D417" s="16"/>
      <c r="E417" s="16"/>
      <c r="F417" s="16"/>
      <c r="G417" s="16"/>
      <c r="H417" s="16"/>
      <c r="N417" s="580"/>
      <c r="O417" s="580"/>
      <c r="P417" s="580"/>
      <c r="Q417" s="580"/>
      <c r="R417" s="580"/>
      <c r="S417" s="580"/>
      <c r="T417" s="580"/>
      <c r="U417" s="580"/>
      <c r="V417" s="580"/>
    </row>
    <row r="418" spans="1:22" ht="15">
      <c r="A418" s="16"/>
      <c r="B418" s="16"/>
      <c r="C418" s="16"/>
      <c r="D418" s="16"/>
      <c r="E418" s="16"/>
      <c r="F418" s="16"/>
      <c r="G418" s="16"/>
      <c r="H418" s="16"/>
      <c r="N418" s="580"/>
      <c r="O418" s="580"/>
      <c r="P418" s="580"/>
      <c r="Q418" s="580"/>
      <c r="R418" s="580"/>
      <c r="S418" s="580"/>
      <c r="T418" s="580"/>
      <c r="U418" s="580"/>
      <c r="V418" s="580"/>
    </row>
    <row r="419" spans="1:22" ht="15">
      <c r="A419" s="16"/>
      <c r="B419" s="16"/>
      <c r="C419" s="16"/>
      <c r="D419" s="16"/>
      <c r="E419" s="16"/>
      <c r="F419" s="16"/>
      <c r="G419" s="16"/>
      <c r="H419" s="16"/>
      <c r="N419" s="580"/>
      <c r="O419" s="580"/>
      <c r="P419" s="580"/>
      <c r="Q419" s="580"/>
      <c r="R419" s="580"/>
      <c r="S419" s="580"/>
      <c r="T419" s="580"/>
      <c r="U419" s="580"/>
      <c r="V419" s="580"/>
    </row>
    <row r="420" spans="1:22" ht="15">
      <c r="A420" s="16"/>
      <c r="B420" s="16"/>
      <c r="C420" s="16"/>
      <c r="D420" s="16"/>
      <c r="E420" s="16"/>
      <c r="F420" s="16"/>
      <c r="G420" s="16"/>
      <c r="H420" s="16"/>
      <c r="N420" s="580"/>
      <c r="O420" s="580"/>
      <c r="P420" s="580"/>
      <c r="Q420" s="580"/>
      <c r="R420" s="580"/>
      <c r="S420" s="580"/>
      <c r="T420" s="580"/>
      <c r="U420" s="580"/>
      <c r="V420" s="580"/>
    </row>
    <row r="421" spans="1:22" ht="15">
      <c r="A421" s="16"/>
      <c r="B421" s="16"/>
      <c r="C421" s="16"/>
      <c r="D421" s="16"/>
      <c r="E421" s="16"/>
      <c r="F421" s="16"/>
      <c r="G421" s="16"/>
      <c r="H421" s="16"/>
      <c r="N421" s="580"/>
      <c r="O421" s="580"/>
      <c r="P421" s="580"/>
      <c r="Q421" s="580"/>
      <c r="R421" s="580"/>
      <c r="S421" s="580"/>
      <c r="T421" s="580"/>
      <c r="U421" s="580"/>
      <c r="V421" s="580"/>
    </row>
    <row r="422" spans="1:22" ht="15">
      <c r="A422" s="16"/>
      <c r="B422" s="16"/>
      <c r="C422" s="16"/>
      <c r="D422" s="16"/>
      <c r="E422" s="16"/>
      <c r="F422" s="16"/>
      <c r="G422" s="16"/>
      <c r="H422" s="16"/>
      <c r="N422" s="580"/>
      <c r="O422" s="580"/>
      <c r="P422" s="580"/>
      <c r="Q422" s="580"/>
      <c r="R422" s="580"/>
      <c r="S422" s="580"/>
      <c r="T422" s="580"/>
      <c r="U422" s="580"/>
      <c r="V422" s="580"/>
    </row>
    <row r="423" spans="1:22" ht="15">
      <c r="A423" s="16"/>
      <c r="B423" s="16"/>
      <c r="C423" s="16"/>
      <c r="D423" s="16"/>
      <c r="E423" s="16"/>
      <c r="F423" s="16"/>
      <c r="G423" s="16"/>
      <c r="H423" s="16"/>
      <c r="N423" s="580"/>
      <c r="O423" s="580"/>
      <c r="P423" s="580"/>
      <c r="Q423" s="580"/>
      <c r="R423" s="580"/>
      <c r="S423" s="580"/>
      <c r="T423" s="580"/>
      <c r="U423" s="580"/>
      <c r="V423" s="580"/>
    </row>
    <row r="424" spans="1:22" ht="15">
      <c r="A424" s="16"/>
      <c r="B424" s="16"/>
      <c r="C424" s="16"/>
      <c r="D424" s="16"/>
      <c r="E424" s="16"/>
      <c r="F424" s="16"/>
      <c r="G424" s="16"/>
      <c r="H424" s="16"/>
      <c r="N424" s="580"/>
      <c r="O424" s="580"/>
      <c r="P424" s="580"/>
      <c r="Q424" s="580"/>
      <c r="R424" s="580"/>
      <c r="S424" s="580"/>
      <c r="T424" s="580"/>
      <c r="U424" s="580"/>
      <c r="V424" s="580"/>
    </row>
    <row r="425" spans="1:22" ht="15">
      <c r="A425" s="16"/>
      <c r="B425" s="16"/>
      <c r="C425" s="16"/>
      <c r="D425" s="16"/>
      <c r="E425" s="16"/>
      <c r="F425" s="16"/>
      <c r="G425" s="16"/>
      <c r="H425" s="16"/>
      <c r="N425" s="580"/>
      <c r="O425" s="580"/>
      <c r="P425" s="580"/>
      <c r="Q425" s="580"/>
      <c r="R425" s="580"/>
      <c r="S425" s="580"/>
      <c r="T425" s="580"/>
      <c r="U425" s="580"/>
      <c r="V425" s="580"/>
    </row>
    <row r="426" spans="1:22" ht="15">
      <c r="A426" s="16"/>
      <c r="B426" s="16"/>
      <c r="C426" s="16"/>
      <c r="D426" s="16"/>
      <c r="E426" s="16"/>
      <c r="F426" s="16"/>
      <c r="G426" s="16"/>
      <c r="H426" s="16"/>
      <c r="N426" s="580"/>
      <c r="O426" s="580"/>
      <c r="P426" s="580"/>
      <c r="Q426" s="580"/>
      <c r="R426" s="580"/>
      <c r="S426" s="580"/>
      <c r="T426" s="580"/>
      <c r="U426" s="580"/>
      <c r="V426" s="580"/>
    </row>
    <row r="427" spans="1:22" ht="15">
      <c r="A427" s="16"/>
      <c r="B427" s="16"/>
      <c r="C427" s="16"/>
      <c r="D427" s="16"/>
      <c r="E427" s="16"/>
      <c r="F427" s="16"/>
      <c r="G427" s="16"/>
      <c r="H427" s="16"/>
      <c r="N427" s="580"/>
      <c r="O427" s="580"/>
      <c r="P427" s="580"/>
      <c r="Q427" s="580"/>
      <c r="R427" s="580"/>
      <c r="S427" s="580"/>
      <c r="T427" s="580"/>
      <c r="U427" s="580"/>
      <c r="V427" s="580"/>
    </row>
    <row r="428" spans="1:22" ht="15">
      <c r="A428" s="16"/>
      <c r="B428" s="16"/>
      <c r="C428" s="16"/>
      <c r="D428" s="16"/>
      <c r="E428" s="16"/>
      <c r="F428" s="16"/>
      <c r="G428" s="16"/>
      <c r="H428" s="16"/>
      <c r="N428" s="580"/>
      <c r="O428" s="580"/>
      <c r="P428" s="580"/>
      <c r="Q428" s="580"/>
      <c r="R428" s="580"/>
      <c r="S428" s="580"/>
      <c r="T428" s="580"/>
      <c r="U428" s="580"/>
      <c r="V428" s="580"/>
    </row>
    <row r="429" spans="1:22" ht="15">
      <c r="A429" s="16"/>
      <c r="B429" s="16"/>
      <c r="C429" s="16"/>
      <c r="D429" s="16"/>
      <c r="E429" s="16"/>
      <c r="F429" s="16"/>
      <c r="G429" s="16"/>
      <c r="H429" s="16"/>
      <c r="N429" s="580"/>
      <c r="O429" s="580"/>
      <c r="P429" s="580"/>
      <c r="Q429" s="580"/>
      <c r="R429" s="580"/>
      <c r="S429" s="580"/>
      <c r="T429" s="580"/>
      <c r="U429" s="580"/>
      <c r="V429" s="580"/>
    </row>
    <row r="430" spans="1:22" ht="15">
      <c r="A430" s="16"/>
      <c r="B430" s="16"/>
      <c r="C430" s="16"/>
      <c r="D430" s="16"/>
      <c r="E430" s="16"/>
      <c r="F430" s="16"/>
      <c r="G430" s="16"/>
      <c r="H430" s="16"/>
      <c r="N430" s="580"/>
      <c r="O430" s="580"/>
      <c r="P430" s="580"/>
      <c r="Q430" s="580"/>
      <c r="R430" s="580"/>
      <c r="S430" s="580"/>
      <c r="T430" s="580"/>
      <c r="U430" s="580"/>
      <c r="V430" s="580"/>
    </row>
    <row r="431" spans="1:22" ht="15">
      <c r="A431" s="16"/>
      <c r="B431" s="16"/>
      <c r="C431" s="16"/>
      <c r="D431" s="16"/>
      <c r="E431" s="16"/>
      <c r="F431" s="16"/>
      <c r="G431" s="16"/>
      <c r="H431" s="16"/>
      <c r="N431" s="580"/>
      <c r="O431" s="580"/>
      <c r="P431" s="580"/>
      <c r="Q431" s="580"/>
      <c r="R431" s="580"/>
      <c r="S431" s="580"/>
      <c r="T431" s="580"/>
      <c r="U431" s="580"/>
      <c r="V431" s="580"/>
    </row>
    <row r="432" spans="1:22" ht="15">
      <c r="A432" s="16"/>
      <c r="B432" s="16"/>
      <c r="C432" s="16"/>
      <c r="D432" s="16"/>
      <c r="E432" s="16"/>
      <c r="F432" s="16"/>
      <c r="G432" s="16"/>
      <c r="H432" s="16"/>
      <c r="N432" s="580"/>
      <c r="O432" s="580"/>
      <c r="P432" s="580"/>
      <c r="Q432" s="580"/>
      <c r="R432" s="580"/>
      <c r="S432" s="580"/>
      <c r="T432" s="580"/>
      <c r="U432" s="580"/>
      <c r="V432" s="580"/>
    </row>
    <row r="433" spans="1:22" ht="15">
      <c r="A433" s="16"/>
      <c r="B433" s="16"/>
      <c r="C433" s="16"/>
      <c r="D433" s="16"/>
      <c r="E433" s="16"/>
      <c r="F433" s="16"/>
      <c r="G433" s="16"/>
      <c r="H433" s="16"/>
      <c r="N433" s="580"/>
      <c r="O433" s="580"/>
      <c r="P433" s="580"/>
      <c r="Q433" s="580"/>
      <c r="R433" s="580"/>
      <c r="S433" s="580"/>
      <c r="T433" s="580"/>
      <c r="U433" s="580"/>
      <c r="V433" s="580"/>
    </row>
    <row r="434" spans="1:22" ht="15">
      <c r="A434" s="16"/>
      <c r="B434" s="16"/>
      <c r="C434" s="16"/>
      <c r="D434" s="16"/>
      <c r="E434" s="16"/>
      <c r="F434" s="16"/>
      <c r="G434" s="16"/>
      <c r="H434" s="16"/>
      <c r="N434" s="580"/>
      <c r="O434" s="580"/>
      <c r="P434" s="580"/>
      <c r="Q434" s="580"/>
      <c r="R434" s="580"/>
      <c r="S434" s="580"/>
      <c r="T434" s="580"/>
      <c r="U434" s="580"/>
      <c r="V434" s="580"/>
    </row>
    <row r="435" spans="1:22" ht="15">
      <c r="A435" s="16"/>
      <c r="B435" s="16"/>
      <c r="C435" s="16"/>
      <c r="D435" s="16"/>
      <c r="E435" s="16"/>
      <c r="F435" s="16"/>
      <c r="G435" s="16"/>
      <c r="H435" s="16"/>
      <c r="N435" s="580"/>
      <c r="O435" s="580"/>
      <c r="P435" s="580"/>
      <c r="Q435" s="580"/>
      <c r="R435" s="580"/>
      <c r="S435" s="580"/>
      <c r="T435" s="580"/>
      <c r="U435" s="580"/>
      <c r="V435" s="580"/>
    </row>
    <row r="436" spans="1:22" ht="15">
      <c r="A436" s="16"/>
      <c r="B436" s="16"/>
      <c r="C436" s="16"/>
      <c r="D436" s="16"/>
      <c r="E436" s="16"/>
      <c r="F436" s="16"/>
      <c r="G436" s="16"/>
      <c r="H436" s="16"/>
      <c r="N436" s="580"/>
      <c r="O436" s="580"/>
      <c r="P436" s="580"/>
      <c r="Q436" s="580"/>
      <c r="R436" s="580"/>
      <c r="S436" s="580"/>
      <c r="T436" s="580"/>
      <c r="U436" s="580"/>
      <c r="V436" s="580"/>
    </row>
    <row r="437" spans="1:22" ht="15">
      <c r="A437" s="16"/>
      <c r="B437" s="16"/>
      <c r="C437" s="16"/>
      <c r="D437" s="16"/>
      <c r="E437" s="16"/>
      <c r="F437" s="16"/>
      <c r="G437" s="16"/>
      <c r="H437" s="16"/>
      <c r="N437" s="580"/>
      <c r="O437" s="580"/>
      <c r="P437" s="580"/>
      <c r="Q437" s="580"/>
      <c r="R437" s="580"/>
      <c r="S437" s="580"/>
      <c r="T437" s="580"/>
      <c r="U437" s="580"/>
      <c r="V437" s="580"/>
    </row>
    <row r="438" spans="1:22" ht="15">
      <c r="A438" s="16"/>
      <c r="B438" s="16"/>
      <c r="C438" s="16"/>
      <c r="D438" s="16"/>
      <c r="E438" s="16"/>
      <c r="F438" s="16"/>
      <c r="G438" s="16"/>
      <c r="H438" s="16"/>
      <c r="N438" s="580"/>
      <c r="O438" s="580"/>
      <c r="P438" s="580"/>
      <c r="Q438" s="580"/>
      <c r="R438" s="580"/>
      <c r="S438" s="580"/>
      <c r="T438" s="580"/>
      <c r="U438" s="580"/>
      <c r="V438" s="580"/>
    </row>
    <row r="439" spans="1:22" ht="15">
      <c r="A439" s="16"/>
      <c r="B439" s="16"/>
      <c r="C439" s="16"/>
      <c r="D439" s="16"/>
      <c r="E439" s="16"/>
      <c r="F439" s="16"/>
      <c r="G439" s="16"/>
      <c r="H439" s="16"/>
      <c r="N439" s="580"/>
      <c r="O439" s="580"/>
      <c r="P439" s="580"/>
      <c r="Q439" s="580"/>
      <c r="R439" s="580"/>
      <c r="S439" s="580"/>
      <c r="T439" s="580"/>
      <c r="U439" s="580"/>
      <c r="V439" s="580"/>
    </row>
    <row r="440" spans="1:22" ht="15">
      <c r="A440" s="16"/>
      <c r="B440" s="16"/>
      <c r="C440" s="16"/>
      <c r="D440" s="16"/>
      <c r="E440" s="16"/>
      <c r="F440" s="16"/>
      <c r="G440" s="16"/>
      <c r="H440" s="16"/>
      <c r="N440" s="580"/>
      <c r="O440" s="580"/>
      <c r="P440" s="580"/>
      <c r="Q440" s="580"/>
      <c r="R440" s="580"/>
      <c r="S440" s="580"/>
      <c r="T440" s="580"/>
      <c r="U440" s="580"/>
      <c r="V440" s="580"/>
    </row>
    <row r="441" spans="1:22" ht="15">
      <c r="A441" s="16"/>
      <c r="B441" s="16"/>
      <c r="C441" s="16"/>
      <c r="D441" s="16"/>
      <c r="E441" s="16"/>
      <c r="F441" s="16"/>
      <c r="G441" s="16"/>
      <c r="H441" s="16"/>
      <c r="N441" s="580"/>
      <c r="O441" s="580"/>
      <c r="P441" s="580"/>
      <c r="Q441" s="580"/>
      <c r="R441" s="580"/>
      <c r="S441" s="580"/>
      <c r="T441" s="580"/>
      <c r="U441" s="580"/>
      <c r="V441" s="580"/>
    </row>
    <row r="442" spans="1:22" ht="15">
      <c r="A442" s="16"/>
      <c r="B442" s="16"/>
      <c r="C442" s="16"/>
      <c r="D442" s="16"/>
      <c r="E442" s="16"/>
      <c r="F442" s="16"/>
      <c r="G442" s="16"/>
      <c r="H442" s="16"/>
      <c r="N442" s="580"/>
      <c r="O442" s="580"/>
      <c r="P442" s="580"/>
      <c r="Q442" s="580"/>
      <c r="R442" s="580"/>
      <c r="S442" s="580"/>
      <c r="T442" s="580"/>
      <c r="U442" s="580"/>
      <c r="V442" s="580"/>
    </row>
    <row r="443" spans="1:22" ht="15">
      <c r="A443" s="16"/>
      <c r="B443" s="16"/>
      <c r="C443" s="16"/>
      <c r="D443" s="16"/>
      <c r="E443" s="16"/>
      <c r="F443" s="16"/>
      <c r="G443" s="16"/>
      <c r="H443" s="16"/>
      <c r="N443" s="580"/>
      <c r="O443" s="580"/>
      <c r="P443" s="580"/>
      <c r="Q443" s="580"/>
      <c r="R443" s="580"/>
      <c r="S443" s="580"/>
      <c r="T443" s="580"/>
      <c r="U443" s="580"/>
      <c r="V443" s="580"/>
    </row>
    <row r="444" spans="1:22" ht="15">
      <c r="A444" s="16"/>
      <c r="B444" s="16"/>
      <c r="C444" s="16"/>
      <c r="D444" s="16"/>
      <c r="E444" s="16"/>
      <c r="F444" s="16"/>
      <c r="G444" s="16"/>
      <c r="H444" s="16"/>
      <c r="N444" s="580"/>
      <c r="O444" s="580"/>
      <c r="P444" s="580"/>
      <c r="Q444" s="580"/>
      <c r="R444" s="580"/>
      <c r="S444" s="580"/>
      <c r="T444" s="580"/>
      <c r="U444" s="580"/>
      <c r="V444" s="580"/>
    </row>
    <row r="445" spans="1:22" ht="15">
      <c r="A445" s="16"/>
      <c r="B445" s="16"/>
      <c r="C445" s="16"/>
      <c r="D445" s="16"/>
      <c r="E445" s="16"/>
      <c r="F445" s="16"/>
      <c r="G445" s="16"/>
      <c r="H445" s="16"/>
      <c r="N445" s="580"/>
      <c r="O445" s="580"/>
      <c r="P445" s="580"/>
      <c r="Q445" s="580"/>
      <c r="R445" s="580"/>
      <c r="S445" s="580"/>
      <c r="T445" s="580"/>
      <c r="U445" s="580"/>
      <c r="V445" s="580"/>
    </row>
    <row r="446" spans="1:22" ht="15">
      <c r="A446" s="16"/>
      <c r="B446" s="16"/>
      <c r="C446" s="16"/>
      <c r="D446" s="16"/>
      <c r="E446" s="16"/>
      <c r="F446" s="16"/>
      <c r="G446" s="16"/>
      <c r="H446" s="16"/>
      <c r="N446" s="580"/>
      <c r="O446" s="580"/>
      <c r="P446" s="580"/>
      <c r="Q446" s="580"/>
      <c r="R446" s="580"/>
      <c r="S446" s="580"/>
      <c r="T446" s="580"/>
      <c r="U446" s="580"/>
      <c r="V446" s="580"/>
    </row>
    <row r="447" spans="1:22" ht="15">
      <c r="A447" s="16"/>
      <c r="B447" s="16"/>
      <c r="C447" s="16"/>
      <c r="D447" s="16"/>
      <c r="E447" s="16"/>
      <c r="F447" s="16"/>
      <c r="G447" s="16"/>
      <c r="H447" s="16"/>
      <c r="N447" s="580"/>
      <c r="O447" s="580"/>
      <c r="P447" s="580"/>
      <c r="Q447" s="580"/>
      <c r="R447" s="580"/>
      <c r="S447" s="580"/>
      <c r="T447" s="580"/>
      <c r="U447" s="580"/>
      <c r="V447" s="580"/>
    </row>
    <row r="448" spans="1:22" ht="15">
      <c r="A448" s="16"/>
      <c r="B448" s="16"/>
      <c r="C448" s="16"/>
      <c r="D448" s="16"/>
      <c r="E448" s="16"/>
      <c r="F448" s="16"/>
      <c r="G448" s="16"/>
      <c r="H448" s="16"/>
      <c r="N448" s="580"/>
      <c r="O448" s="580"/>
      <c r="P448" s="580"/>
      <c r="Q448" s="580"/>
      <c r="R448" s="580"/>
      <c r="S448" s="580"/>
      <c r="T448" s="580"/>
      <c r="U448" s="580"/>
      <c r="V448" s="580"/>
    </row>
    <row r="449" spans="1:22" ht="15">
      <c r="A449" s="16"/>
      <c r="B449" s="16"/>
      <c r="C449" s="16"/>
      <c r="D449" s="16"/>
      <c r="E449" s="16"/>
      <c r="F449" s="16"/>
      <c r="G449" s="16"/>
      <c r="H449" s="16"/>
      <c r="N449" s="580"/>
      <c r="O449" s="580"/>
      <c r="P449" s="580"/>
      <c r="Q449" s="580"/>
      <c r="R449" s="580"/>
      <c r="S449" s="580"/>
      <c r="T449" s="580"/>
      <c r="U449" s="580"/>
      <c r="V449" s="580"/>
    </row>
    <row r="450" spans="1:22" ht="15">
      <c r="A450" s="16"/>
      <c r="B450" s="16"/>
      <c r="C450" s="16"/>
      <c r="D450" s="16"/>
      <c r="E450" s="16"/>
      <c r="F450" s="16"/>
      <c r="G450" s="16"/>
      <c r="H450" s="16"/>
      <c r="N450" s="580"/>
      <c r="O450" s="580"/>
      <c r="P450" s="580"/>
      <c r="Q450" s="580"/>
      <c r="R450" s="580"/>
      <c r="S450" s="580"/>
      <c r="T450" s="580"/>
      <c r="U450" s="580"/>
      <c r="V450" s="580"/>
    </row>
    <row r="451" spans="1:22" ht="15">
      <c r="A451" s="16"/>
      <c r="B451" s="16"/>
      <c r="C451" s="16"/>
      <c r="D451" s="16"/>
      <c r="E451" s="16"/>
      <c r="F451" s="16"/>
      <c r="G451" s="16"/>
      <c r="H451" s="16"/>
      <c r="N451" s="580"/>
      <c r="O451" s="580"/>
      <c r="P451" s="580"/>
      <c r="Q451" s="580"/>
      <c r="R451" s="580"/>
      <c r="S451" s="580"/>
      <c r="T451" s="580"/>
      <c r="U451" s="580"/>
      <c r="V451" s="580"/>
    </row>
    <row r="452" spans="1:22" ht="15">
      <c r="A452" s="16"/>
      <c r="B452" s="16"/>
      <c r="C452" s="16"/>
      <c r="D452" s="16"/>
      <c r="E452" s="16"/>
      <c r="F452" s="16"/>
      <c r="G452" s="16"/>
      <c r="H452" s="16"/>
      <c r="N452" s="580"/>
      <c r="O452" s="580"/>
      <c r="P452" s="580"/>
      <c r="Q452" s="580"/>
      <c r="R452" s="580"/>
      <c r="S452" s="580"/>
      <c r="T452" s="580"/>
      <c r="U452" s="580"/>
      <c r="V452" s="580"/>
    </row>
    <row r="453" spans="1:22" ht="15">
      <c r="A453" s="16"/>
      <c r="B453" s="16"/>
      <c r="C453" s="16"/>
      <c r="D453" s="16"/>
      <c r="E453" s="16"/>
      <c r="F453" s="16"/>
      <c r="G453" s="16"/>
      <c r="H453" s="16"/>
      <c r="N453" s="580"/>
      <c r="O453" s="580"/>
      <c r="P453" s="580"/>
      <c r="Q453" s="580"/>
      <c r="R453" s="580"/>
      <c r="S453" s="580"/>
      <c r="T453" s="580"/>
      <c r="U453" s="580"/>
      <c r="V453" s="580"/>
    </row>
    <row r="454" spans="1:22" ht="15">
      <c r="A454" s="16"/>
      <c r="B454" s="16"/>
      <c r="C454" s="16"/>
      <c r="D454" s="16"/>
      <c r="E454" s="16"/>
      <c r="F454" s="16"/>
      <c r="G454" s="16"/>
      <c r="H454" s="16"/>
      <c r="N454" s="580"/>
      <c r="O454" s="580"/>
      <c r="P454" s="580"/>
      <c r="Q454" s="580"/>
      <c r="R454" s="580"/>
      <c r="S454" s="580"/>
      <c r="T454" s="580"/>
      <c r="U454" s="580"/>
      <c r="V454" s="580"/>
    </row>
    <row r="455" spans="1:22" ht="15">
      <c r="A455" s="16"/>
      <c r="B455" s="16"/>
      <c r="C455" s="16"/>
      <c r="D455" s="16"/>
      <c r="E455" s="16"/>
      <c r="F455" s="16"/>
      <c r="G455" s="16"/>
      <c r="H455" s="16"/>
      <c r="N455" s="580"/>
      <c r="O455" s="580"/>
      <c r="P455" s="580"/>
      <c r="Q455" s="580"/>
      <c r="R455" s="580"/>
      <c r="S455" s="580"/>
      <c r="T455" s="580"/>
      <c r="U455" s="580"/>
      <c r="V455" s="580"/>
    </row>
    <row r="456" spans="1:22" ht="15">
      <c r="A456" s="16"/>
      <c r="B456" s="16"/>
      <c r="C456" s="16"/>
      <c r="D456" s="16"/>
      <c r="E456" s="16"/>
      <c r="F456" s="16"/>
      <c r="G456" s="16"/>
      <c r="H456" s="16"/>
      <c r="N456" s="580"/>
      <c r="O456" s="580"/>
      <c r="P456" s="580"/>
      <c r="Q456" s="580"/>
      <c r="R456" s="580"/>
      <c r="S456" s="580"/>
      <c r="T456" s="580"/>
      <c r="U456" s="580"/>
      <c r="V456" s="580"/>
    </row>
    <row r="457" spans="1:22" ht="15">
      <c r="A457" s="16"/>
      <c r="B457" s="16"/>
      <c r="C457" s="16"/>
      <c r="D457" s="16"/>
      <c r="E457" s="16"/>
      <c r="F457" s="16"/>
      <c r="G457" s="16"/>
      <c r="H457" s="16"/>
      <c r="N457" s="580"/>
      <c r="O457" s="580"/>
      <c r="P457" s="580"/>
      <c r="Q457" s="580"/>
      <c r="R457" s="580"/>
      <c r="S457" s="580"/>
      <c r="T457" s="580"/>
      <c r="U457" s="580"/>
      <c r="V457" s="580"/>
    </row>
    <row r="458" spans="1:22" ht="15">
      <c r="A458" s="16"/>
      <c r="B458" s="16"/>
      <c r="C458" s="16"/>
      <c r="D458" s="16"/>
      <c r="E458" s="16"/>
      <c r="F458" s="16"/>
      <c r="G458" s="16"/>
      <c r="H458" s="16"/>
      <c r="N458" s="580"/>
      <c r="O458" s="580"/>
      <c r="P458" s="580"/>
      <c r="Q458" s="580"/>
      <c r="R458" s="580"/>
      <c r="S458" s="580"/>
      <c r="T458" s="580"/>
      <c r="U458" s="580"/>
      <c r="V458" s="580"/>
    </row>
    <row r="459" spans="1:22" ht="15">
      <c r="A459" s="16"/>
      <c r="B459" s="16"/>
      <c r="C459" s="16"/>
      <c r="D459" s="16"/>
      <c r="E459" s="16"/>
      <c r="F459" s="16"/>
      <c r="G459" s="16"/>
      <c r="H459" s="16"/>
      <c r="N459" s="580"/>
      <c r="O459" s="580"/>
      <c r="P459" s="580"/>
      <c r="Q459" s="580"/>
      <c r="R459" s="580"/>
      <c r="S459" s="580"/>
      <c r="T459" s="580"/>
      <c r="U459" s="580"/>
      <c r="V459" s="580"/>
    </row>
    <row r="460" spans="1:22" ht="15">
      <c r="A460" s="16"/>
      <c r="B460" s="16"/>
      <c r="C460" s="16"/>
      <c r="D460" s="16"/>
      <c r="E460" s="16"/>
      <c r="F460" s="16"/>
      <c r="G460" s="16"/>
      <c r="H460" s="16"/>
      <c r="N460" s="580"/>
      <c r="O460" s="580"/>
      <c r="P460" s="580"/>
      <c r="Q460" s="580"/>
      <c r="R460" s="580"/>
      <c r="S460" s="580"/>
      <c r="T460" s="580"/>
      <c r="U460" s="580"/>
      <c r="V460" s="580"/>
    </row>
    <row r="461" spans="1:22" ht="15">
      <c r="A461" s="16"/>
      <c r="B461" s="16"/>
      <c r="C461" s="16"/>
      <c r="D461" s="16"/>
      <c r="E461" s="16"/>
      <c r="F461" s="16"/>
      <c r="G461" s="16"/>
      <c r="H461" s="16"/>
      <c r="N461" s="580"/>
      <c r="O461" s="580"/>
      <c r="P461" s="580"/>
      <c r="Q461" s="580"/>
      <c r="R461" s="580"/>
      <c r="S461" s="580"/>
      <c r="T461" s="580"/>
      <c r="U461" s="580"/>
      <c r="V461" s="580"/>
    </row>
    <row r="462" spans="1:22" ht="15">
      <c r="A462" s="16"/>
      <c r="B462" s="16"/>
      <c r="C462" s="16"/>
      <c r="D462" s="16"/>
      <c r="E462" s="16"/>
      <c r="F462" s="16"/>
      <c r="G462" s="16"/>
      <c r="H462" s="16"/>
      <c r="N462" s="580"/>
      <c r="O462" s="580"/>
      <c r="P462" s="580"/>
      <c r="Q462" s="580"/>
      <c r="R462" s="580"/>
      <c r="S462" s="580"/>
      <c r="T462" s="580"/>
      <c r="U462" s="580"/>
      <c r="V462" s="580"/>
    </row>
    <row r="463" spans="1:22" ht="15">
      <c r="A463" s="16"/>
      <c r="B463" s="16"/>
      <c r="C463" s="16"/>
      <c r="D463" s="16"/>
      <c r="E463" s="16"/>
      <c r="F463" s="16"/>
      <c r="G463" s="16"/>
      <c r="H463" s="16"/>
      <c r="N463" s="580"/>
      <c r="O463" s="580"/>
      <c r="P463" s="580"/>
      <c r="Q463" s="580"/>
      <c r="R463" s="580"/>
      <c r="S463" s="580"/>
      <c r="T463" s="580"/>
      <c r="U463" s="580"/>
      <c r="V463" s="580"/>
    </row>
    <row r="464" spans="1:22" ht="15">
      <c r="A464" s="16"/>
      <c r="B464" s="16"/>
      <c r="C464" s="16"/>
      <c r="D464" s="16"/>
      <c r="E464" s="16"/>
      <c r="F464" s="16"/>
      <c r="G464" s="16"/>
      <c r="H464" s="16"/>
      <c r="N464" s="580"/>
      <c r="O464" s="580"/>
      <c r="P464" s="580"/>
      <c r="Q464" s="580"/>
      <c r="R464" s="580"/>
      <c r="S464" s="580"/>
      <c r="T464" s="580"/>
      <c r="U464" s="580"/>
      <c r="V464" s="580"/>
    </row>
    <row r="465" spans="1:22" ht="15">
      <c r="A465" s="16"/>
      <c r="B465" s="16"/>
      <c r="C465" s="16"/>
      <c r="D465" s="16"/>
      <c r="E465" s="16"/>
      <c r="F465" s="16"/>
      <c r="G465" s="16"/>
      <c r="H465" s="16"/>
      <c r="N465" s="580"/>
      <c r="O465" s="580"/>
      <c r="P465" s="580"/>
      <c r="Q465" s="580"/>
      <c r="R465" s="580"/>
      <c r="S465" s="580"/>
      <c r="T465" s="580"/>
      <c r="U465" s="580"/>
      <c r="V465" s="580"/>
    </row>
    <row r="466" spans="1:22" ht="15">
      <c r="A466" s="16"/>
      <c r="B466" s="16"/>
      <c r="C466" s="16"/>
      <c r="D466" s="16"/>
      <c r="E466" s="16"/>
      <c r="F466" s="16"/>
      <c r="G466" s="16"/>
      <c r="H466" s="16"/>
      <c r="N466" s="580"/>
      <c r="O466" s="580"/>
      <c r="P466" s="580"/>
      <c r="Q466" s="580"/>
      <c r="R466" s="580"/>
      <c r="S466" s="580"/>
      <c r="T466" s="580"/>
      <c r="U466" s="580"/>
      <c r="V466" s="580"/>
    </row>
    <row r="467" spans="1:22" ht="15">
      <c r="A467" s="16"/>
      <c r="B467" s="16"/>
      <c r="C467" s="16"/>
      <c r="D467" s="16"/>
      <c r="E467" s="16"/>
      <c r="F467" s="16"/>
      <c r="G467" s="16"/>
      <c r="H467" s="16"/>
      <c r="N467" s="580"/>
      <c r="O467" s="580"/>
      <c r="P467" s="580"/>
      <c r="Q467" s="580"/>
      <c r="R467" s="580"/>
      <c r="S467" s="580"/>
      <c r="T467" s="580"/>
      <c r="U467" s="580"/>
      <c r="V467" s="580"/>
    </row>
    <row r="468" spans="1:22" ht="15">
      <c r="A468" s="16"/>
      <c r="B468" s="16"/>
      <c r="C468" s="16"/>
      <c r="D468" s="16"/>
      <c r="E468" s="16"/>
      <c r="F468" s="16"/>
      <c r="G468" s="16"/>
      <c r="H468" s="16"/>
      <c r="N468" s="580"/>
      <c r="O468" s="580"/>
      <c r="P468" s="580"/>
      <c r="Q468" s="580"/>
      <c r="R468" s="580"/>
      <c r="S468" s="580"/>
      <c r="T468" s="580"/>
      <c r="U468" s="580"/>
      <c r="V468" s="580"/>
    </row>
    <row r="469" spans="1:22" ht="15">
      <c r="A469" s="16"/>
      <c r="B469" s="16"/>
      <c r="C469" s="16"/>
      <c r="D469" s="16"/>
      <c r="E469" s="16"/>
      <c r="F469" s="16"/>
      <c r="G469" s="16"/>
      <c r="H469" s="16"/>
      <c r="N469" s="580"/>
      <c r="O469" s="580"/>
      <c r="P469" s="580"/>
      <c r="Q469" s="580"/>
      <c r="R469" s="580"/>
      <c r="S469" s="580"/>
      <c r="T469" s="580"/>
      <c r="U469" s="580"/>
      <c r="V469" s="580"/>
    </row>
    <row r="470" spans="1:22" ht="15">
      <c r="A470" s="16"/>
      <c r="B470" s="16"/>
      <c r="C470" s="16"/>
      <c r="D470" s="16"/>
      <c r="E470" s="16"/>
      <c r="F470" s="16"/>
      <c r="G470" s="16"/>
      <c r="H470" s="16"/>
      <c r="N470" s="580"/>
      <c r="O470" s="580"/>
      <c r="P470" s="580"/>
      <c r="Q470" s="580"/>
      <c r="R470" s="580"/>
      <c r="S470" s="580"/>
      <c r="T470" s="580"/>
      <c r="U470" s="580"/>
      <c r="V470" s="580"/>
    </row>
    <row r="471" spans="1:22" ht="15">
      <c r="A471" s="16"/>
      <c r="B471" s="16"/>
      <c r="C471" s="16"/>
      <c r="D471" s="16"/>
      <c r="E471" s="16"/>
      <c r="F471" s="16"/>
      <c r="G471" s="16"/>
      <c r="H471" s="16"/>
      <c r="N471" s="580"/>
      <c r="O471" s="580"/>
      <c r="P471" s="580"/>
      <c r="Q471" s="580"/>
      <c r="R471" s="580"/>
      <c r="S471" s="580"/>
      <c r="T471" s="580"/>
      <c r="U471" s="580"/>
      <c r="V471" s="580"/>
    </row>
    <row r="472" spans="1:22" ht="15">
      <c r="A472" s="16"/>
      <c r="B472" s="16"/>
      <c r="C472" s="16"/>
      <c r="D472" s="16"/>
      <c r="E472" s="16"/>
      <c r="F472" s="16"/>
      <c r="G472" s="16"/>
      <c r="H472" s="16"/>
      <c r="N472" s="580"/>
      <c r="O472" s="580"/>
      <c r="P472" s="580"/>
      <c r="Q472" s="580"/>
      <c r="R472" s="580"/>
      <c r="S472" s="580"/>
      <c r="T472" s="580"/>
      <c r="U472" s="580"/>
      <c r="V472" s="580"/>
    </row>
    <row r="473" spans="1:22" ht="15">
      <c r="A473" s="16"/>
      <c r="B473" s="16"/>
      <c r="C473" s="16"/>
      <c r="D473" s="16"/>
      <c r="E473" s="16"/>
      <c r="F473" s="16"/>
      <c r="G473" s="16"/>
      <c r="H473" s="16"/>
      <c r="N473" s="580"/>
      <c r="O473" s="580"/>
      <c r="P473" s="580"/>
      <c r="Q473" s="580"/>
      <c r="R473" s="580"/>
      <c r="S473" s="580"/>
      <c r="T473" s="580"/>
      <c r="U473" s="580"/>
      <c r="V473" s="580"/>
    </row>
    <row r="474" spans="1:22" ht="15">
      <c r="A474" s="16"/>
      <c r="B474" s="16"/>
      <c r="C474" s="16"/>
      <c r="D474" s="16"/>
      <c r="E474" s="16"/>
      <c r="F474" s="16"/>
      <c r="G474" s="16"/>
      <c r="H474" s="16"/>
      <c r="N474" s="580"/>
      <c r="O474" s="580"/>
      <c r="P474" s="580"/>
      <c r="Q474" s="580"/>
      <c r="R474" s="580"/>
      <c r="S474" s="580"/>
      <c r="T474" s="580"/>
      <c r="U474" s="580"/>
      <c r="V474" s="580"/>
    </row>
    <row r="475" spans="1:22" ht="15">
      <c r="A475" s="16"/>
      <c r="B475" s="16"/>
      <c r="C475" s="16"/>
      <c r="D475" s="16"/>
      <c r="E475" s="16"/>
      <c r="F475" s="16"/>
      <c r="G475" s="16"/>
      <c r="H475" s="16"/>
      <c r="N475" s="580"/>
      <c r="O475" s="580"/>
      <c r="P475" s="580"/>
      <c r="Q475" s="580"/>
      <c r="R475" s="580"/>
      <c r="S475" s="580"/>
      <c r="T475" s="580"/>
      <c r="U475" s="580"/>
      <c r="V475" s="580"/>
    </row>
    <row r="476" spans="1:22" ht="15">
      <c r="A476" s="16"/>
      <c r="B476" s="16"/>
      <c r="C476" s="16"/>
      <c r="D476" s="16"/>
      <c r="E476" s="16"/>
      <c r="F476" s="16"/>
      <c r="G476" s="16"/>
      <c r="H476" s="16"/>
      <c r="N476" s="580"/>
      <c r="O476" s="580"/>
      <c r="P476" s="580"/>
      <c r="Q476" s="580"/>
      <c r="R476" s="580"/>
      <c r="S476" s="580"/>
      <c r="T476" s="580"/>
      <c r="U476" s="580"/>
      <c r="V476" s="580"/>
    </row>
    <row r="477" spans="1:22" ht="15">
      <c r="A477" s="16"/>
      <c r="B477" s="16"/>
      <c r="C477" s="16"/>
      <c r="D477" s="16"/>
      <c r="E477" s="16"/>
      <c r="F477" s="16"/>
      <c r="G477" s="16"/>
      <c r="H477" s="16"/>
      <c r="N477" s="580"/>
      <c r="O477" s="580"/>
      <c r="P477" s="580"/>
      <c r="Q477" s="580"/>
      <c r="R477" s="580"/>
      <c r="S477" s="580"/>
      <c r="T477" s="580"/>
      <c r="U477" s="580"/>
      <c r="V477" s="580"/>
    </row>
    <row r="478" spans="1:22" ht="15">
      <c r="A478" s="16"/>
      <c r="B478" s="16"/>
      <c r="C478" s="16"/>
      <c r="D478" s="16"/>
      <c r="E478" s="16"/>
      <c r="F478" s="16"/>
      <c r="G478" s="16"/>
      <c r="H478" s="16"/>
      <c r="N478" s="580"/>
      <c r="O478" s="580"/>
      <c r="P478" s="580"/>
      <c r="Q478" s="580"/>
      <c r="R478" s="580"/>
      <c r="S478" s="580"/>
      <c r="T478" s="580"/>
      <c r="U478" s="580"/>
      <c r="V478" s="580"/>
    </row>
    <row r="479" spans="1:22" ht="15">
      <c r="A479" s="16"/>
      <c r="B479" s="16"/>
      <c r="C479" s="16"/>
      <c r="D479" s="16"/>
      <c r="E479" s="16"/>
      <c r="F479" s="16"/>
      <c r="G479" s="16"/>
      <c r="H479" s="16"/>
      <c r="N479" s="580"/>
      <c r="O479" s="580"/>
      <c r="P479" s="580"/>
      <c r="Q479" s="580"/>
      <c r="R479" s="580"/>
      <c r="S479" s="580"/>
      <c r="T479" s="580"/>
      <c r="U479" s="580"/>
      <c r="V479" s="580"/>
    </row>
    <row r="480" spans="1:22" ht="15">
      <c r="A480" s="16"/>
      <c r="B480" s="16"/>
      <c r="C480" s="16"/>
      <c r="D480" s="16"/>
      <c r="E480" s="16"/>
      <c r="F480" s="16"/>
      <c r="G480" s="16"/>
      <c r="H480" s="16"/>
      <c r="N480" s="580"/>
      <c r="O480" s="580"/>
      <c r="P480" s="580"/>
      <c r="Q480" s="580"/>
      <c r="R480" s="580"/>
      <c r="S480" s="580"/>
      <c r="T480" s="580"/>
      <c r="U480" s="580"/>
      <c r="V480" s="580"/>
    </row>
    <row r="481" spans="1:22" ht="15">
      <c r="A481" s="16"/>
      <c r="B481" s="16"/>
      <c r="C481" s="16"/>
      <c r="D481" s="16"/>
      <c r="E481" s="16"/>
      <c r="F481" s="16"/>
      <c r="G481" s="16"/>
      <c r="H481" s="16"/>
      <c r="N481" s="580"/>
      <c r="O481" s="580"/>
      <c r="P481" s="580"/>
      <c r="Q481" s="580"/>
      <c r="R481" s="580"/>
      <c r="S481" s="580"/>
      <c r="T481" s="580"/>
      <c r="U481" s="580"/>
      <c r="V481" s="580"/>
    </row>
    <row r="482" spans="1:22" ht="15">
      <c r="A482" s="16"/>
      <c r="B482" s="16"/>
      <c r="C482" s="16"/>
      <c r="D482" s="16"/>
      <c r="E482" s="16"/>
      <c r="F482" s="16"/>
      <c r="G482" s="16"/>
      <c r="H482" s="16"/>
      <c r="N482" s="580"/>
      <c r="O482" s="580"/>
      <c r="P482" s="580"/>
      <c r="Q482" s="580"/>
      <c r="R482" s="580"/>
      <c r="S482" s="580"/>
      <c r="T482" s="580"/>
      <c r="U482" s="580"/>
      <c r="V482" s="580"/>
    </row>
    <row r="483" spans="1:22" ht="15">
      <c r="A483" s="16"/>
      <c r="B483" s="16"/>
      <c r="C483" s="16"/>
      <c r="D483" s="16"/>
      <c r="E483" s="16"/>
      <c r="F483" s="16"/>
      <c r="G483" s="16"/>
      <c r="H483" s="16"/>
      <c r="N483" s="580"/>
      <c r="O483" s="580"/>
      <c r="P483" s="580"/>
      <c r="Q483" s="580"/>
      <c r="R483" s="580"/>
      <c r="S483" s="580"/>
      <c r="T483" s="580"/>
      <c r="U483" s="580"/>
      <c r="V483" s="580"/>
    </row>
    <row r="484" spans="1:22" ht="15">
      <c r="A484" s="16"/>
      <c r="B484" s="16"/>
      <c r="C484" s="16"/>
      <c r="D484" s="16"/>
      <c r="E484" s="16"/>
      <c r="F484" s="16"/>
      <c r="G484" s="16"/>
      <c r="H484" s="16"/>
      <c r="N484" s="580"/>
      <c r="O484" s="580"/>
      <c r="P484" s="580"/>
      <c r="Q484" s="580"/>
      <c r="R484" s="580"/>
      <c r="S484" s="580"/>
      <c r="T484" s="580"/>
      <c r="U484" s="580"/>
      <c r="V484" s="580"/>
    </row>
    <row r="485" spans="1:22" ht="15">
      <c r="A485" s="16"/>
      <c r="B485" s="16"/>
      <c r="C485" s="16"/>
      <c r="D485" s="16"/>
      <c r="E485" s="16"/>
      <c r="F485" s="16"/>
      <c r="G485" s="16"/>
      <c r="H485" s="16"/>
      <c r="N485" s="580"/>
      <c r="O485" s="580"/>
      <c r="P485" s="580"/>
      <c r="Q485" s="580"/>
      <c r="R485" s="580"/>
      <c r="S485" s="580"/>
      <c r="T485" s="580"/>
      <c r="U485" s="580"/>
      <c r="V485" s="580"/>
    </row>
    <row r="486" spans="1:22" ht="15">
      <c r="A486" s="16"/>
      <c r="B486" s="16"/>
      <c r="C486" s="16"/>
      <c r="D486" s="16"/>
      <c r="E486" s="16"/>
      <c r="F486" s="16"/>
      <c r="G486" s="16"/>
      <c r="H486" s="16"/>
      <c r="N486" s="580"/>
      <c r="O486" s="580"/>
      <c r="P486" s="580"/>
      <c r="Q486" s="580"/>
      <c r="R486" s="580"/>
      <c r="S486" s="580"/>
      <c r="T486" s="580"/>
      <c r="U486" s="580"/>
      <c r="V486" s="580"/>
    </row>
    <row r="487" spans="1:22" ht="15">
      <c r="A487" s="16"/>
      <c r="B487" s="16"/>
      <c r="C487" s="16"/>
      <c r="D487" s="16"/>
      <c r="E487" s="16"/>
      <c r="F487" s="16"/>
      <c r="G487" s="16"/>
      <c r="H487" s="16"/>
      <c r="N487" s="580"/>
      <c r="O487" s="580"/>
      <c r="P487" s="580"/>
      <c r="Q487" s="580"/>
      <c r="R487" s="580"/>
      <c r="S487" s="580"/>
      <c r="T487" s="580"/>
      <c r="U487" s="580"/>
      <c r="V487" s="580"/>
    </row>
    <row r="488" spans="1:22" ht="15">
      <c r="A488" s="16"/>
      <c r="B488" s="16"/>
      <c r="C488" s="16"/>
      <c r="D488" s="16"/>
      <c r="E488" s="16"/>
      <c r="F488" s="16"/>
      <c r="G488" s="16"/>
      <c r="H488" s="16"/>
      <c r="N488" s="580"/>
      <c r="O488" s="580"/>
      <c r="P488" s="580"/>
      <c r="Q488" s="580"/>
      <c r="R488" s="580"/>
      <c r="S488" s="580"/>
      <c r="T488" s="580"/>
      <c r="U488" s="580"/>
      <c r="V488" s="580"/>
    </row>
    <row r="489" spans="1:22" ht="15">
      <c r="A489" s="16"/>
      <c r="B489" s="16"/>
      <c r="C489" s="16"/>
      <c r="D489" s="16"/>
      <c r="E489" s="16"/>
      <c r="F489" s="16"/>
      <c r="G489" s="16"/>
      <c r="H489" s="16"/>
      <c r="N489" s="580"/>
      <c r="O489" s="580"/>
      <c r="P489" s="580"/>
      <c r="Q489" s="580"/>
      <c r="R489" s="580"/>
      <c r="S489" s="580"/>
      <c r="T489" s="580"/>
      <c r="U489" s="580"/>
      <c r="V489" s="580"/>
    </row>
    <row r="490" spans="1:22" ht="15">
      <c r="A490" s="16"/>
      <c r="B490" s="16"/>
      <c r="C490" s="16"/>
      <c r="D490" s="16"/>
      <c r="E490" s="16"/>
      <c r="F490" s="16"/>
      <c r="G490" s="16"/>
      <c r="H490" s="16"/>
      <c r="N490" s="580"/>
      <c r="O490" s="580"/>
      <c r="P490" s="580"/>
      <c r="Q490" s="580"/>
      <c r="R490" s="580"/>
      <c r="S490" s="580"/>
      <c r="T490" s="580"/>
      <c r="U490" s="580"/>
      <c r="V490" s="580"/>
    </row>
    <row r="491" spans="1:22" ht="15">
      <c r="A491" s="16"/>
      <c r="B491" s="16"/>
      <c r="C491" s="16"/>
      <c r="D491" s="16"/>
      <c r="E491" s="16"/>
      <c r="F491" s="16"/>
      <c r="G491" s="16"/>
      <c r="H491" s="16"/>
      <c r="N491" s="580"/>
      <c r="O491" s="580"/>
      <c r="P491" s="580"/>
      <c r="Q491" s="580"/>
      <c r="R491" s="580"/>
      <c r="S491" s="580"/>
      <c r="T491" s="580"/>
      <c r="U491" s="580"/>
      <c r="V491" s="580"/>
    </row>
    <row r="492" spans="1:22" ht="15">
      <c r="A492" s="16"/>
      <c r="B492" s="16"/>
      <c r="C492" s="16"/>
      <c r="D492" s="16"/>
      <c r="E492" s="16"/>
      <c r="F492" s="16"/>
      <c r="G492" s="16"/>
      <c r="H492" s="16"/>
      <c r="N492" s="580"/>
      <c r="O492" s="580"/>
      <c r="P492" s="580"/>
      <c r="Q492" s="580"/>
      <c r="R492" s="580"/>
      <c r="S492" s="580"/>
      <c r="T492" s="580"/>
      <c r="U492" s="580"/>
      <c r="V492" s="580"/>
    </row>
    <row r="493" spans="1:22" ht="15">
      <c r="A493" s="16"/>
      <c r="B493" s="16"/>
      <c r="C493" s="16"/>
      <c r="D493" s="16"/>
      <c r="E493" s="16"/>
      <c r="F493" s="16"/>
      <c r="G493" s="16"/>
      <c r="H493" s="16"/>
      <c r="N493" s="580"/>
      <c r="O493" s="580"/>
      <c r="P493" s="580"/>
      <c r="Q493" s="580"/>
      <c r="R493" s="580"/>
      <c r="S493" s="580"/>
      <c r="T493" s="580"/>
      <c r="U493" s="580"/>
      <c r="V493" s="580"/>
    </row>
    <row r="494" spans="1:22" ht="15">
      <c r="A494" s="16"/>
      <c r="B494" s="16"/>
      <c r="C494" s="16"/>
      <c r="D494" s="16"/>
      <c r="E494" s="16"/>
      <c r="F494" s="16"/>
      <c r="G494" s="16"/>
      <c r="H494" s="16"/>
      <c r="N494" s="580"/>
      <c r="O494" s="580"/>
      <c r="P494" s="580"/>
      <c r="Q494" s="580"/>
      <c r="R494" s="580"/>
      <c r="S494" s="580"/>
      <c r="T494" s="580"/>
      <c r="U494" s="580"/>
      <c r="V494" s="580"/>
    </row>
    <row r="495" spans="1:22" ht="15">
      <c r="A495" s="16"/>
      <c r="B495" s="16"/>
      <c r="C495" s="16"/>
      <c r="D495" s="16"/>
      <c r="E495" s="16"/>
      <c r="F495" s="16"/>
      <c r="G495" s="16"/>
      <c r="H495" s="16"/>
      <c r="N495" s="580"/>
      <c r="O495" s="580"/>
      <c r="P495" s="580"/>
      <c r="Q495" s="580"/>
      <c r="R495" s="580"/>
      <c r="S495" s="580"/>
      <c r="T495" s="580"/>
      <c r="U495" s="580"/>
      <c r="V495" s="580"/>
    </row>
    <row r="496" spans="1:22" ht="15">
      <c r="A496" s="16"/>
      <c r="B496" s="16"/>
      <c r="C496" s="16"/>
      <c r="D496" s="16"/>
      <c r="E496" s="16"/>
      <c r="F496" s="16"/>
      <c r="G496" s="16"/>
      <c r="H496" s="16"/>
      <c r="N496" s="580"/>
      <c r="O496" s="580"/>
      <c r="P496" s="580"/>
      <c r="Q496" s="580"/>
      <c r="R496" s="580"/>
      <c r="S496" s="580"/>
      <c r="T496" s="580"/>
      <c r="U496" s="580"/>
      <c r="V496" s="580"/>
    </row>
    <row r="497" spans="1:22" ht="15">
      <c r="A497" s="16"/>
      <c r="B497" s="16"/>
      <c r="C497" s="16"/>
      <c r="D497" s="16"/>
      <c r="E497" s="16"/>
      <c r="F497" s="16"/>
      <c r="G497" s="16"/>
      <c r="H497" s="16"/>
      <c r="N497" s="580"/>
      <c r="O497" s="580"/>
      <c r="P497" s="580"/>
      <c r="Q497" s="580"/>
      <c r="R497" s="580"/>
      <c r="S497" s="580"/>
      <c r="T497" s="580"/>
      <c r="U497" s="580"/>
      <c r="V497" s="580"/>
    </row>
    <row r="498" spans="1:22" ht="15">
      <c r="A498" s="16"/>
      <c r="B498" s="16"/>
      <c r="C498" s="16"/>
      <c r="D498" s="16"/>
      <c r="E498" s="16"/>
      <c r="F498" s="16"/>
      <c r="G498" s="16"/>
      <c r="H498" s="16"/>
      <c r="N498" s="580"/>
      <c r="O498" s="580"/>
      <c r="P498" s="580"/>
      <c r="Q498" s="580"/>
      <c r="R498" s="580"/>
      <c r="S498" s="580"/>
      <c r="T498" s="580"/>
      <c r="U498" s="580"/>
      <c r="V498" s="580"/>
    </row>
    <row r="499" spans="1:22" ht="15">
      <c r="A499" s="16"/>
      <c r="B499" s="16"/>
      <c r="C499" s="16"/>
      <c r="D499" s="16"/>
      <c r="E499" s="16"/>
      <c r="F499" s="16"/>
      <c r="G499" s="16"/>
      <c r="H499" s="16"/>
      <c r="N499" s="580"/>
      <c r="O499" s="580"/>
      <c r="P499" s="580"/>
      <c r="Q499" s="580"/>
      <c r="R499" s="580"/>
      <c r="S499" s="580"/>
      <c r="T499" s="580"/>
      <c r="U499" s="580"/>
      <c r="V499" s="580"/>
    </row>
    <row r="500" spans="1:22" ht="15">
      <c r="A500" s="16"/>
      <c r="B500" s="16"/>
      <c r="C500" s="16"/>
      <c r="D500" s="16"/>
      <c r="E500" s="16"/>
      <c r="F500" s="16"/>
      <c r="G500" s="16"/>
      <c r="H500" s="16"/>
      <c r="N500" s="580"/>
      <c r="O500" s="580"/>
      <c r="P500" s="580"/>
      <c r="Q500" s="580"/>
      <c r="R500" s="580"/>
      <c r="S500" s="580"/>
      <c r="T500" s="580"/>
      <c r="U500" s="580"/>
      <c r="V500" s="580"/>
    </row>
    <row r="501" spans="1:22" ht="15">
      <c r="A501" s="16"/>
      <c r="B501" s="16"/>
      <c r="C501" s="16"/>
      <c r="D501" s="16"/>
      <c r="E501" s="16"/>
      <c r="F501" s="16"/>
      <c r="G501" s="16"/>
      <c r="H501" s="16"/>
      <c r="N501" s="580"/>
      <c r="O501" s="580"/>
      <c r="P501" s="580"/>
      <c r="Q501" s="580"/>
      <c r="R501" s="580"/>
      <c r="S501" s="580"/>
      <c r="T501" s="580"/>
      <c r="U501" s="580"/>
      <c r="V501" s="580"/>
    </row>
    <row r="502" spans="1:22" ht="15">
      <c r="A502" s="16"/>
      <c r="B502" s="16"/>
      <c r="C502" s="16"/>
      <c r="D502" s="16"/>
      <c r="E502" s="16"/>
      <c r="F502" s="16"/>
      <c r="G502" s="16"/>
      <c r="H502" s="16"/>
      <c r="N502" s="580"/>
      <c r="O502" s="580"/>
      <c r="P502" s="580"/>
      <c r="Q502" s="580"/>
      <c r="R502" s="580"/>
      <c r="S502" s="580"/>
      <c r="T502" s="580"/>
      <c r="U502" s="580"/>
      <c r="V502" s="580"/>
    </row>
    <row r="503" spans="1:22" ht="15">
      <c r="A503" s="16"/>
      <c r="B503" s="16"/>
      <c r="C503" s="16"/>
      <c r="D503" s="16"/>
      <c r="E503" s="16"/>
      <c r="F503" s="16"/>
      <c r="G503" s="16"/>
      <c r="H503" s="16"/>
      <c r="N503" s="580"/>
      <c r="O503" s="580"/>
      <c r="P503" s="580"/>
      <c r="Q503" s="580"/>
      <c r="R503" s="580"/>
      <c r="S503" s="580"/>
      <c r="T503" s="580"/>
      <c r="U503" s="580"/>
      <c r="V503" s="580"/>
    </row>
    <row r="504" spans="1:22" ht="15">
      <c r="A504" s="16"/>
      <c r="B504" s="16"/>
      <c r="C504" s="16"/>
      <c r="D504" s="16"/>
      <c r="E504" s="16"/>
      <c r="F504" s="16"/>
      <c r="G504" s="16"/>
      <c r="H504" s="16"/>
      <c r="N504" s="580"/>
      <c r="O504" s="580"/>
      <c r="P504" s="580"/>
      <c r="Q504" s="580"/>
      <c r="R504" s="580"/>
      <c r="S504" s="580"/>
      <c r="T504" s="580"/>
      <c r="U504" s="580"/>
      <c r="V504" s="580"/>
    </row>
    <row r="505" spans="1:22" ht="15">
      <c r="A505" s="16"/>
      <c r="B505" s="16"/>
      <c r="C505" s="16"/>
      <c r="D505" s="16"/>
      <c r="E505" s="16"/>
      <c r="F505" s="16"/>
      <c r="G505" s="16"/>
      <c r="H505" s="16"/>
      <c r="N505" s="580"/>
      <c r="O505" s="580"/>
      <c r="P505" s="580"/>
      <c r="Q505" s="580"/>
      <c r="R505" s="580"/>
      <c r="S505" s="580"/>
      <c r="T505" s="580"/>
      <c r="U505" s="580"/>
      <c r="V505" s="580"/>
    </row>
    <row r="506" spans="1:22" ht="15">
      <c r="A506" s="16"/>
      <c r="B506" s="16"/>
      <c r="C506" s="16"/>
      <c r="D506" s="16"/>
      <c r="E506" s="16"/>
      <c r="F506" s="16"/>
      <c r="G506" s="16"/>
      <c r="H506" s="16"/>
      <c r="N506" s="580"/>
      <c r="O506" s="580"/>
      <c r="P506" s="580"/>
      <c r="Q506" s="580"/>
      <c r="R506" s="580"/>
      <c r="S506" s="580"/>
      <c r="T506" s="580"/>
      <c r="U506" s="580"/>
      <c r="V506" s="580"/>
    </row>
    <row r="507" spans="1:22" ht="15">
      <c r="A507" s="16"/>
      <c r="B507" s="16"/>
      <c r="C507" s="16"/>
      <c r="D507" s="16"/>
      <c r="E507" s="16"/>
      <c r="F507" s="16"/>
      <c r="G507" s="16"/>
      <c r="H507" s="16"/>
      <c r="N507" s="580"/>
      <c r="O507" s="580"/>
      <c r="P507" s="580"/>
      <c r="Q507" s="580"/>
      <c r="R507" s="580"/>
      <c r="S507" s="580"/>
      <c r="T507" s="580"/>
      <c r="U507" s="580"/>
      <c r="V507" s="580"/>
    </row>
    <row r="508" spans="1:22" ht="15">
      <c r="A508" s="16"/>
      <c r="B508" s="16"/>
      <c r="C508" s="16"/>
      <c r="D508" s="16"/>
      <c r="E508" s="16"/>
      <c r="F508" s="16"/>
      <c r="G508" s="16"/>
      <c r="H508" s="16"/>
      <c r="N508" s="580"/>
      <c r="O508" s="580"/>
      <c r="P508" s="580"/>
      <c r="Q508" s="580"/>
      <c r="R508" s="580"/>
      <c r="S508" s="580"/>
      <c r="T508" s="580"/>
      <c r="U508" s="580"/>
      <c r="V508" s="580"/>
    </row>
    <row r="509" spans="1:22" ht="15">
      <c r="A509" s="16"/>
      <c r="B509" s="16"/>
      <c r="C509" s="16"/>
      <c r="D509" s="16"/>
      <c r="E509" s="16"/>
      <c r="F509" s="16"/>
      <c r="G509" s="16"/>
      <c r="H509" s="16"/>
      <c r="N509" s="580"/>
      <c r="O509" s="580"/>
      <c r="P509" s="580"/>
      <c r="Q509" s="580"/>
      <c r="R509" s="580"/>
      <c r="S509" s="580"/>
      <c r="T509" s="580"/>
      <c r="U509" s="580"/>
      <c r="V509" s="580"/>
    </row>
    <row r="510" spans="1:22" ht="15">
      <c r="A510" s="16"/>
      <c r="B510" s="16"/>
      <c r="C510" s="16"/>
      <c r="D510" s="16"/>
      <c r="E510" s="16"/>
      <c r="F510" s="16"/>
      <c r="G510" s="16"/>
      <c r="H510" s="16"/>
      <c r="N510" s="580"/>
      <c r="O510" s="580"/>
      <c r="P510" s="580"/>
      <c r="Q510" s="580"/>
      <c r="R510" s="580"/>
      <c r="S510" s="580"/>
      <c r="T510" s="580"/>
      <c r="U510" s="580"/>
      <c r="V510" s="580"/>
    </row>
    <row r="511" spans="1:22" ht="15">
      <c r="A511" s="16"/>
      <c r="B511" s="16"/>
      <c r="C511" s="16"/>
      <c r="D511" s="16"/>
      <c r="E511" s="16"/>
      <c r="F511" s="16"/>
      <c r="G511" s="16"/>
      <c r="H511" s="16"/>
      <c r="N511" s="580"/>
      <c r="O511" s="580"/>
      <c r="P511" s="580"/>
      <c r="Q511" s="580"/>
      <c r="R511" s="580"/>
      <c r="S511" s="580"/>
      <c r="T511" s="580"/>
      <c r="U511" s="580"/>
      <c r="V511" s="580"/>
    </row>
    <row r="512" spans="1:22" ht="15">
      <c r="A512" s="16"/>
      <c r="B512" s="16"/>
      <c r="C512" s="16"/>
      <c r="D512" s="16"/>
      <c r="E512" s="16"/>
      <c r="F512" s="16"/>
      <c r="G512" s="16"/>
      <c r="H512" s="16"/>
      <c r="N512" s="580"/>
      <c r="O512" s="580"/>
      <c r="P512" s="580"/>
      <c r="Q512" s="580"/>
      <c r="R512" s="580"/>
      <c r="S512" s="580"/>
      <c r="T512" s="580"/>
      <c r="U512" s="580"/>
      <c r="V512" s="580"/>
    </row>
    <row r="513" spans="1:22" ht="15">
      <c r="A513" s="16"/>
      <c r="B513" s="16"/>
      <c r="C513" s="16"/>
      <c r="D513" s="16"/>
      <c r="E513" s="16"/>
      <c r="F513" s="16"/>
      <c r="G513" s="16"/>
      <c r="H513" s="16"/>
      <c r="N513" s="580"/>
      <c r="O513" s="580"/>
      <c r="P513" s="580"/>
      <c r="Q513" s="580"/>
      <c r="R513" s="580"/>
      <c r="S513" s="580"/>
      <c r="T513" s="580"/>
      <c r="U513" s="580"/>
      <c r="V513" s="580"/>
    </row>
    <row r="514" spans="1:22" ht="15">
      <c r="A514" s="16"/>
      <c r="B514" s="16"/>
      <c r="C514" s="16"/>
      <c r="D514" s="16"/>
      <c r="E514" s="16"/>
      <c r="F514" s="16"/>
      <c r="G514" s="16"/>
      <c r="H514" s="16"/>
      <c r="N514" s="580"/>
      <c r="O514" s="580"/>
      <c r="P514" s="580"/>
      <c r="Q514" s="580"/>
      <c r="R514" s="580"/>
      <c r="S514" s="580"/>
      <c r="T514" s="580"/>
      <c r="U514" s="580"/>
      <c r="V514" s="580"/>
    </row>
    <row r="515" spans="1:22" ht="15">
      <c r="A515" s="16"/>
      <c r="B515" s="16"/>
      <c r="C515" s="16"/>
      <c r="D515" s="16"/>
      <c r="E515" s="16"/>
      <c r="F515" s="16"/>
      <c r="G515" s="16"/>
      <c r="H515" s="16"/>
      <c r="N515" s="580"/>
      <c r="O515" s="580"/>
      <c r="P515" s="580"/>
      <c r="Q515" s="580"/>
      <c r="R515" s="580"/>
      <c r="S515" s="580"/>
      <c r="T515" s="580"/>
      <c r="U515" s="580"/>
      <c r="V515" s="580"/>
    </row>
    <row r="516" spans="1:22" ht="15">
      <c r="A516" s="16"/>
      <c r="B516" s="16"/>
      <c r="C516" s="16"/>
      <c r="D516" s="16"/>
      <c r="E516" s="16"/>
      <c r="F516" s="16"/>
      <c r="G516" s="16"/>
      <c r="H516" s="16"/>
      <c r="N516" s="580"/>
      <c r="O516" s="580"/>
      <c r="P516" s="580"/>
      <c r="Q516" s="580"/>
      <c r="R516" s="580"/>
      <c r="S516" s="580"/>
      <c r="T516" s="580"/>
      <c r="U516" s="580"/>
      <c r="V516" s="580"/>
    </row>
    <row r="517" spans="1:22" ht="15">
      <c r="A517" s="16"/>
      <c r="B517" s="16"/>
      <c r="C517" s="16"/>
      <c r="D517" s="16"/>
      <c r="E517" s="16"/>
      <c r="F517" s="16"/>
      <c r="G517" s="16"/>
      <c r="H517" s="16"/>
      <c r="N517" s="580"/>
      <c r="O517" s="580"/>
      <c r="P517" s="580"/>
      <c r="Q517" s="580"/>
      <c r="R517" s="580"/>
      <c r="S517" s="580"/>
      <c r="T517" s="580"/>
      <c r="U517" s="580"/>
      <c r="V517" s="580"/>
    </row>
    <row r="518" spans="1:22" ht="15">
      <c r="A518" s="16"/>
      <c r="B518" s="16"/>
      <c r="C518" s="16"/>
      <c r="D518" s="16"/>
      <c r="E518" s="16"/>
      <c r="F518" s="16"/>
      <c r="G518" s="16"/>
      <c r="H518" s="16"/>
      <c r="N518" s="580"/>
      <c r="O518" s="580"/>
      <c r="P518" s="580"/>
      <c r="Q518" s="580"/>
      <c r="R518" s="580"/>
      <c r="S518" s="580"/>
      <c r="T518" s="580"/>
      <c r="U518" s="580"/>
      <c r="V518" s="580"/>
    </row>
    <row r="519" spans="1:22" ht="15">
      <c r="A519" s="16"/>
      <c r="B519" s="16"/>
      <c r="C519" s="16"/>
      <c r="D519" s="16"/>
      <c r="E519" s="16"/>
      <c r="F519" s="16"/>
      <c r="G519" s="16"/>
      <c r="H519" s="16"/>
      <c r="N519" s="580"/>
      <c r="O519" s="580"/>
      <c r="P519" s="580"/>
      <c r="Q519" s="580"/>
      <c r="R519" s="580"/>
      <c r="S519" s="580"/>
      <c r="T519" s="580"/>
      <c r="U519" s="580"/>
      <c r="V519" s="580"/>
    </row>
    <row r="520" spans="1:22" ht="15">
      <c r="A520" s="16"/>
      <c r="B520" s="16"/>
      <c r="C520" s="16"/>
      <c r="D520" s="16"/>
      <c r="E520" s="16"/>
      <c r="F520" s="16"/>
      <c r="G520" s="16"/>
      <c r="H520" s="16"/>
      <c r="N520" s="580"/>
      <c r="O520" s="580"/>
      <c r="P520" s="580"/>
      <c r="Q520" s="580"/>
      <c r="R520" s="580"/>
      <c r="S520" s="580"/>
      <c r="T520" s="580"/>
      <c r="U520" s="580"/>
      <c r="V520" s="580"/>
    </row>
    <row r="521" spans="1:22" ht="15">
      <c r="A521" s="16"/>
      <c r="B521" s="16"/>
      <c r="C521" s="16"/>
      <c r="D521" s="16"/>
      <c r="E521" s="16"/>
      <c r="F521" s="16"/>
      <c r="G521" s="16"/>
      <c r="H521" s="16"/>
      <c r="N521" s="580"/>
      <c r="O521" s="580"/>
      <c r="P521" s="580"/>
      <c r="Q521" s="580"/>
      <c r="R521" s="580"/>
      <c r="S521" s="580"/>
      <c r="T521" s="580"/>
      <c r="U521" s="580"/>
      <c r="V521" s="580"/>
    </row>
    <row r="522" spans="1:22" ht="15">
      <c r="A522" s="16"/>
      <c r="B522" s="16"/>
      <c r="C522" s="16"/>
      <c r="D522" s="16"/>
      <c r="E522" s="16"/>
      <c r="F522" s="16"/>
      <c r="G522" s="16"/>
      <c r="H522" s="16"/>
      <c r="N522" s="580"/>
      <c r="O522" s="580"/>
      <c r="P522" s="580"/>
      <c r="Q522" s="580"/>
      <c r="R522" s="580"/>
      <c r="S522" s="580"/>
      <c r="T522" s="580"/>
      <c r="U522" s="580"/>
      <c r="V522" s="580"/>
    </row>
    <row r="523" spans="1:22" ht="15">
      <c r="A523" s="16"/>
      <c r="B523" s="16"/>
      <c r="C523" s="16"/>
      <c r="D523" s="16"/>
      <c r="E523" s="16"/>
      <c r="F523" s="16"/>
      <c r="G523" s="16"/>
      <c r="H523" s="16"/>
      <c r="N523" s="580"/>
      <c r="O523" s="580"/>
      <c r="P523" s="580"/>
      <c r="Q523" s="580"/>
      <c r="R523" s="580"/>
      <c r="S523" s="580"/>
      <c r="T523" s="580"/>
      <c r="U523" s="580"/>
      <c r="V523" s="580"/>
    </row>
    <row r="524" spans="1:22" ht="15">
      <c r="A524" s="16"/>
      <c r="B524" s="16"/>
      <c r="C524" s="16"/>
      <c r="D524" s="16"/>
      <c r="E524" s="16"/>
      <c r="F524" s="16"/>
      <c r="G524" s="16"/>
      <c r="H524" s="16"/>
      <c r="N524" s="580"/>
      <c r="O524" s="580"/>
      <c r="P524" s="580"/>
      <c r="Q524" s="580"/>
      <c r="R524" s="580"/>
      <c r="S524" s="580"/>
      <c r="T524" s="580"/>
      <c r="U524" s="580"/>
      <c r="V524" s="580"/>
    </row>
    <row r="525" spans="1:22" ht="15">
      <c r="A525" s="16"/>
      <c r="B525" s="16"/>
      <c r="C525" s="16"/>
      <c r="D525" s="16"/>
      <c r="E525" s="16"/>
      <c r="F525" s="16"/>
      <c r="G525" s="16"/>
      <c r="H525" s="16"/>
      <c r="N525" s="580"/>
      <c r="O525" s="580"/>
      <c r="P525" s="580"/>
      <c r="Q525" s="580"/>
      <c r="R525" s="580"/>
      <c r="S525" s="580"/>
      <c r="T525" s="580"/>
      <c r="U525" s="580"/>
      <c r="V525" s="580"/>
    </row>
    <row r="526" spans="1:22" ht="15">
      <c r="A526" s="16"/>
      <c r="B526" s="16"/>
      <c r="C526" s="16"/>
      <c r="D526" s="16"/>
      <c r="E526" s="16"/>
      <c r="F526" s="16"/>
      <c r="G526" s="16"/>
      <c r="H526" s="16"/>
      <c r="N526" s="580"/>
      <c r="O526" s="580"/>
      <c r="P526" s="580"/>
      <c r="Q526" s="580"/>
      <c r="R526" s="580"/>
      <c r="S526" s="580"/>
      <c r="T526" s="580"/>
      <c r="U526" s="580"/>
      <c r="V526" s="580"/>
    </row>
    <row r="527" spans="1:22" ht="15">
      <c r="A527" s="16"/>
      <c r="B527" s="16"/>
      <c r="C527" s="16"/>
      <c r="D527" s="16"/>
      <c r="E527" s="16"/>
      <c r="F527" s="16"/>
      <c r="G527" s="16"/>
      <c r="H527" s="16"/>
      <c r="N527" s="580"/>
      <c r="O527" s="580"/>
      <c r="P527" s="580"/>
      <c r="Q527" s="580"/>
      <c r="R527" s="580"/>
      <c r="S527" s="580"/>
      <c r="T527" s="580"/>
      <c r="U527" s="580"/>
      <c r="V527" s="580"/>
    </row>
    <row r="528" spans="1:22" ht="15">
      <c r="A528" s="16"/>
      <c r="B528" s="16"/>
      <c r="C528" s="16"/>
      <c r="D528" s="16"/>
      <c r="E528" s="16"/>
      <c r="F528" s="16"/>
      <c r="G528" s="16"/>
      <c r="H528" s="16"/>
      <c r="N528" s="580"/>
      <c r="O528" s="580"/>
      <c r="P528" s="580"/>
      <c r="Q528" s="580"/>
      <c r="R528" s="580"/>
      <c r="S528" s="580"/>
      <c r="T528" s="580"/>
      <c r="U528" s="580"/>
      <c r="V528" s="580"/>
    </row>
    <row r="529" spans="1:22" ht="15">
      <c r="A529" s="16"/>
      <c r="B529" s="16"/>
      <c r="C529" s="16"/>
      <c r="D529" s="16"/>
      <c r="E529" s="16"/>
      <c r="F529" s="16"/>
      <c r="G529" s="16"/>
      <c r="H529" s="16"/>
      <c r="N529" s="580"/>
      <c r="O529" s="580"/>
      <c r="P529" s="580"/>
      <c r="Q529" s="580"/>
      <c r="R529" s="580"/>
      <c r="S529" s="580"/>
      <c r="T529" s="580"/>
      <c r="U529" s="580"/>
      <c r="V529" s="580"/>
    </row>
    <row r="530" spans="1:22" ht="15">
      <c r="A530" s="16"/>
      <c r="B530" s="16"/>
      <c r="C530" s="16"/>
      <c r="D530" s="16"/>
      <c r="E530" s="16"/>
      <c r="F530" s="16"/>
      <c r="G530" s="16"/>
      <c r="H530" s="16"/>
      <c r="N530" s="580"/>
      <c r="O530" s="580"/>
      <c r="P530" s="580"/>
      <c r="Q530" s="580"/>
      <c r="R530" s="580"/>
      <c r="S530" s="580"/>
      <c r="T530" s="580"/>
      <c r="U530" s="580"/>
      <c r="V530" s="580"/>
    </row>
    <row r="531" spans="1:22" ht="15">
      <c r="A531" s="16"/>
      <c r="B531" s="16"/>
      <c r="C531" s="16"/>
      <c r="D531" s="16"/>
      <c r="E531" s="16"/>
      <c r="F531" s="16"/>
      <c r="G531" s="16"/>
      <c r="H531" s="16"/>
      <c r="N531" s="580"/>
      <c r="O531" s="580"/>
      <c r="P531" s="580"/>
      <c r="Q531" s="580"/>
      <c r="R531" s="580"/>
      <c r="S531" s="580"/>
      <c r="T531" s="580"/>
      <c r="U531" s="580"/>
      <c r="V531" s="580"/>
    </row>
    <row r="532" spans="1:22" ht="15">
      <c r="A532" s="16"/>
      <c r="B532" s="16"/>
      <c r="C532" s="16"/>
      <c r="D532" s="16"/>
      <c r="E532" s="16"/>
      <c r="F532" s="16"/>
      <c r="G532" s="16"/>
      <c r="H532" s="16"/>
      <c r="N532" s="580"/>
      <c r="O532" s="580"/>
      <c r="P532" s="580"/>
      <c r="Q532" s="580"/>
      <c r="R532" s="580"/>
      <c r="S532" s="580"/>
      <c r="T532" s="580"/>
      <c r="U532" s="580"/>
      <c r="V532" s="580"/>
    </row>
    <row r="533" spans="1:22" ht="15">
      <c r="A533" s="16"/>
      <c r="B533" s="16"/>
      <c r="C533" s="16"/>
      <c r="D533" s="16"/>
      <c r="E533" s="16"/>
      <c r="F533" s="16"/>
      <c r="G533" s="16"/>
      <c r="H533" s="16"/>
      <c r="N533" s="580"/>
      <c r="O533" s="580"/>
      <c r="P533" s="580"/>
      <c r="Q533" s="580"/>
      <c r="R533" s="580"/>
      <c r="S533" s="580"/>
      <c r="T533" s="580"/>
      <c r="U533" s="580"/>
      <c r="V533" s="580"/>
    </row>
    <row r="534" spans="1:22" ht="15">
      <c r="A534" s="16"/>
      <c r="B534" s="16"/>
      <c r="C534" s="16"/>
      <c r="D534" s="16"/>
      <c r="E534" s="16"/>
      <c r="F534" s="16"/>
      <c r="G534" s="16"/>
      <c r="H534" s="16"/>
      <c r="N534" s="580"/>
      <c r="O534" s="580"/>
      <c r="P534" s="580"/>
      <c r="Q534" s="580"/>
      <c r="R534" s="580"/>
      <c r="S534" s="580"/>
      <c r="T534" s="580"/>
      <c r="U534" s="580"/>
      <c r="V534" s="580"/>
    </row>
    <row r="535" spans="1:22" ht="15">
      <c r="A535" s="16"/>
      <c r="B535" s="16"/>
      <c r="C535" s="16"/>
      <c r="D535" s="16"/>
      <c r="E535" s="16"/>
      <c r="F535" s="16"/>
      <c r="G535" s="16"/>
      <c r="H535" s="16"/>
      <c r="N535" s="580"/>
      <c r="O535" s="580"/>
      <c r="P535" s="580"/>
      <c r="Q535" s="580"/>
      <c r="R535" s="580"/>
      <c r="S535" s="580"/>
      <c r="T535" s="580"/>
      <c r="U535" s="580"/>
      <c r="V535" s="580"/>
    </row>
    <row r="536" spans="1:22" ht="15">
      <c r="A536" s="16"/>
      <c r="B536" s="16"/>
      <c r="C536" s="16"/>
      <c r="D536" s="16"/>
      <c r="E536" s="16"/>
      <c r="F536" s="16"/>
      <c r="G536" s="16"/>
      <c r="H536" s="16"/>
      <c r="N536" s="580"/>
      <c r="O536" s="580"/>
      <c r="P536" s="580"/>
      <c r="Q536" s="580"/>
      <c r="R536" s="580"/>
      <c r="S536" s="580"/>
      <c r="T536" s="580"/>
      <c r="U536" s="580"/>
      <c r="V536" s="580"/>
    </row>
    <row r="537" spans="1:22" ht="15">
      <c r="A537" s="16"/>
      <c r="B537" s="16"/>
      <c r="C537" s="16"/>
      <c r="D537" s="16"/>
      <c r="E537" s="16"/>
      <c r="F537" s="16"/>
      <c r="G537" s="16"/>
      <c r="H537" s="16"/>
      <c r="N537" s="580"/>
      <c r="O537" s="580"/>
      <c r="P537" s="580"/>
      <c r="Q537" s="580"/>
      <c r="R537" s="580"/>
      <c r="S537" s="580"/>
      <c r="T537" s="580"/>
      <c r="U537" s="580"/>
      <c r="V537" s="580"/>
    </row>
    <row r="538" spans="1:22" ht="15">
      <c r="A538" s="16"/>
      <c r="B538" s="16"/>
      <c r="C538" s="16"/>
      <c r="D538" s="16"/>
      <c r="E538" s="16"/>
      <c r="F538" s="16"/>
      <c r="G538" s="16"/>
      <c r="H538" s="16"/>
      <c r="N538" s="580"/>
      <c r="O538" s="580"/>
      <c r="P538" s="580"/>
      <c r="Q538" s="580"/>
      <c r="R538" s="580"/>
      <c r="S538" s="580"/>
      <c r="T538" s="580"/>
      <c r="U538" s="580"/>
      <c r="V538" s="580"/>
    </row>
    <row r="539" spans="1:22" ht="15">
      <c r="A539" s="16"/>
      <c r="B539" s="16"/>
      <c r="C539" s="16"/>
      <c r="D539" s="16"/>
      <c r="E539" s="16"/>
      <c r="F539" s="16"/>
      <c r="G539" s="16"/>
      <c r="H539" s="16"/>
      <c r="N539" s="580"/>
      <c r="O539" s="580"/>
      <c r="P539" s="580"/>
      <c r="Q539" s="580"/>
      <c r="R539" s="580"/>
      <c r="S539" s="580"/>
      <c r="T539" s="580"/>
      <c r="U539" s="580"/>
      <c r="V539" s="580"/>
    </row>
    <row r="540" spans="1:22" ht="15">
      <c r="A540" s="16"/>
      <c r="B540" s="16"/>
      <c r="C540" s="16"/>
      <c r="D540" s="16"/>
      <c r="E540" s="16"/>
      <c r="F540" s="16"/>
      <c r="G540" s="16"/>
      <c r="H540" s="16"/>
      <c r="N540" s="580"/>
      <c r="O540" s="580"/>
      <c r="P540" s="580"/>
      <c r="Q540" s="580"/>
      <c r="R540" s="580"/>
      <c r="S540" s="580"/>
      <c r="T540" s="580"/>
      <c r="U540" s="580"/>
      <c r="V540" s="580"/>
    </row>
    <row r="541" spans="1:22" ht="15">
      <c r="A541" s="16"/>
      <c r="B541" s="16"/>
      <c r="C541" s="16"/>
      <c r="D541" s="16"/>
      <c r="E541" s="16"/>
      <c r="F541" s="16"/>
      <c r="G541" s="16"/>
      <c r="H541" s="16"/>
      <c r="N541" s="580"/>
      <c r="O541" s="580"/>
      <c r="P541" s="580"/>
      <c r="Q541" s="580"/>
      <c r="R541" s="580"/>
      <c r="S541" s="580"/>
      <c r="T541" s="580"/>
      <c r="U541" s="580"/>
      <c r="V541" s="580"/>
    </row>
    <row r="542" spans="1:22" ht="15">
      <c r="A542" s="16"/>
      <c r="B542" s="16"/>
      <c r="C542" s="16"/>
      <c r="D542" s="16"/>
      <c r="E542" s="16"/>
      <c r="F542" s="16"/>
      <c r="G542" s="16"/>
      <c r="H542" s="16"/>
      <c r="N542" s="580"/>
      <c r="O542" s="580"/>
      <c r="P542" s="580"/>
      <c r="Q542" s="580"/>
      <c r="R542" s="580"/>
      <c r="S542" s="580"/>
      <c r="T542" s="580"/>
      <c r="U542" s="580"/>
      <c r="V542" s="580"/>
    </row>
    <row r="543" spans="1:22" ht="15">
      <c r="A543" s="16"/>
      <c r="B543" s="16"/>
      <c r="C543" s="16"/>
      <c r="D543" s="16"/>
      <c r="E543" s="16"/>
      <c r="F543" s="16"/>
      <c r="G543" s="16"/>
      <c r="H543" s="16"/>
      <c r="N543" s="580"/>
      <c r="O543" s="580"/>
      <c r="P543" s="580"/>
      <c r="Q543" s="580"/>
      <c r="R543" s="580"/>
      <c r="S543" s="580"/>
      <c r="T543" s="580"/>
      <c r="U543" s="580"/>
      <c r="V543" s="580"/>
    </row>
    <row r="544" spans="1:22" ht="15">
      <c r="A544" s="16"/>
      <c r="B544" s="16"/>
      <c r="C544" s="16"/>
      <c r="D544" s="16"/>
      <c r="E544" s="16"/>
      <c r="F544" s="16"/>
      <c r="G544" s="16"/>
      <c r="H544" s="16"/>
      <c r="N544" s="580"/>
      <c r="O544" s="580"/>
      <c r="P544" s="580"/>
      <c r="Q544" s="580"/>
      <c r="R544" s="580"/>
      <c r="S544" s="580"/>
      <c r="T544" s="580"/>
      <c r="U544" s="580"/>
      <c r="V544" s="580"/>
    </row>
    <row r="545" spans="1:22" ht="15">
      <c r="A545" s="16"/>
      <c r="B545" s="16"/>
      <c r="C545" s="16"/>
      <c r="D545" s="16"/>
      <c r="E545" s="16"/>
      <c r="F545" s="16"/>
      <c r="G545" s="16"/>
      <c r="H545" s="16"/>
      <c r="N545" s="580"/>
      <c r="O545" s="580"/>
      <c r="P545" s="580"/>
      <c r="Q545" s="580"/>
      <c r="R545" s="580"/>
      <c r="S545" s="580"/>
      <c r="T545" s="580"/>
      <c r="U545" s="580"/>
      <c r="V545" s="580"/>
    </row>
    <row r="546" spans="1:22" ht="15">
      <c r="A546" s="16"/>
      <c r="B546" s="16"/>
      <c r="C546" s="16"/>
      <c r="D546" s="16"/>
      <c r="E546" s="16"/>
      <c r="F546" s="16"/>
      <c r="G546" s="16"/>
      <c r="H546" s="16"/>
      <c r="N546" s="580"/>
      <c r="O546" s="580"/>
      <c r="P546" s="580"/>
      <c r="Q546" s="580"/>
      <c r="R546" s="580"/>
      <c r="S546" s="580"/>
      <c r="T546" s="580"/>
      <c r="U546" s="580"/>
      <c r="V546" s="580"/>
    </row>
    <row r="547" spans="1:22" ht="15">
      <c r="A547" s="16"/>
      <c r="B547" s="16"/>
      <c r="C547" s="16"/>
      <c r="D547" s="16"/>
      <c r="E547" s="16"/>
      <c r="F547" s="16"/>
      <c r="G547" s="16"/>
      <c r="H547" s="16"/>
      <c r="N547" s="580"/>
      <c r="O547" s="580"/>
      <c r="P547" s="580"/>
      <c r="Q547" s="580"/>
      <c r="R547" s="580"/>
      <c r="S547" s="580"/>
      <c r="T547" s="580"/>
      <c r="U547" s="580"/>
      <c r="V547" s="580"/>
    </row>
    <row r="548" spans="1:22" ht="15">
      <c r="A548" s="16"/>
      <c r="B548" s="16"/>
      <c r="C548" s="16"/>
      <c r="D548" s="16"/>
      <c r="E548" s="16"/>
      <c r="F548" s="16"/>
      <c r="G548" s="16"/>
      <c r="H548" s="16"/>
      <c r="N548" s="580"/>
      <c r="O548" s="580"/>
      <c r="P548" s="580"/>
      <c r="Q548" s="580"/>
      <c r="R548" s="580"/>
      <c r="S548" s="580"/>
      <c r="T548" s="580"/>
      <c r="U548" s="580"/>
      <c r="V548" s="580"/>
    </row>
    <row r="549" spans="1:22" ht="15">
      <c r="A549" s="16"/>
      <c r="B549" s="16"/>
      <c r="C549" s="16"/>
      <c r="D549" s="16"/>
      <c r="E549" s="16"/>
      <c r="F549" s="16"/>
      <c r="G549" s="16"/>
      <c r="H549" s="16"/>
      <c r="N549" s="580"/>
      <c r="O549" s="580"/>
      <c r="P549" s="580"/>
      <c r="Q549" s="580"/>
      <c r="R549" s="580"/>
      <c r="S549" s="580"/>
      <c r="T549" s="580"/>
      <c r="U549" s="580"/>
      <c r="V549" s="580"/>
    </row>
    <row r="550" spans="1:22" ht="15">
      <c r="A550" s="16"/>
      <c r="B550" s="16"/>
      <c r="C550" s="16"/>
      <c r="D550" s="16"/>
      <c r="E550" s="16"/>
      <c r="F550" s="16"/>
      <c r="G550" s="16"/>
      <c r="H550" s="16"/>
      <c r="N550" s="580"/>
      <c r="O550" s="580"/>
      <c r="P550" s="580"/>
      <c r="Q550" s="580"/>
      <c r="R550" s="580"/>
      <c r="S550" s="580"/>
      <c r="T550" s="580"/>
      <c r="U550" s="580"/>
      <c r="V550" s="580"/>
    </row>
    <row r="551" spans="1:22" ht="15">
      <c r="A551" s="16"/>
      <c r="B551" s="16"/>
      <c r="C551" s="16"/>
      <c r="D551" s="16"/>
      <c r="E551" s="16"/>
      <c r="F551" s="16"/>
      <c r="G551" s="16"/>
      <c r="H551" s="16"/>
      <c r="N551" s="580"/>
      <c r="O551" s="580"/>
      <c r="P551" s="580"/>
      <c r="Q551" s="580"/>
      <c r="R551" s="580"/>
      <c r="S551" s="580"/>
      <c r="T551" s="580"/>
      <c r="U551" s="580"/>
      <c r="V551" s="580"/>
    </row>
    <row r="552" spans="1:22" ht="15">
      <c r="A552" s="16"/>
      <c r="B552" s="16"/>
      <c r="C552" s="16"/>
      <c r="D552" s="16"/>
      <c r="E552" s="16"/>
      <c r="F552" s="16"/>
      <c r="G552" s="16"/>
      <c r="H552" s="16"/>
      <c r="N552" s="580"/>
      <c r="O552" s="580"/>
      <c r="P552" s="580"/>
      <c r="Q552" s="580"/>
      <c r="R552" s="580"/>
      <c r="S552" s="580"/>
      <c r="T552" s="580"/>
      <c r="U552" s="580"/>
      <c r="V552" s="580"/>
    </row>
    <row r="553" spans="1:22" ht="15">
      <c r="A553" s="16"/>
      <c r="B553" s="16"/>
      <c r="C553" s="16"/>
      <c r="D553" s="16"/>
      <c r="E553" s="16"/>
      <c r="F553" s="16"/>
      <c r="G553" s="16"/>
      <c r="H553" s="16"/>
      <c r="N553" s="580"/>
      <c r="O553" s="580"/>
      <c r="P553" s="580"/>
      <c r="Q553" s="580"/>
      <c r="R553" s="580"/>
      <c r="S553" s="580"/>
      <c r="T553" s="580"/>
      <c r="U553" s="580"/>
      <c r="V553" s="580"/>
    </row>
    <row r="554" spans="1:22" ht="15">
      <c r="A554" s="16"/>
      <c r="B554" s="16"/>
      <c r="C554" s="16"/>
      <c r="D554" s="16"/>
      <c r="E554" s="16"/>
      <c r="F554" s="16"/>
      <c r="G554" s="16"/>
      <c r="H554" s="16"/>
      <c r="N554" s="580"/>
      <c r="O554" s="580"/>
      <c r="P554" s="580"/>
      <c r="Q554" s="580"/>
      <c r="R554" s="580"/>
      <c r="S554" s="580"/>
      <c r="T554" s="580"/>
      <c r="U554" s="580"/>
      <c r="V554" s="580"/>
    </row>
    <row r="555" spans="1:22" ht="15">
      <c r="A555" s="16"/>
      <c r="B555" s="16"/>
      <c r="C555" s="16"/>
      <c r="D555" s="16"/>
      <c r="E555" s="16"/>
      <c r="F555" s="16"/>
      <c r="G555" s="16"/>
      <c r="H555" s="16"/>
      <c r="N555" s="580"/>
      <c r="O555" s="580"/>
      <c r="P555" s="580"/>
      <c r="Q555" s="580"/>
      <c r="R555" s="580"/>
      <c r="S555" s="580"/>
      <c r="T555" s="580"/>
      <c r="U555" s="580"/>
      <c r="V555" s="580"/>
    </row>
    <row r="556" spans="1:22" ht="15">
      <c r="A556" s="16"/>
      <c r="B556" s="16"/>
      <c r="C556" s="16"/>
      <c r="D556" s="16"/>
      <c r="E556" s="16"/>
      <c r="F556" s="16"/>
      <c r="G556" s="16"/>
      <c r="H556" s="16"/>
      <c r="N556" s="580"/>
      <c r="O556" s="580"/>
      <c r="P556" s="580"/>
      <c r="Q556" s="580"/>
      <c r="R556" s="580"/>
      <c r="S556" s="580"/>
      <c r="T556" s="580"/>
      <c r="U556" s="580"/>
      <c r="V556" s="580"/>
    </row>
    <row r="557" spans="1:22" ht="15">
      <c r="A557" s="16"/>
      <c r="B557" s="16"/>
      <c r="C557" s="16"/>
      <c r="D557" s="16"/>
      <c r="E557" s="16"/>
      <c r="F557" s="16"/>
      <c r="G557" s="16"/>
      <c r="H557" s="16"/>
      <c r="N557" s="580"/>
      <c r="O557" s="580"/>
      <c r="P557" s="580"/>
      <c r="Q557" s="580"/>
      <c r="R557" s="580"/>
      <c r="S557" s="580"/>
      <c r="T557" s="580"/>
      <c r="U557" s="580"/>
      <c r="V557" s="580"/>
    </row>
    <row r="558" spans="1:22" ht="15">
      <c r="A558" s="16"/>
      <c r="B558" s="16"/>
      <c r="C558" s="16"/>
      <c r="D558" s="16"/>
      <c r="E558" s="16"/>
      <c r="F558" s="16"/>
      <c r="G558" s="16"/>
      <c r="H558" s="16"/>
      <c r="N558" s="580"/>
      <c r="O558" s="580"/>
      <c r="P558" s="580"/>
      <c r="Q558" s="580"/>
      <c r="R558" s="580"/>
      <c r="S558" s="580"/>
      <c r="T558" s="580"/>
      <c r="U558" s="580"/>
      <c r="V558" s="580"/>
    </row>
    <row r="559" spans="1:22" ht="15">
      <c r="A559" s="16"/>
      <c r="B559" s="16"/>
      <c r="C559" s="16"/>
      <c r="D559" s="16"/>
      <c r="E559" s="16"/>
      <c r="F559" s="16"/>
      <c r="G559" s="16"/>
      <c r="H559" s="16"/>
      <c r="N559" s="580"/>
      <c r="O559" s="580"/>
      <c r="P559" s="580"/>
      <c r="Q559" s="580"/>
      <c r="R559" s="580"/>
      <c r="S559" s="580"/>
      <c r="T559" s="580"/>
      <c r="U559" s="580"/>
      <c r="V559" s="580"/>
    </row>
    <row r="560" spans="1:22" ht="15">
      <c r="A560" s="16"/>
      <c r="B560" s="16"/>
      <c r="C560" s="16"/>
      <c r="D560" s="16"/>
      <c r="E560" s="16"/>
      <c r="F560" s="16"/>
      <c r="G560" s="16"/>
      <c r="H560" s="16"/>
      <c r="N560" s="580"/>
      <c r="O560" s="580"/>
      <c r="P560" s="580"/>
      <c r="Q560" s="580"/>
      <c r="R560" s="580"/>
      <c r="S560" s="580"/>
      <c r="T560" s="580"/>
      <c r="U560" s="580"/>
      <c r="V560" s="580"/>
    </row>
    <row r="561" spans="1:22" ht="15">
      <c r="A561" s="16"/>
      <c r="B561" s="16"/>
      <c r="C561" s="16"/>
      <c r="D561" s="16"/>
      <c r="E561" s="16"/>
      <c r="F561" s="16"/>
      <c r="G561" s="16"/>
      <c r="H561" s="16"/>
      <c r="N561" s="580"/>
      <c r="O561" s="580"/>
      <c r="P561" s="580"/>
      <c r="Q561" s="580"/>
      <c r="R561" s="580"/>
      <c r="S561" s="580"/>
      <c r="T561" s="580"/>
      <c r="U561" s="580"/>
      <c r="V561" s="580"/>
    </row>
    <row r="562" spans="1:22" ht="15">
      <c r="A562" s="16"/>
      <c r="B562" s="16"/>
      <c r="C562" s="16"/>
      <c r="D562" s="16"/>
      <c r="E562" s="16"/>
      <c r="F562" s="16"/>
      <c r="G562" s="16"/>
      <c r="H562" s="16"/>
      <c r="N562" s="580"/>
      <c r="O562" s="580"/>
      <c r="P562" s="580"/>
      <c r="Q562" s="580"/>
      <c r="R562" s="580"/>
      <c r="S562" s="580"/>
      <c r="T562" s="580"/>
      <c r="U562" s="580"/>
      <c r="V562" s="580"/>
    </row>
    <row r="563" spans="1:22" ht="15">
      <c r="A563" s="16"/>
      <c r="B563" s="16"/>
      <c r="C563" s="16"/>
      <c r="D563" s="16"/>
      <c r="E563" s="16"/>
      <c r="F563" s="16"/>
      <c r="G563" s="16"/>
      <c r="H563" s="16"/>
      <c r="N563" s="580"/>
      <c r="O563" s="580"/>
      <c r="P563" s="580"/>
      <c r="Q563" s="580"/>
      <c r="R563" s="580"/>
      <c r="S563" s="580"/>
      <c r="T563" s="580"/>
      <c r="U563" s="580"/>
      <c r="V563" s="580"/>
    </row>
    <row r="564" spans="1:22" ht="15">
      <c r="A564" s="16"/>
      <c r="B564" s="16"/>
      <c r="C564" s="16"/>
      <c r="D564" s="16"/>
      <c r="E564" s="16"/>
      <c r="F564" s="16"/>
      <c r="G564" s="16"/>
      <c r="H564" s="16"/>
      <c r="N564" s="580"/>
      <c r="O564" s="580"/>
      <c r="P564" s="580"/>
      <c r="Q564" s="580"/>
      <c r="R564" s="580"/>
      <c r="S564" s="580"/>
      <c r="T564" s="580"/>
      <c r="U564" s="580"/>
      <c r="V564" s="580"/>
    </row>
    <row r="565" spans="1:22" ht="15">
      <c r="A565" s="16"/>
      <c r="B565" s="16"/>
      <c r="C565" s="16"/>
      <c r="D565" s="16"/>
      <c r="E565" s="16"/>
      <c r="F565" s="16"/>
      <c r="G565" s="16"/>
      <c r="H565" s="16"/>
      <c r="N565" s="580"/>
      <c r="O565" s="580"/>
      <c r="P565" s="580"/>
      <c r="Q565" s="580"/>
      <c r="R565" s="580"/>
      <c r="S565" s="580"/>
      <c r="T565" s="580"/>
      <c r="U565" s="580"/>
      <c r="V565" s="580"/>
    </row>
    <row r="566" spans="1:22" ht="15">
      <c r="A566" s="16"/>
      <c r="B566" s="16"/>
      <c r="C566" s="16"/>
      <c r="D566" s="16"/>
      <c r="E566" s="16"/>
      <c r="F566" s="16"/>
      <c r="G566" s="16"/>
      <c r="H566" s="16"/>
      <c r="N566" s="580"/>
      <c r="O566" s="580"/>
      <c r="P566" s="580"/>
      <c r="Q566" s="580"/>
      <c r="R566" s="580"/>
      <c r="S566" s="580"/>
      <c r="T566" s="580"/>
      <c r="U566" s="580"/>
      <c r="V566" s="580"/>
    </row>
    <row r="567" spans="1:22" ht="15">
      <c r="A567" s="16"/>
      <c r="B567" s="16"/>
      <c r="C567" s="16"/>
      <c r="D567" s="16"/>
      <c r="E567" s="16"/>
      <c r="F567" s="16"/>
      <c r="G567" s="16"/>
      <c r="H567" s="16"/>
      <c r="N567" s="580"/>
      <c r="O567" s="580"/>
      <c r="P567" s="580"/>
      <c r="Q567" s="580"/>
      <c r="R567" s="580"/>
      <c r="S567" s="580"/>
      <c r="T567" s="580"/>
      <c r="U567" s="580"/>
      <c r="V567" s="580"/>
    </row>
    <row r="568" spans="1:22" ht="15">
      <c r="A568" s="16"/>
      <c r="B568" s="16"/>
      <c r="C568" s="16"/>
      <c r="D568" s="16"/>
      <c r="E568" s="16"/>
      <c r="F568" s="16"/>
      <c r="G568" s="16"/>
      <c r="H568" s="16"/>
      <c r="N568" s="580"/>
      <c r="O568" s="580"/>
      <c r="P568" s="580"/>
      <c r="Q568" s="580"/>
      <c r="R568" s="580"/>
      <c r="S568" s="580"/>
      <c r="T568" s="580"/>
      <c r="U568" s="580"/>
      <c r="V568" s="580"/>
    </row>
    <row r="569" spans="1:22" ht="15">
      <c r="A569" s="16"/>
      <c r="B569" s="16"/>
      <c r="C569" s="16"/>
      <c r="D569" s="16"/>
      <c r="E569" s="16"/>
      <c r="F569" s="16"/>
      <c r="G569" s="16"/>
      <c r="H569" s="16"/>
      <c r="N569" s="580"/>
      <c r="O569" s="580"/>
      <c r="P569" s="580"/>
      <c r="Q569" s="580"/>
      <c r="R569" s="580"/>
      <c r="S569" s="580"/>
      <c r="T569" s="580"/>
      <c r="U569" s="580"/>
      <c r="V569" s="580"/>
    </row>
    <row r="570" spans="1:22" ht="15">
      <c r="A570" s="16"/>
      <c r="B570" s="16"/>
      <c r="C570" s="16"/>
      <c r="D570" s="16"/>
      <c r="E570" s="16"/>
      <c r="F570" s="16"/>
      <c r="G570" s="16"/>
      <c r="H570" s="16"/>
      <c r="N570" s="580"/>
      <c r="O570" s="580"/>
      <c r="P570" s="580"/>
      <c r="Q570" s="580"/>
      <c r="R570" s="580"/>
      <c r="S570" s="580"/>
      <c r="T570" s="580"/>
      <c r="U570" s="580"/>
      <c r="V570" s="580"/>
    </row>
    <row r="571" spans="1:22" ht="15">
      <c r="A571" s="16"/>
      <c r="B571" s="16"/>
      <c r="C571" s="16"/>
      <c r="D571" s="16"/>
      <c r="E571" s="16"/>
      <c r="F571" s="16"/>
      <c r="G571" s="16"/>
      <c r="H571" s="16"/>
      <c r="N571" s="580"/>
      <c r="O571" s="580"/>
      <c r="P571" s="580"/>
      <c r="Q571" s="580"/>
      <c r="R571" s="580"/>
      <c r="S571" s="580"/>
      <c r="T571" s="580"/>
      <c r="U571" s="580"/>
      <c r="V571" s="580"/>
    </row>
    <row r="572" spans="1:22" ht="15">
      <c r="A572" s="16"/>
      <c r="B572" s="16"/>
      <c r="C572" s="16"/>
      <c r="D572" s="16"/>
      <c r="E572" s="16"/>
      <c r="F572" s="16"/>
      <c r="G572" s="16"/>
      <c r="H572" s="16"/>
      <c r="N572" s="580"/>
      <c r="O572" s="580"/>
      <c r="P572" s="580"/>
      <c r="Q572" s="580"/>
      <c r="R572" s="580"/>
      <c r="S572" s="580"/>
      <c r="T572" s="580"/>
      <c r="U572" s="580"/>
      <c r="V572" s="580"/>
    </row>
    <row r="573" spans="1:22" ht="15">
      <c r="A573" s="16"/>
      <c r="B573" s="16"/>
      <c r="C573" s="16"/>
      <c r="D573" s="16"/>
      <c r="E573" s="16"/>
      <c r="F573" s="16"/>
      <c r="G573" s="16"/>
      <c r="H573" s="16"/>
      <c r="N573" s="580"/>
      <c r="O573" s="580"/>
      <c r="P573" s="580"/>
      <c r="Q573" s="580"/>
      <c r="R573" s="580"/>
      <c r="S573" s="580"/>
      <c r="T573" s="580"/>
      <c r="U573" s="580"/>
      <c r="V573" s="580"/>
    </row>
    <row r="574" spans="1:22" ht="15">
      <c r="A574" s="16"/>
      <c r="B574" s="16"/>
      <c r="C574" s="16"/>
      <c r="D574" s="16"/>
      <c r="E574" s="16"/>
      <c r="F574" s="16"/>
      <c r="G574" s="16"/>
      <c r="H574" s="16"/>
      <c r="N574" s="580"/>
      <c r="O574" s="580"/>
      <c r="P574" s="580"/>
      <c r="Q574" s="580"/>
      <c r="R574" s="580"/>
      <c r="S574" s="580"/>
      <c r="T574" s="580"/>
      <c r="U574" s="580"/>
      <c r="V574" s="580"/>
    </row>
    <row r="575" spans="1:22" ht="15">
      <c r="A575" s="16"/>
      <c r="B575" s="16"/>
      <c r="C575" s="16"/>
      <c r="D575" s="16"/>
      <c r="E575" s="16"/>
      <c r="F575" s="16"/>
      <c r="G575" s="16"/>
      <c r="H575" s="16"/>
      <c r="N575" s="580"/>
      <c r="O575" s="580"/>
      <c r="P575" s="580"/>
      <c r="Q575" s="580"/>
      <c r="R575" s="580"/>
      <c r="S575" s="580"/>
      <c r="T575" s="580"/>
      <c r="U575" s="580"/>
      <c r="V575" s="580"/>
    </row>
    <row r="576" spans="1:22" ht="15">
      <c r="A576" s="16"/>
      <c r="B576" s="16"/>
      <c r="C576" s="16"/>
      <c r="D576" s="16"/>
      <c r="E576" s="16"/>
      <c r="F576" s="16"/>
      <c r="G576" s="16"/>
      <c r="H576" s="16"/>
      <c r="N576" s="580"/>
      <c r="O576" s="580"/>
      <c r="P576" s="580"/>
      <c r="Q576" s="580"/>
      <c r="R576" s="580"/>
      <c r="S576" s="580"/>
      <c r="T576" s="580"/>
      <c r="U576" s="580"/>
      <c r="V576" s="580"/>
    </row>
    <row r="577" spans="1:22" ht="15">
      <c r="A577" s="16"/>
      <c r="B577" s="16"/>
      <c r="C577" s="16"/>
      <c r="D577" s="16"/>
      <c r="E577" s="16"/>
      <c r="F577" s="16"/>
      <c r="G577" s="16"/>
      <c r="H577" s="16"/>
      <c r="N577" s="580"/>
      <c r="O577" s="580"/>
      <c r="P577" s="580"/>
      <c r="Q577" s="580"/>
      <c r="R577" s="580"/>
      <c r="S577" s="580"/>
      <c r="T577" s="580"/>
      <c r="U577" s="580"/>
      <c r="V577" s="580"/>
    </row>
    <row r="578" spans="1:22" ht="15">
      <c r="A578" s="16"/>
      <c r="B578" s="16"/>
      <c r="C578" s="16"/>
      <c r="D578" s="16"/>
      <c r="E578" s="16"/>
      <c r="F578" s="16"/>
      <c r="G578" s="16"/>
      <c r="H578" s="16"/>
      <c r="N578" s="580"/>
      <c r="O578" s="580"/>
      <c r="P578" s="580"/>
      <c r="Q578" s="580"/>
      <c r="R578" s="580"/>
      <c r="S578" s="580"/>
      <c r="T578" s="580"/>
      <c r="U578" s="580"/>
      <c r="V578" s="580"/>
    </row>
    <row r="579" spans="1:22" ht="15">
      <c r="A579" s="16"/>
      <c r="B579" s="16"/>
      <c r="C579" s="16"/>
      <c r="D579" s="16"/>
      <c r="E579" s="16"/>
      <c r="F579" s="16"/>
      <c r="G579" s="16"/>
      <c r="H579" s="16"/>
      <c r="N579" s="580"/>
      <c r="O579" s="580"/>
      <c r="P579" s="580"/>
      <c r="Q579" s="580"/>
      <c r="R579" s="580"/>
      <c r="S579" s="580"/>
      <c r="T579" s="580"/>
      <c r="U579" s="580"/>
      <c r="V579" s="580"/>
    </row>
    <row r="580" spans="1:22" ht="15">
      <c r="A580" s="16"/>
      <c r="B580" s="16"/>
      <c r="C580" s="16"/>
      <c r="D580" s="16"/>
      <c r="E580" s="16"/>
      <c r="F580" s="16"/>
      <c r="G580" s="16"/>
      <c r="H580" s="16"/>
      <c r="N580" s="580"/>
      <c r="O580" s="580"/>
      <c r="P580" s="580"/>
      <c r="Q580" s="580"/>
      <c r="R580" s="580"/>
      <c r="S580" s="580"/>
      <c r="T580" s="580"/>
      <c r="U580" s="580"/>
      <c r="V580" s="580"/>
    </row>
    <row r="581" spans="1:22" ht="15">
      <c r="A581" s="16"/>
      <c r="B581" s="16"/>
      <c r="C581" s="16"/>
      <c r="D581" s="16"/>
      <c r="E581" s="16"/>
      <c r="F581" s="16"/>
      <c r="G581" s="16"/>
      <c r="H581" s="16"/>
      <c r="N581" s="580"/>
      <c r="O581" s="580"/>
      <c r="P581" s="580"/>
      <c r="Q581" s="580"/>
      <c r="R581" s="580"/>
      <c r="S581" s="580"/>
      <c r="T581" s="580"/>
      <c r="U581" s="580"/>
      <c r="V581" s="580"/>
    </row>
    <row r="582" spans="1:22" ht="15">
      <c r="A582" s="16"/>
      <c r="B582" s="16"/>
      <c r="C582" s="16"/>
      <c r="D582" s="16"/>
      <c r="E582" s="16"/>
      <c r="F582" s="16"/>
      <c r="G582" s="16"/>
      <c r="H582" s="16"/>
      <c r="N582" s="580"/>
      <c r="O582" s="580"/>
      <c r="P582" s="580"/>
      <c r="Q582" s="580"/>
      <c r="R582" s="580"/>
      <c r="S582" s="580"/>
      <c r="T582" s="580"/>
      <c r="U582" s="580"/>
      <c r="V582" s="580"/>
    </row>
    <row r="583" spans="1:22" ht="15">
      <c r="A583" s="16"/>
      <c r="B583" s="16"/>
      <c r="C583" s="16"/>
      <c r="D583" s="16"/>
      <c r="E583" s="16"/>
      <c r="F583" s="16"/>
      <c r="G583" s="16"/>
      <c r="H583" s="16"/>
      <c r="N583" s="580"/>
      <c r="O583" s="580"/>
      <c r="P583" s="580"/>
      <c r="Q583" s="580"/>
      <c r="R583" s="580"/>
      <c r="S583" s="580"/>
      <c r="T583" s="580"/>
      <c r="U583" s="580"/>
      <c r="V583" s="580"/>
    </row>
    <row r="584" spans="1:22" ht="15">
      <c r="A584" s="16"/>
      <c r="B584" s="16"/>
      <c r="C584" s="16"/>
      <c r="D584" s="16"/>
      <c r="E584" s="16"/>
      <c r="F584" s="16"/>
      <c r="G584" s="16"/>
      <c r="H584" s="16"/>
      <c r="N584" s="580"/>
      <c r="O584" s="580"/>
      <c r="P584" s="580"/>
      <c r="Q584" s="580"/>
      <c r="R584" s="580"/>
      <c r="S584" s="580"/>
      <c r="T584" s="580"/>
      <c r="U584" s="580"/>
      <c r="V584" s="580"/>
    </row>
    <row r="585" spans="1:22" ht="15">
      <c r="A585" s="16"/>
      <c r="B585" s="16"/>
      <c r="C585" s="16"/>
      <c r="D585" s="16"/>
      <c r="E585" s="16"/>
      <c r="F585" s="16"/>
      <c r="G585" s="16"/>
      <c r="H585" s="16"/>
      <c r="N585" s="580"/>
      <c r="O585" s="580"/>
      <c r="P585" s="580"/>
      <c r="Q585" s="580"/>
      <c r="R585" s="580"/>
      <c r="S585" s="580"/>
      <c r="T585" s="580"/>
      <c r="U585" s="580"/>
      <c r="V585" s="580"/>
    </row>
    <row r="586" spans="1:22" ht="15">
      <c r="A586" s="16"/>
      <c r="B586" s="16"/>
      <c r="C586" s="16"/>
      <c r="D586" s="16"/>
      <c r="E586" s="16"/>
      <c r="F586" s="16"/>
      <c r="G586" s="16"/>
      <c r="H586" s="16"/>
      <c r="N586" s="580"/>
      <c r="O586" s="580"/>
      <c r="P586" s="580"/>
      <c r="Q586" s="580"/>
      <c r="R586" s="580"/>
      <c r="S586" s="580"/>
      <c r="T586" s="580"/>
      <c r="U586" s="580"/>
      <c r="V586" s="580"/>
    </row>
    <row r="587" spans="1:22" ht="15">
      <c r="A587" s="16"/>
      <c r="B587" s="16"/>
      <c r="C587" s="16"/>
      <c r="D587" s="16"/>
      <c r="E587" s="16"/>
      <c r="F587" s="16"/>
      <c r="G587" s="16"/>
      <c r="H587" s="16"/>
      <c r="N587" s="580"/>
      <c r="O587" s="580"/>
      <c r="P587" s="580"/>
      <c r="Q587" s="580"/>
      <c r="R587" s="580"/>
      <c r="S587" s="580"/>
      <c r="T587" s="580"/>
      <c r="U587" s="580"/>
      <c r="V587" s="580"/>
    </row>
    <row r="588" spans="1:22" ht="15">
      <c r="A588" s="16"/>
      <c r="B588" s="16"/>
      <c r="C588" s="16"/>
      <c r="D588" s="16"/>
      <c r="E588" s="16"/>
      <c r="F588" s="16"/>
      <c r="G588" s="16"/>
      <c r="H588" s="16"/>
      <c r="N588" s="580"/>
      <c r="O588" s="580"/>
      <c r="P588" s="580"/>
      <c r="Q588" s="580"/>
      <c r="R588" s="580"/>
      <c r="S588" s="580"/>
      <c r="T588" s="580"/>
      <c r="U588" s="580"/>
      <c r="V588" s="580"/>
    </row>
    <row r="589" spans="1:22" ht="15">
      <c r="A589" s="16"/>
      <c r="B589" s="16"/>
      <c r="C589" s="16"/>
      <c r="D589" s="16"/>
      <c r="E589" s="16"/>
      <c r="F589" s="16"/>
      <c r="G589" s="16"/>
      <c r="H589" s="16"/>
      <c r="N589" s="580"/>
      <c r="O589" s="580"/>
      <c r="P589" s="580"/>
      <c r="Q589" s="580"/>
      <c r="R589" s="580"/>
      <c r="S589" s="580"/>
      <c r="T589" s="580"/>
      <c r="U589" s="580"/>
      <c r="V589" s="580"/>
    </row>
    <row r="590" spans="1:22" ht="15">
      <c r="A590" s="16"/>
      <c r="B590" s="16"/>
      <c r="C590" s="16"/>
      <c r="D590" s="16"/>
      <c r="E590" s="16"/>
      <c r="F590" s="16"/>
      <c r="G590" s="16"/>
      <c r="H590" s="16"/>
      <c r="N590" s="580"/>
      <c r="O590" s="580"/>
      <c r="P590" s="580"/>
      <c r="Q590" s="580"/>
      <c r="R590" s="580"/>
      <c r="S590" s="580"/>
      <c r="T590" s="580"/>
      <c r="U590" s="580"/>
      <c r="V590" s="580"/>
    </row>
    <row r="591" spans="1:22" ht="15">
      <c r="A591" s="16"/>
      <c r="B591" s="16"/>
      <c r="C591" s="16"/>
      <c r="D591" s="16"/>
      <c r="E591" s="16"/>
      <c r="F591" s="16"/>
      <c r="G591" s="16"/>
      <c r="H591" s="16"/>
      <c r="N591" s="580"/>
      <c r="O591" s="580"/>
      <c r="P591" s="580"/>
      <c r="Q591" s="580"/>
      <c r="R591" s="580"/>
      <c r="S591" s="580"/>
      <c r="T591" s="580"/>
      <c r="U591" s="580"/>
      <c r="V591" s="580"/>
    </row>
    <row r="592" spans="1:22" ht="15">
      <c r="A592" s="16"/>
      <c r="B592" s="16"/>
      <c r="C592" s="16"/>
      <c r="D592" s="16"/>
      <c r="E592" s="16"/>
      <c r="F592" s="16"/>
      <c r="G592" s="16"/>
      <c r="H592" s="16"/>
      <c r="N592" s="580"/>
      <c r="O592" s="580"/>
      <c r="P592" s="580"/>
      <c r="Q592" s="580"/>
      <c r="R592" s="580"/>
      <c r="S592" s="580"/>
      <c r="T592" s="580"/>
      <c r="U592" s="580"/>
      <c r="V592" s="580"/>
    </row>
    <row r="593" spans="1:22" ht="15">
      <c r="A593" s="16"/>
      <c r="B593" s="16"/>
      <c r="C593" s="16"/>
      <c r="D593" s="16"/>
      <c r="E593" s="16"/>
      <c r="F593" s="16"/>
      <c r="G593" s="16"/>
      <c r="H593" s="16"/>
      <c r="N593" s="580"/>
      <c r="O593" s="580"/>
      <c r="P593" s="580"/>
      <c r="Q593" s="580"/>
      <c r="R593" s="580"/>
      <c r="S593" s="580"/>
      <c r="T593" s="580"/>
      <c r="U593" s="580"/>
      <c r="V593" s="580"/>
    </row>
    <row r="594" spans="1:22" ht="15">
      <c r="A594" s="16"/>
      <c r="B594" s="16"/>
      <c r="C594" s="16"/>
      <c r="D594" s="16"/>
      <c r="E594" s="16"/>
      <c r="F594" s="16"/>
      <c r="G594" s="16"/>
      <c r="H594" s="16"/>
      <c r="N594" s="580"/>
      <c r="O594" s="580"/>
      <c r="P594" s="580"/>
      <c r="Q594" s="580"/>
      <c r="R594" s="580"/>
      <c r="S594" s="580"/>
      <c r="T594" s="580"/>
      <c r="U594" s="580"/>
      <c r="V594" s="580"/>
    </row>
    <row r="595" spans="1:22" ht="15">
      <c r="A595" s="16"/>
      <c r="B595" s="16"/>
      <c r="C595" s="16"/>
      <c r="D595" s="16"/>
      <c r="E595" s="16"/>
      <c r="F595" s="16"/>
      <c r="G595" s="16"/>
      <c r="H595" s="16"/>
      <c r="N595" s="580"/>
      <c r="O595" s="580"/>
      <c r="P595" s="580"/>
      <c r="Q595" s="580"/>
      <c r="R595" s="580"/>
      <c r="S595" s="580"/>
      <c r="T595" s="580"/>
      <c r="U595" s="580"/>
      <c r="V595" s="580"/>
    </row>
    <row r="596" spans="1:22" ht="15">
      <c r="A596" s="16"/>
      <c r="B596" s="16"/>
      <c r="C596" s="16"/>
      <c r="D596" s="16"/>
      <c r="E596" s="16"/>
      <c r="F596" s="16"/>
      <c r="G596" s="16"/>
      <c r="H596" s="16"/>
      <c r="N596" s="580"/>
      <c r="O596" s="580"/>
      <c r="P596" s="580"/>
      <c r="Q596" s="580"/>
      <c r="R596" s="580"/>
      <c r="S596" s="580"/>
      <c r="T596" s="580"/>
      <c r="U596" s="580"/>
      <c r="V596" s="580"/>
    </row>
    <row r="597" spans="1:22" ht="15">
      <c r="A597" s="16"/>
      <c r="B597" s="16"/>
      <c r="C597" s="16"/>
      <c r="D597" s="16"/>
      <c r="E597" s="16"/>
      <c r="F597" s="16"/>
      <c r="G597" s="16"/>
      <c r="H597" s="16"/>
      <c r="N597" s="580"/>
      <c r="O597" s="580"/>
      <c r="P597" s="580"/>
      <c r="Q597" s="580"/>
      <c r="R597" s="580"/>
      <c r="S597" s="580"/>
      <c r="T597" s="580"/>
      <c r="U597" s="580"/>
      <c r="V597" s="580"/>
    </row>
    <row r="598" spans="1:22" ht="15">
      <c r="A598" s="16"/>
      <c r="B598" s="16"/>
      <c r="C598" s="16"/>
      <c r="D598" s="16"/>
      <c r="E598" s="16"/>
      <c r="F598" s="16"/>
      <c r="G598" s="16"/>
      <c r="H598" s="16"/>
      <c r="N598" s="580"/>
      <c r="O598" s="580"/>
      <c r="P598" s="580"/>
      <c r="Q598" s="580"/>
      <c r="R598" s="580"/>
      <c r="S598" s="580"/>
      <c r="T598" s="580"/>
      <c r="U598" s="580"/>
      <c r="V598" s="580"/>
    </row>
    <row r="599" spans="1:22" ht="15">
      <c r="A599" s="16"/>
      <c r="B599" s="16"/>
      <c r="C599" s="16"/>
      <c r="D599" s="16"/>
      <c r="E599" s="16"/>
      <c r="F599" s="16"/>
      <c r="G599" s="16"/>
      <c r="H599" s="16"/>
      <c r="N599" s="580"/>
      <c r="O599" s="580"/>
      <c r="P599" s="580"/>
      <c r="Q599" s="580"/>
      <c r="R599" s="580"/>
      <c r="S599" s="580"/>
      <c r="T599" s="580"/>
      <c r="U599" s="580"/>
      <c r="V599" s="580"/>
    </row>
    <row r="600" spans="1:22" ht="15">
      <c r="A600" s="16"/>
      <c r="B600" s="16"/>
      <c r="C600" s="16"/>
      <c r="D600" s="16"/>
      <c r="E600" s="16"/>
      <c r="F600" s="16"/>
      <c r="G600" s="16"/>
      <c r="H600" s="16"/>
      <c r="N600" s="580"/>
      <c r="O600" s="580"/>
      <c r="P600" s="580"/>
      <c r="Q600" s="580"/>
      <c r="R600" s="580"/>
      <c r="S600" s="580"/>
      <c r="T600" s="580"/>
      <c r="U600" s="580"/>
      <c r="V600" s="580"/>
    </row>
    <row r="601" spans="1:22" ht="15">
      <c r="A601" s="16"/>
      <c r="B601" s="16"/>
      <c r="C601" s="16"/>
      <c r="D601" s="16"/>
      <c r="E601" s="16"/>
      <c r="F601" s="16"/>
      <c r="G601" s="16"/>
      <c r="H601" s="16"/>
      <c r="N601" s="580"/>
      <c r="O601" s="580"/>
      <c r="P601" s="580"/>
      <c r="Q601" s="580"/>
      <c r="R601" s="580"/>
      <c r="S601" s="580"/>
      <c r="T601" s="580"/>
      <c r="U601" s="580"/>
      <c r="V601" s="580"/>
    </row>
    <row r="602" spans="1:22" ht="15">
      <c r="A602" s="16"/>
      <c r="B602" s="16"/>
      <c r="C602" s="16"/>
      <c r="D602" s="16"/>
      <c r="E602" s="16"/>
      <c r="F602" s="16"/>
      <c r="G602" s="16"/>
      <c r="H602" s="16"/>
      <c r="N602" s="580"/>
      <c r="O602" s="580"/>
      <c r="P602" s="580"/>
      <c r="Q602" s="580"/>
      <c r="R602" s="580"/>
      <c r="S602" s="580"/>
      <c r="T602" s="580"/>
      <c r="U602" s="580"/>
      <c r="V602" s="580"/>
    </row>
    <row r="603" spans="1:22" ht="15">
      <c r="A603" s="16"/>
      <c r="B603" s="16"/>
      <c r="C603" s="16"/>
      <c r="D603" s="16"/>
      <c r="E603" s="16"/>
      <c r="F603" s="16"/>
      <c r="G603" s="16"/>
      <c r="H603" s="16"/>
      <c r="N603" s="580"/>
      <c r="O603" s="580"/>
      <c r="P603" s="580"/>
      <c r="Q603" s="580"/>
      <c r="R603" s="580"/>
      <c r="S603" s="580"/>
      <c r="T603" s="580"/>
      <c r="U603" s="580"/>
      <c r="V603" s="580"/>
    </row>
    <row r="604" spans="1:22" ht="15">
      <c r="A604" s="16"/>
      <c r="B604" s="16"/>
      <c r="C604" s="16"/>
      <c r="D604" s="16"/>
      <c r="E604" s="16"/>
      <c r="F604" s="16"/>
      <c r="G604" s="16"/>
      <c r="H604" s="16"/>
      <c r="N604" s="580"/>
      <c r="O604" s="580"/>
      <c r="P604" s="580"/>
      <c r="Q604" s="580"/>
      <c r="R604" s="580"/>
      <c r="S604" s="580"/>
      <c r="T604" s="580"/>
      <c r="U604" s="580"/>
      <c r="V604" s="580"/>
    </row>
    <row r="605" spans="1:22" ht="15">
      <c r="A605" s="16"/>
      <c r="B605" s="16"/>
      <c r="C605" s="16"/>
      <c r="D605" s="16"/>
      <c r="E605" s="16"/>
      <c r="F605" s="16"/>
      <c r="G605" s="16"/>
      <c r="H605" s="16"/>
      <c r="N605" s="580"/>
      <c r="O605" s="580"/>
      <c r="P605" s="580"/>
      <c r="Q605" s="580"/>
      <c r="R605" s="580"/>
      <c r="S605" s="580"/>
      <c r="T605" s="580"/>
      <c r="U605" s="580"/>
      <c r="V605" s="580"/>
    </row>
    <row r="606" spans="1:22" ht="15">
      <c r="A606" s="16"/>
      <c r="B606" s="16"/>
      <c r="C606" s="16"/>
      <c r="D606" s="16"/>
      <c r="E606" s="16"/>
      <c r="F606" s="16"/>
      <c r="G606" s="16"/>
      <c r="H606" s="16"/>
      <c r="N606" s="580"/>
      <c r="O606" s="580"/>
      <c r="P606" s="580"/>
      <c r="Q606" s="580"/>
      <c r="R606" s="580"/>
      <c r="S606" s="580"/>
      <c r="T606" s="580"/>
      <c r="U606" s="580"/>
      <c r="V606" s="580"/>
    </row>
    <row r="607" spans="1:22" ht="15">
      <c r="A607" s="16"/>
      <c r="B607" s="16"/>
      <c r="C607" s="16"/>
      <c r="D607" s="16"/>
      <c r="E607" s="16"/>
      <c r="F607" s="16"/>
      <c r="G607" s="16"/>
      <c r="H607" s="16"/>
      <c r="N607" s="580"/>
      <c r="O607" s="580"/>
      <c r="P607" s="580"/>
      <c r="Q607" s="580"/>
      <c r="R607" s="580"/>
      <c r="S607" s="580"/>
      <c r="T607" s="580"/>
      <c r="U607" s="580"/>
      <c r="V607" s="580"/>
    </row>
    <row r="608" spans="1:22" ht="15">
      <c r="A608" s="16"/>
      <c r="B608" s="16"/>
      <c r="C608" s="16"/>
      <c r="D608" s="16"/>
      <c r="E608" s="16"/>
      <c r="F608" s="16"/>
      <c r="G608" s="16"/>
      <c r="H608" s="16"/>
      <c r="N608" s="580"/>
      <c r="O608" s="580"/>
      <c r="P608" s="580"/>
      <c r="Q608" s="580"/>
      <c r="R608" s="580"/>
      <c r="S608" s="580"/>
      <c r="T608" s="580"/>
      <c r="U608" s="580"/>
      <c r="V608" s="580"/>
    </row>
    <row r="609" spans="1:22" ht="15">
      <c r="A609" s="16"/>
      <c r="B609" s="16"/>
      <c r="C609" s="16"/>
      <c r="D609" s="16"/>
      <c r="E609" s="16"/>
      <c r="F609" s="16"/>
      <c r="G609" s="16"/>
      <c r="H609" s="16"/>
      <c r="N609" s="580"/>
      <c r="O609" s="580"/>
      <c r="P609" s="580"/>
      <c r="Q609" s="580"/>
      <c r="R609" s="580"/>
      <c r="S609" s="580"/>
      <c r="T609" s="580"/>
      <c r="U609" s="580"/>
      <c r="V609" s="580"/>
    </row>
    <row r="610" spans="1:22" ht="15">
      <c r="A610" s="16"/>
      <c r="B610" s="16"/>
      <c r="C610" s="16"/>
      <c r="D610" s="16"/>
      <c r="E610" s="16"/>
      <c r="F610" s="16"/>
      <c r="G610" s="16"/>
      <c r="H610" s="16"/>
      <c r="N610" s="580"/>
      <c r="O610" s="580"/>
      <c r="P610" s="580"/>
      <c r="Q610" s="580"/>
      <c r="R610" s="580"/>
      <c r="S610" s="580"/>
      <c r="T610" s="580"/>
      <c r="U610" s="580"/>
      <c r="V610" s="580"/>
    </row>
    <row r="611" spans="1:22" ht="15">
      <c r="A611" s="16"/>
      <c r="B611" s="16"/>
      <c r="C611" s="16"/>
      <c r="D611" s="16"/>
      <c r="E611" s="16"/>
      <c r="F611" s="16"/>
      <c r="G611" s="16"/>
      <c r="H611" s="16"/>
      <c r="N611" s="580"/>
      <c r="O611" s="580"/>
      <c r="P611" s="580"/>
      <c r="Q611" s="580"/>
      <c r="R611" s="580"/>
      <c r="S611" s="580"/>
      <c r="T611" s="580"/>
      <c r="U611" s="580"/>
      <c r="V611" s="580"/>
    </row>
    <row r="612" spans="1:22" ht="15">
      <c r="A612" s="16"/>
      <c r="B612" s="16"/>
      <c r="C612" s="16"/>
      <c r="D612" s="16"/>
      <c r="E612" s="16"/>
      <c r="F612" s="16"/>
      <c r="G612" s="16"/>
      <c r="H612" s="16"/>
      <c r="N612" s="580"/>
      <c r="O612" s="580"/>
      <c r="P612" s="580"/>
      <c r="Q612" s="580"/>
      <c r="R612" s="580"/>
      <c r="S612" s="580"/>
      <c r="T612" s="580"/>
      <c r="U612" s="580"/>
      <c r="V612" s="580"/>
    </row>
    <row r="613" spans="1:22" ht="15">
      <c r="A613" s="16"/>
      <c r="B613" s="16"/>
      <c r="C613" s="16"/>
      <c r="D613" s="16"/>
      <c r="E613" s="16"/>
      <c r="F613" s="16"/>
      <c r="G613" s="16"/>
      <c r="H613" s="16"/>
      <c r="N613" s="580"/>
      <c r="O613" s="580"/>
      <c r="P613" s="580"/>
      <c r="Q613" s="580"/>
      <c r="R613" s="580"/>
      <c r="S613" s="580"/>
      <c r="T613" s="580"/>
      <c r="U613" s="580"/>
      <c r="V613" s="580"/>
    </row>
    <row r="614" spans="1:22" ht="15">
      <c r="A614" s="16"/>
      <c r="B614" s="16"/>
      <c r="C614" s="16"/>
      <c r="D614" s="16"/>
      <c r="E614" s="16"/>
      <c r="F614" s="16"/>
      <c r="G614" s="16"/>
      <c r="H614" s="16"/>
      <c r="N614" s="580"/>
      <c r="O614" s="580"/>
      <c r="P614" s="580"/>
      <c r="Q614" s="580"/>
      <c r="R614" s="580"/>
      <c r="S614" s="580"/>
      <c r="T614" s="580"/>
      <c r="U614" s="580"/>
      <c r="V614" s="580"/>
    </row>
    <row r="615" spans="1:22" ht="15">
      <c r="A615" s="16"/>
      <c r="B615" s="16"/>
      <c r="C615" s="16"/>
      <c r="D615" s="16"/>
      <c r="E615" s="16"/>
      <c r="F615" s="16"/>
      <c r="G615" s="16"/>
      <c r="H615" s="16"/>
      <c r="N615" s="580"/>
      <c r="O615" s="580"/>
      <c r="P615" s="580"/>
      <c r="Q615" s="580"/>
      <c r="R615" s="580"/>
      <c r="S615" s="580"/>
      <c r="T615" s="580"/>
      <c r="U615" s="580"/>
      <c r="V615" s="580"/>
    </row>
    <row r="616" spans="1:22" ht="15">
      <c r="A616" s="16"/>
      <c r="B616" s="16"/>
      <c r="C616" s="16"/>
      <c r="D616" s="16"/>
      <c r="E616" s="16"/>
      <c r="F616" s="16"/>
      <c r="G616" s="16"/>
      <c r="H616" s="16"/>
      <c r="N616" s="580"/>
      <c r="O616" s="580"/>
      <c r="P616" s="580"/>
      <c r="Q616" s="580"/>
      <c r="R616" s="580"/>
      <c r="S616" s="580"/>
      <c r="T616" s="580"/>
      <c r="U616" s="580"/>
      <c r="V616" s="580"/>
    </row>
    <row r="617" spans="1:22" ht="15">
      <c r="A617" s="16"/>
      <c r="B617" s="16"/>
      <c r="C617" s="16"/>
      <c r="D617" s="16"/>
      <c r="E617" s="16"/>
      <c r="F617" s="16"/>
      <c r="G617" s="16"/>
      <c r="H617" s="16"/>
      <c r="N617" s="580"/>
      <c r="O617" s="580"/>
      <c r="P617" s="580"/>
      <c r="Q617" s="580"/>
      <c r="R617" s="580"/>
      <c r="S617" s="580"/>
      <c r="T617" s="580"/>
      <c r="U617" s="580"/>
      <c r="V617" s="580"/>
    </row>
    <row r="618" spans="1:22" ht="15">
      <c r="A618" s="16"/>
      <c r="B618" s="16"/>
      <c r="C618" s="16"/>
      <c r="D618" s="16"/>
      <c r="E618" s="16"/>
      <c r="F618" s="16"/>
      <c r="G618" s="16"/>
      <c r="H618" s="16"/>
      <c r="N618" s="580"/>
      <c r="O618" s="580"/>
      <c r="P618" s="580"/>
      <c r="Q618" s="580"/>
      <c r="R618" s="580"/>
      <c r="S618" s="580"/>
      <c r="T618" s="580"/>
      <c r="U618" s="580"/>
      <c r="V618" s="580"/>
    </row>
    <row r="619" spans="1:22" ht="15">
      <c r="A619" s="16"/>
      <c r="B619" s="16"/>
      <c r="C619" s="16"/>
      <c r="D619" s="16"/>
      <c r="E619" s="16"/>
      <c r="F619" s="16"/>
      <c r="G619" s="16"/>
      <c r="H619" s="16"/>
      <c r="N619" s="580"/>
      <c r="O619" s="580"/>
      <c r="P619" s="580"/>
      <c r="Q619" s="580"/>
      <c r="R619" s="580"/>
      <c r="S619" s="580"/>
      <c r="T619" s="580"/>
      <c r="U619" s="580"/>
      <c r="V619" s="580"/>
    </row>
    <row r="620" spans="1:22" ht="15">
      <c r="A620" s="16"/>
      <c r="B620" s="16"/>
      <c r="C620" s="16"/>
      <c r="D620" s="16"/>
      <c r="E620" s="16"/>
      <c r="F620" s="16"/>
      <c r="G620" s="16"/>
      <c r="H620" s="16"/>
      <c r="N620" s="580"/>
      <c r="O620" s="580"/>
      <c r="P620" s="580"/>
      <c r="Q620" s="580"/>
      <c r="R620" s="580"/>
      <c r="S620" s="580"/>
      <c r="T620" s="580"/>
      <c r="U620" s="580"/>
      <c r="V620" s="580"/>
    </row>
    <row r="621" spans="1:22" ht="15">
      <c r="A621" s="16"/>
      <c r="B621" s="16"/>
      <c r="C621" s="16"/>
      <c r="D621" s="16"/>
      <c r="E621" s="16"/>
      <c r="F621" s="16"/>
      <c r="G621" s="16"/>
      <c r="H621" s="16"/>
      <c r="N621" s="580"/>
      <c r="O621" s="580"/>
      <c r="P621" s="580"/>
      <c r="Q621" s="580"/>
      <c r="R621" s="580"/>
      <c r="S621" s="580"/>
      <c r="T621" s="580"/>
      <c r="U621" s="580"/>
      <c r="V621" s="580"/>
    </row>
    <row r="622" spans="1:22" ht="15">
      <c r="A622" s="16"/>
      <c r="B622" s="16"/>
      <c r="C622" s="16"/>
      <c r="D622" s="16"/>
      <c r="E622" s="16"/>
      <c r="F622" s="16"/>
      <c r="G622" s="16"/>
      <c r="H622" s="16"/>
      <c r="N622" s="580"/>
      <c r="O622" s="580"/>
      <c r="P622" s="580"/>
      <c r="Q622" s="580"/>
      <c r="R622" s="580"/>
      <c r="S622" s="580"/>
      <c r="T622" s="580"/>
      <c r="U622" s="580"/>
      <c r="V622" s="580"/>
    </row>
    <row r="623" spans="1:22" ht="15">
      <c r="A623" s="16"/>
      <c r="B623" s="16"/>
      <c r="C623" s="16"/>
      <c r="D623" s="16"/>
      <c r="E623" s="16"/>
      <c r="F623" s="16"/>
      <c r="G623" s="16"/>
      <c r="H623" s="16"/>
      <c r="N623" s="580"/>
      <c r="O623" s="580"/>
      <c r="P623" s="580"/>
      <c r="Q623" s="580"/>
      <c r="R623" s="580"/>
      <c r="S623" s="580"/>
      <c r="T623" s="580"/>
      <c r="U623" s="580"/>
      <c r="V623" s="580"/>
    </row>
    <row r="624" spans="1:22" ht="15">
      <c r="A624" s="16"/>
      <c r="B624" s="16"/>
      <c r="C624" s="16"/>
      <c r="D624" s="16"/>
      <c r="E624" s="16"/>
      <c r="F624" s="16"/>
      <c r="G624" s="16"/>
      <c r="H624" s="16"/>
      <c r="N624" s="580"/>
      <c r="O624" s="580"/>
      <c r="P624" s="580"/>
      <c r="Q624" s="580"/>
      <c r="R624" s="580"/>
      <c r="S624" s="580"/>
      <c r="T624" s="580"/>
      <c r="U624" s="580"/>
      <c r="V624" s="580"/>
    </row>
    <row r="625" spans="1:22" ht="15">
      <c r="A625" s="16"/>
      <c r="B625" s="16"/>
      <c r="C625" s="16"/>
      <c r="D625" s="16"/>
      <c r="E625" s="16"/>
      <c r="F625" s="16"/>
      <c r="G625" s="16"/>
      <c r="H625" s="16"/>
      <c r="N625" s="580"/>
      <c r="O625" s="580"/>
      <c r="P625" s="580"/>
      <c r="Q625" s="580"/>
      <c r="R625" s="580"/>
      <c r="S625" s="580"/>
      <c r="T625" s="580"/>
      <c r="U625" s="580"/>
      <c r="V625" s="580"/>
    </row>
    <row r="626" spans="1:22" ht="15">
      <c r="A626" s="16"/>
      <c r="B626" s="16"/>
      <c r="C626" s="16"/>
      <c r="D626" s="16"/>
      <c r="E626" s="16"/>
      <c r="F626" s="16"/>
      <c r="G626" s="16"/>
      <c r="H626" s="16"/>
      <c r="N626" s="580"/>
      <c r="O626" s="580"/>
      <c r="P626" s="580"/>
      <c r="Q626" s="580"/>
      <c r="R626" s="580"/>
      <c r="S626" s="580"/>
      <c r="T626" s="580"/>
      <c r="U626" s="580"/>
      <c r="V626" s="580"/>
    </row>
    <row r="627" spans="1:22" ht="15">
      <c r="A627" s="16"/>
      <c r="B627" s="16"/>
      <c r="C627" s="16"/>
      <c r="D627" s="16"/>
      <c r="E627" s="16"/>
      <c r="F627" s="16"/>
      <c r="G627" s="16"/>
      <c r="H627" s="16"/>
      <c r="N627" s="580"/>
      <c r="O627" s="580"/>
      <c r="P627" s="580"/>
      <c r="Q627" s="580"/>
      <c r="R627" s="580"/>
      <c r="S627" s="580"/>
      <c r="T627" s="580"/>
      <c r="U627" s="580"/>
      <c r="V627" s="580"/>
    </row>
    <row r="628" spans="1:22" ht="15">
      <c r="A628" s="16"/>
      <c r="B628" s="16"/>
      <c r="C628" s="16"/>
      <c r="D628" s="16"/>
      <c r="E628" s="16"/>
      <c r="F628" s="16"/>
      <c r="G628" s="16"/>
      <c r="H628" s="16"/>
      <c r="N628" s="580"/>
      <c r="O628" s="580"/>
      <c r="P628" s="580"/>
      <c r="Q628" s="580"/>
      <c r="R628" s="580"/>
      <c r="S628" s="580"/>
      <c r="T628" s="580"/>
      <c r="U628" s="580"/>
      <c r="V628" s="580"/>
    </row>
    <row r="629" spans="1:22" ht="15">
      <c r="A629" s="16"/>
      <c r="B629" s="16"/>
      <c r="C629" s="16"/>
      <c r="D629" s="16"/>
      <c r="E629" s="16"/>
      <c r="F629" s="16"/>
      <c r="G629" s="16"/>
      <c r="H629" s="16"/>
      <c r="N629" s="580"/>
      <c r="O629" s="580"/>
      <c r="P629" s="580"/>
      <c r="Q629" s="580"/>
      <c r="R629" s="580"/>
      <c r="S629" s="580"/>
      <c r="T629" s="580"/>
      <c r="U629" s="580"/>
      <c r="V629" s="580"/>
    </row>
    <row r="630" spans="1:22" ht="15">
      <c r="A630" s="16"/>
      <c r="B630" s="16"/>
      <c r="C630" s="16"/>
      <c r="D630" s="16"/>
      <c r="E630" s="16"/>
      <c r="F630" s="16"/>
      <c r="G630" s="16"/>
      <c r="H630" s="16"/>
      <c r="N630" s="580"/>
      <c r="O630" s="580"/>
      <c r="P630" s="580"/>
      <c r="Q630" s="580"/>
      <c r="R630" s="580"/>
      <c r="S630" s="580"/>
      <c r="T630" s="580"/>
      <c r="U630" s="580"/>
      <c r="V630" s="580"/>
    </row>
    <row r="631" spans="1:22" ht="15">
      <c r="A631" s="16"/>
      <c r="B631" s="16"/>
      <c r="C631" s="16"/>
      <c r="D631" s="16"/>
      <c r="E631" s="16"/>
      <c r="F631" s="16"/>
      <c r="G631" s="16"/>
      <c r="H631" s="16"/>
      <c r="N631" s="580"/>
      <c r="O631" s="580"/>
      <c r="P631" s="580"/>
      <c r="Q631" s="580"/>
      <c r="R631" s="580"/>
      <c r="S631" s="580"/>
      <c r="T631" s="580"/>
      <c r="U631" s="580"/>
      <c r="V631" s="580"/>
    </row>
    <row r="632" spans="1:22" ht="15">
      <c r="A632" s="16"/>
      <c r="B632" s="16"/>
      <c r="C632" s="16"/>
      <c r="D632" s="16"/>
      <c r="E632" s="16"/>
      <c r="F632" s="16"/>
      <c r="G632" s="16"/>
      <c r="H632" s="16"/>
      <c r="N632" s="580"/>
      <c r="O632" s="580"/>
      <c r="P632" s="580"/>
      <c r="Q632" s="580"/>
      <c r="R632" s="580"/>
      <c r="S632" s="580"/>
      <c r="T632" s="580"/>
      <c r="U632" s="580"/>
      <c r="V632" s="580"/>
    </row>
    <row r="633" spans="1:22" ht="15">
      <c r="A633" s="16"/>
      <c r="B633" s="16"/>
      <c r="C633" s="16"/>
      <c r="D633" s="16"/>
      <c r="E633" s="16"/>
      <c r="F633" s="16"/>
      <c r="G633" s="16"/>
      <c r="H633" s="16"/>
      <c r="N633" s="580"/>
      <c r="O633" s="580"/>
      <c r="P633" s="580"/>
      <c r="Q633" s="580"/>
      <c r="R633" s="580"/>
      <c r="S633" s="580"/>
      <c r="T633" s="580"/>
      <c r="U633" s="580"/>
      <c r="V633" s="580"/>
    </row>
    <row r="634" spans="1:22" ht="15">
      <c r="A634" s="16"/>
      <c r="B634" s="16"/>
      <c r="C634" s="16"/>
      <c r="D634" s="16"/>
      <c r="E634" s="16"/>
      <c r="F634" s="16"/>
      <c r="G634" s="16"/>
      <c r="H634" s="16"/>
      <c r="N634" s="580"/>
      <c r="O634" s="580"/>
      <c r="P634" s="580"/>
      <c r="Q634" s="580"/>
      <c r="R634" s="580"/>
      <c r="S634" s="580"/>
      <c r="T634" s="580"/>
      <c r="U634" s="580"/>
      <c r="V634" s="580"/>
    </row>
    <row r="635" spans="1:22" ht="15">
      <c r="A635" s="16"/>
      <c r="B635" s="16"/>
      <c r="C635" s="16"/>
      <c r="D635" s="16"/>
      <c r="E635" s="16"/>
      <c r="F635" s="16"/>
      <c r="G635" s="16"/>
      <c r="H635" s="16"/>
      <c r="N635" s="580"/>
      <c r="O635" s="580"/>
      <c r="P635" s="580"/>
      <c r="Q635" s="580"/>
      <c r="R635" s="580"/>
      <c r="S635" s="580"/>
      <c r="T635" s="580"/>
      <c r="U635" s="580"/>
      <c r="V635" s="580"/>
    </row>
    <row r="636" spans="1:22" ht="15">
      <c r="A636" s="16"/>
      <c r="B636" s="16"/>
      <c r="C636" s="16"/>
      <c r="D636" s="16"/>
      <c r="E636" s="16"/>
      <c r="F636" s="16"/>
      <c r="G636" s="16"/>
      <c r="H636" s="16"/>
      <c r="N636" s="580"/>
      <c r="O636" s="580"/>
      <c r="P636" s="580"/>
      <c r="Q636" s="580"/>
      <c r="R636" s="580"/>
      <c r="S636" s="580"/>
      <c r="T636" s="580"/>
      <c r="U636" s="580"/>
      <c r="V636" s="580"/>
    </row>
    <row r="637" spans="1:22" ht="15">
      <c r="A637" s="16"/>
      <c r="B637" s="16"/>
      <c r="C637" s="16"/>
      <c r="D637" s="16"/>
      <c r="E637" s="16"/>
      <c r="F637" s="16"/>
      <c r="G637" s="16"/>
      <c r="H637" s="16"/>
      <c r="N637" s="580"/>
      <c r="O637" s="580"/>
      <c r="P637" s="580"/>
      <c r="Q637" s="580"/>
      <c r="R637" s="580"/>
      <c r="S637" s="580"/>
      <c r="T637" s="580"/>
      <c r="U637" s="580"/>
      <c r="V637" s="580"/>
    </row>
    <row r="638" spans="1:22" ht="15">
      <c r="A638" s="16"/>
      <c r="B638" s="16"/>
      <c r="C638" s="16"/>
      <c r="D638" s="16"/>
      <c r="E638" s="16"/>
      <c r="F638" s="16"/>
      <c r="G638" s="16"/>
      <c r="H638" s="16"/>
      <c r="N638" s="580"/>
      <c r="O638" s="580"/>
      <c r="P638" s="580"/>
      <c r="Q638" s="580"/>
      <c r="R638" s="580"/>
      <c r="S638" s="580"/>
      <c r="T638" s="580"/>
      <c r="U638" s="580"/>
      <c r="V638" s="580"/>
    </row>
    <row r="639" spans="1:22" ht="15">
      <c r="A639" s="16"/>
      <c r="B639" s="16"/>
      <c r="C639" s="16"/>
      <c r="D639" s="16"/>
      <c r="E639" s="16"/>
      <c r="F639" s="16"/>
      <c r="G639" s="16"/>
      <c r="H639" s="16"/>
      <c r="N639" s="580"/>
      <c r="O639" s="580"/>
      <c r="P639" s="580"/>
      <c r="Q639" s="580"/>
      <c r="R639" s="580"/>
      <c r="S639" s="580"/>
      <c r="T639" s="580"/>
      <c r="U639" s="580"/>
      <c r="V639" s="580"/>
    </row>
    <row r="640" spans="1:22" ht="15">
      <c r="A640" s="16"/>
      <c r="B640" s="16"/>
      <c r="C640" s="16"/>
      <c r="D640" s="16"/>
      <c r="E640" s="16"/>
      <c r="F640" s="16"/>
      <c r="G640" s="16"/>
      <c r="H640" s="16"/>
      <c r="N640" s="580"/>
      <c r="O640" s="580"/>
      <c r="P640" s="580"/>
      <c r="Q640" s="580"/>
      <c r="R640" s="580"/>
      <c r="S640" s="580"/>
      <c r="T640" s="580"/>
      <c r="U640" s="580"/>
      <c r="V640" s="580"/>
    </row>
    <row r="641" spans="1:22" ht="15">
      <c r="A641" s="16"/>
      <c r="B641" s="16"/>
      <c r="C641" s="16"/>
      <c r="D641" s="16"/>
      <c r="E641" s="16"/>
      <c r="F641" s="16"/>
      <c r="G641" s="16"/>
      <c r="H641" s="16"/>
      <c r="N641" s="580"/>
      <c r="O641" s="580"/>
      <c r="P641" s="580"/>
      <c r="Q641" s="580"/>
      <c r="R641" s="580"/>
      <c r="S641" s="580"/>
      <c r="T641" s="580"/>
      <c r="U641" s="580"/>
      <c r="V641" s="580"/>
    </row>
    <row r="642" spans="1:22" ht="15">
      <c r="A642" s="16"/>
      <c r="B642" s="16"/>
      <c r="C642" s="16"/>
      <c r="D642" s="16"/>
      <c r="E642" s="16"/>
      <c r="F642" s="16"/>
      <c r="G642" s="16"/>
      <c r="H642" s="16"/>
      <c r="N642" s="580"/>
      <c r="O642" s="580"/>
      <c r="P642" s="580"/>
      <c r="Q642" s="580"/>
      <c r="R642" s="580"/>
      <c r="S642" s="580"/>
      <c r="T642" s="580"/>
      <c r="U642" s="580"/>
      <c r="V642" s="580"/>
    </row>
    <row r="643" spans="1:22" ht="15">
      <c r="A643" s="16"/>
      <c r="B643" s="16"/>
      <c r="C643" s="16"/>
      <c r="D643" s="16"/>
      <c r="E643" s="16"/>
      <c r="F643" s="16"/>
      <c r="G643" s="16"/>
      <c r="H643" s="16"/>
      <c r="N643" s="580"/>
      <c r="O643" s="580"/>
      <c r="P643" s="580"/>
      <c r="Q643" s="580"/>
      <c r="R643" s="580"/>
      <c r="S643" s="580"/>
      <c r="T643" s="580"/>
      <c r="U643" s="580"/>
      <c r="V643" s="580"/>
    </row>
    <row r="644" spans="1:22" ht="15">
      <c r="A644" s="16"/>
      <c r="B644" s="16"/>
      <c r="C644" s="16"/>
      <c r="D644" s="16"/>
      <c r="E644" s="16"/>
      <c r="F644" s="16"/>
      <c r="G644" s="16"/>
      <c r="H644" s="16"/>
      <c r="N644" s="580"/>
      <c r="O644" s="580"/>
      <c r="P644" s="580"/>
      <c r="Q644" s="580"/>
      <c r="R644" s="580"/>
      <c r="S644" s="580"/>
      <c r="T644" s="580"/>
      <c r="U644" s="580"/>
      <c r="V644" s="580"/>
    </row>
    <row r="645" spans="1:22" ht="15">
      <c r="A645" s="16"/>
      <c r="B645" s="16"/>
      <c r="C645" s="16"/>
      <c r="D645" s="16"/>
      <c r="E645" s="16"/>
      <c r="F645" s="16"/>
      <c r="G645" s="16"/>
      <c r="H645" s="16"/>
      <c r="N645" s="580"/>
      <c r="O645" s="580"/>
      <c r="P645" s="580"/>
      <c r="Q645" s="580"/>
      <c r="R645" s="580"/>
      <c r="S645" s="580"/>
      <c r="T645" s="580"/>
      <c r="U645" s="580"/>
      <c r="V645" s="580"/>
    </row>
    <row r="646" spans="1:22" ht="15">
      <c r="A646" s="16"/>
      <c r="B646" s="16"/>
      <c r="C646" s="16"/>
      <c r="D646" s="16"/>
      <c r="E646" s="16"/>
      <c r="F646" s="16"/>
      <c r="G646" s="16"/>
      <c r="H646" s="16"/>
      <c r="N646" s="580"/>
      <c r="O646" s="580"/>
      <c r="P646" s="580"/>
      <c r="Q646" s="580"/>
      <c r="R646" s="580"/>
      <c r="S646" s="580"/>
      <c r="T646" s="580"/>
      <c r="U646" s="580"/>
      <c r="V646" s="580"/>
    </row>
    <row r="647" spans="1:22" ht="15">
      <c r="A647" s="16"/>
      <c r="B647" s="16"/>
      <c r="C647" s="16"/>
      <c r="D647" s="16"/>
      <c r="E647" s="16"/>
      <c r="F647" s="16"/>
      <c r="G647" s="16"/>
      <c r="H647" s="16"/>
      <c r="N647" s="580"/>
      <c r="O647" s="580"/>
      <c r="P647" s="580"/>
      <c r="Q647" s="580"/>
      <c r="R647" s="580"/>
      <c r="S647" s="580"/>
      <c r="T647" s="580"/>
      <c r="U647" s="580"/>
      <c r="V647" s="580"/>
    </row>
    <row r="648" spans="1:22" ht="15">
      <c r="A648" s="16"/>
      <c r="B648" s="16"/>
      <c r="C648" s="16"/>
      <c r="D648" s="16"/>
      <c r="E648" s="16"/>
      <c r="F648" s="16"/>
      <c r="G648" s="16"/>
      <c r="H648" s="16"/>
      <c r="N648" s="580"/>
      <c r="O648" s="580"/>
      <c r="P648" s="580"/>
      <c r="Q648" s="580"/>
      <c r="R648" s="580"/>
      <c r="S648" s="580"/>
      <c r="T648" s="580"/>
      <c r="U648" s="580"/>
      <c r="V648" s="580"/>
    </row>
    <row r="649" spans="1:22" ht="15">
      <c r="A649" s="16"/>
      <c r="B649" s="16"/>
      <c r="C649" s="16"/>
      <c r="D649" s="16"/>
      <c r="E649" s="16"/>
      <c r="F649" s="16"/>
      <c r="G649" s="16"/>
      <c r="H649" s="16"/>
      <c r="N649" s="580"/>
      <c r="O649" s="580"/>
      <c r="P649" s="580"/>
      <c r="Q649" s="580"/>
      <c r="R649" s="580"/>
      <c r="S649" s="580"/>
      <c r="T649" s="580"/>
      <c r="U649" s="580"/>
      <c r="V649" s="580"/>
    </row>
    <row r="650" spans="1:22" ht="15">
      <c r="A650" s="16"/>
      <c r="B650" s="16"/>
      <c r="C650" s="16"/>
      <c r="D650" s="16"/>
      <c r="E650" s="16"/>
      <c r="F650" s="16"/>
      <c r="G650" s="16"/>
      <c r="H650" s="16"/>
      <c r="N650" s="580"/>
      <c r="O650" s="580"/>
      <c r="P650" s="580"/>
      <c r="Q650" s="580"/>
      <c r="R650" s="580"/>
      <c r="S650" s="580"/>
      <c r="T650" s="580"/>
      <c r="U650" s="580"/>
      <c r="V650" s="580"/>
    </row>
    <row r="651" spans="1:22" ht="15">
      <c r="A651" s="16"/>
      <c r="B651" s="16"/>
      <c r="C651" s="16"/>
      <c r="D651" s="16"/>
      <c r="E651" s="16"/>
      <c r="F651" s="16"/>
      <c r="G651" s="16"/>
      <c r="H651" s="16"/>
      <c r="N651" s="580"/>
      <c r="O651" s="580"/>
      <c r="P651" s="580"/>
      <c r="Q651" s="580"/>
      <c r="R651" s="580"/>
      <c r="S651" s="580"/>
      <c r="T651" s="580"/>
      <c r="U651" s="580"/>
      <c r="V651" s="580"/>
    </row>
    <row r="652" spans="1:22" ht="15">
      <c r="A652" s="16"/>
      <c r="B652" s="16"/>
      <c r="C652" s="16"/>
      <c r="D652" s="16"/>
      <c r="E652" s="16"/>
      <c r="F652" s="16"/>
      <c r="G652" s="16"/>
      <c r="H652" s="16"/>
      <c r="N652" s="580"/>
      <c r="O652" s="580"/>
      <c r="P652" s="580"/>
      <c r="Q652" s="580"/>
      <c r="R652" s="580"/>
      <c r="S652" s="580"/>
      <c r="T652" s="580"/>
      <c r="U652" s="580"/>
      <c r="V652" s="580"/>
    </row>
    <row r="653" spans="1:22" ht="15">
      <c r="A653" s="16"/>
      <c r="B653" s="16"/>
      <c r="C653" s="16"/>
      <c r="D653" s="16"/>
      <c r="E653" s="16"/>
      <c r="F653" s="16"/>
      <c r="G653" s="16"/>
      <c r="H653" s="16"/>
      <c r="N653" s="580"/>
      <c r="O653" s="580"/>
      <c r="P653" s="580"/>
      <c r="Q653" s="580"/>
      <c r="R653" s="580"/>
      <c r="S653" s="580"/>
      <c r="T653" s="580"/>
      <c r="U653" s="580"/>
      <c r="V653" s="580"/>
    </row>
    <row r="654" spans="1:22" ht="15">
      <c r="A654" s="16"/>
      <c r="B654" s="16"/>
      <c r="C654" s="16"/>
      <c r="D654" s="16"/>
      <c r="E654" s="16"/>
      <c r="F654" s="16"/>
      <c r="G654" s="16"/>
      <c r="H654" s="16"/>
      <c r="N654" s="580"/>
      <c r="O654" s="580"/>
      <c r="P654" s="580"/>
      <c r="Q654" s="580"/>
      <c r="R654" s="580"/>
      <c r="S654" s="580"/>
      <c r="T654" s="580"/>
      <c r="U654" s="580"/>
      <c r="V654" s="580"/>
    </row>
    <row r="655" spans="1:22" ht="15">
      <c r="A655" s="16"/>
      <c r="B655" s="16"/>
      <c r="C655" s="16"/>
      <c r="D655" s="16"/>
      <c r="E655" s="16"/>
      <c r="F655" s="16"/>
      <c r="G655" s="16"/>
      <c r="H655" s="16"/>
      <c r="N655" s="580"/>
      <c r="O655" s="580"/>
      <c r="P655" s="580"/>
      <c r="Q655" s="580"/>
      <c r="R655" s="580"/>
      <c r="S655" s="580"/>
      <c r="T655" s="580"/>
      <c r="U655" s="580"/>
      <c r="V655" s="580"/>
    </row>
    <row r="656" spans="1:22" ht="15">
      <c r="A656" s="16"/>
      <c r="B656" s="16"/>
      <c r="C656" s="16"/>
      <c r="D656" s="16"/>
      <c r="E656" s="16"/>
      <c r="F656" s="16"/>
      <c r="G656" s="16"/>
      <c r="H656" s="16"/>
      <c r="N656" s="580"/>
      <c r="O656" s="580"/>
      <c r="P656" s="580"/>
      <c r="Q656" s="580"/>
      <c r="R656" s="580"/>
      <c r="S656" s="580"/>
      <c r="T656" s="580"/>
      <c r="U656" s="580"/>
      <c r="V656" s="580"/>
    </row>
    <row r="657" spans="1:22" ht="15">
      <c r="A657" s="16"/>
      <c r="B657" s="16"/>
      <c r="C657" s="16"/>
      <c r="D657" s="16"/>
      <c r="E657" s="16"/>
      <c r="F657" s="16"/>
      <c r="G657" s="16"/>
      <c r="H657" s="16"/>
      <c r="N657" s="580"/>
      <c r="O657" s="580"/>
      <c r="P657" s="580"/>
      <c r="Q657" s="580"/>
      <c r="R657" s="580"/>
      <c r="S657" s="580"/>
      <c r="T657" s="580"/>
      <c r="U657" s="580"/>
      <c r="V657" s="580"/>
    </row>
    <row r="658" spans="1:22" ht="15">
      <c r="A658" s="16"/>
      <c r="B658" s="16"/>
      <c r="C658" s="16"/>
      <c r="D658" s="16"/>
      <c r="E658" s="16"/>
      <c r="F658" s="16"/>
      <c r="G658" s="16"/>
      <c r="H658" s="16"/>
      <c r="N658" s="580"/>
      <c r="O658" s="580"/>
      <c r="P658" s="580"/>
      <c r="Q658" s="580"/>
      <c r="R658" s="580"/>
      <c r="S658" s="580"/>
      <c r="T658" s="580"/>
      <c r="U658" s="580"/>
      <c r="V658" s="580"/>
    </row>
    <row r="659" spans="1:22" ht="15">
      <c r="A659" s="16"/>
      <c r="B659" s="16"/>
      <c r="C659" s="16"/>
      <c r="D659" s="16"/>
      <c r="E659" s="16"/>
      <c r="F659" s="16"/>
      <c r="G659" s="16"/>
      <c r="H659" s="16"/>
      <c r="N659" s="580"/>
      <c r="O659" s="580"/>
      <c r="P659" s="580"/>
      <c r="Q659" s="580"/>
      <c r="R659" s="580"/>
      <c r="S659" s="580"/>
      <c r="T659" s="580"/>
      <c r="U659" s="580"/>
      <c r="V659" s="580"/>
    </row>
    <row r="660" spans="1:22" ht="15">
      <c r="A660" s="16"/>
      <c r="B660" s="16"/>
      <c r="C660" s="16"/>
      <c r="D660" s="16"/>
      <c r="E660" s="16"/>
      <c r="F660" s="16"/>
      <c r="G660" s="16"/>
      <c r="H660" s="16"/>
      <c r="N660" s="580"/>
      <c r="O660" s="580"/>
      <c r="P660" s="580"/>
      <c r="Q660" s="580"/>
      <c r="R660" s="580"/>
      <c r="S660" s="580"/>
      <c r="T660" s="580"/>
      <c r="U660" s="580"/>
      <c r="V660" s="580"/>
    </row>
    <row r="661" spans="1:22" ht="15">
      <c r="A661" s="16"/>
      <c r="B661" s="16"/>
      <c r="C661" s="16"/>
      <c r="D661" s="16"/>
      <c r="E661" s="16"/>
      <c r="F661" s="16"/>
      <c r="G661" s="16"/>
      <c r="H661" s="16"/>
      <c r="N661" s="580"/>
      <c r="O661" s="580"/>
      <c r="P661" s="580"/>
      <c r="Q661" s="580"/>
      <c r="R661" s="580"/>
      <c r="S661" s="580"/>
      <c r="T661" s="580"/>
      <c r="U661" s="580"/>
      <c r="V661" s="580"/>
    </row>
    <row r="662" spans="1:22" ht="15">
      <c r="A662" s="16"/>
      <c r="B662" s="16"/>
      <c r="C662" s="16"/>
      <c r="D662" s="16"/>
      <c r="E662" s="16"/>
      <c r="F662" s="16"/>
      <c r="G662" s="16"/>
      <c r="H662" s="16"/>
      <c r="N662" s="580"/>
      <c r="O662" s="580"/>
      <c r="P662" s="580"/>
      <c r="Q662" s="580"/>
      <c r="R662" s="580"/>
      <c r="S662" s="580"/>
      <c r="T662" s="580"/>
      <c r="U662" s="580"/>
      <c r="V662" s="580"/>
    </row>
    <row r="663" spans="1:22" ht="15">
      <c r="A663" s="16"/>
      <c r="B663" s="16"/>
      <c r="C663" s="16"/>
      <c r="D663" s="16"/>
      <c r="E663" s="16"/>
      <c r="F663" s="16"/>
      <c r="G663" s="16"/>
      <c r="H663" s="16"/>
      <c r="N663" s="580"/>
      <c r="O663" s="580"/>
      <c r="P663" s="580"/>
      <c r="Q663" s="580"/>
      <c r="R663" s="580"/>
      <c r="S663" s="580"/>
      <c r="T663" s="580"/>
      <c r="U663" s="580"/>
      <c r="V663" s="580"/>
    </row>
    <row r="664" spans="1:22" ht="15">
      <c r="A664" s="16"/>
      <c r="B664" s="16"/>
      <c r="C664" s="16"/>
      <c r="D664" s="16"/>
      <c r="E664" s="16"/>
      <c r="F664" s="16"/>
      <c r="G664" s="16"/>
      <c r="H664" s="16"/>
      <c r="N664" s="580"/>
      <c r="O664" s="580"/>
      <c r="P664" s="580"/>
      <c r="Q664" s="580"/>
      <c r="R664" s="580"/>
      <c r="S664" s="580"/>
      <c r="T664" s="580"/>
      <c r="U664" s="580"/>
      <c r="V664" s="580"/>
    </row>
    <row r="665" spans="1:22" ht="15">
      <c r="A665" s="16"/>
      <c r="B665" s="16"/>
      <c r="C665" s="16"/>
      <c r="D665" s="16"/>
      <c r="E665" s="16"/>
      <c r="F665" s="16"/>
      <c r="G665" s="16"/>
      <c r="H665" s="16"/>
      <c r="N665" s="580"/>
      <c r="O665" s="580"/>
      <c r="P665" s="580"/>
      <c r="Q665" s="580"/>
      <c r="R665" s="580"/>
      <c r="S665" s="580"/>
      <c r="T665" s="580"/>
      <c r="U665" s="580"/>
      <c r="V665" s="580"/>
    </row>
    <row r="666" spans="1:22" ht="15">
      <c r="A666" s="16"/>
      <c r="B666" s="16"/>
      <c r="C666" s="16"/>
      <c r="D666" s="16"/>
      <c r="E666" s="16"/>
      <c r="F666" s="16"/>
      <c r="G666" s="16"/>
      <c r="H666" s="16"/>
      <c r="N666" s="580"/>
      <c r="O666" s="580"/>
      <c r="P666" s="580"/>
      <c r="Q666" s="580"/>
      <c r="R666" s="580"/>
      <c r="S666" s="580"/>
      <c r="T666" s="580"/>
      <c r="U666" s="580"/>
      <c r="V666" s="580"/>
    </row>
    <row r="667" spans="1:22" ht="15">
      <c r="A667" s="16"/>
      <c r="B667" s="16"/>
      <c r="C667" s="16"/>
      <c r="D667" s="16"/>
      <c r="E667" s="16"/>
      <c r="F667" s="16"/>
      <c r="G667" s="16"/>
      <c r="H667" s="16"/>
      <c r="N667" s="580"/>
      <c r="O667" s="580"/>
      <c r="P667" s="580"/>
      <c r="Q667" s="580"/>
      <c r="R667" s="580"/>
      <c r="S667" s="580"/>
      <c r="T667" s="580"/>
      <c r="U667" s="580"/>
      <c r="V667" s="580"/>
    </row>
    <row r="668" spans="1:22" ht="15">
      <c r="A668" s="16"/>
      <c r="B668" s="16"/>
      <c r="C668" s="16"/>
      <c r="D668" s="16"/>
      <c r="E668" s="16"/>
      <c r="F668" s="16"/>
      <c r="G668" s="16"/>
      <c r="H668" s="16"/>
      <c r="N668" s="580"/>
      <c r="O668" s="580"/>
      <c r="P668" s="580"/>
      <c r="Q668" s="580"/>
      <c r="R668" s="580"/>
      <c r="S668" s="580"/>
      <c r="T668" s="580"/>
      <c r="U668" s="580"/>
      <c r="V668" s="580"/>
    </row>
    <row r="669" spans="1:22" ht="15">
      <c r="A669" s="16"/>
      <c r="B669" s="16"/>
      <c r="C669" s="16"/>
      <c r="D669" s="16"/>
      <c r="E669" s="16"/>
      <c r="F669" s="16"/>
      <c r="G669" s="16"/>
      <c r="H669" s="16"/>
      <c r="N669" s="580"/>
      <c r="O669" s="580"/>
      <c r="P669" s="580"/>
      <c r="Q669" s="580"/>
      <c r="R669" s="580"/>
      <c r="S669" s="580"/>
      <c r="T669" s="580"/>
      <c r="U669" s="580"/>
      <c r="V669" s="580"/>
    </row>
    <row r="670" spans="1:22" ht="15">
      <c r="A670" s="16"/>
      <c r="B670" s="16"/>
      <c r="C670" s="16"/>
      <c r="D670" s="16"/>
      <c r="E670" s="16"/>
      <c r="F670" s="16"/>
      <c r="G670" s="16"/>
      <c r="H670" s="16"/>
      <c r="N670" s="580"/>
      <c r="O670" s="580"/>
      <c r="P670" s="580"/>
      <c r="Q670" s="580"/>
      <c r="R670" s="580"/>
      <c r="S670" s="580"/>
      <c r="T670" s="580"/>
      <c r="U670" s="580"/>
      <c r="V670" s="580"/>
    </row>
    <row r="671" spans="1:22" ht="15">
      <c r="A671" s="16"/>
      <c r="B671" s="16"/>
      <c r="C671" s="16"/>
      <c r="D671" s="16"/>
      <c r="E671" s="16"/>
      <c r="F671" s="16"/>
      <c r="G671" s="16"/>
      <c r="H671" s="16"/>
      <c r="N671" s="580"/>
      <c r="O671" s="580"/>
      <c r="P671" s="580"/>
      <c r="Q671" s="580"/>
      <c r="R671" s="580"/>
      <c r="S671" s="580"/>
      <c r="T671" s="580"/>
      <c r="U671" s="580"/>
      <c r="V671" s="580"/>
    </row>
    <row r="672" spans="1:22" ht="15">
      <c r="A672" s="16"/>
      <c r="B672" s="16"/>
      <c r="C672" s="16"/>
      <c r="D672" s="16"/>
      <c r="E672" s="16"/>
      <c r="F672" s="16"/>
      <c r="G672" s="16"/>
      <c r="H672" s="16"/>
      <c r="N672" s="580"/>
      <c r="O672" s="580"/>
      <c r="P672" s="580"/>
      <c r="Q672" s="580"/>
      <c r="R672" s="580"/>
      <c r="S672" s="580"/>
      <c r="T672" s="580"/>
      <c r="U672" s="580"/>
      <c r="V672" s="580"/>
    </row>
    <row r="673" spans="1:22" ht="15">
      <c r="A673" s="16"/>
      <c r="B673" s="16"/>
      <c r="C673" s="16"/>
      <c r="D673" s="16"/>
      <c r="E673" s="16"/>
      <c r="F673" s="16"/>
      <c r="G673" s="16"/>
      <c r="H673" s="16"/>
      <c r="N673" s="580"/>
      <c r="O673" s="580"/>
      <c r="P673" s="580"/>
      <c r="Q673" s="580"/>
      <c r="R673" s="580"/>
      <c r="S673" s="580"/>
      <c r="T673" s="580"/>
      <c r="U673" s="580"/>
      <c r="V673" s="580"/>
    </row>
    <row r="674" spans="1:22" ht="15">
      <c r="A674" s="16"/>
      <c r="B674" s="16"/>
      <c r="C674" s="16"/>
      <c r="D674" s="16"/>
      <c r="E674" s="16"/>
      <c r="F674" s="16"/>
      <c r="G674" s="16"/>
      <c r="H674" s="16"/>
      <c r="N674" s="580"/>
      <c r="O674" s="580"/>
      <c r="P674" s="580"/>
      <c r="Q674" s="580"/>
      <c r="R674" s="580"/>
      <c r="S674" s="580"/>
      <c r="T674" s="580"/>
      <c r="U674" s="580"/>
      <c r="V674" s="580"/>
    </row>
    <row r="675" spans="1:22" ht="15">
      <c r="A675" s="16"/>
      <c r="B675" s="16"/>
      <c r="C675" s="16"/>
      <c r="D675" s="16"/>
      <c r="E675" s="16"/>
      <c r="F675" s="16"/>
      <c r="G675" s="16"/>
      <c r="H675" s="16"/>
      <c r="N675" s="580"/>
      <c r="O675" s="580"/>
      <c r="P675" s="580"/>
      <c r="Q675" s="580"/>
      <c r="R675" s="580"/>
      <c r="S675" s="580"/>
      <c r="T675" s="580"/>
      <c r="U675" s="580"/>
      <c r="V675" s="580"/>
    </row>
    <row r="676" spans="1:22" ht="15">
      <c r="A676" s="16"/>
      <c r="B676" s="16"/>
      <c r="C676" s="16"/>
      <c r="D676" s="16"/>
      <c r="E676" s="16"/>
      <c r="F676" s="16"/>
      <c r="G676" s="16"/>
      <c r="H676" s="16"/>
      <c r="N676" s="580"/>
      <c r="O676" s="580"/>
      <c r="P676" s="580"/>
      <c r="Q676" s="580"/>
      <c r="R676" s="580"/>
      <c r="S676" s="580"/>
      <c r="T676" s="580"/>
      <c r="U676" s="580"/>
      <c r="V676" s="580"/>
    </row>
    <row r="677" spans="1:22" ht="15">
      <c r="A677" s="16"/>
      <c r="B677" s="16"/>
      <c r="C677" s="16"/>
      <c r="D677" s="16"/>
      <c r="E677" s="16"/>
      <c r="F677" s="16"/>
      <c r="G677" s="16"/>
      <c r="H677" s="16"/>
      <c r="N677" s="580"/>
      <c r="O677" s="580"/>
      <c r="P677" s="580"/>
      <c r="Q677" s="580"/>
      <c r="R677" s="580"/>
      <c r="S677" s="580"/>
      <c r="T677" s="580"/>
      <c r="U677" s="580"/>
      <c r="V677" s="580"/>
    </row>
    <row r="678" spans="1:22" ht="15">
      <c r="A678" s="16"/>
      <c r="B678" s="16"/>
      <c r="C678" s="16"/>
      <c r="D678" s="16"/>
      <c r="E678" s="16"/>
      <c r="F678" s="16"/>
      <c r="G678" s="16"/>
      <c r="H678" s="16"/>
      <c r="N678" s="580"/>
      <c r="O678" s="580"/>
      <c r="P678" s="580"/>
      <c r="Q678" s="580"/>
      <c r="R678" s="580"/>
      <c r="S678" s="580"/>
      <c r="T678" s="580"/>
      <c r="U678" s="580"/>
      <c r="V678" s="580"/>
    </row>
    <row r="679" spans="1:22" ht="15">
      <c r="A679" s="16"/>
      <c r="B679" s="16"/>
      <c r="C679" s="16"/>
      <c r="D679" s="16"/>
      <c r="E679" s="16"/>
      <c r="F679" s="16"/>
      <c r="G679" s="16"/>
      <c r="H679" s="16"/>
      <c r="N679" s="580"/>
      <c r="O679" s="580"/>
      <c r="P679" s="580"/>
      <c r="Q679" s="580"/>
      <c r="R679" s="580"/>
      <c r="S679" s="580"/>
      <c r="T679" s="580"/>
      <c r="U679" s="580"/>
      <c r="V679" s="580"/>
    </row>
    <row r="680" spans="1:22" ht="15">
      <c r="A680" s="16"/>
      <c r="B680" s="16"/>
      <c r="C680" s="16"/>
      <c r="D680" s="16"/>
      <c r="E680" s="16"/>
      <c r="F680" s="16"/>
      <c r="G680" s="16"/>
      <c r="H680" s="16"/>
      <c r="N680" s="580"/>
      <c r="O680" s="580"/>
      <c r="P680" s="580"/>
      <c r="Q680" s="580"/>
      <c r="R680" s="580"/>
      <c r="S680" s="580"/>
      <c r="T680" s="580"/>
      <c r="U680" s="580"/>
      <c r="V680" s="580"/>
    </row>
    <row r="681" spans="1:22" ht="15">
      <c r="A681" s="16"/>
      <c r="B681" s="16"/>
      <c r="C681" s="16"/>
      <c r="D681" s="16"/>
      <c r="E681" s="16"/>
      <c r="F681" s="16"/>
      <c r="G681" s="16"/>
      <c r="H681" s="16"/>
      <c r="N681" s="580"/>
      <c r="O681" s="580"/>
      <c r="P681" s="580"/>
      <c r="Q681" s="580"/>
      <c r="R681" s="580"/>
      <c r="S681" s="580"/>
      <c r="T681" s="580"/>
      <c r="U681" s="580"/>
      <c r="V681" s="580"/>
    </row>
    <row r="682" spans="1:22" ht="15">
      <c r="A682" s="16"/>
      <c r="B682" s="16"/>
      <c r="C682" s="16"/>
      <c r="D682" s="16"/>
      <c r="E682" s="16"/>
      <c r="F682" s="16"/>
      <c r="G682" s="16"/>
      <c r="H682" s="16"/>
      <c r="N682" s="580"/>
      <c r="O682" s="580"/>
      <c r="P682" s="580"/>
      <c r="Q682" s="580"/>
      <c r="R682" s="580"/>
      <c r="S682" s="580"/>
      <c r="T682" s="580"/>
      <c r="U682" s="580"/>
      <c r="V682" s="580"/>
    </row>
    <row r="683" spans="1:22" ht="15">
      <c r="A683" s="16"/>
      <c r="B683" s="16"/>
      <c r="C683" s="16"/>
      <c r="D683" s="16"/>
      <c r="E683" s="16"/>
      <c r="F683" s="16"/>
      <c r="G683" s="16"/>
      <c r="H683" s="16"/>
      <c r="N683" s="580"/>
      <c r="O683" s="580"/>
      <c r="P683" s="580"/>
      <c r="Q683" s="580"/>
      <c r="R683" s="580"/>
      <c r="S683" s="580"/>
      <c r="T683" s="580"/>
      <c r="U683" s="580"/>
      <c r="V683" s="580"/>
    </row>
    <row r="684" spans="1:22" ht="15">
      <c r="A684" s="16"/>
      <c r="B684" s="16"/>
      <c r="C684" s="16"/>
      <c r="D684" s="16"/>
      <c r="E684" s="16"/>
      <c r="F684" s="16"/>
      <c r="G684" s="16"/>
      <c r="H684" s="16"/>
      <c r="N684" s="580"/>
      <c r="O684" s="580"/>
      <c r="P684" s="580"/>
      <c r="Q684" s="580"/>
      <c r="R684" s="580"/>
      <c r="S684" s="580"/>
      <c r="T684" s="580"/>
      <c r="U684" s="580"/>
      <c r="V684" s="580"/>
    </row>
    <row r="685" spans="1:22" ht="15">
      <c r="A685" s="16"/>
      <c r="B685" s="16"/>
      <c r="C685" s="16"/>
      <c r="D685" s="16"/>
      <c r="E685" s="16"/>
      <c r="F685" s="16"/>
      <c r="G685" s="16"/>
      <c r="H685" s="16"/>
      <c r="N685" s="580"/>
      <c r="O685" s="580"/>
      <c r="P685" s="580"/>
      <c r="Q685" s="580"/>
      <c r="R685" s="580"/>
      <c r="S685" s="580"/>
      <c r="T685" s="580"/>
      <c r="U685" s="580"/>
      <c r="V685" s="580"/>
    </row>
    <row r="686" spans="1:22" ht="15">
      <c r="A686" s="16"/>
      <c r="B686" s="16"/>
      <c r="C686" s="16"/>
      <c r="D686" s="16"/>
      <c r="E686" s="16"/>
      <c r="F686" s="16"/>
      <c r="G686" s="16"/>
      <c r="H686" s="16"/>
      <c r="N686" s="580"/>
      <c r="O686" s="580"/>
      <c r="P686" s="580"/>
      <c r="Q686" s="580"/>
      <c r="R686" s="580"/>
      <c r="S686" s="580"/>
      <c r="T686" s="580"/>
      <c r="U686" s="580"/>
      <c r="V686" s="580"/>
    </row>
    <row r="687" spans="1:22" ht="15">
      <c r="A687" s="16"/>
      <c r="B687" s="16"/>
      <c r="C687" s="16"/>
      <c r="D687" s="16"/>
      <c r="E687" s="16"/>
      <c r="F687" s="16"/>
      <c r="G687" s="16"/>
      <c r="H687" s="16"/>
      <c r="N687" s="580"/>
      <c r="O687" s="580"/>
      <c r="P687" s="580"/>
      <c r="Q687" s="580"/>
      <c r="R687" s="580"/>
      <c r="S687" s="580"/>
      <c r="T687" s="580"/>
      <c r="U687" s="580"/>
      <c r="V687" s="580"/>
    </row>
    <row r="688" spans="1:22" ht="15">
      <c r="A688" s="16"/>
      <c r="B688" s="16"/>
      <c r="C688" s="16"/>
      <c r="D688" s="16"/>
      <c r="E688" s="16"/>
      <c r="F688" s="16"/>
      <c r="G688" s="16"/>
      <c r="H688" s="16"/>
      <c r="N688" s="580"/>
      <c r="O688" s="580"/>
      <c r="P688" s="580"/>
      <c r="Q688" s="580"/>
      <c r="R688" s="580"/>
      <c r="S688" s="580"/>
      <c r="T688" s="580"/>
      <c r="U688" s="580"/>
      <c r="V688" s="580"/>
    </row>
    <row r="689" spans="1:22" ht="15">
      <c r="A689" s="16"/>
      <c r="B689" s="16"/>
      <c r="C689" s="16"/>
      <c r="D689" s="16"/>
      <c r="E689" s="16"/>
      <c r="F689" s="16"/>
      <c r="G689" s="16"/>
      <c r="H689" s="16"/>
      <c r="N689" s="580"/>
      <c r="O689" s="580"/>
      <c r="P689" s="580"/>
      <c r="Q689" s="580"/>
      <c r="R689" s="580"/>
      <c r="S689" s="580"/>
      <c r="T689" s="580"/>
      <c r="U689" s="580"/>
      <c r="V689" s="580"/>
    </row>
    <row r="690" spans="1:22" ht="15">
      <c r="A690" s="16"/>
      <c r="B690" s="16"/>
      <c r="C690" s="16"/>
      <c r="D690" s="16"/>
      <c r="E690" s="16"/>
      <c r="F690" s="16"/>
      <c r="G690" s="16"/>
      <c r="H690" s="16"/>
      <c r="N690" s="580"/>
      <c r="O690" s="580"/>
      <c r="P690" s="580"/>
      <c r="Q690" s="580"/>
      <c r="R690" s="580"/>
      <c r="S690" s="580"/>
      <c r="T690" s="580"/>
      <c r="U690" s="580"/>
      <c r="V690" s="580"/>
    </row>
    <row r="691" spans="1:22" ht="15">
      <c r="A691" s="16"/>
      <c r="B691" s="16"/>
      <c r="C691" s="16"/>
      <c r="D691" s="16"/>
      <c r="E691" s="16"/>
      <c r="F691" s="16"/>
      <c r="G691" s="16"/>
      <c r="H691" s="16"/>
      <c r="N691" s="580"/>
      <c r="O691" s="580"/>
      <c r="P691" s="580"/>
      <c r="Q691" s="580"/>
      <c r="R691" s="580"/>
      <c r="S691" s="580"/>
      <c r="T691" s="580"/>
      <c r="U691" s="580"/>
      <c r="V691" s="580"/>
    </row>
    <row r="692" spans="1:22" ht="15">
      <c r="A692" s="16"/>
      <c r="B692" s="16"/>
      <c r="C692" s="16"/>
      <c r="D692" s="16"/>
      <c r="E692" s="16"/>
      <c r="F692" s="16"/>
      <c r="G692" s="16"/>
      <c r="H692" s="16"/>
      <c r="N692" s="580"/>
      <c r="O692" s="580"/>
      <c r="P692" s="580"/>
      <c r="Q692" s="580"/>
      <c r="R692" s="580"/>
      <c r="S692" s="580"/>
      <c r="T692" s="580"/>
      <c r="U692" s="580"/>
      <c r="V692" s="580"/>
    </row>
    <row r="693" spans="1:22" ht="15">
      <c r="A693" s="16"/>
      <c r="B693" s="16"/>
      <c r="C693" s="16"/>
      <c r="D693" s="16"/>
      <c r="E693" s="16"/>
      <c r="F693" s="16"/>
      <c r="G693" s="16"/>
      <c r="H693" s="16"/>
      <c r="N693" s="580"/>
      <c r="O693" s="580"/>
      <c r="P693" s="580"/>
      <c r="Q693" s="580"/>
      <c r="R693" s="580"/>
      <c r="S693" s="580"/>
      <c r="T693" s="580"/>
      <c r="U693" s="580"/>
      <c r="V693" s="580"/>
    </row>
    <row r="694" spans="1:22" ht="15">
      <c r="A694" s="16"/>
      <c r="B694" s="16"/>
      <c r="C694" s="16"/>
      <c r="D694" s="16"/>
      <c r="E694" s="16"/>
      <c r="F694" s="16"/>
      <c r="G694" s="16"/>
      <c r="H694" s="16"/>
      <c r="N694" s="580"/>
      <c r="O694" s="580"/>
      <c r="P694" s="580"/>
      <c r="Q694" s="580"/>
      <c r="R694" s="580"/>
      <c r="S694" s="580"/>
      <c r="T694" s="580"/>
      <c r="U694" s="580"/>
      <c r="V694" s="580"/>
    </row>
    <row r="695" spans="1:22" ht="15">
      <c r="A695" s="16"/>
      <c r="B695" s="16"/>
      <c r="C695" s="16"/>
      <c r="D695" s="16"/>
      <c r="E695" s="16"/>
      <c r="F695" s="16"/>
      <c r="G695" s="16"/>
      <c r="H695" s="16"/>
      <c r="N695" s="580"/>
      <c r="O695" s="580"/>
      <c r="P695" s="580"/>
      <c r="Q695" s="580"/>
      <c r="R695" s="580"/>
      <c r="S695" s="580"/>
      <c r="T695" s="580"/>
      <c r="U695" s="580"/>
      <c r="V695" s="580"/>
    </row>
    <row r="696" spans="1:22" ht="15">
      <c r="A696" s="16"/>
      <c r="B696" s="16"/>
      <c r="C696" s="16"/>
      <c r="D696" s="16"/>
      <c r="E696" s="16"/>
      <c r="F696" s="16"/>
      <c r="G696" s="16"/>
      <c r="H696" s="16"/>
      <c r="N696" s="580"/>
      <c r="O696" s="580"/>
      <c r="P696" s="580"/>
      <c r="Q696" s="580"/>
      <c r="R696" s="580"/>
      <c r="S696" s="580"/>
      <c r="T696" s="580"/>
      <c r="U696" s="580"/>
      <c r="V696" s="580"/>
    </row>
    <row r="697" spans="1:22" ht="15">
      <c r="A697" s="16"/>
      <c r="B697" s="16"/>
      <c r="C697" s="16"/>
      <c r="D697" s="16"/>
      <c r="E697" s="16"/>
      <c r="F697" s="16"/>
      <c r="G697" s="16"/>
      <c r="H697" s="16"/>
      <c r="N697" s="580"/>
      <c r="O697" s="580"/>
      <c r="P697" s="580"/>
      <c r="Q697" s="580"/>
      <c r="R697" s="580"/>
      <c r="S697" s="580"/>
      <c r="T697" s="580"/>
      <c r="U697" s="580"/>
      <c r="V697" s="580"/>
    </row>
    <row r="698" spans="1:22" ht="15">
      <c r="A698" s="16"/>
      <c r="B698" s="16"/>
      <c r="C698" s="16"/>
      <c r="D698" s="16"/>
      <c r="E698" s="16"/>
      <c r="F698" s="16"/>
      <c r="G698" s="16"/>
      <c r="H698" s="16"/>
      <c r="N698" s="580"/>
      <c r="O698" s="580"/>
      <c r="P698" s="580"/>
      <c r="Q698" s="580"/>
      <c r="R698" s="580"/>
      <c r="S698" s="580"/>
      <c r="T698" s="580"/>
      <c r="U698" s="580"/>
      <c r="V698" s="580"/>
    </row>
    <row r="699" spans="1:22" ht="15">
      <c r="A699" s="16"/>
      <c r="B699" s="16"/>
      <c r="C699" s="16"/>
      <c r="D699" s="16"/>
      <c r="E699" s="16"/>
      <c r="F699" s="16"/>
      <c r="G699" s="16"/>
      <c r="H699" s="16"/>
      <c r="N699" s="580"/>
      <c r="O699" s="580"/>
      <c r="P699" s="580"/>
      <c r="Q699" s="580"/>
      <c r="R699" s="580"/>
      <c r="S699" s="580"/>
      <c r="T699" s="580"/>
      <c r="U699" s="580"/>
      <c r="V699" s="580"/>
    </row>
    <row r="700" spans="1:22" ht="15">
      <c r="A700" s="16"/>
      <c r="B700" s="16"/>
      <c r="C700" s="16"/>
      <c r="D700" s="16"/>
      <c r="E700" s="16"/>
      <c r="F700" s="16"/>
      <c r="G700" s="16"/>
      <c r="H700" s="16"/>
      <c r="N700" s="580"/>
      <c r="O700" s="580"/>
      <c r="P700" s="580"/>
      <c r="Q700" s="580"/>
      <c r="R700" s="580"/>
      <c r="S700" s="580"/>
      <c r="T700" s="580"/>
      <c r="U700" s="580"/>
      <c r="V700" s="580"/>
    </row>
    <row r="701" spans="1:22" ht="15">
      <c r="A701" s="16"/>
      <c r="B701" s="16"/>
      <c r="C701" s="16"/>
      <c r="D701" s="16"/>
      <c r="E701" s="16"/>
      <c r="F701" s="16"/>
      <c r="G701" s="16"/>
      <c r="H701" s="16"/>
      <c r="N701" s="580"/>
      <c r="O701" s="580"/>
      <c r="P701" s="580"/>
      <c r="Q701" s="580"/>
      <c r="R701" s="580"/>
      <c r="S701" s="580"/>
      <c r="T701" s="580"/>
      <c r="U701" s="580"/>
      <c r="V701" s="580"/>
    </row>
    <row r="702" spans="1:22" ht="15">
      <c r="A702" s="16"/>
      <c r="B702" s="16"/>
      <c r="C702" s="16"/>
      <c r="D702" s="16"/>
      <c r="E702" s="16"/>
      <c r="F702" s="16"/>
      <c r="G702" s="16"/>
      <c r="H702" s="16"/>
      <c r="N702" s="580"/>
      <c r="O702" s="580"/>
      <c r="P702" s="580"/>
      <c r="Q702" s="580"/>
      <c r="R702" s="580"/>
      <c r="S702" s="580"/>
      <c r="T702" s="580"/>
      <c r="U702" s="580"/>
      <c r="V702" s="580"/>
    </row>
    <row r="703" spans="1:22" ht="15">
      <c r="A703" s="16"/>
      <c r="B703" s="16"/>
      <c r="C703" s="16"/>
      <c r="D703" s="16"/>
      <c r="E703" s="16"/>
      <c r="F703" s="16"/>
      <c r="G703" s="16"/>
      <c r="H703" s="16"/>
      <c r="N703" s="580"/>
      <c r="O703" s="580"/>
      <c r="P703" s="580"/>
      <c r="Q703" s="580"/>
      <c r="R703" s="580"/>
      <c r="S703" s="580"/>
      <c r="T703" s="580"/>
      <c r="U703" s="580"/>
      <c r="V703" s="580"/>
    </row>
    <row r="704" spans="1:22" ht="15">
      <c r="A704" s="16"/>
      <c r="B704" s="16"/>
      <c r="C704" s="16"/>
      <c r="D704" s="16"/>
      <c r="E704" s="16"/>
      <c r="F704" s="16"/>
      <c r="G704" s="16"/>
      <c r="H704" s="16"/>
      <c r="N704" s="580"/>
      <c r="O704" s="580"/>
      <c r="P704" s="580"/>
      <c r="Q704" s="580"/>
      <c r="R704" s="580"/>
      <c r="S704" s="580"/>
      <c r="T704" s="580"/>
      <c r="U704" s="580"/>
      <c r="V704" s="580"/>
    </row>
    <row r="705" spans="1:22" ht="15">
      <c r="A705" s="16"/>
      <c r="B705" s="16"/>
      <c r="C705" s="16"/>
      <c r="D705" s="16"/>
      <c r="E705" s="16"/>
      <c r="F705" s="16"/>
      <c r="G705" s="16"/>
      <c r="H705" s="16"/>
      <c r="N705" s="580"/>
      <c r="O705" s="580"/>
      <c r="P705" s="580"/>
      <c r="Q705" s="580"/>
      <c r="R705" s="580"/>
      <c r="S705" s="580"/>
      <c r="T705" s="580"/>
      <c r="U705" s="580"/>
      <c r="V705" s="580"/>
    </row>
    <row r="706" spans="1:22" ht="15">
      <c r="A706" s="16"/>
      <c r="B706" s="16"/>
      <c r="C706" s="16"/>
      <c r="D706" s="16"/>
      <c r="E706" s="16"/>
      <c r="F706" s="16"/>
      <c r="G706" s="16"/>
      <c r="H706" s="16"/>
      <c r="N706" s="580"/>
      <c r="O706" s="580"/>
      <c r="P706" s="580"/>
      <c r="Q706" s="580"/>
      <c r="R706" s="580"/>
      <c r="S706" s="580"/>
      <c r="T706" s="580"/>
      <c r="U706" s="580"/>
      <c r="V706" s="580"/>
    </row>
    <row r="707" spans="1:22" ht="15">
      <c r="A707" s="16"/>
      <c r="B707" s="16"/>
      <c r="C707" s="16"/>
      <c r="D707" s="16"/>
      <c r="E707" s="16"/>
      <c r="F707" s="16"/>
      <c r="G707" s="16"/>
      <c r="H707" s="16"/>
      <c r="N707" s="580"/>
      <c r="O707" s="580"/>
      <c r="P707" s="580"/>
      <c r="Q707" s="580"/>
      <c r="R707" s="580"/>
      <c r="S707" s="580"/>
      <c r="T707" s="580"/>
      <c r="U707" s="580"/>
      <c r="V707" s="580"/>
    </row>
    <row r="708" spans="1:22" ht="15">
      <c r="A708" s="16"/>
      <c r="B708" s="16"/>
      <c r="C708" s="16"/>
      <c r="D708" s="16"/>
      <c r="E708" s="16"/>
      <c r="F708" s="16"/>
      <c r="G708" s="16"/>
      <c r="H708" s="16"/>
      <c r="N708" s="580"/>
      <c r="O708" s="580"/>
      <c r="P708" s="580"/>
      <c r="Q708" s="580"/>
      <c r="R708" s="580"/>
      <c r="S708" s="580"/>
      <c r="T708" s="580"/>
      <c r="U708" s="580"/>
      <c r="V708" s="580"/>
    </row>
    <row r="709" spans="1:22" ht="15">
      <c r="A709" s="16"/>
      <c r="B709" s="16"/>
      <c r="C709" s="16"/>
      <c r="D709" s="16"/>
      <c r="E709" s="16"/>
      <c r="F709" s="16"/>
      <c r="G709" s="16"/>
      <c r="H709" s="16"/>
      <c r="N709" s="580"/>
      <c r="O709" s="580"/>
      <c r="P709" s="580"/>
      <c r="Q709" s="580"/>
      <c r="R709" s="580"/>
      <c r="S709" s="580"/>
      <c r="T709" s="580"/>
      <c r="U709" s="580"/>
      <c r="V709" s="580"/>
    </row>
    <row r="710" spans="1:22" ht="15">
      <c r="A710" s="16"/>
      <c r="B710" s="16"/>
      <c r="C710" s="16"/>
      <c r="D710" s="16"/>
      <c r="E710" s="16"/>
      <c r="F710" s="16"/>
      <c r="G710" s="16"/>
      <c r="H710" s="16"/>
      <c r="N710" s="580"/>
      <c r="O710" s="580"/>
      <c r="P710" s="580"/>
      <c r="Q710" s="580"/>
      <c r="R710" s="580"/>
      <c r="S710" s="580"/>
      <c r="T710" s="580"/>
      <c r="U710" s="580"/>
      <c r="V710" s="580"/>
    </row>
    <row r="711" spans="1:22" ht="15">
      <c r="A711" s="16"/>
      <c r="B711" s="16"/>
      <c r="C711" s="16"/>
      <c r="D711" s="16"/>
      <c r="E711" s="16"/>
      <c r="F711" s="16"/>
      <c r="G711" s="16"/>
      <c r="H711" s="16"/>
      <c r="N711" s="580"/>
      <c r="O711" s="580"/>
      <c r="P711" s="580"/>
      <c r="Q711" s="580"/>
      <c r="R711" s="580"/>
      <c r="S711" s="580"/>
      <c r="T711" s="580"/>
      <c r="U711" s="580"/>
      <c r="V711" s="580"/>
    </row>
    <row r="712" spans="1:22" ht="15">
      <c r="A712" s="16"/>
      <c r="B712" s="16"/>
      <c r="C712" s="16"/>
      <c r="D712" s="16"/>
      <c r="E712" s="16"/>
      <c r="F712" s="16"/>
      <c r="G712" s="16"/>
      <c r="H712" s="16"/>
      <c r="N712" s="580"/>
      <c r="O712" s="580"/>
      <c r="P712" s="580"/>
      <c r="Q712" s="580"/>
      <c r="R712" s="580"/>
      <c r="S712" s="580"/>
      <c r="T712" s="580"/>
      <c r="U712" s="580"/>
      <c r="V712" s="580"/>
    </row>
    <row r="713" spans="1:22" ht="15">
      <c r="A713" s="16"/>
      <c r="B713" s="16"/>
      <c r="C713" s="16"/>
      <c r="D713" s="16"/>
      <c r="E713" s="16"/>
      <c r="F713" s="16"/>
      <c r="G713" s="16"/>
      <c r="H713" s="16"/>
      <c r="N713" s="580"/>
      <c r="O713" s="580"/>
      <c r="P713" s="580"/>
      <c r="Q713" s="580"/>
      <c r="R713" s="580"/>
      <c r="S713" s="580"/>
      <c r="T713" s="580"/>
      <c r="U713" s="580"/>
      <c r="V713" s="580"/>
    </row>
    <row r="714" spans="1:22" ht="15">
      <c r="A714" s="16"/>
      <c r="B714" s="16"/>
      <c r="C714" s="16"/>
      <c r="D714" s="16"/>
      <c r="E714" s="16"/>
      <c r="F714" s="16"/>
      <c r="G714" s="16"/>
      <c r="H714" s="16"/>
      <c r="N714" s="580"/>
      <c r="O714" s="580"/>
      <c r="P714" s="580"/>
      <c r="Q714" s="580"/>
      <c r="R714" s="580"/>
      <c r="S714" s="580"/>
      <c r="T714" s="580"/>
      <c r="U714" s="580"/>
      <c r="V714" s="580"/>
    </row>
    <row r="715" spans="1:22" ht="15">
      <c r="A715" s="16"/>
      <c r="B715" s="16"/>
      <c r="C715" s="16"/>
      <c r="D715" s="16"/>
      <c r="E715" s="16"/>
      <c r="F715" s="16"/>
      <c r="G715" s="16"/>
      <c r="H715" s="16"/>
      <c r="N715" s="580"/>
      <c r="O715" s="580"/>
      <c r="P715" s="580"/>
      <c r="Q715" s="580"/>
      <c r="R715" s="580"/>
      <c r="S715" s="580"/>
      <c r="T715" s="580"/>
      <c r="U715" s="580"/>
      <c r="V715" s="580"/>
    </row>
    <row r="716" spans="1:22" ht="15">
      <c r="A716" s="16"/>
      <c r="B716" s="16"/>
      <c r="C716" s="16"/>
      <c r="D716" s="16"/>
      <c r="E716" s="16"/>
      <c r="F716" s="16"/>
      <c r="G716" s="16"/>
      <c r="H716" s="16"/>
      <c r="N716" s="580"/>
      <c r="O716" s="580"/>
      <c r="P716" s="580"/>
      <c r="Q716" s="580"/>
      <c r="R716" s="580"/>
      <c r="S716" s="580"/>
      <c r="T716" s="580"/>
      <c r="U716" s="580"/>
      <c r="V716" s="580"/>
    </row>
    <row r="717" spans="1:22" ht="15">
      <c r="A717" s="16"/>
      <c r="B717" s="16"/>
      <c r="C717" s="16"/>
      <c r="D717" s="16"/>
      <c r="E717" s="16"/>
      <c r="F717" s="16"/>
      <c r="G717" s="16"/>
      <c r="H717" s="16"/>
      <c r="N717" s="580"/>
      <c r="O717" s="580"/>
      <c r="P717" s="580"/>
      <c r="Q717" s="580"/>
      <c r="R717" s="580"/>
      <c r="S717" s="580"/>
      <c r="T717" s="580"/>
      <c r="U717" s="580"/>
      <c r="V717" s="580"/>
    </row>
    <row r="718" spans="1:22" ht="15">
      <c r="A718" s="16"/>
      <c r="B718" s="16"/>
      <c r="C718" s="16"/>
      <c r="D718" s="16"/>
      <c r="E718" s="16"/>
      <c r="F718" s="16"/>
      <c r="G718" s="16"/>
      <c r="H718" s="16"/>
      <c r="N718" s="580"/>
      <c r="O718" s="580"/>
      <c r="P718" s="580"/>
      <c r="Q718" s="580"/>
      <c r="R718" s="580"/>
      <c r="S718" s="580"/>
      <c r="T718" s="580"/>
      <c r="U718" s="580"/>
      <c r="V718" s="580"/>
    </row>
    <row r="719" spans="1:22" ht="15">
      <c r="A719" s="16"/>
      <c r="B719" s="16"/>
      <c r="C719" s="16"/>
      <c r="D719" s="16"/>
      <c r="E719" s="16"/>
      <c r="F719" s="16"/>
      <c r="G719" s="16"/>
      <c r="H719" s="16"/>
      <c r="N719" s="580"/>
      <c r="O719" s="580"/>
      <c r="P719" s="580"/>
      <c r="Q719" s="580"/>
      <c r="R719" s="580"/>
      <c r="S719" s="580"/>
      <c r="T719" s="580"/>
      <c r="U719" s="580"/>
      <c r="V719" s="580"/>
    </row>
    <row r="720" spans="1:22" ht="15">
      <c r="A720" s="16"/>
      <c r="B720" s="16"/>
      <c r="C720" s="16"/>
      <c r="D720" s="16"/>
      <c r="E720" s="16"/>
      <c r="F720" s="16"/>
      <c r="G720" s="16"/>
      <c r="H720" s="16"/>
      <c r="N720" s="580"/>
      <c r="O720" s="580"/>
      <c r="P720" s="580"/>
      <c r="Q720" s="580"/>
      <c r="R720" s="580"/>
      <c r="S720" s="580"/>
      <c r="T720" s="580"/>
      <c r="U720" s="580"/>
      <c r="V720" s="580"/>
    </row>
    <row r="721" spans="1:22" ht="15">
      <c r="A721" s="16"/>
      <c r="B721" s="16"/>
      <c r="C721" s="16"/>
      <c r="D721" s="16"/>
      <c r="E721" s="16"/>
      <c r="F721" s="16"/>
      <c r="G721" s="16"/>
      <c r="H721" s="16"/>
      <c r="N721" s="580"/>
      <c r="O721" s="580"/>
      <c r="P721" s="580"/>
      <c r="Q721" s="580"/>
      <c r="R721" s="580"/>
      <c r="S721" s="580"/>
      <c r="T721" s="580"/>
      <c r="U721" s="580"/>
      <c r="V721" s="580"/>
    </row>
    <row r="722" spans="1:22" ht="15">
      <c r="A722" s="16"/>
      <c r="B722" s="16"/>
      <c r="C722" s="16"/>
      <c r="D722" s="16"/>
      <c r="E722" s="16"/>
      <c r="F722" s="16"/>
      <c r="G722" s="16"/>
      <c r="H722" s="16"/>
      <c r="N722" s="580"/>
      <c r="O722" s="580"/>
      <c r="P722" s="580"/>
      <c r="Q722" s="580"/>
      <c r="R722" s="580"/>
      <c r="S722" s="580"/>
      <c r="T722" s="580"/>
      <c r="U722" s="580"/>
      <c r="V722" s="580"/>
    </row>
    <row r="723" spans="1:22" ht="15">
      <c r="A723" s="16"/>
      <c r="B723" s="16"/>
      <c r="C723" s="16"/>
      <c r="D723" s="16"/>
      <c r="E723" s="16"/>
      <c r="F723" s="16"/>
      <c r="G723" s="16"/>
      <c r="H723" s="16"/>
      <c r="N723" s="580"/>
      <c r="O723" s="580"/>
      <c r="P723" s="580"/>
      <c r="Q723" s="580"/>
      <c r="R723" s="580"/>
      <c r="S723" s="580"/>
      <c r="T723" s="580"/>
      <c r="U723" s="580"/>
      <c r="V723" s="580"/>
    </row>
    <row r="724" spans="1:22" ht="15">
      <c r="A724" s="16"/>
      <c r="B724" s="16"/>
      <c r="C724" s="16"/>
      <c r="D724" s="16"/>
      <c r="E724" s="16"/>
      <c r="F724" s="16"/>
      <c r="G724" s="16"/>
      <c r="H724" s="16"/>
      <c r="N724" s="580"/>
      <c r="O724" s="580"/>
      <c r="P724" s="580"/>
      <c r="Q724" s="580"/>
      <c r="R724" s="580"/>
      <c r="S724" s="580"/>
      <c r="T724" s="580"/>
      <c r="U724" s="580"/>
      <c r="V724" s="580"/>
    </row>
    <row r="725" spans="1:22" ht="15">
      <c r="A725" s="16"/>
      <c r="B725" s="16"/>
      <c r="C725" s="16"/>
      <c r="D725" s="16"/>
      <c r="E725" s="16"/>
      <c r="F725" s="16"/>
      <c r="G725" s="16"/>
      <c r="H725" s="16"/>
      <c r="N725" s="580"/>
      <c r="O725" s="580"/>
      <c r="P725" s="580"/>
      <c r="Q725" s="580"/>
      <c r="R725" s="580"/>
      <c r="S725" s="580"/>
      <c r="T725" s="580"/>
      <c r="U725" s="580"/>
      <c r="V725" s="580"/>
    </row>
    <row r="726" spans="1:22" ht="15">
      <c r="A726" s="16"/>
      <c r="B726" s="16"/>
      <c r="C726" s="16"/>
      <c r="D726" s="16"/>
      <c r="E726" s="16"/>
      <c r="F726" s="16"/>
      <c r="G726" s="16"/>
      <c r="H726" s="16"/>
      <c r="N726" s="580"/>
      <c r="O726" s="580"/>
      <c r="P726" s="580"/>
      <c r="Q726" s="580"/>
      <c r="R726" s="580"/>
      <c r="S726" s="580"/>
      <c r="T726" s="580"/>
      <c r="U726" s="580"/>
      <c r="V726" s="580"/>
    </row>
    <row r="727" spans="1:22" ht="15">
      <c r="A727" s="16"/>
      <c r="B727" s="16"/>
      <c r="C727" s="16"/>
      <c r="D727" s="16"/>
      <c r="E727" s="16"/>
      <c r="F727" s="16"/>
      <c r="G727" s="16"/>
      <c r="H727" s="16"/>
      <c r="N727" s="580"/>
      <c r="O727" s="580"/>
      <c r="P727" s="580"/>
      <c r="Q727" s="580"/>
      <c r="R727" s="580"/>
      <c r="S727" s="580"/>
      <c r="T727" s="580"/>
      <c r="U727" s="580"/>
      <c r="V727" s="580"/>
    </row>
    <row r="728" spans="1:22" ht="15">
      <c r="A728" s="16"/>
      <c r="B728" s="16"/>
      <c r="C728" s="16"/>
      <c r="D728" s="16"/>
      <c r="E728" s="16"/>
      <c r="F728" s="16"/>
      <c r="G728" s="16"/>
      <c r="H728" s="16"/>
      <c r="N728" s="580"/>
      <c r="O728" s="580"/>
      <c r="P728" s="580"/>
      <c r="Q728" s="580"/>
      <c r="R728" s="580"/>
      <c r="S728" s="580"/>
      <c r="T728" s="580"/>
      <c r="U728" s="580"/>
      <c r="V728" s="580"/>
    </row>
    <row r="729" spans="1:22" ht="15">
      <c r="A729" s="16"/>
      <c r="B729" s="16"/>
      <c r="C729" s="16"/>
      <c r="D729" s="16"/>
      <c r="E729" s="16"/>
      <c r="F729" s="16"/>
      <c r="G729" s="16"/>
      <c r="H729" s="16"/>
      <c r="N729" s="580"/>
      <c r="O729" s="580"/>
      <c r="P729" s="580"/>
      <c r="Q729" s="580"/>
      <c r="R729" s="580"/>
      <c r="S729" s="580"/>
      <c r="T729" s="580"/>
      <c r="U729" s="580"/>
      <c r="V729" s="580"/>
    </row>
    <row r="730" spans="1:22" ht="15">
      <c r="A730" s="16"/>
      <c r="B730" s="16"/>
      <c r="C730" s="16"/>
      <c r="D730" s="16"/>
      <c r="E730" s="16"/>
      <c r="F730" s="16"/>
      <c r="G730" s="16"/>
      <c r="H730" s="16"/>
      <c r="N730" s="580"/>
      <c r="O730" s="580"/>
      <c r="P730" s="580"/>
      <c r="Q730" s="580"/>
      <c r="R730" s="580"/>
      <c r="S730" s="580"/>
      <c r="T730" s="580"/>
      <c r="U730" s="580"/>
      <c r="V730" s="580"/>
    </row>
    <row r="731" spans="1:22" ht="15">
      <c r="A731" s="16"/>
      <c r="B731" s="16"/>
      <c r="C731" s="16"/>
      <c r="D731" s="16"/>
      <c r="E731" s="16"/>
      <c r="F731" s="16"/>
      <c r="G731" s="16"/>
      <c r="H731" s="16"/>
      <c r="N731" s="580"/>
      <c r="O731" s="580"/>
      <c r="P731" s="580"/>
      <c r="Q731" s="580"/>
      <c r="R731" s="580"/>
      <c r="S731" s="580"/>
      <c r="T731" s="580"/>
      <c r="U731" s="580"/>
      <c r="V731" s="580"/>
    </row>
    <row r="732" spans="1:22" ht="15">
      <c r="A732" s="16"/>
      <c r="B732" s="16"/>
      <c r="C732" s="16"/>
      <c r="D732" s="16"/>
      <c r="E732" s="16"/>
      <c r="F732" s="16"/>
      <c r="G732" s="16"/>
      <c r="H732" s="16"/>
      <c r="N732" s="580"/>
      <c r="O732" s="580"/>
      <c r="P732" s="580"/>
      <c r="Q732" s="580"/>
      <c r="R732" s="580"/>
      <c r="S732" s="580"/>
      <c r="T732" s="580"/>
      <c r="U732" s="580"/>
      <c r="V732" s="580"/>
    </row>
    <row r="733" spans="1:22" ht="15">
      <c r="A733" s="16"/>
      <c r="B733" s="16"/>
      <c r="C733" s="16"/>
      <c r="D733" s="16"/>
      <c r="E733" s="16"/>
      <c r="F733" s="16"/>
      <c r="G733" s="16"/>
      <c r="H733" s="16"/>
      <c r="N733" s="580"/>
      <c r="O733" s="580"/>
      <c r="P733" s="580"/>
      <c r="Q733" s="580"/>
      <c r="R733" s="580"/>
      <c r="S733" s="580"/>
      <c r="T733" s="580"/>
      <c r="U733" s="580"/>
      <c r="V733" s="580"/>
    </row>
    <row r="734" spans="1:22" ht="15">
      <c r="A734" s="16"/>
      <c r="B734" s="16"/>
      <c r="C734" s="16"/>
      <c r="D734" s="16"/>
      <c r="E734" s="16"/>
      <c r="F734" s="16"/>
      <c r="G734" s="16"/>
      <c r="H734" s="16"/>
      <c r="N734" s="580"/>
      <c r="O734" s="580"/>
      <c r="P734" s="580"/>
      <c r="Q734" s="580"/>
      <c r="R734" s="580"/>
      <c r="S734" s="580"/>
      <c r="T734" s="580"/>
      <c r="U734" s="580"/>
      <c r="V734" s="580"/>
    </row>
    <row r="735" spans="1:22" ht="15">
      <c r="A735" s="16"/>
      <c r="B735" s="16"/>
      <c r="C735" s="16"/>
      <c r="D735" s="16"/>
      <c r="E735" s="16"/>
      <c r="F735" s="16"/>
      <c r="G735" s="16"/>
      <c r="H735" s="16"/>
      <c r="N735" s="580"/>
      <c r="O735" s="580"/>
      <c r="P735" s="580"/>
      <c r="Q735" s="580"/>
      <c r="R735" s="580"/>
      <c r="S735" s="580"/>
      <c r="T735" s="580"/>
      <c r="U735" s="580"/>
      <c r="V735" s="580"/>
    </row>
    <row r="736" spans="1:22" ht="15">
      <c r="A736" s="16"/>
      <c r="B736" s="16"/>
      <c r="C736" s="16"/>
      <c r="D736" s="16"/>
      <c r="E736" s="16"/>
      <c r="F736" s="16"/>
      <c r="G736" s="16"/>
      <c r="H736" s="16"/>
      <c r="N736" s="580"/>
      <c r="O736" s="580"/>
      <c r="P736" s="580"/>
      <c r="Q736" s="580"/>
      <c r="R736" s="580"/>
      <c r="S736" s="580"/>
      <c r="T736" s="580"/>
      <c r="U736" s="580"/>
      <c r="V736" s="580"/>
    </row>
    <row r="737" spans="1:22" ht="15">
      <c r="A737" s="16"/>
      <c r="B737" s="16"/>
      <c r="C737" s="16"/>
      <c r="D737" s="16"/>
      <c r="E737" s="16"/>
      <c r="F737" s="16"/>
      <c r="G737" s="16"/>
      <c r="H737" s="16"/>
      <c r="N737" s="580"/>
      <c r="O737" s="580"/>
      <c r="P737" s="580"/>
      <c r="Q737" s="580"/>
      <c r="R737" s="580"/>
      <c r="S737" s="580"/>
      <c r="T737" s="580"/>
      <c r="U737" s="580"/>
      <c r="V737" s="580"/>
    </row>
    <row r="738" spans="1:22" ht="15">
      <c r="A738" s="16"/>
      <c r="B738" s="16"/>
      <c r="C738" s="16"/>
      <c r="D738" s="16"/>
      <c r="E738" s="16"/>
      <c r="F738" s="16"/>
      <c r="G738" s="16"/>
      <c r="H738" s="16"/>
      <c r="N738" s="580"/>
      <c r="O738" s="580"/>
      <c r="P738" s="580"/>
      <c r="Q738" s="580"/>
      <c r="R738" s="580"/>
      <c r="S738" s="580"/>
      <c r="T738" s="580"/>
      <c r="U738" s="580"/>
      <c r="V738" s="580"/>
    </row>
    <row r="739" spans="1:22" ht="15">
      <c r="A739" s="16"/>
      <c r="B739" s="16"/>
      <c r="C739" s="16"/>
      <c r="D739" s="16"/>
      <c r="E739" s="16"/>
      <c r="F739" s="16"/>
      <c r="G739" s="16"/>
      <c r="H739" s="16"/>
      <c r="N739" s="580"/>
      <c r="O739" s="580"/>
      <c r="P739" s="580"/>
      <c r="Q739" s="580"/>
      <c r="R739" s="580"/>
      <c r="S739" s="580"/>
      <c r="T739" s="580"/>
      <c r="U739" s="580"/>
      <c r="V739" s="580"/>
    </row>
    <row r="740" spans="1:22" ht="15">
      <c r="A740" s="16"/>
      <c r="B740" s="16"/>
      <c r="C740" s="16"/>
      <c r="D740" s="16"/>
      <c r="E740" s="16"/>
      <c r="F740" s="16"/>
      <c r="G740" s="16"/>
      <c r="H740" s="16"/>
      <c r="N740" s="580"/>
      <c r="O740" s="580"/>
      <c r="P740" s="580"/>
      <c r="Q740" s="580"/>
      <c r="R740" s="580"/>
      <c r="S740" s="580"/>
      <c r="T740" s="580"/>
      <c r="U740" s="580"/>
      <c r="V740" s="580"/>
    </row>
    <row r="741" spans="1:22" ht="15">
      <c r="A741" s="16"/>
      <c r="B741" s="16"/>
      <c r="C741" s="16"/>
      <c r="D741" s="16"/>
      <c r="E741" s="16"/>
      <c r="F741" s="16"/>
      <c r="G741" s="16"/>
      <c r="H741" s="16"/>
      <c r="N741" s="580"/>
      <c r="O741" s="580"/>
      <c r="P741" s="580"/>
      <c r="Q741" s="580"/>
      <c r="R741" s="580"/>
      <c r="S741" s="580"/>
      <c r="T741" s="580"/>
      <c r="U741" s="580"/>
      <c r="V741" s="580"/>
    </row>
    <row r="742" spans="1:22" ht="15">
      <c r="A742" s="16"/>
      <c r="B742" s="16"/>
      <c r="C742" s="16"/>
      <c r="D742" s="16"/>
      <c r="E742" s="16"/>
      <c r="F742" s="16"/>
      <c r="G742" s="16"/>
      <c r="H742" s="16"/>
      <c r="N742" s="580"/>
      <c r="O742" s="580"/>
      <c r="P742" s="580"/>
      <c r="Q742" s="580"/>
      <c r="R742" s="580"/>
      <c r="S742" s="580"/>
      <c r="T742" s="580"/>
      <c r="U742" s="580"/>
      <c r="V742" s="580"/>
    </row>
    <row r="743" spans="1:22" ht="15">
      <c r="A743" s="16"/>
      <c r="B743" s="16"/>
      <c r="C743" s="16"/>
      <c r="D743" s="16"/>
      <c r="E743" s="16"/>
      <c r="F743" s="16"/>
      <c r="G743" s="16"/>
      <c r="H743" s="16"/>
      <c r="N743" s="580"/>
      <c r="O743" s="580"/>
      <c r="P743" s="580"/>
      <c r="Q743" s="580"/>
      <c r="R743" s="580"/>
      <c r="S743" s="580"/>
      <c r="T743" s="580"/>
      <c r="U743" s="580"/>
      <c r="V743" s="580"/>
    </row>
    <row r="744" spans="1:22" ht="15">
      <c r="A744" s="16"/>
      <c r="B744" s="16"/>
      <c r="C744" s="16"/>
      <c r="D744" s="16"/>
      <c r="E744" s="16"/>
      <c r="F744" s="16"/>
      <c r="G744" s="16"/>
      <c r="H744" s="16"/>
      <c r="N744" s="580"/>
      <c r="O744" s="580"/>
      <c r="P744" s="580"/>
      <c r="Q744" s="580"/>
      <c r="R744" s="580"/>
      <c r="S744" s="580"/>
      <c r="T744" s="580"/>
      <c r="U744" s="580"/>
      <c r="V744" s="580"/>
    </row>
    <row r="745" spans="1:22" ht="15">
      <c r="A745" s="16"/>
      <c r="B745" s="16"/>
      <c r="C745" s="16"/>
      <c r="D745" s="16"/>
      <c r="E745" s="16"/>
      <c r="F745" s="16"/>
      <c r="G745" s="16"/>
      <c r="H745" s="16"/>
      <c r="N745" s="580"/>
      <c r="O745" s="580"/>
      <c r="P745" s="580"/>
      <c r="Q745" s="580"/>
      <c r="R745" s="580"/>
      <c r="S745" s="580"/>
      <c r="T745" s="580"/>
      <c r="U745" s="580"/>
      <c r="V745" s="580"/>
    </row>
    <row r="746" spans="1:22" ht="15">
      <c r="A746" s="16"/>
      <c r="B746" s="16"/>
      <c r="C746" s="16"/>
      <c r="D746" s="16"/>
      <c r="E746" s="16"/>
      <c r="F746" s="16"/>
      <c r="G746" s="16"/>
      <c r="H746" s="16"/>
      <c r="N746" s="580"/>
      <c r="O746" s="580"/>
      <c r="P746" s="580"/>
      <c r="Q746" s="580"/>
      <c r="R746" s="580"/>
      <c r="S746" s="580"/>
      <c r="T746" s="580"/>
      <c r="U746" s="580"/>
      <c r="V746" s="580"/>
    </row>
    <row r="747" spans="1:22" ht="15">
      <c r="A747" s="16"/>
      <c r="B747" s="16"/>
      <c r="C747" s="16"/>
      <c r="D747" s="16"/>
      <c r="E747" s="16"/>
      <c r="F747" s="16"/>
      <c r="G747" s="16"/>
      <c r="H747" s="16"/>
      <c r="N747" s="580"/>
      <c r="O747" s="580"/>
      <c r="P747" s="580"/>
      <c r="Q747" s="580"/>
      <c r="R747" s="580"/>
      <c r="S747" s="580"/>
      <c r="T747" s="580"/>
      <c r="U747" s="580"/>
      <c r="V747" s="580"/>
    </row>
    <row r="748" spans="1:22" ht="15">
      <c r="A748" s="16"/>
      <c r="B748" s="16"/>
      <c r="C748" s="16"/>
      <c r="D748" s="16"/>
      <c r="E748" s="16"/>
      <c r="F748" s="16"/>
      <c r="G748" s="16"/>
      <c r="H748" s="16"/>
      <c r="N748" s="580"/>
      <c r="O748" s="580"/>
      <c r="P748" s="580"/>
      <c r="Q748" s="580"/>
      <c r="R748" s="580"/>
      <c r="S748" s="580"/>
      <c r="T748" s="580"/>
      <c r="U748" s="580"/>
      <c r="V748" s="580"/>
    </row>
    <row r="749" spans="1:22" ht="15">
      <c r="A749" s="16"/>
      <c r="B749" s="16"/>
      <c r="C749" s="16"/>
      <c r="D749" s="16"/>
      <c r="E749" s="16"/>
      <c r="F749" s="16"/>
      <c r="G749" s="16"/>
      <c r="H749" s="16"/>
      <c r="N749" s="580"/>
      <c r="O749" s="580"/>
      <c r="P749" s="580"/>
      <c r="Q749" s="580"/>
      <c r="R749" s="580"/>
      <c r="S749" s="580"/>
      <c r="T749" s="580"/>
      <c r="U749" s="580"/>
      <c r="V749" s="580"/>
    </row>
    <row r="750" spans="1:22" ht="15">
      <c r="A750" s="16"/>
      <c r="B750" s="16"/>
      <c r="C750" s="16"/>
      <c r="D750" s="16"/>
      <c r="E750" s="16"/>
      <c r="F750" s="16"/>
      <c r="G750" s="16"/>
      <c r="H750" s="16"/>
      <c r="N750" s="580"/>
      <c r="O750" s="580"/>
      <c r="P750" s="580"/>
      <c r="Q750" s="580"/>
      <c r="R750" s="580"/>
      <c r="S750" s="580"/>
      <c r="T750" s="580"/>
      <c r="U750" s="580"/>
      <c r="V750" s="580"/>
    </row>
    <row r="751" spans="1:22" ht="15">
      <c r="A751" s="16"/>
      <c r="B751" s="16"/>
      <c r="C751" s="16"/>
      <c r="D751" s="16"/>
      <c r="E751" s="16"/>
      <c r="F751" s="16"/>
      <c r="G751" s="16"/>
      <c r="H751" s="16"/>
      <c r="N751" s="580"/>
      <c r="O751" s="580"/>
      <c r="P751" s="580"/>
      <c r="Q751" s="580"/>
      <c r="R751" s="580"/>
      <c r="S751" s="580"/>
      <c r="T751" s="580"/>
      <c r="U751" s="580"/>
      <c r="V751" s="580"/>
    </row>
    <row r="752" spans="1:22" ht="15">
      <c r="A752" s="16"/>
      <c r="B752" s="16"/>
      <c r="C752" s="16"/>
      <c r="D752" s="16"/>
      <c r="E752" s="16"/>
      <c r="F752" s="16"/>
      <c r="G752" s="16"/>
      <c r="H752" s="16"/>
      <c r="N752" s="580"/>
      <c r="O752" s="580"/>
      <c r="P752" s="580"/>
      <c r="Q752" s="580"/>
      <c r="R752" s="580"/>
      <c r="S752" s="580"/>
      <c r="T752" s="580"/>
      <c r="U752" s="580"/>
      <c r="V752" s="580"/>
    </row>
    <row r="753" spans="1:22" ht="15">
      <c r="A753" s="16"/>
      <c r="B753" s="16"/>
      <c r="C753" s="16"/>
      <c r="D753" s="16"/>
      <c r="E753" s="16"/>
      <c r="F753" s="16"/>
      <c r="G753" s="16"/>
      <c r="H753" s="16"/>
      <c r="N753" s="580"/>
      <c r="O753" s="580"/>
      <c r="P753" s="580"/>
      <c r="Q753" s="580"/>
      <c r="R753" s="580"/>
      <c r="S753" s="580"/>
      <c r="T753" s="580"/>
      <c r="U753" s="580"/>
      <c r="V753" s="580"/>
    </row>
    <row r="754" spans="1:22" ht="15">
      <c r="A754" s="16"/>
      <c r="B754" s="16"/>
      <c r="C754" s="16"/>
      <c r="D754" s="16"/>
      <c r="E754" s="16"/>
      <c r="F754" s="16"/>
      <c r="G754" s="16"/>
      <c r="H754" s="16"/>
      <c r="N754" s="580"/>
      <c r="O754" s="580"/>
      <c r="P754" s="580"/>
      <c r="Q754" s="580"/>
      <c r="R754" s="580"/>
      <c r="S754" s="580"/>
      <c r="T754" s="580"/>
      <c r="U754" s="580"/>
      <c r="V754" s="580"/>
    </row>
    <row r="755" spans="1:22" ht="15">
      <c r="A755" s="16"/>
      <c r="B755" s="16"/>
      <c r="C755" s="16"/>
      <c r="D755" s="16"/>
      <c r="E755" s="16"/>
      <c r="F755" s="16"/>
      <c r="G755" s="16"/>
      <c r="H755" s="16"/>
      <c r="N755" s="580"/>
      <c r="O755" s="580"/>
      <c r="P755" s="580"/>
      <c r="Q755" s="580"/>
      <c r="R755" s="580"/>
      <c r="S755" s="580"/>
      <c r="T755" s="580"/>
      <c r="U755" s="580"/>
      <c r="V755" s="580"/>
    </row>
    <row r="756" spans="1:22" ht="15">
      <c r="A756" s="16"/>
      <c r="B756" s="16"/>
      <c r="C756" s="16"/>
      <c r="D756" s="16"/>
      <c r="E756" s="16"/>
      <c r="F756" s="16"/>
      <c r="G756" s="16"/>
      <c r="H756" s="16"/>
      <c r="N756" s="580"/>
      <c r="O756" s="580"/>
      <c r="P756" s="580"/>
      <c r="Q756" s="580"/>
      <c r="R756" s="580"/>
      <c r="S756" s="580"/>
      <c r="T756" s="580"/>
      <c r="U756" s="580"/>
      <c r="V756" s="580"/>
    </row>
    <row r="757" spans="1:22" ht="15">
      <c r="A757" s="16"/>
      <c r="B757" s="16"/>
      <c r="C757" s="16"/>
      <c r="D757" s="16"/>
      <c r="E757" s="16"/>
      <c r="F757" s="16"/>
      <c r="G757" s="16"/>
      <c r="H757" s="16"/>
      <c r="N757" s="580"/>
      <c r="O757" s="580"/>
      <c r="P757" s="580"/>
      <c r="Q757" s="580"/>
      <c r="R757" s="580"/>
      <c r="S757" s="580"/>
      <c r="T757" s="580"/>
      <c r="U757" s="580"/>
      <c r="V757" s="580"/>
    </row>
    <row r="758" spans="1:22" ht="15">
      <c r="A758" s="16"/>
      <c r="B758" s="16"/>
      <c r="C758" s="16"/>
      <c r="D758" s="16"/>
      <c r="E758" s="16"/>
      <c r="F758" s="16"/>
      <c r="G758" s="16"/>
      <c r="H758" s="16"/>
      <c r="N758" s="580"/>
      <c r="O758" s="580"/>
      <c r="P758" s="580"/>
      <c r="Q758" s="580"/>
      <c r="R758" s="580"/>
      <c r="S758" s="580"/>
      <c r="T758" s="580"/>
      <c r="U758" s="580"/>
      <c r="V758" s="580"/>
    </row>
    <row r="759" spans="1:22" ht="15">
      <c r="A759" s="16"/>
      <c r="B759" s="16"/>
      <c r="C759" s="16"/>
      <c r="D759" s="16"/>
      <c r="E759" s="16"/>
      <c r="F759" s="16"/>
      <c r="G759" s="16"/>
      <c r="H759" s="16"/>
      <c r="N759" s="580"/>
      <c r="O759" s="580"/>
      <c r="P759" s="580"/>
      <c r="Q759" s="580"/>
      <c r="R759" s="580"/>
      <c r="S759" s="580"/>
      <c r="T759" s="580"/>
      <c r="U759" s="580"/>
      <c r="V759" s="580"/>
    </row>
    <row r="760" spans="1:22" ht="15">
      <c r="A760" s="16"/>
      <c r="B760" s="16"/>
      <c r="C760" s="16"/>
      <c r="D760" s="16"/>
      <c r="E760" s="16"/>
      <c r="F760" s="16"/>
      <c r="G760" s="16"/>
      <c r="H760" s="16"/>
      <c r="N760" s="580"/>
      <c r="O760" s="580"/>
      <c r="P760" s="580"/>
      <c r="Q760" s="580"/>
      <c r="R760" s="580"/>
      <c r="S760" s="580"/>
      <c r="T760" s="580"/>
      <c r="U760" s="580"/>
      <c r="V760" s="580"/>
    </row>
    <row r="761" spans="1:22" ht="15">
      <c r="A761" s="16"/>
      <c r="B761" s="16"/>
      <c r="C761" s="16"/>
      <c r="D761" s="16"/>
      <c r="E761" s="16"/>
      <c r="F761" s="16"/>
      <c r="G761" s="16"/>
      <c r="H761" s="16"/>
      <c r="N761" s="580"/>
      <c r="O761" s="580"/>
      <c r="P761" s="580"/>
      <c r="Q761" s="580"/>
      <c r="R761" s="580"/>
      <c r="S761" s="580"/>
      <c r="T761" s="580"/>
      <c r="U761" s="580"/>
      <c r="V761" s="580"/>
    </row>
    <row r="762" spans="1:22" ht="15">
      <c r="A762" s="16"/>
      <c r="B762" s="16"/>
      <c r="C762" s="16"/>
      <c r="D762" s="16"/>
      <c r="E762" s="16"/>
      <c r="F762" s="16"/>
      <c r="G762" s="16"/>
      <c r="H762" s="16"/>
      <c r="N762" s="580"/>
      <c r="O762" s="580"/>
      <c r="P762" s="580"/>
      <c r="Q762" s="580"/>
      <c r="R762" s="580"/>
      <c r="S762" s="580"/>
      <c r="T762" s="580"/>
      <c r="U762" s="580"/>
      <c r="V762" s="580"/>
    </row>
    <row r="763" spans="1:22" ht="15">
      <c r="A763" s="16"/>
      <c r="B763" s="16"/>
      <c r="C763" s="16"/>
      <c r="D763" s="16"/>
      <c r="E763" s="16"/>
      <c r="F763" s="16"/>
      <c r="G763" s="16"/>
      <c r="H763" s="16"/>
      <c r="N763" s="580"/>
      <c r="O763" s="580"/>
      <c r="P763" s="580"/>
      <c r="Q763" s="580"/>
      <c r="R763" s="580"/>
      <c r="S763" s="580"/>
      <c r="T763" s="580"/>
      <c r="U763" s="580"/>
      <c r="V763" s="580"/>
    </row>
    <row r="764" spans="1:22" ht="15">
      <c r="A764" s="16"/>
      <c r="B764" s="16"/>
      <c r="C764" s="16"/>
      <c r="D764" s="16"/>
      <c r="E764" s="16"/>
      <c r="F764" s="16"/>
      <c r="G764" s="16"/>
      <c r="H764" s="16"/>
      <c r="N764" s="580"/>
      <c r="O764" s="580"/>
      <c r="P764" s="580"/>
      <c r="Q764" s="580"/>
      <c r="R764" s="580"/>
      <c r="S764" s="580"/>
      <c r="T764" s="580"/>
      <c r="U764" s="580"/>
      <c r="V764" s="580"/>
    </row>
    <row r="765" spans="1:22" ht="15">
      <c r="A765" s="16"/>
      <c r="B765" s="16"/>
      <c r="C765" s="16"/>
      <c r="D765" s="16"/>
      <c r="E765" s="16"/>
      <c r="F765" s="16"/>
      <c r="G765" s="16"/>
      <c r="H765" s="16"/>
      <c r="N765" s="580"/>
      <c r="O765" s="580"/>
      <c r="P765" s="580"/>
      <c r="Q765" s="580"/>
      <c r="R765" s="580"/>
      <c r="S765" s="580"/>
      <c r="T765" s="580"/>
      <c r="U765" s="580"/>
      <c r="V765" s="580"/>
    </row>
    <row r="766" spans="1:22" ht="15">
      <c r="A766" s="16"/>
      <c r="B766" s="16"/>
      <c r="C766" s="16"/>
      <c r="D766" s="16"/>
      <c r="E766" s="16"/>
      <c r="F766" s="16"/>
      <c r="G766" s="16"/>
      <c r="H766" s="16"/>
      <c r="N766" s="580"/>
      <c r="O766" s="580"/>
      <c r="P766" s="580"/>
      <c r="Q766" s="580"/>
      <c r="R766" s="580"/>
      <c r="S766" s="580"/>
      <c r="T766" s="580"/>
      <c r="U766" s="580"/>
      <c r="V766" s="580"/>
    </row>
    <row r="767" spans="1:22" ht="15">
      <c r="A767" s="16"/>
      <c r="B767" s="16"/>
      <c r="C767" s="16"/>
      <c r="D767" s="16"/>
      <c r="E767" s="16"/>
      <c r="F767" s="16"/>
      <c r="G767" s="16"/>
      <c r="H767" s="16"/>
      <c r="N767" s="580"/>
      <c r="O767" s="580"/>
      <c r="P767" s="580"/>
      <c r="Q767" s="580"/>
      <c r="R767" s="580"/>
      <c r="S767" s="580"/>
      <c r="T767" s="580"/>
      <c r="U767" s="580"/>
      <c r="V767" s="580"/>
    </row>
    <row r="768" spans="1:22" ht="15">
      <c r="A768" s="16"/>
      <c r="B768" s="16"/>
      <c r="C768" s="16"/>
      <c r="D768" s="16"/>
      <c r="E768" s="16"/>
      <c r="F768" s="16"/>
      <c r="G768" s="16"/>
      <c r="H768" s="16"/>
      <c r="N768" s="580"/>
      <c r="O768" s="580"/>
      <c r="P768" s="580"/>
      <c r="Q768" s="580"/>
      <c r="R768" s="580"/>
      <c r="S768" s="580"/>
      <c r="T768" s="580"/>
      <c r="U768" s="580"/>
      <c r="V768" s="580"/>
    </row>
    <row r="769" spans="1:22" ht="15">
      <c r="A769" s="16"/>
      <c r="B769" s="16"/>
      <c r="C769" s="16"/>
      <c r="D769" s="16"/>
      <c r="E769" s="16"/>
      <c r="F769" s="16"/>
      <c r="G769" s="16"/>
      <c r="H769" s="16"/>
      <c r="N769" s="580"/>
      <c r="O769" s="580"/>
      <c r="P769" s="580"/>
      <c r="Q769" s="580"/>
      <c r="R769" s="580"/>
      <c r="S769" s="580"/>
      <c r="T769" s="580"/>
      <c r="U769" s="580"/>
      <c r="V769" s="580"/>
    </row>
    <row r="770" spans="1:22" ht="15">
      <c r="A770" s="16"/>
      <c r="B770" s="16"/>
      <c r="C770" s="16"/>
      <c r="D770" s="16"/>
      <c r="E770" s="16"/>
      <c r="F770" s="16"/>
      <c r="G770" s="16"/>
      <c r="H770" s="16"/>
      <c r="N770" s="580"/>
      <c r="O770" s="580"/>
      <c r="P770" s="580"/>
      <c r="Q770" s="580"/>
      <c r="R770" s="580"/>
      <c r="S770" s="580"/>
      <c r="T770" s="580"/>
      <c r="U770" s="580"/>
      <c r="V770" s="580"/>
    </row>
    <row r="771" spans="1:22" ht="15">
      <c r="A771" s="16"/>
      <c r="B771" s="16"/>
      <c r="C771" s="16"/>
      <c r="D771" s="16"/>
      <c r="E771" s="16"/>
      <c r="F771" s="16"/>
      <c r="G771" s="16"/>
      <c r="H771" s="16"/>
      <c r="N771" s="580"/>
      <c r="O771" s="580"/>
      <c r="P771" s="580"/>
      <c r="Q771" s="580"/>
      <c r="R771" s="580"/>
      <c r="S771" s="580"/>
      <c r="T771" s="580"/>
      <c r="U771" s="580"/>
      <c r="V771" s="580"/>
    </row>
    <row r="772" spans="1:22" ht="15">
      <c r="A772" s="16"/>
      <c r="B772" s="16"/>
      <c r="C772" s="16"/>
      <c r="D772" s="16"/>
      <c r="E772" s="16"/>
      <c r="F772" s="16"/>
      <c r="G772" s="16"/>
      <c r="H772" s="16"/>
      <c r="N772" s="580"/>
      <c r="O772" s="580"/>
      <c r="P772" s="580"/>
      <c r="Q772" s="580"/>
      <c r="R772" s="580"/>
      <c r="S772" s="580"/>
      <c r="T772" s="580"/>
      <c r="U772" s="580"/>
      <c r="V772" s="580"/>
    </row>
    <row r="773" spans="1:22" ht="15">
      <c r="A773" s="16"/>
      <c r="B773" s="16"/>
      <c r="C773" s="16"/>
      <c r="D773" s="16"/>
      <c r="E773" s="16"/>
      <c r="F773" s="16"/>
      <c r="G773" s="16"/>
      <c r="H773" s="16"/>
      <c r="N773" s="580"/>
      <c r="O773" s="580"/>
      <c r="P773" s="580"/>
      <c r="Q773" s="580"/>
      <c r="R773" s="580"/>
      <c r="S773" s="580"/>
      <c r="T773" s="580"/>
      <c r="U773" s="580"/>
      <c r="V773" s="580"/>
    </row>
    <row r="774" spans="1:22" ht="15">
      <c r="A774" s="16"/>
      <c r="B774" s="16"/>
      <c r="C774" s="16"/>
      <c r="D774" s="16"/>
      <c r="E774" s="16"/>
      <c r="F774" s="16"/>
      <c r="G774" s="16"/>
      <c r="H774" s="16"/>
      <c r="N774" s="580"/>
      <c r="O774" s="580"/>
      <c r="P774" s="580"/>
      <c r="Q774" s="580"/>
      <c r="R774" s="580"/>
      <c r="S774" s="580"/>
      <c r="T774" s="580"/>
      <c r="U774" s="580"/>
      <c r="V774" s="580"/>
    </row>
    <row r="775" spans="1:22" ht="15">
      <c r="A775" s="16"/>
      <c r="B775" s="16"/>
      <c r="C775" s="16"/>
      <c r="D775" s="16"/>
      <c r="E775" s="16"/>
      <c r="F775" s="16"/>
      <c r="G775" s="16"/>
      <c r="H775" s="16"/>
      <c r="N775" s="580"/>
      <c r="O775" s="580"/>
      <c r="P775" s="580"/>
      <c r="Q775" s="580"/>
      <c r="R775" s="580"/>
      <c r="S775" s="580"/>
      <c r="T775" s="580"/>
      <c r="U775" s="580"/>
      <c r="V775" s="580"/>
    </row>
    <row r="776" spans="1:22" ht="15">
      <c r="A776" s="16"/>
      <c r="B776" s="16"/>
      <c r="C776" s="16"/>
      <c r="D776" s="16"/>
      <c r="E776" s="16"/>
      <c r="F776" s="16"/>
      <c r="G776" s="16"/>
      <c r="H776" s="16"/>
      <c r="N776" s="580"/>
      <c r="O776" s="580"/>
      <c r="P776" s="580"/>
      <c r="Q776" s="580"/>
      <c r="R776" s="580"/>
      <c r="S776" s="580"/>
      <c r="T776" s="580"/>
      <c r="U776" s="580"/>
      <c r="V776" s="580"/>
    </row>
    <row r="777" spans="1:22" ht="15">
      <c r="A777" s="16"/>
      <c r="B777" s="16"/>
      <c r="C777" s="16"/>
      <c r="D777" s="16"/>
      <c r="E777" s="16"/>
      <c r="F777" s="16"/>
      <c r="G777" s="16"/>
      <c r="H777" s="16"/>
      <c r="N777" s="580"/>
      <c r="O777" s="580"/>
      <c r="P777" s="580"/>
      <c r="Q777" s="580"/>
      <c r="R777" s="580"/>
      <c r="S777" s="580"/>
      <c r="T777" s="580"/>
      <c r="U777" s="580"/>
      <c r="V777" s="580"/>
    </row>
    <row r="778" spans="1:22" ht="15">
      <c r="A778" s="16"/>
      <c r="B778" s="16"/>
      <c r="C778" s="16"/>
      <c r="D778" s="16"/>
      <c r="E778" s="16"/>
      <c r="F778" s="16"/>
      <c r="G778" s="16"/>
      <c r="H778" s="16"/>
      <c r="N778" s="580"/>
      <c r="O778" s="580"/>
      <c r="P778" s="580"/>
      <c r="Q778" s="580"/>
      <c r="R778" s="580"/>
      <c r="S778" s="580"/>
      <c r="T778" s="580"/>
      <c r="U778" s="580"/>
      <c r="V778" s="580"/>
    </row>
    <row r="779" spans="1:22" ht="15">
      <c r="A779" s="16"/>
      <c r="B779" s="16"/>
      <c r="C779" s="16"/>
      <c r="D779" s="16"/>
      <c r="E779" s="16"/>
      <c r="F779" s="16"/>
      <c r="G779" s="16"/>
      <c r="H779" s="16"/>
      <c r="N779" s="580"/>
      <c r="O779" s="580"/>
      <c r="P779" s="580"/>
      <c r="Q779" s="580"/>
      <c r="R779" s="580"/>
      <c r="S779" s="580"/>
      <c r="T779" s="580"/>
      <c r="U779" s="580"/>
      <c r="V779" s="580"/>
    </row>
    <row r="780" spans="1:22" ht="15">
      <c r="A780" s="16"/>
      <c r="B780" s="16"/>
      <c r="C780" s="16"/>
      <c r="D780" s="16"/>
      <c r="E780" s="16"/>
      <c r="F780" s="16"/>
      <c r="G780" s="16"/>
      <c r="H780" s="16"/>
      <c r="N780" s="580"/>
      <c r="O780" s="580"/>
      <c r="P780" s="580"/>
      <c r="Q780" s="580"/>
      <c r="R780" s="580"/>
      <c r="S780" s="580"/>
      <c r="T780" s="580"/>
      <c r="U780" s="580"/>
      <c r="V780" s="580"/>
    </row>
    <row r="781" spans="1:22" ht="15">
      <c r="A781" s="16"/>
      <c r="B781" s="16"/>
      <c r="C781" s="16"/>
      <c r="D781" s="16"/>
      <c r="E781" s="16"/>
      <c r="F781" s="16"/>
      <c r="G781" s="16"/>
      <c r="H781" s="16"/>
      <c r="N781" s="580"/>
      <c r="O781" s="580"/>
      <c r="P781" s="580"/>
      <c r="Q781" s="580"/>
      <c r="R781" s="580"/>
      <c r="S781" s="580"/>
      <c r="T781" s="580"/>
      <c r="U781" s="580"/>
      <c r="V781" s="580"/>
    </row>
    <row r="782" spans="1:22" ht="15">
      <c r="A782" s="16"/>
      <c r="B782" s="16"/>
      <c r="C782" s="16"/>
      <c r="D782" s="16"/>
      <c r="E782" s="16"/>
      <c r="F782" s="16"/>
      <c r="G782" s="16"/>
      <c r="H782" s="16"/>
      <c r="N782" s="580"/>
      <c r="O782" s="580"/>
      <c r="P782" s="580"/>
      <c r="Q782" s="580"/>
      <c r="R782" s="580"/>
      <c r="S782" s="580"/>
      <c r="T782" s="580"/>
      <c r="U782" s="580"/>
      <c r="V782" s="580"/>
    </row>
    <row r="783" spans="1:22" ht="15">
      <c r="A783" s="16"/>
      <c r="B783" s="16"/>
      <c r="C783" s="16"/>
      <c r="D783" s="16"/>
      <c r="E783" s="16"/>
      <c r="F783" s="16"/>
      <c r="G783" s="16"/>
      <c r="H783" s="16"/>
      <c r="N783" s="580"/>
      <c r="O783" s="580"/>
      <c r="P783" s="580"/>
      <c r="Q783" s="580"/>
      <c r="R783" s="580"/>
      <c r="S783" s="580"/>
      <c r="T783" s="580"/>
      <c r="U783" s="580"/>
      <c r="V783" s="580"/>
    </row>
    <row r="784" spans="1:22" ht="15">
      <c r="A784" s="16"/>
      <c r="B784" s="16"/>
      <c r="C784" s="16"/>
      <c r="D784" s="16"/>
      <c r="E784" s="16"/>
      <c r="F784" s="16"/>
      <c r="G784" s="16"/>
      <c r="H784" s="16"/>
      <c r="N784" s="580"/>
      <c r="O784" s="580"/>
      <c r="P784" s="580"/>
      <c r="Q784" s="580"/>
      <c r="R784" s="580"/>
      <c r="S784" s="580"/>
      <c r="T784" s="580"/>
      <c r="U784" s="580"/>
      <c r="V784" s="580"/>
    </row>
    <row r="785" spans="1:22" ht="15">
      <c r="A785" s="16"/>
      <c r="B785" s="16"/>
      <c r="C785" s="16"/>
      <c r="D785" s="16"/>
      <c r="E785" s="16"/>
      <c r="F785" s="16"/>
      <c r="G785" s="16"/>
      <c r="H785" s="16"/>
      <c r="N785" s="580"/>
      <c r="O785" s="580"/>
      <c r="P785" s="580"/>
      <c r="Q785" s="580"/>
      <c r="R785" s="580"/>
      <c r="S785" s="580"/>
      <c r="T785" s="580"/>
      <c r="U785" s="580"/>
      <c r="V785" s="580"/>
    </row>
    <row r="786" spans="1:22" ht="15">
      <c r="A786" s="16"/>
      <c r="B786" s="16"/>
      <c r="C786" s="16"/>
      <c r="D786" s="16"/>
      <c r="E786" s="16"/>
      <c r="F786" s="16"/>
      <c r="G786" s="16"/>
      <c r="H786" s="16"/>
      <c r="N786" s="580"/>
      <c r="O786" s="580"/>
      <c r="P786" s="580"/>
      <c r="Q786" s="580"/>
      <c r="R786" s="580"/>
      <c r="S786" s="580"/>
      <c r="T786" s="580"/>
      <c r="U786" s="580"/>
      <c r="V786" s="580"/>
    </row>
    <row r="787" spans="1:22" ht="15">
      <c r="A787" s="16"/>
      <c r="B787" s="16"/>
      <c r="C787" s="16"/>
      <c r="D787" s="16"/>
      <c r="E787" s="16"/>
      <c r="F787" s="16"/>
      <c r="G787" s="16"/>
      <c r="H787" s="16"/>
      <c r="N787" s="580"/>
      <c r="O787" s="580"/>
      <c r="P787" s="580"/>
      <c r="Q787" s="580"/>
      <c r="R787" s="580"/>
      <c r="S787" s="580"/>
      <c r="T787" s="580"/>
      <c r="U787" s="580"/>
      <c r="V787" s="580"/>
    </row>
    <row r="788" spans="1:22" ht="15">
      <c r="A788" s="16"/>
      <c r="B788" s="16"/>
      <c r="C788" s="16"/>
      <c r="D788" s="16"/>
      <c r="E788" s="16"/>
      <c r="F788" s="16"/>
      <c r="G788" s="16"/>
      <c r="H788" s="16"/>
      <c r="N788" s="580"/>
      <c r="O788" s="580"/>
      <c r="P788" s="580"/>
      <c r="Q788" s="580"/>
      <c r="R788" s="580"/>
      <c r="S788" s="580"/>
      <c r="T788" s="580"/>
      <c r="U788" s="580"/>
      <c r="V788" s="580"/>
    </row>
    <row r="789" spans="1:22" ht="15">
      <c r="A789" s="16"/>
      <c r="B789" s="16"/>
      <c r="C789" s="16"/>
      <c r="D789" s="16"/>
      <c r="E789" s="16"/>
      <c r="F789" s="16"/>
      <c r="G789" s="16"/>
      <c r="H789" s="16"/>
      <c r="N789" s="580"/>
      <c r="O789" s="580"/>
      <c r="P789" s="580"/>
      <c r="Q789" s="580"/>
      <c r="R789" s="580"/>
      <c r="S789" s="580"/>
      <c r="T789" s="580"/>
      <c r="U789" s="580"/>
      <c r="V789" s="580"/>
    </row>
    <row r="790" spans="1:22" ht="15">
      <c r="A790" s="16"/>
      <c r="B790" s="16"/>
      <c r="C790" s="16"/>
      <c r="D790" s="16"/>
      <c r="E790" s="16"/>
      <c r="F790" s="16"/>
      <c r="G790" s="16"/>
      <c r="H790" s="16"/>
      <c r="N790" s="580"/>
      <c r="O790" s="580"/>
      <c r="P790" s="580"/>
      <c r="Q790" s="580"/>
      <c r="R790" s="580"/>
      <c r="S790" s="580"/>
      <c r="T790" s="580"/>
      <c r="U790" s="580"/>
      <c r="V790" s="580"/>
    </row>
    <row r="791" spans="1:22" ht="15">
      <c r="A791" s="16"/>
      <c r="B791" s="16"/>
      <c r="C791" s="16"/>
      <c r="D791" s="16"/>
      <c r="E791" s="16"/>
      <c r="F791" s="16"/>
      <c r="G791" s="16"/>
      <c r="H791" s="16"/>
      <c r="N791" s="580"/>
      <c r="O791" s="580"/>
      <c r="P791" s="580"/>
      <c r="Q791" s="580"/>
      <c r="R791" s="580"/>
      <c r="S791" s="580"/>
      <c r="T791" s="580"/>
      <c r="U791" s="580"/>
      <c r="V791" s="580"/>
    </row>
    <row r="792" spans="1:22" ht="15">
      <c r="A792" s="16"/>
      <c r="B792" s="16"/>
      <c r="C792" s="16"/>
      <c r="D792" s="16"/>
      <c r="E792" s="16"/>
      <c r="F792" s="16"/>
      <c r="G792" s="16"/>
      <c r="H792" s="16"/>
      <c r="N792" s="580"/>
      <c r="O792" s="580"/>
      <c r="P792" s="580"/>
      <c r="Q792" s="580"/>
      <c r="R792" s="580"/>
      <c r="S792" s="580"/>
      <c r="T792" s="580"/>
      <c r="U792" s="580"/>
      <c r="V792" s="580"/>
    </row>
    <row r="793" spans="1:22" ht="15">
      <c r="A793" s="16"/>
      <c r="B793" s="16"/>
      <c r="C793" s="16"/>
      <c r="D793" s="16"/>
      <c r="E793" s="16"/>
      <c r="F793" s="16"/>
      <c r="G793" s="16"/>
      <c r="H793" s="16"/>
      <c r="N793" s="580"/>
      <c r="O793" s="580"/>
      <c r="P793" s="580"/>
      <c r="Q793" s="580"/>
      <c r="R793" s="580"/>
      <c r="S793" s="580"/>
      <c r="T793" s="580"/>
      <c r="U793" s="580"/>
      <c r="V793" s="580"/>
    </row>
    <row r="794" spans="1:22" ht="15">
      <c r="A794" s="16"/>
      <c r="B794" s="16"/>
      <c r="C794" s="16"/>
      <c r="D794" s="16"/>
      <c r="E794" s="16"/>
      <c r="F794" s="16"/>
      <c r="G794" s="16"/>
      <c r="H794" s="16"/>
      <c r="N794" s="580"/>
      <c r="O794" s="580"/>
      <c r="P794" s="580"/>
      <c r="Q794" s="580"/>
      <c r="R794" s="580"/>
      <c r="S794" s="580"/>
      <c r="T794" s="580"/>
      <c r="U794" s="580"/>
      <c r="V794" s="580"/>
    </row>
    <row r="795" spans="1:22" ht="15">
      <c r="A795" s="16"/>
      <c r="B795" s="16"/>
      <c r="C795" s="16"/>
      <c r="D795" s="16"/>
      <c r="E795" s="16"/>
      <c r="F795" s="16"/>
      <c r="G795" s="16"/>
      <c r="H795" s="16"/>
      <c r="N795" s="580"/>
      <c r="O795" s="580"/>
      <c r="P795" s="580"/>
      <c r="Q795" s="580"/>
      <c r="R795" s="580"/>
      <c r="S795" s="580"/>
      <c r="T795" s="580"/>
      <c r="U795" s="580"/>
      <c r="V795" s="580"/>
    </row>
    <row r="796" spans="1:22" ht="15">
      <c r="A796" s="16"/>
      <c r="B796" s="16"/>
      <c r="C796" s="16"/>
      <c r="D796" s="16"/>
      <c r="E796" s="16"/>
      <c r="F796" s="16"/>
      <c r="G796" s="16"/>
      <c r="H796" s="16"/>
      <c r="N796" s="580"/>
      <c r="O796" s="580"/>
      <c r="P796" s="580"/>
      <c r="Q796" s="580"/>
      <c r="R796" s="580"/>
      <c r="S796" s="580"/>
      <c r="T796" s="580"/>
      <c r="U796" s="580"/>
      <c r="V796" s="580"/>
    </row>
    <row r="797" spans="1:22" ht="15">
      <c r="A797" s="16"/>
      <c r="B797" s="16"/>
      <c r="C797" s="16"/>
      <c r="D797" s="16"/>
      <c r="E797" s="16"/>
      <c r="F797" s="16"/>
      <c r="G797" s="16"/>
      <c r="H797" s="16"/>
      <c r="N797" s="580"/>
      <c r="O797" s="580"/>
      <c r="P797" s="580"/>
      <c r="Q797" s="580"/>
      <c r="R797" s="580"/>
      <c r="S797" s="580"/>
      <c r="T797" s="580"/>
      <c r="U797" s="580"/>
      <c r="V797" s="580"/>
    </row>
    <row r="798" spans="1:22" ht="15">
      <c r="A798" s="16"/>
      <c r="B798" s="16"/>
      <c r="C798" s="16"/>
      <c r="D798" s="16"/>
      <c r="E798" s="16"/>
      <c r="F798" s="16"/>
      <c r="G798" s="16"/>
      <c r="H798" s="16"/>
      <c r="N798" s="580"/>
      <c r="O798" s="580"/>
      <c r="P798" s="580"/>
      <c r="Q798" s="580"/>
      <c r="R798" s="580"/>
      <c r="S798" s="580"/>
      <c r="T798" s="580"/>
      <c r="U798" s="580"/>
      <c r="V798" s="580"/>
    </row>
    <row r="799" spans="1:22" ht="15">
      <c r="A799" s="16"/>
      <c r="B799" s="16"/>
      <c r="C799" s="16"/>
      <c r="D799" s="16"/>
      <c r="E799" s="16"/>
      <c r="F799" s="16"/>
      <c r="G799" s="16"/>
      <c r="H799" s="16"/>
      <c r="N799" s="580"/>
      <c r="O799" s="580"/>
      <c r="P799" s="580"/>
      <c r="Q799" s="580"/>
      <c r="R799" s="580"/>
      <c r="S799" s="580"/>
      <c r="T799" s="580"/>
      <c r="U799" s="580"/>
      <c r="V799" s="580"/>
    </row>
    <row r="800" spans="1:22" ht="15">
      <c r="A800" s="16"/>
      <c r="B800" s="16"/>
      <c r="C800" s="16"/>
      <c r="D800" s="16"/>
      <c r="E800" s="16"/>
      <c r="F800" s="16"/>
      <c r="G800" s="16"/>
      <c r="H800" s="16"/>
      <c r="N800" s="580"/>
      <c r="O800" s="580"/>
      <c r="P800" s="580"/>
      <c r="Q800" s="580"/>
      <c r="R800" s="580"/>
      <c r="S800" s="580"/>
      <c r="T800" s="580"/>
      <c r="U800" s="580"/>
      <c r="V800" s="580"/>
    </row>
    <row r="801" spans="1:22" ht="15">
      <c r="A801" s="16"/>
      <c r="B801" s="16"/>
      <c r="C801" s="16"/>
      <c r="D801" s="16"/>
      <c r="E801" s="16"/>
      <c r="F801" s="16"/>
      <c r="G801" s="16"/>
      <c r="H801" s="16"/>
      <c r="N801" s="580"/>
      <c r="O801" s="580"/>
      <c r="P801" s="580"/>
      <c r="Q801" s="580"/>
      <c r="R801" s="580"/>
      <c r="S801" s="580"/>
      <c r="T801" s="580"/>
      <c r="U801" s="580"/>
      <c r="V801" s="580"/>
    </row>
    <row r="802" spans="1:22" ht="15">
      <c r="A802" s="16"/>
      <c r="B802" s="16"/>
      <c r="C802" s="16"/>
      <c r="D802" s="16"/>
      <c r="E802" s="16"/>
      <c r="F802" s="16"/>
      <c r="G802" s="16"/>
      <c r="H802" s="16"/>
      <c r="N802" s="580"/>
      <c r="O802" s="580"/>
      <c r="P802" s="580"/>
      <c r="Q802" s="580"/>
      <c r="R802" s="580"/>
      <c r="S802" s="580"/>
      <c r="T802" s="580"/>
      <c r="U802" s="580"/>
      <c r="V802" s="580"/>
    </row>
    <row r="803" spans="1:22" ht="15">
      <c r="A803" s="16"/>
      <c r="B803" s="16"/>
      <c r="C803" s="16"/>
      <c r="D803" s="16"/>
      <c r="E803" s="16"/>
      <c r="F803" s="16"/>
      <c r="G803" s="16"/>
      <c r="H803" s="16"/>
      <c r="N803" s="580"/>
      <c r="O803" s="580"/>
      <c r="P803" s="580"/>
      <c r="Q803" s="580"/>
      <c r="R803" s="580"/>
      <c r="S803" s="580"/>
      <c r="T803" s="580"/>
      <c r="U803" s="580"/>
      <c r="V803" s="580"/>
    </row>
    <row r="804" spans="1:22" ht="15">
      <c r="A804" s="16"/>
      <c r="B804" s="16"/>
      <c r="C804" s="16"/>
      <c r="D804" s="16"/>
      <c r="E804" s="16"/>
      <c r="F804" s="16"/>
      <c r="G804" s="16"/>
      <c r="H804" s="16"/>
      <c r="N804" s="580"/>
      <c r="O804" s="580"/>
      <c r="P804" s="580"/>
      <c r="Q804" s="580"/>
      <c r="R804" s="580"/>
      <c r="S804" s="580"/>
      <c r="T804" s="580"/>
      <c r="U804" s="580"/>
      <c r="V804" s="580"/>
    </row>
    <row r="805" spans="1:22" ht="15">
      <c r="A805" s="16"/>
      <c r="B805" s="16"/>
      <c r="C805" s="16"/>
      <c r="D805" s="16"/>
      <c r="E805" s="16"/>
      <c r="F805" s="16"/>
      <c r="G805" s="16"/>
      <c r="H805" s="16"/>
      <c r="N805" s="580"/>
      <c r="O805" s="580"/>
      <c r="P805" s="580"/>
      <c r="Q805" s="580"/>
      <c r="R805" s="580"/>
      <c r="S805" s="580"/>
      <c r="T805" s="580"/>
      <c r="U805" s="580"/>
      <c r="V805" s="580"/>
    </row>
    <row r="806" spans="1:22" ht="15">
      <c r="A806" s="16"/>
      <c r="B806" s="16"/>
      <c r="C806" s="16"/>
      <c r="D806" s="16"/>
      <c r="E806" s="16"/>
      <c r="F806" s="16"/>
      <c r="G806" s="16"/>
      <c r="H806" s="16"/>
      <c r="N806" s="580"/>
      <c r="O806" s="580"/>
      <c r="P806" s="580"/>
      <c r="Q806" s="580"/>
      <c r="R806" s="580"/>
      <c r="S806" s="580"/>
      <c r="T806" s="580"/>
      <c r="U806" s="580"/>
      <c r="V806" s="580"/>
    </row>
    <row r="807" spans="1:22" ht="15">
      <c r="A807" s="16"/>
      <c r="B807" s="16"/>
      <c r="C807" s="16"/>
      <c r="D807" s="16"/>
      <c r="E807" s="16"/>
      <c r="F807" s="16"/>
      <c r="G807" s="16"/>
      <c r="H807" s="16"/>
      <c r="N807" s="580"/>
      <c r="O807" s="580"/>
      <c r="P807" s="580"/>
      <c r="Q807" s="580"/>
      <c r="R807" s="580"/>
      <c r="S807" s="580"/>
      <c r="T807" s="580"/>
      <c r="U807" s="580"/>
      <c r="V807" s="580"/>
    </row>
    <row r="808" spans="1:22" ht="15">
      <c r="A808" s="16"/>
      <c r="B808" s="16"/>
      <c r="C808" s="16"/>
      <c r="D808" s="16"/>
      <c r="E808" s="16"/>
      <c r="F808" s="16"/>
      <c r="G808" s="16"/>
      <c r="H808" s="16"/>
      <c r="N808" s="580"/>
      <c r="O808" s="580"/>
      <c r="P808" s="580"/>
      <c r="Q808" s="580"/>
      <c r="R808" s="580"/>
      <c r="S808" s="580"/>
      <c r="T808" s="580"/>
      <c r="U808" s="580"/>
      <c r="V808" s="580"/>
    </row>
    <row r="809" spans="1:22" ht="15">
      <c r="A809" s="16"/>
      <c r="B809" s="16"/>
      <c r="C809" s="16"/>
      <c r="D809" s="16"/>
      <c r="E809" s="16"/>
      <c r="F809" s="16"/>
      <c r="G809" s="16"/>
      <c r="H809" s="16"/>
      <c r="N809" s="580"/>
      <c r="O809" s="580"/>
      <c r="P809" s="580"/>
      <c r="Q809" s="580"/>
      <c r="R809" s="580"/>
      <c r="S809" s="580"/>
      <c r="T809" s="580"/>
      <c r="U809" s="580"/>
      <c r="V809" s="580"/>
    </row>
    <row r="810" spans="1:22" ht="15">
      <c r="A810" s="16"/>
      <c r="B810" s="16"/>
      <c r="C810" s="16"/>
      <c r="D810" s="16"/>
      <c r="E810" s="16"/>
      <c r="F810" s="16"/>
      <c r="G810" s="16"/>
      <c r="H810" s="16"/>
      <c r="N810" s="580"/>
      <c r="O810" s="580"/>
      <c r="P810" s="580"/>
      <c r="Q810" s="580"/>
      <c r="R810" s="580"/>
      <c r="S810" s="580"/>
      <c r="T810" s="580"/>
      <c r="U810" s="580"/>
      <c r="V810" s="580"/>
    </row>
    <row r="811" spans="1:22" ht="15">
      <c r="A811" s="16"/>
      <c r="B811" s="16"/>
      <c r="C811" s="16"/>
      <c r="D811" s="16"/>
      <c r="E811" s="16"/>
      <c r="F811" s="16"/>
      <c r="G811" s="16"/>
      <c r="H811" s="16"/>
      <c r="N811" s="580"/>
      <c r="O811" s="580"/>
      <c r="P811" s="580"/>
      <c r="Q811" s="580"/>
      <c r="R811" s="580"/>
      <c r="S811" s="580"/>
      <c r="T811" s="580"/>
      <c r="U811" s="580"/>
      <c r="V811" s="580"/>
    </row>
    <row r="812" spans="1:22" ht="15">
      <c r="A812" s="16"/>
      <c r="B812" s="16"/>
      <c r="C812" s="16"/>
      <c r="D812" s="16"/>
      <c r="E812" s="16"/>
      <c r="F812" s="16"/>
      <c r="G812" s="16"/>
      <c r="H812" s="16"/>
      <c r="N812" s="580"/>
      <c r="O812" s="580"/>
      <c r="P812" s="580"/>
      <c r="Q812" s="580"/>
      <c r="R812" s="580"/>
      <c r="S812" s="580"/>
      <c r="T812" s="580"/>
      <c r="U812" s="580"/>
      <c r="V812" s="580"/>
    </row>
    <row r="813" spans="1:22" ht="15">
      <c r="A813" s="16"/>
      <c r="B813" s="16"/>
      <c r="C813" s="16"/>
      <c r="D813" s="16"/>
      <c r="E813" s="16"/>
      <c r="F813" s="16"/>
      <c r="G813" s="16"/>
      <c r="H813" s="16"/>
      <c r="N813" s="580"/>
      <c r="O813" s="580"/>
      <c r="P813" s="580"/>
      <c r="Q813" s="580"/>
      <c r="R813" s="580"/>
      <c r="S813" s="580"/>
      <c r="T813" s="580"/>
      <c r="U813" s="580"/>
      <c r="V813" s="580"/>
    </row>
    <row r="814" spans="1:22" ht="15">
      <c r="A814" s="16"/>
      <c r="B814" s="16"/>
      <c r="C814" s="16"/>
      <c r="D814" s="16"/>
      <c r="E814" s="16"/>
      <c r="F814" s="16"/>
      <c r="G814" s="16"/>
      <c r="H814" s="16"/>
      <c r="N814" s="580"/>
      <c r="O814" s="580"/>
      <c r="P814" s="580"/>
      <c r="Q814" s="580"/>
      <c r="R814" s="580"/>
      <c r="S814" s="580"/>
      <c r="T814" s="580"/>
      <c r="U814" s="580"/>
      <c r="V814" s="580"/>
    </row>
    <row r="815" spans="1:22" ht="15">
      <c r="A815" s="16"/>
      <c r="B815" s="16"/>
      <c r="C815" s="16"/>
      <c r="D815" s="16"/>
      <c r="E815" s="16"/>
      <c r="F815" s="16"/>
      <c r="G815" s="16"/>
      <c r="H815" s="16"/>
      <c r="N815" s="580"/>
      <c r="O815" s="580"/>
      <c r="P815" s="580"/>
      <c r="Q815" s="580"/>
      <c r="R815" s="580"/>
      <c r="S815" s="580"/>
      <c r="T815" s="580"/>
      <c r="U815" s="580"/>
      <c r="V815" s="580"/>
    </row>
    <row r="816" spans="1:22" ht="15">
      <c r="A816" s="16"/>
      <c r="B816" s="16"/>
      <c r="C816" s="16"/>
      <c r="D816" s="16"/>
      <c r="E816" s="16"/>
      <c r="F816" s="16"/>
      <c r="G816" s="16"/>
      <c r="H816" s="16"/>
      <c r="N816" s="580"/>
      <c r="O816" s="580"/>
      <c r="P816" s="580"/>
      <c r="Q816" s="580"/>
      <c r="R816" s="580"/>
      <c r="S816" s="580"/>
      <c r="T816" s="580"/>
      <c r="U816" s="580"/>
      <c r="V816" s="580"/>
    </row>
    <row r="817" spans="1:22" ht="15">
      <c r="A817" s="16"/>
      <c r="B817" s="16"/>
      <c r="C817" s="16"/>
      <c r="D817" s="16"/>
      <c r="E817" s="16"/>
      <c r="F817" s="16"/>
      <c r="G817" s="16"/>
      <c r="H817" s="16"/>
      <c r="N817" s="580"/>
      <c r="O817" s="580"/>
      <c r="P817" s="580"/>
      <c r="Q817" s="580"/>
      <c r="R817" s="580"/>
      <c r="S817" s="580"/>
      <c r="T817" s="580"/>
      <c r="U817" s="580"/>
      <c r="V817" s="580"/>
    </row>
    <row r="818" spans="1:22" ht="15">
      <c r="A818" s="16"/>
      <c r="B818" s="16"/>
      <c r="C818" s="16"/>
      <c r="D818" s="16"/>
      <c r="E818" s="16"/>
      <c r="F818" s="16"/>
      <c r="G818" s="16"/>
      <c r="H818" s="16"/>
      <c r="N818" s="580"/>
      <c r="O818" s="580"/>
      <c r="P818" s="580"/>
      <c r="Q818" s="580"/>
      <c r="R818" s="580"/>
      <c r="S818" s="580"/>
      <c r="T818" s="580"/>
      <c r="U818" s="580"/>
      <c r="V818" s="580"/>
    </row>
    <row r="819" spans="1:22" ht="15">
      <c r="A819" s="16"/>
      <c r="B819" s="16"/>
      <c r="C819" s="16"/>
      <c r="D819" s="16"/>
      <c r="E819" s="16"/>
      <c r="F819" s="16"/>
      <c r="G819" s="16"/>
      <c r="H819" s="16"/>
      <c r="N819" s="580"/>
      <c r="O819" s="580"/>
      <c r="P819" s="580"/>
      <c r="Q819" s="580"/>
      <c r="R819" s="580"/>
      <c r="S819" s="580"/>
      <c r="T819" s="580"/>
      <c r="U819" s="580"/>
      <c r="V819" s="580"/>
    </row>
    <row r="820" spans="1:22" ht="15">
      <c r="A820" s="16"/>
      <c r="B820" s="16"/>
      <c r="C820" s="16"/>
      <c r="D820" s="16"/>
      <c r="E820" s="16"/>
      <c r="F820" s="16"/>
      <c r="G820" s="16"/>
      <c r="H820" s="16"/>
      <c r="N820" s="580"/>
      <c r="O820" s="580"/>
      <c r="P820" s="580"/>
      <c r="Q820" s="580"/>
      <c r="R820" s="580"/>
      <c r="S820" s="580"/>
      <c r="T820" s="580"/>
      <c r="U820" s="580"/>
      <c r="V820" s="580"/>
    </row>
    <row r="821" spans="1:22" ht="15">
      <c r="A821" s="16"/>
      <c r="B821" s="16"/>
      <c r="C821" s="16"/>
      <c r="D821" s="16"/>
      <c r="E821" s="16"/>
      <c r="F821" s="16"/>
      <c r="G821" s="16"/>
      <c r="H821" s="16"/>
      <c r="N821" s="580"/>
      <c r="O821" s="580"/>
      <c r="P821" s="580"/>
      <c r="Q821" s="580"/>
      <c r="R821" s="580"/>
      <c r="S821" s="580"/>
      <c r="T821" s="580"/>
      <c r="U821" s="580"/>
      <c r="V821" s="580"/>
    </row>
    <row r="822" spans="1:22" ht="15">
      <c r="A822" s="16"/>
      <c r="B822" s="16"/>
      <c r="C822" s="16"/>
      <c r="D822" s="16"/>
      <c r="E822" s="16"/>
      <c r="F822" s="16"/>
      <c r="G822" s="16"/>
      <c r="H822" s="16"/>
      <c r="N822" s="580"/>
      <c r="O822" s="580"/>
      <c r="P822" s="580"/>
      <c r="Q822" s="580"/>
      <c r="R822" s="580"/>
      <c r="S822" s="580"/>
      <c r="T822" s="580"/>
      <c r="U822" s="580"/>
      <c r="V822" s="580"/>
    </row>
    <row r="823" spans="1:22" ht="15">
      <c r="A823" s="16"/>
      <c r="B823" s="16"/>
      <c r="C823" s="16"/>
      <c r="D823" s="16"/>
      <c r="E823" s="16"/>
      <c r="F823" s="16"/>
      <c r="G823" s="16"/>
      <c r="H823" s="16"/>
      <c r="N823" s="580"/>
      <c r="O823" s="580"/>
      <c r="P823" s="580"/>
      <c r="Q823" s="580"/>
      <c r="R823" s="580"/>
      <c r="S823" s="580"/>
      <c r="T823" s="580"/>
      <c r="U823" s="580"/>
      <c r="V823" s="580"/>
    </row>
    <row r="824" spans="1:22" ht="15">
      <c r="A824" s="16"/>
      <c r="B824" s="16"/>
      <c r="C824" s="16"/>
      <c r="D824" s="16"/>
      <c r="E824" s="16"/>
      <c r="F824" s="16"/>
      <c r="G824" s="16"/>
      <c r="H824" s="16"/>
      <c r="N824" s="580"/>
      <c r="O824" s="580"/>
      <c r="P824" s="580"/>
      <c r="Q824" s="580"/>
      <c r="R824" s="580"/>
      <c r="S824" s="580"/>
      <c r="T824" s="580"/>
      <c r="U824" s="580"/>
      <c r="V824" s="580"/>
    </row>
    <row r="825" spans="1:22" ht="15">
      <c r="A825" s="16"/>
      <c r="B825" s="16"/>
      <c r="C825" s="16"/>
      <c r="D825" s="16"/>
      <c r="E825" s="16"/>
      <c r="F825" s="16"/>
      <c r="G825" s="16"/>
      <c r="H825" s="16"/>
      <c r="N825" s="580"/>
      <c r="O825" s="580"/>
      <c r="P825" s="580"/>
      <c r="Q825" s="580"/>
      <c r="R825" s="580"/>
      <c r="S825" s="580"/>
      <c r="T825" s="580"/>
      <c r="U825" s="580"/>
      <c r="V825" s="580"/>
    </row>
    <row r="826" spans="1:22" ht="15">
      <c r="A826" s="16"/>
      <c r="B826" s="16"/>
      <c r="C826" s="16"/>
      <c r="D826" s="16"/>
      <c r="E826" s="16"/>
      <c r="F826" s="16"/>
      <c r="G826" s="16"/>
      <c r="H826" s="16"/>
      <c r="N826" s="580"/>
      <c r="O826" s="580"/>
      <c r="P826" s="580"/>
      <c r="Q826" s="580"/>
      <c r="R826" s="580"/>
      <c r="S826" s="580"/>
      <c r="T826" s="580"/>
      <c r="U826" s="580"/>
      <c r="V826" s="580"/>
    </row>
    <row r="827" spans="1:22" ht="15">
      <c r="A827" s="16"/>
      <c r="B827" s="16"/>
      <c r="C827" s="16"/>
      <c r="D827" s="16"/>
      <c r="E827" s="16"/>
      <c r="F827" s="16"/>
      <c r="G827" s="16"/>
      <c r="H827" s="16"/>
      <c r="N827" s="580"/>
      <c r="O827" s="580"/>
      <c r="P827" s="580"/>
      <c r="Q827" s="580"/>
      <c r="R827" s="580"/>
      <c r="S827" s="580"/>
      <c r="T827" s="580"/>
      <c r="U827" s="580"/>
      <c r="V827" s="580"/>
    </row>
    <row r="828" spans="1:22" ht="15">
      <c r="A828" s="16"/>
      <c r="B828" s="16"/>
      <c r="C828" s="16"/>
      <c r="D828" s="16"/>
      <c r="E828" s="16"/>
      <c r="F828" s="16"/>
      <c r="G828" s="16"/>
      <c r="H828" s="16"/>
      <c r="N828" s="580"/>
      <c r="O828" s="580"/>
      <c r="P828" s="580"/>
      <c r="Q828" s="580"/>
      <c r="R828" s="580"/>
      <c r="S828" s="580"/>
      <c r="T828" s="580"/>
      <c r="U828" s="580"/>
      <c r="V828" s="580"/>
    </row>
    <row r="829" spans="1:22" ht="15">
      <c r="A829" s="16"/>
      <c r="B829" s="16"/>
      <c r="C829" s="16"/>
      <c r="D829" s="16"/>
      <c r="E829" s="16"/>
      <c r="F829" s="16"/>
      <c r="G829" s="16"/>
      <c r="H829" s="16"/>
      <c r="N829" s="580"/>
      <c r="O829" s="580"/>
      <c r="P829" s="580"/>
      <c r="Q829" s="580"/>
      <c r="R829" s="580"/>
      <c r="S829" s="580"/>
      <c r="T829" s="580"/>
      <c r="U829" s="580"/>
      <c r="V829" s="580"/>
    </row>
    <row r="830" spans="1:22" ht="15">
      <c r="A830" s="16"/>
      <c r="B830" s="16"/>
      <c r="C830" s="16"/>
      <c r="D830" s="16"/>
      <c r="E830" s="16"/>
      <c r="F830" s="16"/>
      <c r="G830" s="16"/>
      <c r="H830" s="16"/>
      <c r="N830" s="580"/>
      <c r="O830" s="580"/>
      <c r="P830" s="580"/>
      <c r="Q830" s="580"/>
      <c r="R830" s="580"/>
      <c r="S830" s="580"/>
      <c r="T830" s="580"/>
      <c r="U830" s="580"/>
      <c r="V830" s="580"/>
    </row>
    <row r="831" spans="1:22" ht="15">
      <c r="A831" s="16"/>
      <c r="B831" s="16"/>
      <c r="C831" s="16"/>
      <c r="D831" s="16"/>
      <c r="E831" s="16"/>
      <c r="F831" s="16"/>
      <c r="G831" s="16"/>
      <c r="H831" s="16"/>
      <c r="N831" s="580"/>
      <c r="O831" s="580"/>
      <c r="P831" s="580"/>
      <c r="Q831" s="580"/>
      <c r="R831" s="580"/>
      <c r="S831" s="580"/>
      <c r="T831" s="580"/>
      <c r="U831" s="580"/>
      <c r="V831" s="580"/>
    </row>
    <row r="832" spans="1:22" ht="15">
      <c r="A832" s="16"/>
      <c r="B832" s="16"/>
      <c r="C832" s="16"/>
      <c r="D832" s="16"/>
      <c r="E832" s="16"/>
      <c r="F832" s="16"/>
      <c r="G832" s="16"/>
      <c r="H832" s="16"/>
      <c r="N832" s="580"/>
      <c r="O832" s="580"/>
      <c r="P832" s="580"/>
      <c r="Q832" s="580"/>
      <c r="R832" s="580"/>
      <c r="S832" s="580"/>
      <c r="T832" s="580"/>
      <c r="U832" s="580"/>
      <c r="V832" s="580"/>
    </row>
    <row r="833" spans="1:22" ht="15">
      <c r="A833" s="16"/>
      <c r="B833" s="16"/>
      <c r="C833" s="16"/>
      <c r="D833" s="16"/>
      <c r="E833" s="16"/>
      <c r="F833" s="16"/>
      <c r="G833" s="16"/>
      <c r="H833" s="16"/>
      <c r="N833" s="580"/>
      <c r="O833" s="580"/>
      <c r="P833" s="580"/>
      <c r="Q833" s="580"/>
      <c r="R833" s="580"/>
      <c r="S833" s="580"/>
      <c r="T833" s="580"/>
      <c r="U833" s="580"/>
      <c r="V833" s="580"/>
    </row>
    <row r="834" spans="1:22" ht="15">
      <c r="A834" s="16"/>
      <c r="B834" s="16"/>
      <c r="C834" s="16"/>
      <c r="D834" s="16"/>
      <c r="E834" s="16"/>
      <c r="F834" s="16"/>
      <c r="G834" s="16"/>
      <c r="H834" s="16"/>
      <c r="N834" s="580"/>
      <c r="O834" s="580"/>
      <c r="P834" s="580"/>
      <c r="Q834" s="580"/>
      <c r="R834" s="580"/>
      <c r="S834" s="580"/>
      <c r="T834" s="580"/>
      <c r="U834" s="580"/>
      <c r="V834" s="580"/>
    </row>
    <row r="835" spans="1:22" ht="15">
      <c r="A835" s="16"/>
      <c r="B835" s="16"/>
      <c r="C835" s="16"/>
      <c r="D835" s="16"/>
      <c r="E835" s="16"/>
      <c r="F835" s="16"/>
      <c r="G835" s="16"/>
      <c r="H835" s="16"/>
      <c r="N835" s="580"/>
      <c r="O835" s="580"/>
      <c r="P835" s="580"/>
      <c r="Q835" s="580"/>
      <c r="R835" s="580"/>
      <c r="S835" s="580"/>
      <c r="T835" s="580"/>
      <c r="U835" s="580"/>
      <c r="V835" s="580"/>
    </row>
    <row r="836" spans="1:22" ht="15">
      <c r="A836" s="16"/>
      <c r="B836" s="16"/>
      <c r="C836" s="16"/>
      <c r="D836" s="16"/>
      <c r="E836" s="16"/>
      <c r="F836" s="16"/>
      <c r="G836" s="16"/>
      <c r="H836" s="16"/>
      <c r="N836" s="580"/>
      <c r="O836" s="580"/>
      <c r="P836" s="580"/>
      <c r="Q836" s="580"/>
      <c r="R836" s="580"/>
      <c r="S836" s="580"/>
      <c r="T836" s="580"/>
      <c r="U836" s="580"/>
      <c r="V836" s="580"/>
    </row>
    <row r="837" spans="1:22" ht="15">
      <c r="A837" s="16"/>
      <c r="B837" s="16"/>
      <c r="C837" s="16"/>
      <c r="D837" s="16"/>
      <c r="E837" s="16"/>
      <c r="F837" s="16"/>
      <c r="G837" s="16"/>
      <c r="H837" s="16"/>
      <c r="N837" s="580"/>
      <c r="O837" s="580"/>
      <c r="P837" s="580"/>
      <c r="Q837" s="580"/>
      <c r="R837" s="580"/>
      <c r="S837" s="580"/>
      <c r="T837" s="580"/>
      <c r="U837" s="580"/>
      <c r="V837" s="580"/>
    </row>
    <row r="838" spans="1:22" ht="15">
      <c r="A838" s="16"/>
      <c r="B838" s="16"/>
      <c r="C838" s="16"/>
      <c r="D838" s="16"/>
      <c r="E838" s="16"/>
      <c r="F838" s="16"/>
      <c r="G838" s="16"/>
      <c r="H838" s="16"/>
      <c r="N838" s="580"/>
      <c r="O838" s="580"/>
      <c r="P838" s="580"/>
      <c r="Q838" s="580"/>
      <c r="R838" s="580"/>
      <c r="S838" s="580"/>
      <c r="T838" s="580"/>
      <c r="U838" s="580"/>
      <c r="V838" s="580"/>
    </row>
    <row r="839" spans="1:22" ht="15">
      <c r="A839" s="16"/>
      <c r="B839" s="16"/>
      <c r="C839" s="16"/>
      <c r="D839" s="16"/>
      <c r="E839" s="16"/>
      <c r="F839" s="16"/>
      <c r="G839" s="16"/>
      <c r="H839" s="16"/>
      <c r="N839" s="580"/>
      <c r="O839" s="580"/>
      <c r="P839" s="580"/>
      <c r="Q839" s="580"/>
      <c r="R839" s="580"/>
      <c r="S839" s="580"/>
      <c r="T839" s="580"/>
      <c r="U839" s="580"/>
      <c r="V839" s="580"/>
    </row>
    <row r="840" spans="1:22" ht="15">
      <c r="A840" s="16"/>
      <c r="B840" s="16"/>
      <c r="C840" s="16"/>
      <c r="D840" s="16"/>
      <c r="E840" s="16"/>
      <c r="F840" s="16"/>
      <c r="G840" s="16"/>
      <c r="H840" s="16"/>
      <c r="N840" s="580"/>
      <c r="O840" s="580"/>
      <c r="P840" s="580"/>
      <c r="Q840" s="580"/>
      <c r="R840" s="580"/>
      <c r="S840" s="580"/>
      <c r="T840" s="580"/>
      <c r="U840" s="580"/>
      <c r="V840" s="580"/>
    </row>
    <row r="841" spans="1:22" ht="15">
      <c r="A841" s="16"/>
      <c r="B841" s="16"/>
      <c r="C841" s="16"/>
      <c r="D841" s="16"/>
      <c r="E841" s="16"/>
      <c r="F841" s="16"/>
      <c r="G841" s="16"/>
      <c r="H841" s="16"/>
      <c r="N841" s="580"/>
      <c r="O841" s="580"/>
      <c r="P841" s="580"/>
      <c r="Q841" s="580"/>
      <c r="R841" s="580"/>
      <c r="S841" s="580"/>
      <c r="T841" s="580"/>
      <c r="U841" s="580"/>
      <c r="V841" s="580"/>
    </row>
    <row r="842" spans="1:22" ht="15">
      <c r="A842" s="16"/>
      <c r="B842" s="16"/>
      <c r="C842" s="16"/>
      <c r="D842" s="16"/>
      <c r="E842" s="16"/>
      <c r="F842" s="16"/>
      <c r="G842" s="16"/>
      <c r="H842" s="16"/>
      <c r="N842" s="580"/>
      <c r="O842" s="580"/>
      <c r="P842" s="580"/>
      <c r="Q842" s="580"/>
      <c r="R842" s="580"/>
      <c r="S842" s="580"/>
      <c r="T842" s="580"/>
      <c r="U842" s="580"/>
      <c r="V842" s="580"/>
    </row>
    <row r="843" spans="1:22" ht="15">
      <c r="A843" s="16"/>
      <c r="B843" s="16"/>
      <c r="C843" s="16"/>
      <c r="D843" s="16"/>
      <c r="E843" s="16"/>
      <c r="F843" s="16"/>
      <c r="G843" s="16"/>
      <c r="H843" s="16"/>
      <c r="N843" s="580"/>
      <c r="O843" s="580"/>
      <c r="P843" s="580"/>
      <c r="Q843" s="580"/>
      <c r="R843" s="580"/>
      <c r="S843" s="580"/>
      <c r="T843" s="580"/>
      <c r="U843" s="580"/>
      <c r="V843" s="580"/>
    </row>
    <row r="844" spans="1:22" ht="15">
      <c r="A844" s="16"/>
      <c r="B844" s="16"/>
      <c r="C844" s="16"/>
      <c r="D844" s="16"/>
      <c r="E844" s="16"/>
      <c r="F844" s="16"/>
      <c r="G844" s="16"/>
      <c r="H844" s="16"/>
      <c r="N844" s="580"/>
      <c r="O844" s="580"/>
      <c r="P844" s="580"/>
      <c r="Q844" s="580"/>
      <c r="R844" s="580"/>
      <c r="S844" s="580"/>
      <c r="T844" s="580"/>
      <c r="U844" s="580"/>
      <c r="V844" s="580"/>
    </row>
    <row r="845" spans="1:22" ht="15">
      <c r="A845" s="16"/>
      <c r="B845" s="16"/>
      <c r="C845" s="16"/>
      <c r="D845" s="16"/>
      <c r="E845" s="16"/>
      <c r="F845" s="16"/>
      <c r="G845" s="16"/>
      <c r="H845" s="16"/>
      <c r="N845" s="580"/>
      <c r="O845" s="580"/>
      <c r="P845" s="580"/>
      <c r="Q845" s="580"/>
      <c r="R845" s="580"/>
      <c r="S845" s="580"/>
      <c r="T845" s="580"/>
      <c r="U845" s="580"/>
      <c r="V845" s="580"/>
    </row>
    <row r="846" spans="1:22" ht="15">
      <c r="A846" s="16"/>
      <c r="B846" s="16"/>
      <c r="C846" s="16"/>
      <c r="D846" s="16"/>
      <c r="E846" s="16"/>
      <c r="F846" s="16"/>
      <c r="G846" s="16"/>
      <c r="H846" s="16"/>
      <c r="N846" s="580"/>
      <c r="O846" s="580"/>
      <c r="P846" s="580"/>
      <c r="Q846" s="580"/>
      <c r="R846" s="580"/>
      <c r="S846" s="580"/>
      <c r="T846" s="580"/>
      <c r="U846" s="580"/>
      <c r="V846" s="580"/>
    </row>
    <row r="847" spans="1:22" ht="15">
      <c r="A847" s="16"/>
      <c r="B847" s="16"/>
      <c r="C847" s="16"/>
      <c r="D847" s="16"/>
      <c r="E847" s="16"/>
      <c r="F847" s="16"/>
      <c r="G847" s="16"/>
      <c r="H847" s="16"/>
      <c r="N847" s="580"/>
      <c r="O847" s="580"/>
      <c r="P847" s="580"/>
      <c r="Q847" s="580"/>
      <c r="R847" s="580"/>
      <c r="S847" s="580"/>
      <c r="T847" s="580"/>
      <c r="U847" s="580"/>
      <c r="V847" s="580"/>
    </row>
    <row r="848" spans="1:22" ht="15">
      <c r="A848" s="16"/>
      <c r="B848" s="16"/>
      <c r="C848" s="16"/>
      <c r="D848" s="16"/>
      <c r="E848" s="16"/>
      <c r="F848" s="16"/>
      <c r="G848" s="16"/>
      <c r="H848" s="16"/>
      <c r="N848" s="580"/>
      <c r="O848" s="580"/>
      <c r="P848" s="580"/>
      <c r="Q848" s="580"/>
      <c r="R848" s="580"/>
      <c r="S848" s="580"/>
      <c r="T848" s="580"/>
      <c r="U848" s="580"/>
      <c r="V848" s="580"/>
    </row>
    <row r="849" spans="1:22" ht="15">
      <c r="A849" s="16"/>
      <c r="B849" s="16"/>
      <c r="C849" s="16"/>
      <c r="D849" s="16"/>
      <c r="E849" s="16"/>
      <c r="F849" s="16"/>
      <c r="G849" s="16"/>
      <c r="H849" s="16"/>
      <c r="N849" s="580"/>
      <c r="O849" s="580"/>
      <c r="P849" s="580"/>
      <c r="Q849" s="580"/>
      <c r="R849" s="580"/>
      <c r="S849" s="580"/>
      <c r="T849" s="580"/>
      <c r="U849" s="580"/>
      <c r="V849" s="580"/>
    </row>
    <row r="850" spans="1:22" ht="15">
      <c r="A850" s="16"/>
      <c r="B850" s="16"/>
      <c r="C850" s="16"/>
      <c r="D850" s="16"/>
      <c r="E850" s="16"/>
      <c r="F850" s="16"/>
      <c r="G850" s="16"/>
      <c r="H850" s="16"/>
      <c r="N850" s="580"/>
      <c r="O850" s="580"/>
      <c r="P850" s="580"/>
      <c r="Q850" s="580"/>
      <c r="R850" s="580"/>
      <c r="S850" s="580"/>
      <c r="T850" s="580"/>
      <c r="U850" s="580"/>
      <c r="V850" s="580"/>
    </row>
    <row r="851" spans="1:22" ht="15">
      <c r="A851" s="16"/>
      <c r="B851" s="16"/>
      <c r="C851" s="16"/>
      <c r="D851" s="16"/>
      <c r="E851" s="16"/>
      <c r="F851" s="16"/>
      <c r="G851" s="16"/>
      <c r="H851" s="16"/>
      <c r="N851" s="580"/>
      <c r="O851" s="580"/>
      <c r="P851" s="580"/>
      <c r="Q851" s="580"/>
      <c r="R851" s="580"/>
      <c r="S851" s="580"/>
      <c r="T851" s="580"/>
      <c r="U851" s="580"/>
      <c r="V851" s="580"/>
    </row>
    <row r="852" spans="1:22" ht="15">
      <c r="A852" s="16"/>
      <c r="B852" s="16"/>
      <c r="C852" s="16"/>
      <c r="D852" s="16"/>
      <c r="E852" s="16"/>
      <c r="F852" s="16"/>
      <c r="G852" s="16"/>
      <c r="H852" s="16"/>
      <c r="N852" s="580"/>
      <c r="O852" s="580"/>
      <c r="P852" s="580"/>
      <c r="Q852" s="580"/>
      <c r="R852" s="580"/>
      <c r="S852" s="580"/>
      <c r="T852" s="580"/>
      <c r="U852" s="580"/>
      <c r="V852" s="580"/>
    </row>
    <row r="853" spans="1:22" ht="15">
      <c r="A853" s="16"/>
      <c r="B853" s="16"/>
      <c r="C853" s="16"/>
      <c r="D853" s="16"/>
      <c r="E853" s="16"/>
      <c r="F853" s="16"/>
      <c r="G853" s="16"/>
      <c r="H853" s="16"/>
      <c r="N853" s="580"/>
      <c r="O853" s="580"/>
      <c r="P853" s="580"/>
      <c r="Q853" s="580"/>
      <c r="R853" s="580"/>
      <c r="S853" s="580"/>
      <c r="T853" s="580"/>
      <c r="U853" s="580"/>
      <c r="V853" s="580"/>
    </row>
    <row r="854" spans="1:22" ht="15">
      <c r="A854" s="16"/>
      <c r="B854" s="16"/>
      <c r="C854" s="16"/>
      <c r="D854" s="16"/>
      <c r="E854" s="16"/>
      <c r="F854" s="16"/>
      <c r="G854" s="16"/>
      <c r="H854" s="16"/>
      <c r="N854" s="580"/>
      <c r="O854" s="580"/>
      <c r="P854" s="580"/>
      <c r="Q854" s="580"/>
      <c r="R854" s="580"/>
      <c r="S854" s="580"/>
      <c r="T854" s="580"/>
      <c r="U854" s="580"/>
      <c r="V854" s="580"/>
    </row>
    <row r="855" spans="1:22" ht="15">
      <c r="A855" s="16"/>
      <c r="B855" s="16"/>
      <c r="C855" s="16"/>
      <c r="D855" s="16"/>
      <c r="E855" s="16"/>
      <c r="F855" s="16"/>
      <c r="G855" s="16"/>
      <c r="H855" s="16"/>
      <c r="N855" s="580"/>
      <c r="O855" s="580"/>
      <c r="P855" s="580"/>
      <c r="Q855" s="580"/>
      <c r="R855" s="580"/>
      <c r="S855" s="580"/>
      <c r="T855" s="580"/>
      <c r="U855" s="580"/>
      <c r="V855" s="580"/>
    </row>
    <row r="856" spans="1:22" ht="15">
      <c r="A856" s="16"/>
      <c r="B856" s="16"/>
      <c r="C856" s="16"/>
      <c r="D856" s="16"/>
      <c r="E856" s="16"/>
      <c r="F856" s="16"/>
      <c r="G856" s="16"/>
      <c r="H856" s="16"/>
      <c r="N856" s="580"/>
      <c r="O856" s="580"/>
      <c r="P856" s="580"/>
      <c r="Q856" s="580"/>
      <c r="R856" s="580"/>
      <c r="S856" s="580"/>
      <c r="T856" s="580"/>
      <c r="U856" s="580"/>
      <c r="V856" s="580"/>
    </row>
    <row r="857" spans="1:22" ht="15">
      <c r="A857" s="16"/>
      <c r="B857" s="16"/>
      <c r="C857" s="16"/>
      <c r="D857" s="16"/>
      <c r="E857" s="16"/>
      <c r="F857" s="16"/>
      <c r="G857" s="16"/>
      <c r="H857" s="16"/>
      <c r="N857" s="580"/>
      <c r="O857" s="580"/>
      <c r="P857" s="580"/>
      <c r="Q857" s="580"/>
      <c r="R857" s="580"/>
      <c r="S857" s="580"/>
      <c r="T857" s="580"/>
      <c r="U857" s="580"/>
      <c r="V857" s="580"/>
    </row>
    <row r="858" spans="1:22" ht="15">
      <c r="A858" s="16"/>
      <c r="B858" s="16"/>
      <c r="C858" s="16"/>
      <c r="D858" s="16"/>
      <c r="E858" s="16"/>
      <c r="F858" s="16"/>
      <c r="G858" s="16"/>
      <c r="H858" s="16"/>
      <c r="N858" s="580"/>
      <c r="O858" s="580"/>
      <c r="P858" s="580"/>
      <c r="Q858" s="580"/>
      <c r="R858" s="580"/>
      <c r="S858" s="580"/>
      <c r="T858" s="580"/>
      <c r="U858" s="580"/>
      <c r="V858" s="580"/>
    </row>
    <row r="859" spans="1:22" ht="15">
      <c r="A859" s="16"/>
      <c r="B859" s="16"/>
      <c r="C859" s="16"/>
      <c r="D859" s="16"/>
      <c r="E859" s="16"/>
      <c r="F859" s="16"/>
      <c r="G859" s="16"/>
      <c r="H859" s="16"/>
      <c r="N859" s="580"/>
      <c r="O859" s="580"/>
      <c r="P859" s="580"/>
      <c r="Q859" s="580"/>
      <c r="R859" s="580"/>
      <c r="S859" s="580"/>
      <c r="T859" s="580"/>
      <c r="U859" s="580"/>
      <c r="V859" s="580"/>
    </row>
    <row r="860" spans="1:22" ht="15">
      <c r="A860" s="16"/>
      <c r="B860" s="16"/>
      <c r="C860" s="16"/>
      <c r="D860" s="16"/>
      <c r="E860" s="16"/>
      <c r="F860" s="16"/>
      <c r="G860" s="16"/>
      <c r="H860" s="16"/>
      <c r="N860" s="580"/>
      <c r="O860" s="580"/>
      <c r="P860" s="580"/>
      <c r="Q860" s="580"/>
      <c r="R860" s="580"/>
      <c r="S860" s="580"/>
      <c r="T860" s="580"/>
      <c r="U860" s="580"/>
      <c r="V860" s="580"/>
    </row>
    <row r="861" spans="1:22" ht="15">
      <c r="A861" s="16"/>
      <c r="B861" s="16"/>
      <c r="C861" s="16"/>
      <c r="D861" s="16"/>
      <c r="E861" s="16"/>
      <c r="F861" s="16"/>
      <c r="G861" s="16"/>
      <c r="H861" s="16"/>
      <c r="N861" s="580"/>
      <c r="O861" s="580"/>
      <c r="P861" s="580"/>
      <c r="Q861" s="580"/>
      <c r="R861" s="580"/>
      <c r="S861" s="580"/>
      <c r="T861" s="580"/>
      <c r="U861" s="580"/>
      <c r="V861" s="580"/>
    </row>
    <row r="862" spans="1:22" ht="15">
      <c r="A862" s="16"/>
      <c r="B862" s="16"/>
      <c r="C862" s="16"/>
      <c r="D862" s="16"/>
      <c r="E862" s="16"/>
      <c r="F862" s="16"/>
      <c r="G862" s="16"/>
      <c r="H862" s="16"/>
      <c r="N862" s="580"/>
      <c r="O862" s="580"/>
      <c r="P862" s="580"/>
      <c r="Q862" s="580"/>
      <c r="R862" s="580"/>
      <c r="S862" s="580"/>
      <c r="T862" s="580"/>
      <c r="U862" s="580"/>
      <c r="V862" s="580"/>
    </row>
    <row r="863" spans="1:22" ht="15">
      <c r="A863" s="16"/>
      <c r="B863" s="16"/>
      <c r="C863" s="16"/>
      <c r="D863" s="16"/>
      <c r="E863" s="16"/>
      <c r="F863" s="16"/>
      <c r="G863" s="16"/>
      <c r="H863" s="16"/>
      <c r="N863" s="580"/>
      <c r="O863" s="580"/>
      <c r="P863" s="580"/>
      <c r="Q863" s="580"/>
      <c r="R863" s="580"/>
      <c r="S863" s="580"/>
      <c r="T863" s="580"/>
      <c r="U863" s="580"/>
      <c r="V863" s="580"/>
    </row>
    <row r="864" spans="1:22" ht="15">
      <c r="A864" s="16"/>
      <c r="B864" s="16"/>
      <c r="C864" s="16"/>
      <c r="D864" s="16"/>
      <c r="E864" s="16"/>
      <c r="F864" s="16"/>
      <c r="G864" s="16"/>
      <c r="H864" s="16"/>
      <c r="N864" s="580"/>
      <c r="O864" s="580"/>
      <c r="P864" s="580"/>
      <c r="Q864" s="580"/>
      <c r="R864" s="580"/>
      <c r="S864" s="580"/>
      <c r="T864" s="580"/>
      <c r="U864" s="580"/>
      <c r="V864" s="580"/>
    </row>
    <row r="865" spans="1:22" ht="15">
      <c r="A865" s="16"/>
      <c r="B865" s="16"/>
      <c r="C865" s="16"/>
      <c r="D865" s="16"/>
      <c r="E865" s="16"/>
      <c r="F865" s="16"/>
      <c r="G865" s="16"/>
      <c r="H865" s="16"/>
      <c r="N865" s="580"/>
      <c r="O865" s="580"/>
      <c r="P865" s="580"/>
      <c r="Q865" s="580"/>
      <c r="R865" s="580"/>
      <c r="S865" s="580"/>
      <c r="T865" s="580"/>
      <c r="U865" s="580"/>
      <c r="V865" s="580"/>
    </row>
    <row r="866" spans="1:22" ht="15">
      <c r="A866" s="16"/>
      <c r="B866" s="16"/>
      <c r="C866" s="16"/>
      <c r="D866" s="16"/>
      <c r="E866" s="16"/>
      <c r="F866" s="16"/>
      <c r="G866" s="16"/>
      <c r="H866" s="16"/>
      <c r="N866" s="580"/>
      <c r="O866" s="580"/>
      <c r="P866" s="580"/>
      <c r="Q866" s="580"/>
      <c r="R866" s="580"/>
      <c r="S866" s="580"/>
      <c r="T866" s="580"/>
      <c r="U866" s="580"/>
      <c r="V866" s="580"/>
    </row>
    <row r="867" spans="1:22" ht="15">
      <c r="A867" s="16"/>
      <c r="B867" s="16"/>
      <c r="C867" s="16"/>
      <c r="D867" s="16"/>
      <c r="E867" s="16"/>
      <c r="F867" s="16"/>
      <c r="G867" s="16"/>
      <c r="H867" s="16"/>
      <c r="N867" s="580"/>
      <c r="O867" s="580"/>
      <c r="P867" s="580"/>
      <c r="Q867" s="580"/>
      <c r="R867" s="580"/>
      <c r="S867" s="580"/>
      <c r="T867" s="580"/>
      <c r="U867" s="580"/>
      <c r="V867" s="580"/>
    </row>
    <row r="868" spans="1:22" ht="15">
      <c r="A868" s="16"/>
      <c r="B868" s="16"/>
      <c r="C868" s="16"/>
      <c r="D868" s="16"/>
      <c r="E868" s="16"/>
      <c r="F868" s="16"/>
      <c r="G868" s="16"/>
      <c r="H868" s="16"/>
      <c r="N868" s="580"/>
      <c r="O868" s="580"/>
      <c r="P868" s="580"/>
      <c r="Q868" s="580"/>
      <c r="R868" s="580"/>
      <c r="S868" s="580"/>
      <c r="T868" s="580"/>
      <c r="U868" s="580"/>
      <c r="V868" s="580"/>
    </row>
    <row r="869" spans="1:22" ht="15">
      <c r="A869" s="16"/>
      <c r="B869" s="16"/>
      <c r="C869" s="16"/>
      <c r="D869" s="16"/>
      <c r="E869" s="16"/>
      <c r="F869" s="16"/>
      <c r="G869" s="16"/>
      <c r="H869" s="16"/>
      <c r="N869" s="580"/>
      <c r="O869" s="580"/>
      <c r="P869" s="580"/>
      <c r="Q869" s="580"/>
      <c r="R869" s="580"/>
      <c r="S869" s="580"/>
      <c r="T869" s="580"/>
      <c r="U869" s="580"/>
      <c r="V869" s="580"/>
    </row>
    <row r="870" spans="1:22" ht="15">
      <c r="A870" s="16"/>
      <c r="B870" s="16"/>
      <c r="C870" s="16"/>
      <c r="D870" s="16"/>
      <c r="E870" s="16"/>
      <c r="F870" s="16"/>
      <c r="G870" s="16"/>
      <c r="H870" s="16"/>
      <c r="N870" s="580"/>
      <c r="O870" s="580"/>
      <c r="P870" s="580"/>
      <c r="Q870" s="580"/>
      <c r="R870" s="580"/>
      <c r="S870" s="580"/>
      <c r="T870" s="580"/>
      <c r="U870" s="580"/>
      <c r="V870" s="580"/>
    </row>
    <row r="871" spans="1:22" ht="15">
      <c r="A871" s="16"/>
      <c r="B871" s="16"/>
      <c r="C871" s="16"/>
      <c r="D871" s="16"/>
      <c r="E871" s="16"/>
      <c r="F871" s="16"/>
      <c r="G871" s="16"/>
      <c r="H871" s="16"/>
      <c r="N871" s="580"/>
      <c r="O871" s="580"/>
      <c r="P871" s="580"/>
      <c r="Q871" s="580"/>
      <c r="R871" s="580"/>
      <c r="S871" s="580"/>
      <c r="T871" s="580"/>
      <c r="U871" s="580"/>
      <c r="V871" s="580"/>
    </row>
    <row r="872" spans="1:22" ht="15">
      <c r="A872" s="16"/>
      <c r="B872" s="16"/>
      <c r="C872" s="16"/>
      <c r="D872" s="16"/>
      <c r="E872" s="16"/>
      <c r="F872" s="16"/>
      <c r="G872" s="16"/>
      <c r="H872" s="16"/>
      <c r="N872" s="580"/>
      <c r="O872" s="580"/>
      <c r="P872" s="580"/>
      <c r="Q872" s="580"/>
      <c r="R872" s="580"/>
      <c r="S872" s="580"/>
      <c r="T872" s="580"/>
      <c r="U872" s="580"/>
      <c r="V872" s="580"/>
    </row>
    <row r="873" spans="1:22" ht="15">
      <c r="A873" s="16"/>
      <c r="B873" s="16"/>
      <c r="C873" s="16"/>
      <c r="D873" s="16"/>
      <c r="E873" s="16"/>
      <c r="F873" s="16"/>
      <c r="G873" s="16"/>
      <c r="H873" s="16"/>
      <c r="N873" s="580"/>
      <c r="O873" s="580"/>
      <c r="P873" s="580"/>
      <c r="Q873" s="580"/>
      <c r="R873" s="580"/>
      <c r="S873" s="580"/>
      <c r="T873" s="580"/>
      <c r="U873" s="580"/>
      <c r="V873" s="580"/>
    </row>
    <row r="874" spans="1:22" ht="15">
      <c r="A874" s="16"/>
      <c r="B874" s="16"/>
      <c r="C874" s="16"/>
      <c r="D874" s="16"/>
      <c r="E874" s="16"/>
      <c r="F874" s="16"/>
      <c r="G874" s="16"/>
      <c r="H874" s="16"/>
      <c r="N874" s="580"/>
      <c r="O874" s="580"/>
      <c r="P874" s="580"/>
      <c r="Q874" s="580"/>
      <c r="R874" s="580"/>
      <c r="S874" s="580"/>
      <c r="T874" s="580"/>
      <c r="U874" s="580"/>
      <c r="V874" s="580"/>
    </row>
    <row r="875" spans="1:22" ht="15">
      <c r="A875" s="16"/>
      <c r="B875" s="16"/>
      <c r="C875" s="16"/>
      <c r="D875" s="16"/>
      <c r="E875" s="16"/>
      <c r="F875" s="16"/>
      <c r="G875" s="16"/>
      <c r="H875" s="16"/>
      <c r="N875" s="580"/>
      <c r="O875" s="580"/>
      <c r="P875" s="580"/>
      <c r="Q875" s="580"/>
      <c r="R875" s="580"/>
      <c r="S875" s="580"/>
      <c r="T875" s="580"/>
      <c r="U875" s="580"/>
      <c r="V875" s="580"/>
    </row>
    <row r="876" spans="1:22" ht="15">
      <c r="A876" s="16"/>
      <c r="B876" s="16"/>
      <c r="C876" s="16"/>
      <c r="D876" s="16"/>
      <c r="E876" s="16"/>
      <c r="F876" s="16"/>
      <c r="G876" s="16"/>
      <c r="H876" s="16"/>
      <c r="N876" s="580"/>
      <c r="O876" s="580"/>
      <c r="P876" s="580"/>
      <c r="Q876" s="580"/>
      <c r="R876" s="580"/>
      <c r="S876" s="580"/>
      <c r="T876" s="580"/>
      <c r="U876" s="580"/>
      <c r="V876" s="580"/>
    </row>
    <row r="877" spans="1:22" ht="15">
      <c r="A877" s="16"/>
      <c r="B877" s="16"/>
      <c r="C877" s="16"/>
      <c r="D877" s="16"/>
      <c r="E877" s="16"/>
      <c r="F877" s="16"/>
      <c r="G877" s="16"/>
      <c r="H877" s="16"/>
      <c r="N877" s="580"/>
      <c r="O877" s="580"/>
      <c r="P877" s="580"/>
      <c r="Q877" s="580"/>
      <c r="R877" s="580"/>
      <c r="S877" s="580"/>
      <c r="T877" s="580"/>
      <c r="U877" s="580"/>
      <c r="V877" s="580"/>
    </row>
    <row r="878" spans="1:22" ht="15">
      <c r="A878" s="16"/>
      <c r="B878" s="16"/>
      <c r="C878" s="16"/>
      <c r="D878" s="16"/>
      <c r="E878" s="16"/>
      <c r="F878" s="16"/>
      <c r="G878" s="16"/>
      <c r="H878" s="16"/>
      <c r="N878" s="580"/>
      <c r="O878" s="580"/>
      <c r="P878" s="580"/>
      <c r="Q878" s="580"/>
      <c r="R878" s="580"/>
      <c r="S878" s="580"/>
      <c r="T878" s="580"/>
      <c r="U878" s="580"/>
      <c r="V878" s="580"/>
    </row>
    <row r="879" spans="1:22" ht="15">
      <c r="A879" s="16"/>
      <c r="B879" s="16"/>
      <c r="C879" s="16"/>
      <c r="D879" s="16"/>
      <c r="E879" s="16"/>
      <c r="F879" s="16"/>
      <c r="G879" s="16"/>
      <c r="H879" s="16"/>
      <c r="N879" s="580"/>
      <c r="O879" s="580"/>
      <c r="P879" s="580"/>
      <c r="Q879" s="580"/>
      <c r="R879" s="580"/>
      <c r="S879" s="580"/>
      <c r="T879" s="580"/>
      <c r="U879" s="580"/>
      <c r="V879" s="580"/>
    </row>
    <row r="880" spans="1:22" ht="15">
      <c r="A880" s="16"/>
      <c r="B880" s="16"/>
      <c r="C880" s="16"/>
      <c r="D880" s="16"/>
      <c r="E880" s="16"/>
      <c r="F880" s="16"/>
      <c r="G880" s="16"/>
      <c r="H880" s="16"/>
      <c r="N880" s="580"/>
      <c r="O880" s="580"/>
      <c r="P880" s="580"/>
      <c r="Q880" s="580"/>
      <c r="R880" s="580"/>
      <c r="S880" s="580"/>
      <c r="T880" s="580"/>
      <c r="U880" s="580"/>
      <c r="V880" s="580"/>
    </row>
    <row r="881" spans="1:22" ht="15">
      <c r="A881" s="16"/>
      <c r="B881" s="16"/>
      <c r="C881" s="16"/>
      <c r="D881" s="16"/>
      <c r="E881" s="16"/>
      <c r="F881" s="16"/>
      <c r="G881" s="16"/>
      <c r="H881" s="16"/>
      <c r="N881" s="580"/>
      <c r="O881" s="580"/>
      <c r="P881" s="580"/>
      <c r="Q881" s="580"/>
      <c r="R881" s="580"/>
      <c r="S881" s="580"/>
      <c r="T881" s="580"/>
      <c r="U881" s="580"/>
      <c r="V881" s="580"/>
    </row>
    <row r="882" spans="1:22" ht="15">
      <c r="A882" s="16"/>
      <c r="B882" s="16"/>
      <c r="C882" s="16"/>
      <c r="D882" s="16"/>
      <c r="E882" s="16"/>
      <c r="F882" s="16"/>
      <c r="G882" s="16"/>
      <c r="H882" s="16"/>
      <c r="N882" s="580"/>
      <c r="O882" s="580"/>
      <c r="P882" s="580"/>
      <c r="Q882" s="580"/>
      <c r="R882" s="580"/>
      <c r="S882" s="580"/>
      <c r="T882" s="580"/>
      <c r="U882" s="580"/>
      <c r="V882" s="580"/>
    </row>
    <row r="883" spans="1:22" ht="15">
      <c r="A883" s="16"/>
      <c r="B883" s="16"/>
      <c r="C883" s="16"/>
      <c r="D883" s="16"/>
      <c r="E883" s="16"/>
      <c r="F883" s="16"/>
      <c r="G883" s="16"/>
      <c r="H883" s="16"/>
      <c r="N883" s="580"/>
      <c r="O883" s="580"/>
      <c r="P883" s="580"/>
      <c r="Q883" s="580"/>
      <c r="R883" s="580"/>
      <c r="S883" s="580"/>
      <c r="T883" s="580"/>
      <c r="U883" s="580"/>
      <c r="V883" s="580"/>
    </row>
    <row r="884" spans="1:22" ht="15">
      <c r="A884" s="16"/>
      <c r="B884" s="16"/>
      <c r="C884" s="16"/>
      <c r="D884" s="16"/>
      <c r="E884" s="16"/>
      <c r="F884" s="16"/>
      <c r="G884" s="16"/>
      <c r="H884" s="16"/>
      <c r="N884" s="580"/>
      <c r="O884" s="580"/>
      <c r="P884" s="580"/>
      <c r="Q884" s="580"/>
      <c r="R884" s="580"/>
      <c r="S884" s="580"/>
      <c r="T884" s="580"/>
      <c r="U884" s="580"/>
      <c r="V884" s="580"/>
    </row>
    <row r="885" spans="1:22" ht="15">
      <c r="A885" s="16"/>
      <c r="B885" s="16"/>
      <c r="C885" s="16"/>
      <c r="D885" s="16"/>
      <c r="E885" s="16"/>
      <c r="F885" s="16"/>
      <c r="G885" s="16"/>
      <c r="H885" s="16"/>
      <c r="N885" s="580"/>
      <c r="O885" s="580"/>
      <c r="P885" s="580"/>
      <c r="Q885" s="580"/>
      <c r="R885" s="580"/>
      <c r="S885" s="580"/>
      <c r="T885" s="580"/>
      <c r="U885" s="580"/>
      <c r="V885" s="580"/>
    </row>
    <row r="886" spans="1:22" ht="15">
      <c r="A886" s="16"/>
      <c r="B886" s="16"/>
      <c r="C886" s="16"/>
      <c r="D886" s="16"/>
      <c r="E886" s="16"/>
      <c r="F886" s="16"/>
      <c r="G886" s="16"/>
      <c r="H886" s="16"/>
      <c r="N886" s="580"/>
      <c r="O886" s="580"/>
      <c r="P886" s="580"/>
      <c r="Q886" s="580"/>
      <c r="R886" s="580"/>
      <c r="S886" s="580"/>
      <c r="T886" s="580"/>
      <c r="U886" s="580"/>
      <c r="V886" s="580"/>
    </row>
    <row r="887" spans="1:22" ht="15">
      <c r="A887" s="16"/>
      <c r="B887" s="16"/>
      <c r="C887" s="16"/>
      <c r="D887" s="16"/>
      <c r="E887" s="16"/>
      <c r="F887" s="16"/>
      <c r="G887" s="16"/>
      <c r="H887" s="16"/>
      <c r="N887" s="580"/>
      <c r="O887" s="580"/>
      <c r="P887" s="580"/>
      <c r="Q887" s="580"/>
      <c r="R887" s="580"/>
      <c r="S887" s="580"/>
      <c r="T887" s="580"/>
      <c r="U887" s="580"/>
      <c r="V887" s="580"/>
    </row>
    <row r="888" spans="1:22" ht="15">
      <c r="A888" s="16"/>
      <c r="B888" s="16"/>
      <c r="C888" s="16"/>
      <c r="D888" s="16"/>
      <c r="E888" s="16"/>
      <c r="F888" s="16"/>
      <c r="G888" s="16"/>
      <c r="H888" s="16"/>
      <c r="N888" s="580"/>
      <c r="O888" s="580"/>
      <c r="P888" s="580"/>
      <c r="Q888" s="580"/>
      <c r="R888" s="580"/>
      <c r="S888" s="580"/>
      <c r="T888" s="580"/>
      <c r="U888" s="580"/>
      <c r="V888" s="580"/>
    </row>
    <row r="889" spans="1:22" ht="15">
      <c r="A889" s="16"/>
      <c r="B889" s="16"/>
      <c r="C889" s="16"/>
      <c r="D889" s="16"/>
      <c r="E889" s="16"/>
      <c r="F889" s="16"/>
      <c r="G889" s="16"/>
      <c r="H889" s="16"/>
      <c r="N889" s="580"/>
      <c r="O889" s="580"/>
      <c r="P889" s="580"/>
      <c r="Q889" s="580"/>
      <c r="R889" s="580"/>
      <c r="S889" s="580"/>
      <c r="T889" s="580"/>
      <c r="U889" s="580"/>
      <c r="V889" s="580"/>
    </row>
    <row r="890" spans="1:22" ht="15">
      <c r="A890" s="16"/>
      <c r="B890" s="16"/>
      <c r="C890" s="16"/>
      <c r="D890" s="16"/>
      <c r="E890" s="16"/>
      <c r="F890" s="16"/>
      <c r="G890" s="16"/>
      <c r="H890" s="16"/>
      <c r="N890" s="580"/>
      <c r="O890" s="580"/>
      <c r="P890" s="580"/>
      <c r="Q890" s="580"/>
      <c r="R890" s="580"/>
      <c r="S890" s="580"/>
      <c r="T890" s="580"/>
      <c r="U890" s="580"/>
      <c r="V890" s="580"/>
    </row>
    <row r="891" spans="1:22" ht="15">
      <c r="A891" s="16"/>
      <c r="B891" s="16"/>
      <c r="C891" s="16"/>
      <c r="D891" s="16"/>
      <c r="E891" s="16"/>
      <c r="F891" s="16"/>
      <c r="G891" s="16"/>
      <c r="H891" s="16"/>
      <c r="N891" s="580"/>
      <c r="O891" s="580"/>
      <c r="P891" s="580"/>
      <c r="Q891" s="580"/>
      <c r="R891" s="580"/>
      <c r="S891" s="580"/>
      <c r="T891" s="580"/>
      <c r="U891" s="580"/>
      <c r="V891" s="580"/>
    </row>
    <row r="892" spans="1:22" ht="15">
      <c r="A892" s="16"/>
      <c r="B892" s="16"/>
      <c r="C892" s="16"/>
      <c r="D892" s="16"/>
      <c r="E892" s="16"/>
      <c r="F892" s="16"/>
      <c r="G892" s="16"/>
      <c r="H892" s="16"/>
      <c r="N892" s="580"/>
      <c r="O892" s="580"/>
      <c r="P892" s="580"/>
      <c r="Q892" s="580"/>
      <c r="R892" s="580"/>
      <c r="S892" s="580"/>
      <c r="T892" s="580"/>
      <c r="U892" s="580"/>
      <c r="V892" s="580"/>
    </row>
    <row r="893" spans="1:22" ht="15">
      <c r="A893" s="16"/>
      <c r="B893" s="16"/>
      <c r="C893" s="16"/>
      <c r="D893" s="16"/>
      <c r="E893" s="16"/>
      <c r="F893" s="16"/>
      <c r="G893" s="16"/>
      <c r="H893" s="16"/>
      <c r="N893" s="580"/>
      <c r="O893" s="580"/>
      <c r="P893" s="580"/>
      <c r="Q893" s="580"/>
      <c r="R893" s="580"/>
      <c r="S893" s="580"/>
      <c r="T893" s="580"/>
      <c r="U893" s="580"/>
      <c r="V893" s="580"/>
    </row>
    <row r="894" spans="1:22" ht="15">
      <c r="A894" s="16"/>
      <c r="B894" s="16"/>
      <c r="C894" s="16"/>
      <c r="D894" s="16"/>
      <c r="E894" s="16"/>
      <c r="F894" s="16"/>
      <c r="G894" s="16"/>
      <c r="H894" s="16"/>
      <c r="N894" s="580"/>
      <c r="O894" s="580"/>
      <c r="P894" s="580"/>
      <c r="Q894" s="580"/>
      <c r="R894" s="580"/>
      <c r="S894" s="580"/>
      <c r="T894" s="580"/>
      <c r="U894" s="580"/>
      <c r="V894" s="580"/>
    </row>
    <row r="895" spans="1:22" ht="15">
      <c r="A895" s="16"/>
      <c r="B895" s="16"/>
      <c r="C895" s="16"/>
      <c r="D895" s="16"/>
      <c r="E895" s="16"/>
      <c r="F895" s="16"/>
      <c r="G895" s="16"/>
      <c r="H895" s="16"/>
      <c r="N895" s="580"/>
      <c r="O895" s="580"/>
      <c r="P895" s="580"/>
      <c r="Q895" s="580"/>
      <c r="R895" s="580"/>
      <c r="S895" s="580"/>
      <c r="T895" s="580"/>
      <c r="U895" s="580"/>
      <c r="V895" s="580"/>
    </row>
    <row r="896" spans="1:22" ht="15">
      <c r="A896" s="16"/>
      <c r="B896" s="16"/>
      <c r="C896" s="16"/>
      <c r="D896" s="16"/>
      <c r="E896" s="16"/>
      <c r="F896" s="16"/>
      <c r="G896" s="16"/>
      <c r="H896" s="16"/>
      <c r="N896" s="580"/>
      <c r="O896" s="580"/>
      <c r="P896" s="580"/>
      <c r="Q896" s="580"/>
      <c r="R896" s="580"/>
      <c r="S896" s="580"/>
      <c r="T896" s="580"/>
      <c r="U896" s="580"/>
      <c r="V896" s="580"/>
    </row>
    <row r="897" spans="1:22" ht="15">
      <c r="A897" s="16"/>
      <c r="B897" s="16"/>
      <c r="C897" s="16"/>
      <c r="D897" s="16"/>
      <c r="E897" s="16"/>
      <c r="F897" s="16"/>
      <c r="G897" s="16"/>
      <c r="H897" s="16"/>
      <c r="N897" s="580"/>
      <c r="O897" s="580"/>
      <c r="P897" s="580"/>
      <c r="Q897" s="580"/>
      <c r="R897" s="580"/>
      <c r="S897" s="580"/>
      <c r="T897" s="580"/>
      <c r="U897" s="580"/>
      <c r="V897" s="580"/>
    </row>
    <row r="898" spans="1:22" ht="15">
      <c r="A898" s="16"/>
      <c r="B898" s="16"/>
      <c r="C898" s="16"/>
      <c r="D898" s="16"/>
      <c r="E898" s="16"/>
      <c r="F898" s="16"/>
      <c r="G898" s="16"/>
      <c r="H898" s="16"/>
      <c r="N898" s="580"/>
      <c r="O898" s="580"/>
      <c r="P898" s="580"/>
      <c r="Q898" s="580"/>
      <c r="R898" s="580"/>
      <c r="S898" s="580"/>
      <c r="T898" s="580"/>
      <c r="U898" s="580"/>
      <c r="V898" s="580"/>
    </row>
    <row r="899" spans="1:22" ht="15">
      <c r="A899" s="16"/>
      <c r="B899" s="16"/>
      <c r="C899" s="16"/>
      <c r="D899" s="16"/>
      <c r="E899" s="16"/>
      <c r="F899" s="16"/>
      <c r="G899" s="16"/>
      <c r="H899" s="16"/>
      <c r="N899" s="580"/>
      <c r="O899" s="580"/>
      <c r="P899" s="580"/>
      <c r="Q899" s="580"/>
      <c r="R899" s="580"/>
      <c r="S899" s="580"/>
      <c r="T899" s="580"/>
      <c r="U899" s="580"/>
      <c r="V899" s="580"/>
    </row>
    <row r="900" spans="1:22" ht="15">
      <c r="A900" s="16"/>
      <c r="B900" s="16"/>
      <c r="C900" s="16"/>
      <c r="D900" s="16"/>
      <c r="E900" s="16"/>
      <c r="F900" s="16"/>
      <c r="G900" s="16"/>
      <c r="H900" s="16"/>
      <c r="N900" s="580"/>
      <c r="O900" s="580"/>
      <c r="P900" s="580"/>
      <c r="Q900" s="580"/>
      <c r="R900" s="580"/>
      <c r="S900" s="580"/>
      <c r="T900" s="580"/>
      <c r="U900" s="580"/>
      <c r="V900" s="580"/>
    </row>
    <row r="901" spans="1:22" ht="15">
      <c r="A901" s="16"/>
      <c r="B901" s="16"/>
      <c r="C901" s="16"/>
      <c r="D901" s="16"/>
      <c r="E901" s="16"/>
      <c r="F901" s="16"/>
      <c r="G901" s="16"/>
      <c r="H901" s="16"/>
      <c r="N901" s="580"/>
      <c r="O901" s="580"/>
      <c r="P901" s="580"/>
      <c r="Q901" s="580"/>
      <c r="R901" s="580"/>
      <c r="S901" s="580"/>
      <c r="T901" s="580"/>
      <c r="U901" s="580"/>
      <c r="V901" s="580"/>
    </row>
    <row r="902" spans="1:22" ht="15">
      <c r="A902" s="16"/>
      <c r="B902" s="16"/>
      <c r="C902" s="16"/>
      <c r="D902" s="16"/>
      <c r="E902" s="16"/>
      <c r="F902" s="16"/>
      <c r="G902" s="16"/>
      <c r="H902" s="16"/>
      <c r="N902" s="580"/>
      <c r="O902" s="580"/>
      <c r="P902" s="580"/>
      <c r="Q902" s="580"/>
      <c r="R902" s="580"/>
      <c r="S902" s="580"/>
      <c r="T902" s="580"/>
      <c r="U902" s="580"/>
      <c r="V902" s="580"/>
    </row>
    <row r="903" spans="1:22" ht="15">
      <c r="A903" s="16"/>
      <c r="B903" s="16"/>
      <c r="C903" s="16"/>
      <c r="D903" s="16"/>
      <c r="E903" s="16"/>
      <c r="F903" s="16"/>
      <c r="G903" s="16"/>
      <c r="H903" s="16"/>
      <c r="N903" s="580"/>
      <c r="O903" s="580"/>
      <c r="P903" s="580"/>
      <c r="Q903" s="580"/>
      <c r="R903" s="580"/>
      <c r="S903" s="580"/>
      <c r="T903" s="580"/>
      <c r="U903" s="580"/>
      <c r="V903" s="580"/>
    </row>
    <row r="904" spans="1:22" ht="15">
      <c r="A904" s="16"/>
      <c r="B904" s="16"/>
      <c r="C904" s="16"/>
      <c r="D904" s="16"/>
      <c r="E904" s="16"/>
      <c r="F904" s="16"/>
      <c r="G904" s="16"/>
      <c r="H904" s="16"/>
      <c r="N904" s="580"/>
      <c r="O904" s="580"/>
      <c r="P904" s="580"/>
      <c r="Q904" s="580"/>
      <c r="R904" s="580"/>
      <c r="S904" s="580"/>
      <c r="T904" s="580"/>
      <c r="U904" s="580"/>
      <c r="V904" s="580"/>
    </row>
    <row r="905" spans="1:22" ht="15">
      <c r="A905" s="16"/>
      <c r="B905" s="16"/>
      <c r="C905" s="16"/>
      <c r="D905" s="16"/>
      <c r="E905" s="16"/>
      <c r="F905" s="16"/>
      <c r="G905" s="16"/>
      <c r="H905" s="16"/>
      <c r="N905" s="580"/>
      <c r="O905" s="580"/>
      <c r="P905" s="580"/>
      <c r="Q905" s="580"/>
      <c r="R905" s="580"/>
      <c r="S905" s="580"/>
      <c r="T905" s="580"/>
      <c r="U905" s="580"/>
      <c r="V905" s="580"/>
    </row>
    <row r="906" spans="1:22" ht="15">
      <c r="A906" s="16"/>
      <c r="B906" s="16"/>
      <c r="C906" s="16"/>
      <c r="D906" s="16"/>
      <c r="E906" s="16"/>
      <c r="F906" s="16"/>
      <c r="G906" s="16"/>
      <c r="H906" s="16"/>
      <c r="N906" s="580"/>
      <c r="O906" s="580"/>
      <c r="P906" s="580"/>
      <c r="Q906" s="580"/>
      <c r="R906" s="580"/>
      <c r="S906" s="580"/>
      <c r="T906" s="580"/>
      <c r="U906" s="580"/>
      <c r="V906" s="580"/>
    </row>
    <row r="907" spans="1:22" ht="15">
      <c r="A907" s="16"/>
      <c r="B907" s="16"/>
      <c r="C907" s="16"/>
      <c r="D907" s="16"/>
      <c r="E907" s="16"/>
      <c r="F907" s="16"/>
      <c r="G907" s="16"/>
      <c r="H907" s="16"/>
      <c r="N907" s="580"/>
      <c r="O907" s="580"/>
      <c r="P907" s="580"/>
      <c r="Q907" s="580"/>
      <c r="R907" s="580"/>
      <c r="S907" s="580"/>
      <c r="T907" s="580"/>
      <c r="U907" s="580"/>
      <c r="V907" s="580"/>
    </row>
    <row r="908" spans="1:22" ht="15">
      <c r="A908" s="16"/>
      <c r="B908" s="16"/>
      <c r="C908" s="16"/>
      <c r="D908" s="16"/>
      <c r="E908" s="16"/>
      <c r="F908" s="16"/>
      <c r="G908" s="16"/>
      <c r="H908" s="16"/>
      <c r="N908" s="580"/>
      <c r="O908" s="580"/>
      <c r="P908" s="580"/>
      <c r="Q908" s="580"/>
      <c r="R908" s="580"/>
      <c r="S908" s="580"/>
      <c r="T908" s="580"/>
      <c r="U908" s="580"/>
      <c r="V908" s="580"/>
    </row>
    <row r="909" spans="1:22" ht="15">
      <c r="A909" s="16"/>
      <c r="B909" s="16"/>
      <c r="C909" s="16"/>
      <c r="D909" s="16"/>
      <c r="E909" s="16"/>
      <c r="F909" s="16"/>
      <c r="G909" s="16"/>
      <c r="H909" s="16"/>
      <c r="N909" s="580"/>
      <c r="O909" s="580"/>
      <c r="P909" s="580"/>
      <c r="Q909" s="580"/>
      <c r="R909" s="580"/>
      <c r="S909" s="580"/>
      <c r="T909" s="580"/>
      <c r="U909" s="580"/>
      <c r="V909" s="580"/>
    </row>
    <row r="910" spans="1:22" ht="15">
      <c r="A910" s="16"/>
      <c r="B910" s="16"/>
      <c r="C910" s="16"/>
      <c r="D910" s="16"/>
      <c r="E910" s="16"/>
      <c r="F910" s="16"/>
      <c r="G910" s="16"/>
      <c r="H910" s="16"/>
      <c r="N910" s="580"/>
      <c r="O910" s="580"/>
      <c r="P910" s="580"/>
      <c r="Q910" s="580"/>
      <c r="R910" s="580"/>
      <c r="S910" s="580"/>
      <c r="T910" s="580"/>
      <c r="U910" s="580"/>
      <c r="V910" s="580"/>
    </row>
    <row r="911" spans="1:22" ht="15">
      <c r="A911" s="16"/>
      <c r="B911" s="16"/>
      <c r="C911" s="16"/>
      <c r="D911" s="16"/>
      <c r="E911" s="16"/>
      <c r="F911" s="16"/>
      <c r="G911" s="16"/>
      <c r="H911" s="16"/>
      <c r="N911" s="580"/>
      <c r="O911" s="580"/>
      <c r="P911" s="580"/>
      <c r="Q911" s="580"/>
      <c r="R911" s="580"/>
      <c r="S911" s="580"/>
      <c r="T911" s="580"/>
      <c r="U911" s="580"/>
      <c r="V911" s="580"/>
    </row>
    <row r="912" spans="1:22" ht="15">
      <c r="A912" s="16"/>
      <c r="B912" s="16"/>
      <c r="C912" s="16"/>
      <c r="D912" s="16"/>
      <c r="E912" s="16"/>
      <c r="F912" s="16"/>
      <c r="G912" s="16"/>
      <c r="H912" s="16"/>
      <c r="N912" s="580"/>
      <c r="O912" s="580"/>
      <c r="P912" s="580"/>
      <c r="Q912" s="580"/>
      <c r="R912" s="580"/>
      <c r="S912" s="580"/>
      <c r="T912" s="580"/>
      <c r="U912" s="580"/>
      <c r="V912" s="580"/>
    </row>
    <row r="913" spans="1:22" ht="15">
      <c r="A913" s="16"/>
      <c r="B913" s="16"/>
      <c r="C913" s="16"/>
      <c r="D913" s="16"/>
      <c r="E913" s="16"/>
      <c r="F913" s="16"/>
      <c r="G913" s="16"/>
      <c r="H913" s="16"/>
      <c r="N913" s="580"/>
      <c r="O913" s="580"/>
      <c r="P913" s="580"/>
      <c r="Q913" s="580"/>
      <c r="R913" s="580"/>
      <c r="S913" s="580"/>
      <c r="T913" s="580"/>
      <c r="U913" s="580"/>
      <c r="V913" s="580"/>
    </row>
    <row r="914" spans="1:22" ht="15">
      <c r="A914" s="16"/>
      <c r="B914" s="16"/>
      <c r="C914" s="16"/>
      <c r="D914" s="16"/>
      <c r="E914" s="16"/>
      <c r="F914" s="16"/>
      <c r="G914" s="16"/>
      <c r="H914" s="16"/>
      <c r="N914" s="580"/>
      <c r="O914" s="580"/>
      <c r="P914" s="580"/>
      <c r="Q914" s="580"/>
      <c r="R914" s="580"/>
      <c r="S914" s="580"/>
      <c r="T914" s="580"/>
      <c r="U914" s="580"/>
      <c r="V914" s="580"/>
    </row>
    <row r="915" spans="1:22" ht="15">
      <c r="A915" s="16"/>
      <c r="B915" s="16"/>
      <c r="C915" s="16"/>
      <c r="D915" s="16"/>
      <c r="E915" s="16"/>
      <c r="F915" s="16"/>
      <c r="G915" s="16"/>
      <c r="H915" s="16"/>
      <c r="N915" s="580"/>
      <c r="O915" s="580"/>
      <c r="P915" s="580"/>
      <c r="Q915" s="580"/>
      <c r="R915" s="580"/>
      <c r="S915" s="580"/>
      <c r="T915" s="580"/>
      <c r="U915" s="580"/>
      <c r="V915" s="580"/>
    </row>
    <row r="916" spans="1:22" ht="15">
      <c r="A916" s="16"/>
      <c r="B916" s="16"/>
      <c r="C916" s="16"/>
      <c r="D916" s="16"/>
      <c r="E916" s="16"/>
      <c r="F916" s="16"/>
      <c r="G916" s="16"/>
      <c r="H916" s="16"/>
      <c r="N916" s="580"/>
      <c r="O916" s="580"/>
      <c r="P916" s="580"/>
      <c r="Q916" s="580"/>
      <c r="R916" s="580"/>
      <c r="S916" s="580"/>
      <c r="T916" s="580"/>
      <c r="U916" s="580"/>
      <c r="V916" s="580"/>
    </row>
    <row r="917" spans="1:22" ht="15">
      <c r="A917" s="16"/>
      <c r="B917" s="16"/>
      <c r="C917" s="16"/>
      <c r="D917" s="16"/>
      <c r="E917" s="16"/>
      <c r="F917" s="16"/>
      <c r="G917" s="16"/>
      <c r="H917" s="16"/>
      <c r="N917" s="580"/>
      <c r="O917" s="580"/>
      <c r="P917" s="580"/>
      <c r="Q917" s="580"/>
      <c r="R917" s="580"/>
      <c r="S917" s="580"/>
      <c r="T917" s="580"/>
      <c r="U917" s="580"/>
      <c r="V917" s="580"/>
    </row>
    <row r="918" spans="1:22" ht="15">
      <c r="A918" s="16"/>
      <c r="B918" s="16"/>
      <c r="C918" s="16"/>
      <c r="D918" s="16"/>
      <c r="E918" s="16"/>
      <c r="F918" s="16"/>
      <c r="G918" s="16"/>
      <c r="H918" s="16"/>
      <c r="N918" s="580"/>
      <c r="O918" s="580"/>
      <c r="P918" s="580"/>
      <c r="Q918" s="580"/>
      <c r="R918" s="580"/>
      <c r="S918" s="580"/>
      <c r="T918" s="580"/>
      <c r="U918" s="580"/>
      <c r="V918" s="580"/>
    </row>
    <row r="919" spans="1:22" ht="15">
      <c r="A919" s="16"/>
      <c r="B919" s="16"/>
      <c r="C919" s="16"/>
      <c r="D919" s="16"/>
      <c r="E919" s="16"/>
      <c r="F919" s="16"/>
      <c r="G919" s="16"/>
      <c r="H919" s="16"/>
      <c r="N919" s="580"/>
      <c r="O919" s="580"/>
      <c r="P919" s="580"/>
      <c r="Q919" s="580"/>
      <c r="R919" s="580"/>
      <c r="S919" s="580"/>
      <c r="T919" s="580"/>
      <c r="U919" s="580"/>
      <c r="V919" s="580"/>
    </row>
    <row r="920" spans="1:22" ht="15">
      <c r="A920" s="16"/>
      <c r="B920" s="16"/>
      <c r="C920" s="16"/>
      <c r="D920" s="16"/>
      <c r="E920" s="16"/>
      <c r="F920" s="16"/>
      <c r="G920" s="16"/>
      <c r="H920" s="16"/>
      <c r="N920" s="580"/>
      <c r="O920" s="580"/>
      <c r="P920" s="580"/>
      <c r="Q920" s="580"/>
      <c r="R920" s="580"/>
      <c r="S920" s="580"/>
      <c r="T920" s="580"/>
      <c r="U920" s="580"/>
      <c r="V920" s="580"/>
    </row>
    <row r="921" spans="1:22" ht="15">
      <c r="A921" s="16"/>
      <c r="B921" s="16"/>
      <c r="C921" s="16"/>
      <c r="D921" s="16"/>
      <c r="E921" s="16"/>
      <c r="F921" s="16"/>
      <c r="G921" s="16"/>
      <c r="H921" s="16"/>
      <c r="N921" s="580"/>
      <c r="O921" s="580"/>
      <c r="P921" s="580"/>
      <c r="Q921" s="580"/>
      <c r="R921" s="580"/>
      <c r="S921" s="580"/>
      <c r="T921" s="580"/>
      <c r="U921" s="580"/>
      <c r="V921" s="580"/>
    </row>
    <row r="922" spans="1:22" ht="15">
      <c r="A922" s="16"/>
      <c r="B922" s="16"/>
      <c r="C922" s="16"/>
      <c r="D922" s="16"/>
      <c r="E922" s="16"/>
      <c r="F922" s="16"/>
      <c r="G922" s="16"/>
      <c r="H922" s="16"/>
      <c r="N922" s="580"/>
      <c r="O922" s="580"/>
      <c r="P922" s="580"/>
      <c r="Q922" s="580"/>
      <c r="R922" s="580"/>
      <c r="S922" s="580"/>
      <c r="T922" s="580"/>
      <c r="U922" s="580"/>
      <c r="V922" s="580"/>
    </row>
    <row r="923" spans="1:22" ht="15">
      <c r="A923" s="16"/>
      <c r="B923" s="16"/>
      <c r="C923" s="16"/>
      <c r="D923" s="16"/>
      <c r="E923" s="16"/>
      <c r="F923" s="16"/>
      <c r="G923" s="16"/>
      <c r="H923" s="16"/>
      <c r="N923" s="580"/>
      <c r="O923" s="580"/>
      <c r="P923" s="580"/>
      <c r="Q923" s="580"/>
      <c r="R923" s="580"/>
      <c r="S923" s="580"/>
      <c r="T923" s="580"/>
      <c r="U923" s="580"/>
      <c r="V923" s="580"/>
    </row>
    <row r="924" spans="1:22" ht="15">
      <c r="A924" s="16"/>
      <c r="B924" s="16"/>
      <c r="C924" s="16"/>
      <c r="D924" s="16"/>
      <c r="E924" s="16"/>
      <c r="F924" s="16"/>
      <c r="G924" s="16"/>
      <c r="H924" s="16"/>
      <c r="N924" s="580"/>
      <c r="O924" s="580"/>
      <c r="P924" s="580"/>
      <c r="Q924" s="580"/>
      <c r="R924" s="580"/>
      <c r="S924" s="580"/>
      <c r="T924" s="580"/>
      <c r="U924" s="580"/>
      <c r="V924" s="580"/>
    </row>
    <row r="925" spans="1:22" ht="15">
      <c r="A925" s="16"/>
      <c r="B925" s="16"/>
      <c r="C925" s="16"/>
      <c r="D925" s="16"/>
      <c r="E925" s="16"/>
      <c r="F925" s="16"/>
      <c r="G925" s="16"/>
      <c r="H925" s="16"/>
      <c r="N925" s="580"/>
      <c r="O925" s="580"/>
      <c r="P925" s="580"/>
      <c r="Q925" s="580"/>
      <c r="R925" s="580"/>
      <c r="S925" s="580"/>
      <c r="T925" s="580"/>
      <c r="U925" s="580"/>
      <c r="V925" s="580"/>
    </row>
    <row r="926" spans="1:22" ht="15">
      <c r="A926" s="16"/>
      <c r="B926" s="16"/>
      <c r="C926" s="16"/>
      <c r="D926" s="16"/>
      <c r="E926" s="16"/>
      <c r="F926" s="16"/>
      <c r="G926" s="16"/>
      <c r="H926" s="16"/>
      <c r="N926" s="580"/>
      <c r="O926" s="580"/>
      <c r="P926" s="580"/>
      <c r="Q926" s="580"/>
      <c r="R926" s="580"/>
      <c r="S926" s="580"/>
      <c r="T926" s="580"/>
      <c r="U926" s="580"/>
      <c r="V926" s="580"/>
    </row>
    <row r="927" spans="1:22" ht="15">
      <c r="A927" s="16"/>
      <c r="B927" s="16"/>
      <c r="C927" s="16"/>
      <c r="D927" s="16"/>
      <c r="E927" s="16"/>
      <c r="F927" s="16"/>
      <c r="G927" s="16"/>
      <c r="H927" s="16"/>
      <c r="N927" s="580"/>
      <c r="O927" s="580"/>
      <c r="P927" s="580"/>
      <c r="Q927" s="580"/>
      <c r="R927" s="580"/>
      <c r="S927" s="580"/>
      <c r="T927" s="580"/>
      <c r="U927" s="580"/>
      <c r="V927" s="580"/>
    </row>
    <row r="928" spans="1:22" ht="15">
      <c r="A928" s="16"/>
      <c r="B928" s="16"/>
      <c r="C928" s="16"/>
      <c r="D928" s="16"/>
      <c r="E928" s="16"/>
      <c r="F928" s="16"/>
      <c r="G928" s="16"/>
      <c r="H928" s="16"/>
      <c r="N928" s="580"/>
      <c r="O928" s="580"/>
      <c r="P928" s="580"/>
      <c r="Q928" s="580"/>
      <c r="R928" s="580"/>
      <c r="S928" s="580"/>
      <c r="T928" s="580"/>
      <c r="U928" s="580"/>
      <c r="V928" s="580"/>
    </row>
    <row r="929" spans="1:22" ht="15">
      <c r="A929" s="16"/>
      <c r="B929" s="16"/>
      <c r="C929" s="16"/>
      <c r="D929" s="16"/>
      <c r="E929" s="16"/>
      <c r="F929" s="16"/>
      <c r="G929" s="16"/>
      <c r="H929" s="16"/>
      <c r="N929" s="580"/>
      <c r="O929" s="580"/>
      <c r="P929" s="580"/>
      <c r="Q929" s="580"/>
      <c r="R929" s="580"/>
      <c r="S929" s="580"/>
      <c r="T929" s="580"/>
      <c r="U929" s="580"/>
      <c r="V929" s="580"/>
    </row>
    <row r="930" spans="1:22" ht="15">
      <c r="A930" s="16"/>
      <c r="B930" s="16"/>
      <c r="C930" s="16"/>
      <c r="D930" s="16"/>
      <c r="E930" s="16"/>
      <c r="F930" s="16"/>
      <c r="G930" s="16"/>
      <c r="H930" s="16"/>
      <c r="N930" s="580"/>
      <c r="O930" s="580"/>
      <c r="P930" s="580"/>
      <c r="Q930" s="580"/>
      <c r="R930" s="580"/>
      <c r="S930" s="580"/>
      <c r="T930" s="580"/>
      <c r="U930" s="580"/>
      <c r="V930" s="580"/>
    </row>
    <row r="931" spans="1:22" ht="15">
      <c r="A931" s="16"/>
      <c r="B931" s="16"/>
      <c r="C931" s="16"/>
      <c r="D931" s="16"/>
      <c r="E931" s="16"/>
      <c r="F931" s="16"/>
      <c r="G931" s="16"/>
      <c r="H931" s="16"/>
      <c r="N931" s="580"/>
      <c r="O931" s="580"/>
      <c r="P931" s="580"/>
      <c r="Q931" s="580"/>
      <c r="R931" s="580"/>
      <c r="S931" s="580"/>
      <c r="T931" s="580"/>
      <c r="U931" s="580"/>
      <c r="V931" s="580"/>
    </row>
    <row r="932" spans="1:22" ht="15">
      <c r="A932" s="16"/>
      <c r="B932" s="16"/>
      <c r="C932" s="16"/>
      <c r="D932" s="16"/>
      <c r="E932" s="16"/>
      <c r="F932" s="16"/>
      <c r="G932" s="16"/>
      <c r="H932" s="16"/>
      <c r="N932" s="580"/>
      <c r="O932" s="580"/>
      <c r="P932" s="580"/>
      <c r="Q932" s="580"/>
      <c r="R932" s="580"/>
      <c r="S932" s="580"/>
      <c r="T932" s="580"/>
      <c r="U932" s="580"/>
      <c r="V932" s="580"/>
    </row>
    <row r="933" spans="1:22" ht="15">
      <c r="A933" s="16"/>
      <c r="B933" s="16"/>
      <c r="C933" s="16"/>
      <c r="D933" s="16"/>
      <c r="E933" s="16"/>
      <c r="F933" s="16"/>
      <c r="G933" s="16"/>
      <c r="H933" s="16"/>
      <c r="N933" s="580"/>
      <c r="O933" s="580"/>
      <c r="P933" s="580"/>
      <c r="Q933" s="580"/>
      <c r="R933" s="580"/>
      <c r="S933" s="580"/>
      <c r="T933" s="580"/>
      <c r="U933" s="580"/>
      <c r="V933" s="580"/>
    </row>
    <row r="934" spans="1:22" ht="15">
      <c r="A934" s="16"/>
      <c r="B934" s="16"/>
      <c r="C934" s="16"/>
      <c r="D934" s="16"/>
      <c r="E934" s="16"/>
      <c r="F934" s="16"/>
      <c r="G934" s="16"/>
      <c r="H934" s="16"/>
      <c r="N934" s="580"/>
      <c r="O934" s="580"/>
      <c r="P934" s="580"/>
      <c r="Q934" s="580"/>
      <c r="R934" s="580"/>
      <c r="S934" s="580"/>
      <c r="T934" s="580"/>
      <c r="U934" s="580"/>
      <c r="V934" s="580"/>
    </row>
    <row r="935" spans="1:22" ht="15">
      <c r="A935" s="16"/>
      <c r="B935" s="16"/>
      <c r="C935" s="16"/>
      <c r="D935" s="16"/>
      <c r="E935" s="16"/>
      <c r="F935" s="16"/>
      <c r="G935" s="16"/>
      <c r="H935" s="16"/>
      <c r="N935" s="580"/>
      <c r="O935" s="580"/>
      <c r="P935" s="580"/>
      <c r="Q935" s="580"/>
      <c r="R935" s="580"/>
      <c r="S935" s="580"/>
      <c r="T935" s="580"/>
      <c r="U935" s="580"/>
      <c r="V935" s="580"/>
    </row>
    <row r="936" spans="1:22" ht="15">
      <c r="A936" s="16"/>
      <c r="B936" s="16"/>
      <c r="C936" s="16"/>
      <c r="D936" s="16"/>
      <c r="E936" s="16"/>
      <c r="F936" s="16"/>
      <c r="G936" s="16"/>
      <c r="H936" s="16"/>
      <c r="N936" s="580"/>
      <c r="O936" s="580"/>
      <c r="P936" s="580"/>
      <c r="Q936" s="580"/>
      <c r="R936" s="580"/>
      <c r="S936" s="580"/>
      <c r="T936" s="580"/>
      <c r="U936" s="580"/>
      <c r="V936" s="580"/>
    </row>
    <row r="937" spans="1:22" ht="15">
      <c r="A937" s="16"/>
      <c r="B937" s="16"/>
      <c r="C937" s="16"/>
      <c r="D937" s="16"/>
      <c r="E937" s="16"/>
      <c r="F937" s="16"/>
      <c r="G937" s="16"/>
      <c r="H937" s="16"/>
      <c r="N937" s="580"/>
      <c r="O937" s="580"/>
      <c r="P937" s="580"/>
      <c r="Q937" s="580"/>
      <c r="R937" s="580"/>
      <c r="S937" s="580"/>
      <c r="T937" s="580"/>
      <c r="U937" s="580"/>
      <c r="V937" s="580"/>
    </row>
    <row r="938" spans="1:22" ht="15">
      <c r="A938" s="16"/>
      <c r="B938" s="16"/>
      <c r="C938" s="16"/>
      <c r="D938" s="16"/>
      <c r="E938" s="16"/>
      <c r="F938" s="16"/>
      <c r="G938" s="16"/>
      <c r="H938" s="16"/>
      <c r="N938" s="580"/>
      <c r="O938" s="580"/>
      <c r="P938" s="580"/>
      <c r="Q938" s="580"/>
      <c r="R938" s="580"/>
      <c r="S938" s="580"/>
      <c r="T938" s="580"/>
      <c r="U938" s="580"/>
      <c r="V938" s="580"/>
    </row>
    <row r="939" spans="1:22" ht="15">
      <c r="A939" s="16"/>
      <c r="B939" s="16"/>
      <c r="C939" s="16"/>
      <c r="D939" s="16"/>
      <c r="E939" s="16"/>
      <c r="F939" s="16"/>
      <c r="G939" s="16"/>
      <c r="H939" s="16"/>
      <c r="N939" s="580"/>
      <c r="O939" s="580"/>
      <c r="P939" s="580"/>
      <c r="Q939" s="580"/>
      <c r="R939" s="580"/>
      <c r="S939" s="580"/>
      <c r="T939" s="580"/>
      <c r="U939" s="580"/>
      <c r="V939" s="580"/>
    </row>
    <row r="940" spans="1:22" ht="15">
      <c r="A940" s="16"/>
      <c r="B940" s="16"/>
      <c r="C940" s="16"/>
      <c r="D940" s="16"/>
      <c r="E940" s="16"/>
      <c r="F940" s="16"/>
      <c r="G940" s="16"/>
      <c r="H940" s="16"/>
      <c r="N940" s="580"/>
      <c r="O940" s="580"/>
      <c r="P940" s="580"/>
      <c r="Q940" s="580"/>
      <c r="R940" s="580"/>
      <c r="S940" s="580"/>
      <c r="T940" s="580"/>
      <c r="U940" s="580"/>
      <c r="V940" s="580"/>
    </row>
    <row r="941" spans="1:22" ht="15">
      <c r="A941" s="16"/>
      <c r="B941" s="16"/>
      <c r="C941" s="16"/>
      <c r="D941" s="16"/>
      <c r="E941" s="16"/>
      <c r="F941" s="16"/>
      <c r="G941" s="16"/>
      <c r="H941" s="16"/>
      <c r="N941" s="580"/>
      <c r="O941" s="580"/>
      <c r="P941" s="580"/>
      <c r="Q941" s="580"/>
      <c r="R941" s="580"/>
      <c r="S941" s="580"/>
      <c r="T941" s="580"/>
      <c r="U941" s="580"/>
      <c r="V941" s="580"/>
    </row>
    <row r="942" spans="1:22" ht="15">
      <c r="A942" s="16"/>
      <c r="B942" s="16"/>
      <c r="C942" s="16"/>
      <c r="D942" s="16"/>
      <c r="E942" s="16"/>
      <c r="F942" s="16"/>
      <c r="G942" s="16"/>
      <c r="H942" s="16"/>
      <c r="N942" s="580"/>
      <c r="O942" s="580"/>
      <c r="P942" s="580"/>
      <c r="Q942" s="580"/>
      <c r="R942" s="580"/>
      <c r="S942" s="580"/>
      <c r="T942" s="580"/>
      <c r="U942" s="580"/>
      <c r="V942" s="580"/>
    </row>
    <row r="943" spans="1:22" ht="15">
      <c r="A943" s="16"/>
      <c r="B943" s="16"/>
      <c r="C943" s="16"/>
      <c r="D943" s="16"/>
      <c r="E943" s="16"/>
      <c r="F943" s="16"/>
      <c r="G943" s="16"/>
      <c r="H943" s="16"/>
      <c r="N943" s="580"/>
      <c r="O943" s="580"/>
      <c r="P943" s="580"/>
      <c r="Q943" s="580"/>
      <c r="R943" s="580"/>
      <c r="S943" s="580"/>
      <c r="T943" s="580"/>
      <c r="U943" s="580"/>
      <c r="V943" s="580"/>
    </row>
    <row r="944" spans="1:22" ht="15">
      <c r="A944" s="16"/>
      <c r="B944" s="16"/>
      <c r="C944" s="16"/>
      <c r="D944" s="16"/>
      <c r="E944" s="16"/>
      <c r="F944" s="16"/>
      <c r="G944" s="16"/>
      <c r="H944" s="16"/>
      <c r="N944" s="580"/>
      <c r="O944" s="580"/>
      <c r="P944" s="580"/>
      <c r="Q944" s="580"/>
      <c r="R944" s="580"/>
      <c r="S944" s="580"/>
      <c r="T944" s="580"/>
      <c r="U944" s="580"/>
      <c r="V944" s="580"/>
    </row>
    <row r="945" spans="1:22" ht="15">
      <c r="A945" s="16"/>
      <c r="B945" s="16"/>
      <c r="C945" s="16"/>
      <c r="D945" s="16"/>
      <c r="E945" s="16"/>
      <c r="F945" s="16"/>
      <c r="G945" s="16"/>
      <c r="H945" s="16"/>
      <c r="N945" s="580"/>
      <c r="O945" s="580"/>
      <c r="P945" s="580"/>
      <c r="Q945" s="580"/>
      <c r="R945" s="580"/>
      <c r="S945" s="580"/>
      <c r="T945" s="580"/>
      <c r="U945" s="580"/>
      <c r="V945" s="580"/>
    </row>
    <row r="946" spans="1:22" ht="15">
      <c r="A946" s="16"/>
      <c r="B946" s="16"/>
      <c r="C946" s="16"/>
      <c r="D946" s="16"/>
      <c r="E946" s="16"/>
      <c r="F946" s="16"/>
      <c r="G946" s="16"/>
      <c r="H946" s="16"/>
      <c r="N946" s="580"/>
      <c r="O946" s="580"/>
      <c r="P946" s="580"/>
      <c r="Q946" s="580"/>
      <c r="R946" s="580"/>
      <c r="S946" s="580"/>
      <c r="T946" s="580"/>
      <c r="U946" s="580"/>
      <c r="V946" s="580"/>
    </row>
    <row r="947" spans="1:22" ht="15">
      <c r="A947" s="16"/>
      <c r="B947" s="16"/>
      <c r="C947" s="16"/>
      <c r="D947" s="16"/>
      <c r="E947" s="16"/>
      <c r="F947" s="16"/>
      <c r="G947" s="16"/>
      <c r="H947" s="16"/>
      <c r="N947" s="580"/>
      <c r="O947" s="580"/>
      <c r="P947" s="580"/>
      <c r="Q947" s="580"/>
      <c r="R947" s="580"/>
      <c r="S947" s="580"/>
      <c r="T947" s="580"/>
      <c r="U947" s="580"/>
      <c r="V947" s="580"/>
    </row>
    <row r="948" spans="1:22" ht="15">
      <c r="A948" s="16"/>
      <c r="B948" s="16"/>
      <c r="C948" s="16"/>
      <c r="D948" s="16"/>
      <c r="E948" s="16"/>
      <c r="F948" s="16"/>
      <c r="G948" s="16"/>
      <c r="H948" s="16"/>
      <c r="N948" s="580"/>
      <c r="O948" s="580"/>
      <c r="P948" s="580"/>
      <c r="Q948" s="580"/>
      <c r="R948" s="580"/>
      <c r="S948" s="580"/>
      <c r="T948" s="580"/>
      <c r="U948" s="580"/>
      <c r="V948" s="580"/>
    </row>
    <row r="949" spans="1:22" ht="15">
      <c r="A949" s="16"/>
      <c r="B949" s="16"/>
      <c r="C949" s="16"/>
      <c r="D949" s="16"/>
      <c r="E949" s="16"/>
      <c r="F949" s="16"/>
      <c r="G949" s="16"/>
      <c r="H949" s="16"/>
      <c r="N949" s="580"/>
      <c r="O949" s="580"/>
      <c r="P949" s="580"/>
      <c r="Q949" s="580"/>
      <c r="R949" s="580"/>
      <c r="S949" s="580"/>
      <c r="T949" s="580"/>
      <c r="U949" s="580"/>
      <c r="V949" s="580"/>
    </row>
    <row r="950" spans="1:22" ht="15">
      <c r="A950" s="16"/>
      <c r="B950" s="16"/>
      <c r="C950" s="16"/>
      <c r="D950" s="16"/>
      <c r="E950" s="16"/>
      <c r="F950" s="16"/>
      <c r="G950" s="16"/>
      <c r="H950" s="16"/>
      <c r="N950" s="580"/>
      <c r="O950" s="580"/>
      <c r="P950" s="580"/>
      <c r="Q950" s="580"/>
      <c r="R950" s="580"/>
      <c r="S950" s="580"/>
      <c r="T950" s="580"/>
      <c r="U950" s="580"/>
      <c r="V950" s="580"/>
    </row>
    <row r="951" spans="1:22" ht="15">
      <c r="A951" s="16"/>
      <c r="B951" s="16"/>
      <c r="C951" s="16"/>
      <c r="D951" s="16"/>
      <c r="E951" s="16"/>
      <c r="F951" s="16"/>
      <c r="G951" s="16"/>
      <c r="H951" s="16"/>
      <c r="N951" s="580"/>
      <c r="O951" s="580"/>
      <c r="P951" s="580"/>
      <c r="Q951" s="580"/>
      <c r="R951" s="580"/>
      <c r="S951" s="580"/>
      <c r="T951" s="580"/>
      <c r="U951" s="580"/>
      <c r="V951" s="580"/>
    </row>
    <row r="952" spans="1:22" ht="15">
      <c r="A952" s="16"/>
      <c r="B952" s="16"/>
      <c r="C952" s="16"/>
      <c r="D952" s="16"/>
      <c r="E952" s="16"/>
      <c r="F952" s="16"/>
      <c r="G952" s="16"/>
      <c r="H952" s="16"/>
      <c r="N952" s="580"/>
      <c r="O952" s="580"/>
      <c r="P952" s="580"/>
      <c r="Q952" s="580"/>
      <c r="R952" s="580"/>
      <c r="S952" s="580"/>
      <c r="T952" s="580"/>
      <c r="U952" s="580"/>
      <c r="V952" s="580"/>
    </row>
    <row r="953" spans="1:22" ht="15">
      <c r="A953" s="16"/>
      <c r="B953" s="16"/>
      <c r="C953" s="16"/>
      <c r="D953" s="16"/>
      <c r="E953" s="16"/>
      <c r="F953" s="16"/>
      <c r="G953" s="16"/>
      <c r="H953" s="16"/>
      <c r="N953" s="580"/>
      <c r="O953" s="580"/>
      <c r="P953" s="580"/>
      <c r="Q953" s="580"/>
      <c r="R953" s="580"/>
      <c r="S953" s="580"/>
      <c r="T953" s="580"/>
      <c r="U953" s="580"/>
      <c r="V953" s="580"/>
    </row>
    <row r="954" spans="1:22" ht="15">
      <c r="A954" s="16"/>
      <c r="B954" s="16"/>
      <c r="C954" s="16"/>
      <c r="D954" s="16"/>
      <c r="E954" s="16"/>
      <c r="F954" s="16"/>
      <c r="G954" s="16"/>
      <c r="H954" s="16"/>
      <c r="N954" s="580"/>
      <c r="O954" s="580"/>
      <c r="P954" s="580"/>
      <c r="Q954" s="580"/>
      <c r="R954" s="580"/>
      <c r="S954" s="580"/>
      <c r="T954" s="580"/>
      <c r="U954" s="580"/>
      <c r="V954" s="580"/>
    </row>
    <row r="955" spans="1:22" ht="15">
      <c r="A955" s="16"/>
      <c r="B955" s="16"/>
      <c r="C955" s="16"/>
      <c r="D955" s="16"/>
      <c r="E955" s="16"/>
      <c r="F955" s="16"/>
      <c r="G955" s="16"/>
      <c r="H955" s="16"/>
      <c r="N955" s="580"/>
      <c r="O955" s="580"/>
      <c r="P955" s="580"/>
      <c r="Q955" s="580"/>
      <c r="R955" s="580"/>
      <c r="S955" s="580"/>
      <c r="T955" s="580"/>
      <c r="U955" s="580"/>
      <c r="V955" s="580"/>
    </row>
    <row r="956" spans="1:22" ht="15">
      <c r="A956" s="16"/>
      <c r="B956" s="16"/>
      <c r="C956" s="16"/>
      <c r="D956" s="16"/>
      <c r="E956" s="16"/>
      <c r="F956" s="16"/>
      <c r="G956" s="16"/>
      <c r="H956" s="16"/>
      <c r="N956" s="580"/>
      <c r="O956" s="580"/>
      <c r="P956" s="580"/>
      <c r="Q956" s="580"/>
      <c r="R956" s="580"/>
      <c r="S956" s="580"/>
      <c r="T956" s="580"/>
      <c r="U956" s="580"/>
      <c r="V956" s="580"/>
    </row>
    <row r="957" spans="1:22" ht="15">
      <c r="A957" s="16"/>
      <c r="B957" s="16"/>
      <c r="C957" s="16"/>
      <c r="D957" s="16"/>
      <c r="E957" s="16"/>
      <c r="F957" s="16"/>
      <c r="G957" s="16"/>
      <c r="H957" s="16"/>
      <c r="N957" s="580"/>
      <c r="O957" s="580"/>
      <c r="P957" s="580"/>
      <c r="Q957" s="580"/>
      <c r="R957" s="580"/>
      <c r="S957" s="580"/>
      <c r="T957" s="580"/>
      <c r="U957" s="580"/>
      <c r="V957" s="580"/>
    </row>
    <row r="958" spans="1:22" ht="15">
      <c r="A958" s="16"/>
      <c r="B958" s="16"/>
      <c r="C958" s="16"/>
      <c r="D958" s="16"/>
      <c r="E958" s="16"/>
      <c r="F958" s="16"/>
      <c r="G958" s="16"/>
      <c r="H958" s="16"/>
      <c r="N958" s="580"/>
      <c r="O958" s="580"/>
      <c r="P958" s="580"/>
      <c r="Q958" s="580"/>
      <c r="R958" s="580"/>
      <c r="S958" s="580"/>
      <c r="T958" s="580"/>
      <c r="U958" s="580"/>
      <c r="V958" s="580"/>
    </row>
    <row r="959" spans="1:22" ht="15">
      <c r="A959" s="16"/>
      <c r="B959" s="16"/>
      <c r="C959" s="16"/>
      <c r="D959" s="16"/>
      <c r="E959" s="16"/>
      <c r="F959" s="16"/>
      <c r="G959" s="16"/>
      <c r="H959" s="16"/>
      <c r="N959" s="580"/>
      <c r="O959" s="580"/>
      <c r="P959" s="580"/>
      <c r="Q959" s="580"/>
      <c r="R959" s="580"/>
      <c r="S959" s="580"/>
      <c r="T959" s="580"/>
      <c r="U959" s="580"/>
      <c r="V959" s="580"/>
    </row>
    <row r="960" spans="1:22" ht="15">
      <c r="A960" s="16"/>
      <c r="B960" s="16"/>
      <c r="C960" s="16"/>
      <c r="D960" s="16"/>
      <c r="E960" s="16"/>
      <c r="F960" s="16"/>
      <c r="G960" s="16"/>
      <c r="H960" s="16"/>
      <c r="N960" s="580"/>
      <c r="O960" s="580"/>
      <c r="P960" s="580"/>
      <c r="Q960" s="580"/>
      <c r="R960" s="580"/>
      <c r="S960" s="580"/>
      <c r="T960" s="580"/>
      <c r="U960" s="580"/>
      <c r="V960" s="580"/>
    </row>
    <row r="961" spans="1:22" ht="15">
      <c r="A961" s="16"/>
      <c r="B961" s="16"/>
      <c r="C961" s="16"/>
      <c r="D961" s="16"/>
      <c r="E961" s="16"/>
      <c r="F961" s="16"/>
      <c r="G961" s="16"/>
      <c r="H961" s="16"/>
      <c r="N961" s="580"/>
      <c r="O961" s="580"/>
      <c r="P961" s="580"/>
      <c r="Q961" s="580"/>
      <c r="R961" s="580"/>
      <c r="S961" s="580"/>
      <c r="T961" s="580"/>
      <c r="U961" s="580"/>
      <c r="V961" s="580"/>
    </row>
    <row r="962" spans="1:22" ht="15">
      <c r="A962" s="16"/>
      <c r="B962" s="16"/>
      <c r="C962" s="16"/>
      <c r="D962" s="16"/>
      <c r="E962" s="16"/>
      <c r="F962" s="16"/>
      <c r="G962" s="16"/>
      <c r="H962" s="16"/>
      <c r="N962" s="580"/>
      <c r="O962" s="580"/>
      <c r="P962" s="580"/>
      <c r="Q962" s="580"/>
      <c r="R962" s="580"/>
      <c r="S962" s="580"/>
      <c r="T962" s="580"/>
      <c r="U962" s="580"/>
      <c r="V962" s="580"/>
    </row>
    <row r="963" spans="1:22" ht="15">
      <c r="A963" s="16"/>
      <c r="B963" s="16"/>
      <c r="C963" s="16"/>
      <c r="D963" s="16"/>
      <c r="E963" s="16"/>
      <c r="F963" s="16"/>
      <c r="G963" s="16"/>
      <c r="H963" s="16"/>
      <c r="N963" s="580"/>
      <c r="O963" s="580"/>
      <c r="P963" s="580"/>
      <c r="Q963" s="580"/>
      <c r="R963" s="580"/>
      <c r="S963" s="580"/>
      <c r="T963" s="580"/>
      <c r="U963" s="580"/>
      <c r="V963" s="580"/>
    </row>
    <row r="964" spans="1:22" ht="15">
      <c r="A964" s="16"/>
      <c r="B964" s="16"/>
      <c r="C964" s="16"/>
      <c r="D964" s="16"/>
      <c r="E964" s="16"/>
      <c r="F964" s="16"/>
      <c r="G964" s="16"/>
      <c r="H964" s="16"/>
      <c r="N964" s="580"/>
      <c r="O964" s="580"/>
      <c r="P964" s="580"/>
      <c r="Q964" s="580"/>
      <c r="R964" s="580"/>
      <c r="S964" s="580"/>
      <c r="T964" s="580"/>
      <c r="U964" s="580"/>
      <c r="V964" s="580"/>
    </row>
    <row r="965" spans="1:22" ht="15">
      <c r="A965" s="16"/>
      <c r="B965" s="16"/>
      <c r="C965" s="16"/>
      <c r="D965" s="16"/>
      <c r="E965" s="16"/>
      <c r="F965" s="16"/>
      <c r="G965" s="16"/>
      <c r="H965" s="16"/>
      <c r="N965" s="580"/>
      <c r="O965" s="580"/>
      <c r="P965" s="580"/>
      <c r="Q965" s="580"/>
      <c r="R965" s="580"/>
      <c r="S965" s="580"/>
      <c r="T965" s="580"/>
      <c r="U965" s="580"/>
      <c r="V965" s="580"/>
    </row>
    <row r="966" spans="1:22" ht="15">
      <c r="A966" s="16"/>
      <c r="B966" s="16"/>
      <c r="C966" s="16"/>
      <c r="D966" s="16"/>
      <c r="E966" s="16"/>
      <c r="F966" s="16"/>
      <c r="G966" s="16"/>
      <c r="H966" s="16"/>
      <c r="N966" s="580"/>
      <c r="O966" s="580"/>
      <c r="P966" s="580"/>
      <c r="Q966" s="580"/>
      <c r="R966" s="580"/>
      <c r="S966" s="580"/>
      <c r="T966" s="580"/>
      <c r="U966" s="580"/>
      <c r="V966" s="580"/>
    </row>
    <row r="967" spans="1:22" ht="15">
      <c r="A967" s="16"/>
      <c r="B967" s="16"/>
      <c r="C967" s="16"/>
      <c r="D967" s="16"/>
      <c r="E967" s="16"/>
      <c r="F967" s="16"/>
      <c r="G967" s="16"/>
      <c r="H967" s="16"/>
      <c r="N967" s="580"/>
      <c r="O967" s="580"/>
      <c r="P967" s="580"/>
      <c r="Q967" s="580"/>
      <c r="R967" s="580"/>
      <c r="S967" s="580"/>
      <c r="T967" s="580"/>
      <c r="U967" s="580"/>
      <c r="V967" s="580"/>
    </row>
    <row r="968" spans="1:22" ht="15">
      <c r="A968" s="16"/>
      <c r="B968" s="16"/>
      <c r="C968" s="16"/>
      <c r="D968" s="16"/>
      <c r="E968" s="16"/>
      <c r="F968" s="16"/>
      <c r="G968" s="16"/>
      <c r="H968" s="16"/>
      <c r="N968" s="580"/>
      <c r="O968" s="580"/>
      <c r="P968" s="580"/>
      <c r="Q968" s="580"/>
      <c r="R968" s="580"/>
      <c r="S968" s="580"/>
      <c r="T968" s="580"/>
      <c r="U968" s="580"/>
      <c r="V968" s="580"/>
    </row>
    <row r="969" spans="1:22" ht="15">
      <c r="A969" s="16"/>
      <c r="B969" s="16"/>
      <c r="C969" s="16"/>
      <c r="D969" s="16"/>
      <c r="E969" s="16"/>
      <c r="F969" s="16"/>
      <c r="G969" s="16"/>
      <c r="H969" s="16"/>
      <c r="N969" s="580"/>
      <c r="O969" s="580"/>
      <c r="P969" s="580"/>
      <c r="Q969" s="580"/>
      <c r="R969" s="580"/>
      <c r="S969" s="580"/>
      <c r="T969" s="580"/>
      <c r="U969" s="580"/>
      <c r="V969" s="580"/>
    </row>
    <row r="970" spans="1:22" ht="15">
      <c r="A970" s="16"/>
      <c r="B970" s="16"/>
      <c r="C970" s="16"/>
      <c r="D970" s="16"/>
      <c r="E970" s="16"/>
      <c r="F970" s="16"/>
      <c r="G970" s="16"/>
      <c r="H970" s="16"/>
      <c r="N970" s="580"/>
      <c r="O970" s="580"/>
      <c r="P970" s="580"/>
      <c r="Q970" s="580"/>
      <c r="R970" s="580"/>
      <c r="S970" s="580"/>
      <c r="T970" s="580"/>
      <c r="U970" s="580"/>
      <c r="V970" s="580"/>
    </row>
    <row r="971" spans="1:22" ht="15">
      <c r="A971" s="16"/>
      <c r="B971" s="16"/>
      <c r="C971" s="16"/>
      <c r="D971" s="16"/>
      <c r="E971" s="16"/>
      <c r="F971" s="16"/>
      <c r="G971" s="16"/>
      <c r="H971" s="16"/>
      <c r="N971" s="580"/>
      <c r="O971" s="580"/>
      <c r="P971" s="580"/>
      <c r="Q971" s="580"/>
      <c r="R971" s="580"/>
      <c r="S971" s="580"/>
      <c r="T971" s="580"/>
      <c r="U971" s="580"/>
      <c r="V971" s="580"/>
    </row>
    <row r="972" spans="1:22" ht="15">
      <c r="A972" s="16"/>
      <c r="B972" s="16"/>
      <c r="C972" s="16"/>
      <c r="D972" s="16"/>
      <c r="E972" s="16"/>
      <c r="F972" s="16"/>
      <c r="G972" s="16"/>
      <c r="H972" s="16"/>
      <c r="N972" s="580"/>
      <c r="O972" s="580"/>
      <c r="P972" s="580"/>
      <c r="Q972" s="580"/>
      <c r="R972" s="580"/>
      <c r="S972" s="580"/>
      <c r="T972" s="580"/>
      <c r="U972" s="580"/>
      <c r="V972" s="580"/>
    </row>
    <row r="973" spans="1:22" ht="15">
      <c r="A973" s="16"/>
      <c r="B973" s="16"/>
      <c r="C973" s="16"/>
      <c r="D973" s="16"/>
      <c r="E973" s="16"/>
      <c r="F973" s="16"/>
      <c r="G973" s="16"/>
      <c r="H973" s="16"/>
      <c r="N973" s="580"/>
      <c r="O973" s="580"/>
      <c r="P973" s="580"/>
      <c r="Q973" s="580"/>
      <c r="R973" s="580"/>
      <c r="S973" s="580"/>
      <c r="T973" s="580"/>
      <c r="U973" s="580"/>
      <c r="V973" s="580"/>
    </row>
    <row r="974" spans="1:22" ht="15">
      <c r="A974" s="16"/>
      <c r="B974" s="16"/>
      <c r="C974" s="16"/>
      <c r="D974" s="16"/>
      <c r="E974" s="16"/>
      <c r="F974" s="16"/>
      <c r="G974" s="16"/>
      <c r="H974" s="16"/>
      <c r="N974" s="580"/>
      <c r="O974" s="580"/>
      <c r="P974" s="580"/>
      <c r="Q974" s="580"/>
      <c r="R974" s="580"/>
      <c r="S974" s="580"/>
      <c r="T974" s="580"/>
      <c r="U974" s="580"/>
      <c r="V974" s="580"/>
    </row>
    <row r="975" spans="1:22" ht="15">
      <c r="A975" s="16"/>
      <c r="B975" s="16"/>
      <c r="C975" s="16"/>
      <c r="D975" s="16"/>
      <c r="E975" s="16"/>
      <c r="F975" s="16"/>
      <c r="G975" s="16"/>
      <c r="H975" s="16"/>
      <c r="N975" s="580"/>
      <c r="O975" s="580"/>
      <c r="P975" s="580"/>
      <c r="Q975" s="580"/>
      <c r="R975" s="580"/>
      <c r="S975" s="580"/>
      <c r="T975" s="580"/>
      <c r="U975" s="580"/>
      <c r="V975" s="580"/>
    </row>
    <row r="976" spans="1:22" ht="15">
      <c r="A976" s="16"/>
      <c r="B976" s="16"/>
      <c r="C976" s="16"/>
      <c r="D976" s="16"/>
      <c r="E976" s="16"/>
      <c r="F976" s="16"/>
      <c r="G976" s="16"/>
      <c r="H976" s="16"/>
      <c r="N976" s="580"/>
      <c r="O976" s="580"/>
      <c r="P976" s="580"/>
      <c r="Q976" s="580"/>
      <c r="R976" s="580"/>
      <c r="S976" s="580"/>
      <c r="T976" s="580"/>
      <c r="U976" s="580"/>
      <c r="V976" s="580"/>
    </row>
    <row r="977" spans="1:22" ht="15">
      <c r="A977" s="16"/>
      <c r="B977" s="16"/>
      <c r="C977" s="16"/>
      <c r="D977" s="16"/>
      <c r="E977" s="16"/>
      <c r="F977" s="16"/>
      <c r="G977" s="16"/>
      <c r="H977" s="16"/>
      <c r="N977" s="580"/>
      <c r="O977" s="580"/>
      <c r="P977" s="580"/>
      <c r="Q977" s="580"/>
      <c r="R977" s="580"/>
      <c r="S977" s="580"/>
      <c r="T977" s="580"/>
      <c r="U977" s="580"/>
      <c r="V977" s="580"/>
    </row>
    <row r="978" spans="1:22" ht="15">
      <c r="A978" s="16"/>
      <c r="B978" s="16"/>
      <c r="C978" s="16"/>
      <c r="D978" s="16"/>
      <c r="E978" s="16"/>
      <c r="F978" s="16"/>
      <c r="G978" s="16"/>
      <c r="H978" s="16"/>
      <c r="N978" s="580"/>
      <c r="O978" s="580"/>
      <c r="P978" s="580"/>
      <c r="Q978" s="580"/>
      <c r="R978" s="580"/>
      <c r="S978" s="580"/>
      <c r="T978" s="580"/>
      <c r="U978" s="580"/>
      <c r="V978" s="580"/>
    </row>
    <row r="979" spans="1:22" ht="15">
      <c r="A979" s="16"/>
      <c r="B979" s="16"/>
      <c r="C979" s="16"/>
      <c r="D979" s="16"/>
      <c r="E979" s="16"/>
      <c r="F979" s="16"/>
      <c r="G979" s="16"/>
      <c r="H979" s="16"/>
      <c r="N979" s="580"/>
      <c r="O979" s="580"/>
      <c r="P979" s="580"/>
      <c r="Q979" s="580"/>
      <c r="R979" s="580"/>
      <c r="S979" s="580"/>
      <c r="T979" s="580"/>
      <c r="U979" s="580"/>
      <c r="V979" s="580"/>
    </row>
    <row r="980" spans="1:22" ht="15">
      <c r="A980" s="16"/>
      <c r="B980" s="16"/>
      <c r="C980" s="16"/>
      <c r="D980" s="16"/>
      <c r="E980" s="16"/>
      <c r="F980" s="16"/>
      <c r="G980" s="16"/>
      <c r="H980" s="16"/>
      <c r="N980" s="580"/>
      <c r="O980" s="580"/>
      <c r="P980" s="580"/>
      <c r="Q980" s="580"/>
      <c r="R980" s="580"/>
      <c r="S980" s="580"/>
      <c r="T980" s="580"/>
      <c r="U980" s="580"/>
      <c r="V980" s="580"/>
    </row>
    <row r="981" spans="1:22" ht="15">
      <c r="A981" s="16"/>
      <c r="B981" s="16"/>
      <c r="C981" s="16"/>
      <c r="D981" s="16"/>
      <c r="E981" s="16"/>
      <c r="F981" s="16"/>
      <c r="G981" s="16"/>
      <c r="H981" s="16"/>
      <c r="N981" s="580"/>
      <c r="O981" s="580"/>
      <c r="P981" s="580"/>
      <c r="Q981" s="580"/>
      <c r="R981" s="580"/>
      <c r="S981" s="580"/>
      <c r="T981" s="580"/>
      <c r="U981" s="580"/>
      <c r="V981" s="580"/>
    </row>
    <row r="982" spans="1:22" ht="15">
      <c r="A982" s="16"/>
      <c r="B982" s="16"/>
      <c r="C982" s="16"/>
      <c r="D982" s="16"/>
      <c r="E982" s="16"/>
      <c r="F982" s="16"/>
      <c r="G982" s="16"/>
      <c r="H982" s="16"/>
      <c r="N982" s="580"/>
      <c r="O982" s="580"/>
      <c r="P982" s="580"/>
      <c r="Q982" s="580"/>
      <c r="R982" s="580"/>
      <c r="S982" s="580"/>
      <c r="T982" s="580"/>
      <c r="U982" s="580"/>
      <c r="V982" s="580"/>
    </row>
    <row r="983" spans="1:22" ht="15">
      <c r="A983" s="16"/>
      <c r="B983" s="16"/>
      <c r="C983" s="16"/>
      <c r="D983" s="16"/>
      <c r="E983" s="16"/>
      <c r="F983" s="16"/>
      <c r="G983" s="16"/>
      <c r="H983" s="16"/>
      <c r="N983" s="580"/>
      <c r="O983" s="580"/>
      <c r="P983" s="580"/>
      <c r="Q983" s="580"/>
      <c r="R983" s="580"/>
      <c r="S983" s="580"/>
      <c r="T983" s="580"/>
      <c r="U983" s="580"/>
      <c r="V983" s="580"/>
    </row>
    <row r="984" spans="1:22" ht="15">
      <c r="A984" s="16"/>
      <c r="B984" s="16"/>
      <c r="C984" s="16"/>
      <c r="D984" s="16"/>
      <c r="E984" s="16"/>
      <c r="F984" s="16"/>
      <c r="G984" s="16"/>
      <c r="H984" s="16"/>
      <c r="N984" s="580"/>
      <c r="O984" s="580"/>
      <c r="P984" s="580"/>
      <c r="Q984" s="580"/>
      <c r="R984" s="580"/>
      <c r="S984" s="580"/>
      <c r="T984" s="580"/>
      <c r="U984" s="580"/>
      <c r="V984" s="580"/>
    </row>
    <row r="985" spans="1:22" ht="15">
      <c r="A985" s="16"/>
      <c r="B985" s="16"/>
      <c r="C985" s="16"/>
      <c r="D985" s="16"/>
      <c r="E985" s="16"/>
      <c r="F985" s="16"/>
      <c r="G985" s="16"/>
      <c r="H985" s="16"/>
      <c r="N985" s="580"/>
      <c r="O985" s="580"/>
      <c r="P985" s="580"/>
      <c r="Q985" s="580"/>
      <c r="R985" s="580"/>
      <c r="S985" s="580"/>
      <c r="T985" s="580"/>
      <c r="U985" s="580"/>
      <c r="V985" s="580"/>
    </row>
    <row r="986" spans="1:22" ht="15">
      <c r="A986" s="16"/>
      <c r="B986" s="16"/>
      <c r="C986" s="16"/>
      <c r="D986" s="16"/>
      <c r="E986" s="16"/>
      <c r="F986" s="16"/>
      <c r="G986" s="16"/>
      <c r="H986" s="16"/>
      <c r="N986" s="580"/>
      <c r="O986" s="580"/>
      <c r="P986" s="580"/>
      <c r="Q986" s="580"/>
      <c r="R986" s="580"/>
      <c r="S986" s="580"/>
      <c r="T986" s="580"/>
      <c r="U986" s="580"/>
      <c r="V986" s="580"/>
    </row>
    <row r="987" spans="1:22" ht="15">
      <c r="A987" s="16"/>
      <c r="B987" s="16"/>
      <c r="C987" s="16"/>
      <c r="D987" s="16"/>
      <c r="E987" s="16"/>
      <c r="F987" s="16"/>
      <c r="G987" s="16"/>
      <c r="H987" s="16"/>
      <c r="N987" s="580"/>
      <c r="O987" s="580"/>
      <c r="P987" s="580"/>
      <c r="Q987" s="580"/>
      <c r="R987" s="580"/>
      <c r="S987" s="580"/>
      <c r="T987" s="580"/>
      <c r="U987" s="580"/>
      <c r="V987" s="580"/>
    </row>
    <row r="988" spans="1:22" ht="15">
      <c r="A988" s="16"/>
      <c r="B988" s="16"/>
      <c r="C988" s="16"/>
      <c r="D988" s="16"/>
      <c r="E988" s="16"/>
      <c r="F988" s="16"/>
      <c r="G988" s="16"/>
      <c r="H988" s="16"/>
      <c r="N988" s="580"/>
      <c r="O988" s="580"/>
      <c r="P988" s="580"/>
      <c r="Q988" s="580"/>
      <c r="R988" s="580"/>
      <c r="S988" s="580"/>
      <c r="T988" s="580"/>
      <c r="U988" s="580"/>
      <c r="V988" s="580"/>
    </row>
    <row r="989" spans="1:22" ht="15">
      <c r="A989" s="16"/>
      <c r="B989" s="16"/>
      <c r="C989" s="16"/>
      <c r="D989" s="16"/>
      <c r="E989" s="16"/>
      <c r="F989" s="16"/>
      <c r="G989" s="16"/>
      <c r="H989" s="16"/>
      <c r="N989" s="580"/>
      <c r="O989" s="580"/>
      <c r="P989" s="580"/>
      <c r="Q989" s="580"/>
      <c r="R989" s="580"/>
      <c r="S989" s="580"/>
      <c r="T989" s="580"/>
      <c r="U989" s="580"/>
      <c r="V989" s="580"/>
    </row>
    <row r="990" spans="1:22" ht="15">
      <c r="A990" s="16"/>
      <c r="B990" s="16"/>
      <c r="C990" s="16"/>
      <c r="D990" s="16"/>
      <c r="E990" s="16"/>
      <c r="F990" s="16"/>
      <c r="G990" s="16"/>
      <c r="H990" s="16"/>
      <c r="N990" s="580"/>
      <c r="O990" s="580"/>
      <c r="P990" s="580"/>
      <c r="Q990" s="580"/>
      <c r="R990" s="580"/>
      <c r="S990" s="580"/>
      <c r="T990" s="580"/>
      <c r="U990" s="580"/>
      <c r="V990" s="580"/>
    </row>
    <row r="991" spans="1:22" ht="15">
      <c r="A991" s="16"/>
      <c r="B991" s="16"/>
      <c r="C991" s="16"/>
      <c r="D991" s="16"/>
      <c r="E991" s="16"/>
      <c r="F991" s="16"/>
      <c r="G991" s="16"/>
      <c r="H991" s="16"/>
      <c r="N991" s="580"/>
      <c r="O991" s="580"/>
      <c r="P991" s="580"/>
      <c r="Q991" s="580"/>
      <c r="R991" s="580"/>
      <c r="S991" s="580"/>
      <c r="T991" s="580"/>
      <c r="U991" s="580"/>
      <c r="V991" s="580"/>
    </row>
    <row r="992" spans="1:22" ht="15">
      <c r="A992" s="16"/>
      <c r="B992" s="16"/>
      <c r="C992" s="16"/>
      <c r="D992" s="16"/>
      <c r="E992" s="16"/>
      <c r="F992" s="16"/>
      <c r="G992" s="16"/>
      <c r="H992" s="16"/>
      <c r="N992" s="580"/>
      <c r="O992" s="580"/>
      <c r="P992" s="580"/>
      <c r="Q992" s="580"/>
      <c r="R992" s="580"/>
      <c r="S992" s="580"/>
      <c r="T992" s="580"/>
      <c r="U992" s="580"/>
      <c r="V992" s="580"/>
    </row>
    <row r="993" spans="1:22" ht="15">
      <c r="A993" s="16"/>
      <c r="B993" s="16"/>
      <c r="C993" s="16"/>
      <c r="D993" s="16"/>
      <c r="E993" s="16"/>
      <c r="F993" s="16"/>
      <c r="G993" s="16"/>
      <c r="H993" s="16"/>
      <c r="N993" s="580"/>
      <c r="O993" s="580"/>
      <c r="P993" s="580"/>
      <c r="Q993" s="580"/>
      <c r="R993" s="580"/>
      <c r="S993" s="580"/>
      <c r="T993" s="580"/>
      <c r="U993" s="580"/>
      <c r="V993" s="580"/>
    </row>
    <row r="994" spans="1:22" ht="15">
      <c r="A994" s="16"/>
      <c r="B994" s="16"/>
      <c r="C994" s="16"/>
      <c r="D994" s="16"/>
      <c r="E994" s="16"/>
      <c r="F994" s="16"/>
      <c r="G994" s="16"/>
      <c r="H994" s="16"/>
      <c r="N994" s="580"/>
      <c r="O994" s="580"/>
      <c r="P994" s="580"/>
      <c r="Q994" s="580"/>
      <c r="R994" s="580"/>
      <c r="S994" s="580"/>
      <c r="T994" s="580"/>
      <c r="U994" s="580"/>
      <c r="V994" s="580"/>
    </row>
    <row r="995" spans="1:22" ht="15">
      <c r="A995" s="16"/>
      <c r="B995" s="16"/>
      <c r="C995" s="16"/>
      <c r="D995" s="16"/>
      <c r="E995" s="16"/>
      <c r="F995" s="16"/>
      <c r="G995" s="16"/>
      <c r="H995" s="16"/>
      <c r="N995" s="580"/>
      <c r="O995" s="580"/>
      <c r="P995" s="580"/>
      <c r="Q995" s="580"/>
      <c r="R995" s="580"/>
      <c r="S995" s="580"/>
      <c r="T995" s="580"/>
      <c r="U995" s="580"/>
      <c r="V995" s="580"/>
    </row>
    <row r="996" spans="1:22" ht="15">
      <c r="A996" s="16"/>
      <c r="B996" s="16"/>
      <c r="C996" s="16"/>
      <c r="D996" s="16"/>
      <c r="E996" s="16"/>
      <c r="F996" s="16"/>
      <c r="G996" s="16"/>
      <c r="H996" s="16"/>
      <c r="N996" s="580"/>
      <c r="O996" s="580"/>
      <c r="P996" s="580"/>
      <c r="Q996" s="580"/>
      <c r="R996" s="580"/>
      <c r="S996" s="580"/>
      <c r="T996" s="580"/>
      <c r="U996" s="580"/>
      <c r="V996" s="580"/>
    </row>
    <row r="997" spans="1:22" ht="15">
      <c r="A997" s="16"/>
      <c r="B997" s="16"/>
      <c r="C997" s="16"/>
      <c r="D997" s="16"/>
      <c r="E997" s="16"/>
      <c r="F997" s="16"/>
      <c r="G997" s="16"/>
      <c r="H997" s="16"/>
      <c r="N997" s="580"/>
      <c r="O997" s="580"/>
      <c r="P997" s="580"/>
      <c r="Q997" s="580"/>
      <c r="R997" s="580"/>
      <c r="S997" s="580"/>
      <c r="T997" s="580"/>
      <c r="U997" s="580"/>
      <c r="V997" s="580"/>
    </row>
    <row r="998" spans="1:22" ht="15">
      <c r="A998" s="16"/>
      <c r="B998" s="16"/>
      <c r="C998" s="16"/>
      <c r="D998" s="16"/>
      <c r="E998" s="16"/>
      <c r="F998" s="16"/>
      <c r="G998" s="16"/>
      <c r="H998" s="16"/>
      <c r="N998" s="580"/>
      <c r="O998" s="580"/>
      <c r="P998" s="580"/>
      <c r="Q998" s="580"/>
      <c r="R998" s="580"/>
      <c r="S998" s="580"/>
      <c r="T998" s="580"/>
      <c r="U998" s="580"/>
      <c r="V998" s="580"/>
    </row>
    <row r="999" spans="1:22" ht="15">
      <c r="A999" s="16"/>
      <c r="B999" s="16"/>
      <c r="C999" s="16"/>
      <c r="D999" s="16"/>
      <c r="E999" s="16"/>
      <c r="F999" s="16"/>
      <c r="G999" s="16"/>
      <c r="H999" s="16"/>
      <c r="N999" s="580"/>
      <c r="O999" s="580"/>
      <c r="P999" s="580"/>
      <c r="Q999" s="580"/>
      <c r="R999" s="580"/>
      <c r="S999" s="580"/>
      <c r="T999" s="580"/>
      <c r="U999" s="580"/>
      <c r="V999" s="580"/>
    </row>
    <row r="1000" spans="1:22" ht="15">
      <c r="A1000" s="16"/>
      <c r="B1000" s="16"/>
      <c r="C1000" s="16"/>
      <c r="D1000" s="16"/>
      <c r="E1000" s="16"/>
      <c r="F1000" s="16"/>
      <c r="G1000" s="16"/>
      <c r="H1000" s="16"/>
      <c r="N1000" s="580"/>
      <c r="O1000" s="580"/>
      <c r="P1000" s="580"/>
      <c r="Q1000" s="580"/>
      <c r="R1000" s="580"/>
      <c r="S1000" s="580"/>
      <c r="T1000" s="580"/>
      <c r="U1000" s="580"/>
      <c r="V1000" s="58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Q1000"/>
  <sheetViews>
    <sheetView workbookViewId="0"/>
  </sheetViews>
  <sheetFormatPr defaultColWidth="12.5703125" defaultRowHeight="15.75" customHeight="1"/>
  <sheetData>
    <row r="1" spans="1:17">
      <c r="A1" s="627" t="str">
        <f ca="1">IFERROR(__xludf.DUMMYFUNCTION("IMPORTRANGE(""https://docs.google.com/spreadsheets/d/1_qEytET99LpJYy-nRMRYbpLevKT_6dp4EjcZCHJXYes/edit?resourcekey#gid=0"",""'Сводная таблица 1'!A:F"")"),"Оберіть зі списку вашого викладача tech skills")</f>
        <v>Оберіть зі списку вашого викладача tech skills</v>
      </c>
      <c r="B1" s="628" t="str">
        <f ca="1">IFERROR(__xludf.DUMMYFUNCTION("""COMPUTED_VALUE"""),"AVERAGE из Яку оцінки ви ставите вашому викладачу  tech skills ?")</f>
        <v>AVERAGE из Яку оцінки ви ставите вашому викладачу  tech skills ?</v>
      </c>
      <c r="C1" s="36" t="str">
        <f ca="1">IFERROR(__xludf.DUMMYFUNCTION("""COMPUTED_VALUE"""),"COUNT из Яку оцінки ви ставите вашому викладачу  tech skills ?")</f>
        <v>COUNT из Яку оцінки ви ставите вашому викладачу  tech skills ?</v>
      </c>
      <c r="D1" s="36"/>
      <c r="E1" s="36" t="str">
        <f ca="1">IFERROR(__xludf.DUMMYFUNCTION("""COMPUTED_VALUE"""),"Оберіть зі списку  вашого викладача soft skills")</f>
        <v>Оберіть зі списку  вашого викладача soft skills</v>
      </c>
      <c r="F1" s="628" t="str">
        <f ca="1">IFERROR(__xludf.DUMMYFUNCTION("""COMPUTED_VALUE"""),"AVERAGE из Яку оцінки ви ставите вашому викладачу  soft skills ?")</f>
        <v>AVERAGE из Яку оцінки ви ставите вашому викладачу  soft skills ?</v>
      </c>
      <c r="L1" s="627" t="str">
        <f ca="1">IFERROR(__xludf.DUMMYFUNCTION("IMPORTRANGE(""https://docs.google.com/spreadsheets/d/1yl9BuugqG0Z2YBTpFPjonoYOOXvU8TvDSwFM2WzSn6o/edit?resourcekey#gid=0"",""'Оцінки викладачів'!K:P"")"),"Оберіть зі списку вашого викладача tech skills")</f>
        <v>Оберіть зі списку вашого викладача tech skills</v>
      </c>
      <c r="M1" s="628" t="str">
        <f ca="1">IFERROR(__xludf.DUMMYFUNCTION("""COMPUTED_VALUE"""),"AVERAGE из Яку оцінки ви ставите вашому викладачу  tech skills ?")</f>
        <v>AVERAGE из Яку оцінки ви ставите вашому викладачу  tech skills ?</v>
      </c>
      <c r="N1" s="36"/>
      <c r="O1" s="36"/>
      <c r="P1" s="36" t="str">
        <f ca="1">IFERROR(__xludf.DUMMYFUNCTION("""COMPUTED_VALUE"""),"Оберіть зі списку  вашого викладача soft skills")</f>
        <v>Оберіть зі списку  вашого викладача soft skills</v>
      </c>
      <c r="Q1" s="628" t="str">
        <f ca="1">IFERROR(__xludf.DUMMYFUNCTION("""COMPUTED_VALUE"""),"AVERAGE из Яку оцінки ви ставите вашому викладачу  soft skills ?")</f>
        <v>AVERAGE из Яку оцінки ви ставите вашому викладачу  soft skills ?</v>
      </c>
    </row>
    <row r="2" spans="1:17">
      <c r="A2" s="36"/>
      <c r="B2" s="628" t="str">
        <f ca="1">IFERROR(__xludf.DUMMYFUNCTION("""COMPUTED_VALUE"""),"#DIV/0!")</f>
        <v>#DIV/0!</v>
      </c>
      <c r="C2" s="36">
        <f ca="1">IFERROR(__xludf.DUMMYFUNCTION("""COMPUTED_VALUE"""),0)</f>
        <v>0</v>
      </c>
      <c r="D2" s="36"/>
      <c r="E2" s="36"/>
      <c r="F2" s="628" t="str">
        <f ca="1">IFERROR(__xludf.DUMMYFUNCTION("""COMPUTED_VALUE"""),"#DIV/0!")</f>
        <v>#DIV/0!</v>
      </c>
      <c r="L2" s="36"/>
      <c r="M2" s="628" t="str">
        <f ca="1">IFERROR(__xludf.DUMMYFUNCTION("""COMPUTED_VALUE"""),"#DIV/0!")</f>
        <v>#DIV/0!</v>
      </c>
      <c r="N2" s="36"/>
      <c r="O2" s="36"/>
      <c r="P2" s="36"/>
      <c r="Q2" s="628" t="str">
        <f ca="1">IFERROR(__xludf.DUMMYFUNCTION("""COMPUTED_VALUE"""),"#DIV/0!")</f>
        <v>#DIV/0!</v>
      </c>
    </row>
    <row r="3" spans="1:17">
      <c r="A3" s="36" t="str">
        <f ca="1">IFERROR(__xludf.DUMMYFUNCTION("""COMPUTED_VALUE"""),"Андреєв Артур")</f>
        <v>Андреєв Артур</v>
      </c>
      <c r="B3" s="628">
        <f ca="1">IFERROR(__xludf.DUMMYFUNCTION("""COMPUTED_VALUE"""),5)</f>
        <v>5</v>
      </c>
      <c r="C3" s="36">
        <f ca="1">IFERROR(__xludf.DUMMYFUNCTION("""COMPUTED_VALUE"""),5)</f>
        <v>5</v>
      </c>
      <c r="D3" s="36"/>
      <c r="E3" s="36" t="str">
        <f ca="1">IFERROR(__xludf.DUMMYFUNCTION("""COMPUTED_VALUE"""),"Аверчук Юлія")</f>
        <v>Аверчук Юлія</v>
      </c>
      <c r="F3" s="628">
        <f ca="1">IFERROR(__xludf.DUMMYFUNCTION("""COMPUTED_VALUE"""),4.81818181818181)</f>
        <v>4.8181818181818103</v>
      </c>
      <c r="L3" s="36" t="str">
        <f ca="1">IFERROR(__xludf.DUMMYFUNCTION("""COMPUTED_VALUE"""),"Андреєв Артур")</f>
        <v>Андреєв Артур</v>
      </c>
      <c r="M3" s="628">
        <f ca="1">IFERROR(__xludf.DUMMYFUNCTION("""COMPUTED_VALUE"""),5)</f>
        <v>5</v>
      </c>
      <c r="N3" s="36"/>
      <c r="O3" s="36"/>
      <c r="P3" s="36" t="str">
        <f ca="1">IFERROR(__xludf.DUMMYFUNCTION("""COMPUTED_VALUE"""),"Аверчук Юлія")</f>
        <v>Аверчук Юлія</v>
      </c>
      <c r="Q3" s="628">
        <f ca="1">IFERROR(__xludf.DUMMYFUNCTION("""COMPUTED_VALUE"""),4.64705882352941)</f>
        <v>4.6470588235294104</v>
      </c>
    </row>
    <row r="4" spans="1:17">
      <c r="A4" s="36" t="str">
        <f ca="1">IFERROR(__xludf.DUMMYFUNCTION("""COMPUTED_VALUE"""),"Анщук Олександр")</f>
        <v>Анщук Олександр</v>
      </c>
      <c r="B4" s="628">
        <f ca="1">IFERROR(__xludf.DUMMYFUNCTION("""COMPUTED_VALUE"""),5)</f>
        <v>5</v>
      </c>
      <c r="C4" s="36">
        <f ca="1">IFERROR(__xludf.DUMMYFUNCTION("""COMPUTED_VALUE"""),2)</f>
        <v>2</v>
      </c>
      <c r="D4" s="36"/>
      <c r="E4" s="36" t="str">
        <f ca="1">IFERROR(__xludf.DUMMYFUNCTION("""COMPUTED_VALUE"""),"Бабінський Олександр")</f>
        <v>Бабінський Олександр</v>
      </c>
      <c r="F4" s="628">
        <f ca="1">IFERROR(__xludf.DUMMYFUNCTION("""COMPUTED_VALUE"""),4.95238095238095)</f>
        <v>4.9523809523809499</v>
      </c>
      <c r="L4" s="36" t="str">
        <f ca="1">IFERROR(__xludf.DUMMYFUNCTION("""COMPUTED_VALUE"""),"Андреєв Віктор")</f>
        <v>Андреєв Віктор</v>
      </c>
      <c r="M4" s="628">
        <f ca="1">IFERROR(__xludf.DUMMYFUNCTION("""COMPUTED_VALUE"""),5)</f>
        <v>5</v>
      </c>
      <c r="N4" s="36"/>
      <c r="O4" s="36"/>
      <c r="P4" s="36" t="str">
        <f ca="1">IFERROR(__xludf.DUMMYFUNCTION("""COMPUTED_VALUE"""),"Александрова Євгенія")</f>
        <v>Александрова Євгенія</v>
      </c>
      <c r="Q4" s="628">
        <f ca="1">IFERROR(__xludf.DUMMYFUNCTION("""COMPUTED_VALUE"""),4.66666666666666)</f>
        <v>4.6666666666666599</v>
      </c>
    </row>
    <row r="5" spans="1:17">
      <c r="A5" s="36" t="str">
        <f ca="1">IFERROR(__xludf.DUMMYFUNCTION("""COMPUTED_VALUE"""),"Бабак Андрій")</f>
        <v>Бабак Андрій</v>
      </c>
      <c r="B5" s="628">
        <f ca="1">IFERROR(__xludf.DUMMYFUNCTION("""COMPUTED_VALUE"""),4.66666666666666)</f>
        <v>4.6666666666666599</v>
      </c>
      <c r="C5" s="36">
        <f ca="1">IFERROR(__xludf.DUMMYFUNCTION("""COMPUTED_VALUE"""),3)</f>
        <v>3</v>
      </c>
      <c r="D5" s="36"/>
      <c r="E5" s="36" t="str">
        <f ca="1">IFERROR(__xludf.DUMMYFUNCTION("""COMPUTED_VALUE"""),"Бадя Ірина")</f>
        <v>Бадя Ірина</v>
      </c>
      <c r="F5" s="628">
        <f ca="1">IFERROR(__xludf.DUMMYFUNCTION("""COMPUTED_VALUE"""),5)</f>
        <v>5</v>
      </c>
      <c r="L5" s="36" t="str">
        <f ca="1">IFERROR(__xludf.DUMMYFUNCTION("""COMPUTED_VALUE"""),"Бабак Андрій")</f>
        <v>Бабак Андрій</v>
      </c>
      <c r="M5" s="628">
        <f ca="1">IFERROR(__xludf.DUMMYFUNCTION("""COMPUTED_VALUE"""),4.8)</f>
        <v>4.8</v>
      </c>
      <c r="N5" s="36"/>
      <c r="O5" s="36"/>
      <c r="P5" s="36" t="str">
        <f ca="1">IFERROR(__xludf.DUMMYFUNCTION("""COMPUTED_VALUE"""),"Бабінський Олександр")</f>
        <v>Бабінський Олександр</v>
      </c>
      <c r="Q5" s="628">
        <f ca="1">IFERROR(__xludf.DUMMYFUNCTION("""COMPUTED_VALUE"""),4.86206896551724)</f>
        <v>4.8620689655172402</v>
      </c>
    </row>
    <row r="6" spans="1:17">
      <c r="A6" s="36" t="str">
        <f ca="1">IFERROR(__xludf.DUMMYFUNCTION("""COMPUTED_VALUE"""),"Бакулевська Юлія")</f>
        <v>Бакулевська Юлія</v>
      </c>
      <c r="B6" s="628">
        <f ca="1">IFERROR(__xludf.DUMMYFUNCTION("""COMPUTED_VALUE"""),5)</f>
        <v>5</v>
      </c>
      <c r="C6" s="36">
        <f ca="1">IFERROR(__xludf.DUMMYFUNCTION("""COMPUTED_VALUE"""),3)</f>
        <v>3</v>
      </c>
      <c r="D6" s="36"/>
      <c r="E6" s="36" t="str">
        <f ca="1">IFERROR(__xludf.DUMMYFUNCTION("""COMPUTED_VALUE"""),"Баркевич Діана")</f>
        <v>Баркевич Діана</v>
      </c>
      <c r="F6" s="628">
        <f ca="1">IFERROR(__xludf.DUMMYFUNCTION("""COMPUTED_VALUE"""),4.66666666666666)</f>
        <v>4.6666666666666599</v>
      </c>
      <c r="L6" s="36" t="str">
        <f ca="1">IFERROR(__xludf.DUMMYFUNCTION("""COMPUTED_VALUE"""),"Бакулевська Юлія")</f>
        <v>Бакулевська Юлія</v>
      </c>
      <c r="M6" s="628">
        <f ca="1">IFERROR(__xludf.DUMMYFUNCTION("""COMPUTED_VALUE"""),5)</f>
        <v>5</v>
      </c>
      <c r="N6" s="36"/>
      <c r="O6" s="36"/>
      <c r="P6" s="36" t="str">
        <f ca="1">IFERROR(__xludf.DUMMYFUNCTION("""COMPUTED_VALUE"""),"Бадя Ірина")</f>
        <v>Бадя Ірина</v>
      </c>
      <c r="Q6" s="628">
        <f ca="1">IFERROR(__xludf.DUMMYFUNCTION("""COMPUTED_VALUE"""),4.88888888888888)</f>
        <v>4.8888888888888804</v>
      </c>
    </row>
    <row r="7" spans="1:17">
      <c r="A7" s="36" t="str">
        <f ca="1">IFERROR(__xludf.DUMMYFUNCTION("""COMPUTED_VALUE"""),"Бегма Андрій")</f>
        <v>Бегма Андрій</v>
      </c>
      <c r="B7" s="628">
        <f ca="1">IFERROR(__xludf.DUMMYFUNCTION("""COMPUTED_VALUE"""),4.9090909090909)</f>
        <v>4.9090909090909003</v>
      </c>
      <c r="C7" s="36">
        <f ca="1">IFERROR(__xludf.DUMMYFUNCTION("""COMPUTED_VALUE"""),11)</f>
        <v>11</v>
      </c>
      <c r="D7" s="36"/>
      <c r="E7" s="36" t="str">
        <f ca="1">IFERROR(__xludf.DUMMYFUNCTION("""COMPUTED_VALUE"""),"Белікова Катерина")</f>
        <v>Белікова Катерина</v>
      </c>
      <c r="F7" s="628">
        <f ca="1">IFERROR(__xludf.DUMMYFUNCTION("""COMPUTED_VALUE"""),4.88888888888888)</f>
        <v>4.8888888888888804</v>
      </c>
      <c r="L7" s="36" t="str">
        <f ca="1">IFERROR(__xludf.DUMMYFUNCTION("""COMPUTED_VALUE"""),"Бегма Андрій")</f>
        <v>Бегма Андрій</v>
      </c>
      <c r="M7" s="628">
        <f ca="1">IFERROR(__xludf.DUMMYFUNCTION("""COMPUTED_VALUE"""),4.7)</f>
        <v>4.7</v>
      </c>
      <c r="N7" s="36"/>
      <c r="O7" s="36"/>
      <c r="P7" s="36" t="str">
        <f ca="1">IFERROR(__xludf.DUMMYFUNCTION("""COMPUTED_VALUE"""),"Бачуріна Вікторія")</f>
        <v>Бачуріна Вікторія</v>
      </c>
      <c r="Q7" s="628">
        <f ca="1">IFERROR(__xludf.DUMMYFUNCTION("""COMPUTED_VALUE"""),4)</f>
        <v>4</v>
      </c>
    </row>
    <row r="8" spans="1:17">
      <c r="A8" s="36" t="str">
        <f ca="1">IFERROR(__xludf.DUMMYFUNCTION("""COMPUTED_VALUE"""),"Безвух Сергій")</f>
        <v>Безвух Сергій</v>
      </c>
      <c r="B8" s="628">
        <f ca="1">IFERROR(__xludf.DUMMYFUNCTION("""COMPUTED_VALUE"""),5)</f>
        <v>5</v>
      </c>
      <c r="C8" s="36">
        <f ca="1">IFERROR(__xludf.DUMMYFUNCTION("""COMPUTED_VALUE"""),8)</f>
        <v>8</v>
      </c>
      <c r="D8" s="36"/>
      <c r="E8" s="36" t="str">
        <f ca="1">IFERROR(__xludf.DUMMYFUNCTION("""COMPUTED_VALUE"""),"Білецька Ірина")</f>
        <v>Білецька Ірина</v>
      </c>
      <c r="F8" s="628">
        <f ca="1">IFERROR(__xludf.DUMMYFUNCTION("""COMPUTED_VALUE"""),4.83333333333333)</f>
        <v>4.8333333333333304</v>
      </c>
      <c r="L8" s="36" t="str">
        <f ca="1">IFERROR(__xludf.DUMMYFUNCTION("""COMPUTED_VALUE"""),"Безвух Сергій")</f>
        <v>Безвух Сергій</v>
      </c>
      <c r="M8" s="628">
        <f ca="1">IFERROR(__xludf.DUMMYFUNCTION("""COMPUTED_VALUE"""),5)</f>
        <v>5</v>
      </c>
      <c r="N8" s="36"/>
      <c r="O8" s="36"/>
      <c r="P8" s="36" t="str">
        <f ca="1">IFERROR(__xludf.DUMMYFUNCTION("""COMPUTED_VALUE"""),"Белікова Катерина")</f>
        <v>Белікова Катерина</v>
      </c>
      <c r="Q8" s="628">
        <f ca="1">IFERROR(__xludf.DUMMYFUNCTION("""COMPUTED_VALUE"""),4.66666666666666)</f>
        <v>4.6666666666666599</v>
      </c>
    </row>
    <row r="9" spans="1:17">
      <c r="A9" s="36" t="str">
        <f ca="1">IFERROR(__xludf.DUMMYFUNCTION("""COMPUTED_VALUE"""),"Бейда Вадим")</f>
        <v>Бейда Вадим</v>
      </c>
      <c r="B9" s="628">
        <f ca="1">IFERROR(__xludf.DUMMYFUNCTION("""COMPUTED_VALUE"""),5)</f>
        <v>5</v>
      </c>
      <c r="C9" s="36">
        <f ca="1">IFERROR(__xludf.DUMMYFUNCTION("""COMPUTED_VALUE"""),3)</f>
        <v>3</v>
      </c>
      <c r="D9" s="36"/>
      <c r="E9" s="36" t="str">
        <f ca="1">IFERROR(__xludf.DUMMYFUNCTION("""COMPUTED_VALUE"""),"Блізнякова Олена")</f>
        <v>Блізнякова Олена</v>
      </c>
      <c r="F9" s="628">
        <f ca="1">IFERROR(__xludf.DUMMYFUNCTION("""COMPUTED_VALUE"""),4.88888888888888)</f>
        <v>4.8888888888888804</v>
      </c>
      <c r="L9" s="36" t="str">
        <f ca="1">IFERROR(__xludf.DUMMYFUNCTION("""COMPUTED_VALUE"""),"Берестень Дмитрій")</f>
        <v>Берестень Дмитрій</v>
      </c>
      <c r="M9" s="628">
        <f ca="1">IFERROR(__xludf.DUMMYFUNCTION("""COMPUTED_VALUE"""),5)</f>
        <v>5</v>
      </c>
      <c r="N9" s="36"/>
      <c r="O9" s="36"/>
      <c r="P9" s="36" t="str">
        <f ca="1">IFERROR(__xludf.DUMMYFUNCTION("""COMPUTED_VALUE"""),"Бігоцька Олександра")</f>
        <v>Бігоцька Олександра</v>
      </c>
      <c r="Q9" s="628">
        <f ca="1">IFERROR(__xludf.DUMMYFUNCTION("""COMPUTED_VALUE"""),4.75)</f>
        <v>4.75</v>
      </c>
    </row>
    <row r="10" spans="1:17">
      <c r="A10" s="36" t="str">
        <f ca="1">IFERROR(__xludf.DUMMYFUNCTION("""COMPUTED_VALUE"""),"Бігун Дар’я")</f>
        <v>Бігун Дар’я</v>
      </c>
      <c r="B10" s="628">
        <f ca="1">IFERROR(__xludf.DUMMYFUNCTION("""COMPUTED_VALUE"""),5)</f>
        <v>5</v>
      </c>
      <c r="C10" s="36">
        <f ca="1">IFERROR(__xludf.DUMMYFUNCTION("""COMPUTED_VALUE"""),4)</f>
        <v>4</v>
      </c>
      <c r="D10" s="36"/>
      <c r="E10" s="36" t="str">
        <f ca="1">IFERROR(__xludf.DUMMYFUNCTION("""COMPUTED_VALUE"""),"Блінова Карина")</f>
        <v>Блінова Карина</v>
      </c>
      <c r="F10" s="628">
        <f ca="1">IFERROR(__xludf.DUMMYFUNCTION("""COMPUTED_VALUE"""),4.75)</f>
        <v>4.75</v>
      </c>
      <c r="L10" s="36" t="str">
        <f ca="1">IFERROR(__xludf.DUMMYFUNCTION("""COMPUTED_VALUE"""),"Бігун Дар’я")</f>
        <v>Бігун Дар’я</v>
      </c>
      <c r="M10" s="628">
        <f ca="1">IFERROR(__xludf.DUMMYFUNCTION("""COMPUTED_VALUE"""),5)</f>
        <v>5</v>
      </c>
      <c r="N10" s="36"/>
      <c r="O10" s="36"/>
      <c r="P10" s="36" t="str">
        <f ca="1">IFERROR(__xludf.DUMMYFUNCTION("""COMPUTED_VALUE"""),"Білецька Ірина")</f>
        <v>Білецька Ірина</v>
      </c>
      <c r="Q10" s="628">
        <f ca="1">IFERROR(__xludf.DUMMYFUNCTION("""COMPUTED_VALUE"""),4.64705882352941)</f>
        <v>4.6470588235294104</v>
      </c>
    </row>
    <row r="11" spans="1:17">
      <c r="A11" s="36" t="str">
        <f ca="1">IFERROR(__xludf.DUMMYFUNCTION("""COMPUTED_VALUE"""),"Біднюк Неля")</f>
        <v>Біднюк Неля</v>
      </c>
      <c r="B11" s="628">
        <f ca="1">IFERROR(__xludf.DUMMYFUNCTION("""COMPUTED_VALUE"""),5)</f>
        <v>5</v>
      </c>
      <c r="C11" s="36">
        <f ca="1">IFERROR(__xludf.DUMMYFUNCTION("""COMPUTED_VALUE"""),5)</f>
        <v>5</v>
      </c>
      <c r="D11" s="36"/>
      <c r="E11" s="36" t="str">
        <f ca="1">IFERROR(__xludf.DUMMYFUNCTION("""COMPUTED_VALUE"""),"Бондаренко Ілля")</f>
        <v>Бондаренко Ілля</v>
      </c>
      <c r="F11" s="628">
        <f ca="1">IFERROR(__xludf.DUMMYFUNCTION("""COMPUTED_VALUE"""),4.7)</f>
        <v>4.7</v>
      </c>
      <c r="L11" s="36" t="str">
        <f ca="1">IFERROR(__xludf.DUMMYFUNCTION("""COMPUTED_VALUE"""),"Біднюк Неля")</f>
        <v>Біднюк Неля</v>
      </c>
      <c r="M11" s="628">
        <f ca="1">IFERROR(__xludf.DUMMYFUNCTION("""COMPUTED_VALUE"""),5)</f>
        <v>5</v>
      </c>
      <c r="N11" s="36"/>
      <c r="O11" s="36"/>
      <c r="P11" s="36" t="str">
        <f ca="1">IFERROR(__xludf.DUMMYFUNCTION("""COMPUTED_VALUE"""),"Білик Марія-Катерина")</f>
        <v>Білик Марія-Катерина</v>
      </c>
      <c r="Q11" s="628">
        <f ca="1">IFERROR(__xludf.DUMMYFUNCTION("""COMPUTED_VALUE"""),5)</f>
        <v>5</v>
      </c>
    </row>
    <row r="12" spans="1:17">
      <c r="A12" s="36" t="str">
        <f ca="1">IFERROR(__xludf.DUMMYFUNCTION("""COMPUTED_VALUE"""),"Білоус Поліна")</f>
        <v>Білоус Поліна</v>
      </c>
      <c r="B12" s="628">
        <f ca="1">IFERROR(__xludf.DUMMYFUNCTION("""COMPUTED_VALUE"""),5)</f>
        <v>5</v>
      </c>
      <c r="C12" s="36">
        <f ca="1">IFERROR(__xludf.DUMMYFUNCTION("""COMPUTED_VALUE"""),2)</f>
        <v>2</v>
      </c>
      <c r="D12" s="36"/>
      <c r="E12" s="36" t="str">
        <f ca="1">IFERROR(__xludf.DUMMYFUNCTION("""COMPUTED_VALUE"""),"Брусова Оксана")</f>
        <v>Брусова Оксана</v>
      </c>
      <c r="F12" s="628">
        <f ca="1">IFERROR(__xludf.DUMMYFUNCTION("""COMPUTED_VALUE"""),5)</f>
        <v>5</v>
      </c>
      <c r="L12" s="36" t="str">
        <f ca="1">IFERROR(__xludf.DUMMYFUNCTION("""COMPUTED_VALUE"""),"Білоус Поліна")</f>
        <v>Білоус Поліна</v>
      </c>
      <c r="M12" s="628">
        <f ca="1">IFERROR(__xludf.DUMMYFUNCTION("""COMPUTED_VALUE"""),5)</f>
        <v>5</v>
      </c>
      <c r="N12" s="36"/>
      <c r="O12" s="36"/>
      <c r="P12" s="36" t="str">
        <f ca="1">IFERROR(__xludf.DUMMYFUNCTION("""COMPUTED_VALUE"""),"Блізнякова Олена")</f>
        <v>Блізнякова Олена</v>
      </c>
      <c r="Q12" s="628">
        <f ca="1">IFERROR(__xludf.DUMMYFUNCTION("""COMPUTED_VALUE"""),4.91428571428571)</f>
        <v>4.9142857142857101</v>
      </c>
    </row>
    <row r="13" spans="1:17">
      <c r="A13" s="36" t="str">
        <f ca="1">IFERROR(__xludf.DUMMYFUNCTION("""COMPUTED_VALUE"""),"Бобров Кирил")</f>
        <v>Бобров Кирил</v>
      </c>
      <c r="B13" s="628">
        <f ca="1">IFERROR(__xludf.DUMMYFUNCTION("""COMPUTED_VALUE"""),5)</f>
        <v>5</v>
      </c>
      <c r="C13" s="36">
        <f ca="1">IFERROR(__xludf.DUMMYFUNCTION("""COMPUTED_VALUE"""),2)</f>
        <v>2</v>
      </c>
      <c r="D13" s="36"/>
      <c r="E13" s="36" t="str">
        <f ca="1">IFERROR(__xludf.DUMMYFUNCTION("""COMPUTED_VALUE"""),"Брух Анна")</f>
        <v>Брух Анна</v>
      </c>
      <c r="F13" s="628">
        <f ca="1">IFERROR(__xludf.DUMMYFUNCTION("""COMPUTED_VALUE"""),5)</f>
        <v>5</v>
      </c>
      <c r="L13" s="36" t="str">
        <f ca="1">IFERROR(__xludf.DUMMYFUNCTION("""COMPUTED_VALUE"""),"Бобров Кирил")</f>
        <v>Бобров Кирил</v>
      </c>
      <c r="M13" s="628">
        <f ca="1">IFERROR(__xludf.DUMMYFUNCTION("""COMPUTED_VALUE"""),4)</f>
        <v>4</v>
      </c>
      <c r="N13" s="36"/>
      <c r="O13" s="36"/>
      <c r="P13" s="36" t="str">
        <f ca="1">IFERROR(__xludf.DUMMYFUNCTION("""COMPUTED_VALUE"""),"Блінова Карина")</f>
        <v>Блінова Карина</v>
      </c>
      <c r="Q13" s="628">
        <f ca="1">IFERROR(__xludf.DUMMYFUNCTION("""COMPUTED_VALUE"""),4.625)</f>
        <v>4.625</v>
      </c>
    </row>
    <row r="14" spans="1:17">
      <c r="A14" s="36" t="str">
        <f ca="1">IFERROR(__xludf.DUMMYFUNCTION("""COMPUTED_VALUE"""),"Богданова Ольга")</f>
        <v>Богданова Ольга</v>
      </c>
      <c r="B14" s="628">
        <f ca="1">IFERROR(__xludf.DUMMYFUNCTION("""COMPUTED_VALUE"""),4.75)</f>
        <v>4.75</v>
      </c>
      <c r="C14" s="36">
        <f ca="1">IFERROR(__xludf.DUMMYFUNCTION("""COMPUTED_VALUE"""),4)</f>
        <v>4</v>
      </c>
      <c r="D14" s="36"/>
      <c r="E14" s="36" t="str">
        <f ca="1">IFERROR(__xludf.DUMMYFUNCTION("""COMPUTED_VALUE"""),"Будзь Анастасія")</f>
        <v>Будзь Анастасія</v>
      </c>
      <c r="F14" s="628">
        <f ca="1">IFERROR(__xludf.DUMMYFUNCTION("""COMPUTED_VALUE"""),5)</f>
        <v>5</v>
      </c>
      <c r="L14" s="36" t="str">
        <f ca="1">IFERROR(__xludf.DUMMYFUNCTION("""COMPUTED_VALUE"""),"Богданова Ольга")</f>
        <v>Богданова Ольга</v>
      </c>
      <c r="M14" s="628">
        <f ca="1">IFERROR(__xludf.DUMMYFUNCTION("""COMPUTED_VALUE"""),5)</f>
        <v>5</v>
      </c>
      <c r="N14" s="36"/>
      <c r="O14" s="36"/>
      <c r="P14" s="36" t="str">
        <f ca="1">IFERROR(__xludf.DUMMYFUNCTION("""COMPUTED_VALUE"""),"Бондаренко Ілля")</f>
        <v>Бондаренко Ілля</v>
      </c>
      <c r="Q14" s="628">
        <f ca="1">IFERROR(__xludf.DUMMYFUNCTION("""COMPUTED_VALUE"""),4.8)</f>
        <v>4.8</v>
      </c>
    </row>
    <row r="15" spans="1:17">
      <c r="A15" s="36" t="str">
        <f ca="1">IFERROR(__xludf.DUMMYFUNCTION("""COMPUTED_VALUE"""),"Бойко Богдан")</f>
        <v>Бойко Богдан</v>
      </c>
      <c r="B15" s="628">
        <f ca="1">IFERROR(__xludf.DUMMYFUNCTION("""COMPUTED_VALUE"""),5)</f>
        <v>5</v>
      </c>
      <c r="C15" s="36">
        <f ca="1">IFERROR(__xludf.DUMMYFUNCTION("""COMPUTED_VALUE"""),1)</f>
        <v>1</v>
      </c>
      <c r="D15" s="36"/>
      <c r="E15" s="36" t="str">
        <f ca="1">IFERROR(__xludf.DUMMYFUNCTION("""COMPUTED_VALUE"""),"Бутовська Марина")</f>
        <v>Бутовська Марина</v>
      </c>
      <c r="F15" s="628">
        <f ca="1">IFERROR(__xludf.DUMMYFUNCTION("""COMPUTED_VALUE"""),5)</f>
        <v>5</v>
      </c>
      <c r="L15" s="36" t="str">
        <f ca="1">IFERROR(__xludf.DUMMYFUNCTION("""COMPUTED_VALUE"""),"Богданюк Вадим")</f>
        <v>Богданюк Вадим</v>
      </c>
      <c r="M15" s="628">
        <f ca="1">IFERROR(__xludf.DUMMYFUNCTION("""COMPUTED_VALUE"""),5)</f>
        <v>5</v>
      </c>
      <c r="N15" s="36"/>
      <c r="O15" s="36"/>
      <c r="P15" s="36" t="str">
        <f ca="1">IFERROR(__xludf.DUMMYFUNCTION("""COMPUTED_VALUE"""),"Борецька Софія")</f>
        <v>Борецька Софія</v>
      </c>
      <c r="Q15" s="628">
        <f ca="1">IFERROR(__xludf.DUMMYFUNCTION("""COMPUTED_VALUE"""),5)</f>
        <v>5</v>
      </c>
    </row>
    <row r="16" spans="1:17">
      <c r="A16" s="36" t="str">
        <f ca="1">IFERROR(__xludf.DUMMYFUNCTION("""COMPUTED_VALUE"""),"Бойчук Вікторія")</f>
        <v>Бойчук Вікторія</v>
      </c>
      <c r="B16" s="628">
        <f ca="1">IFERROR(__xludf.DUMMYFUNCTION("""COMPUTED_VALUE"""),5)</f>
        <v>5</v>
      </c>
      <c r="C16" s="36">
        <f ca="1">IFERROR(__xludf.DUMMYFUNCTION("""COMPUTED_VALUE"""),1)</f>
        <v>1</v>
      </c>
      <c r="D16" s="36"/>
      <c r="E16" s="36" t="str">
        <f ca="1">IFERROR(__xludf.DUMMYFUNCTION("""COMPUTED_VALUE"""),"Васильєва Ганна")</f>
        <v>Васильєва Ганна</v>
      </c>
      <c r="F16" s="628">
        <f ca="1">IFERROR(__xludf.DUMMYFUNCTION("""COMPUTED_VALUE"""),4.5)</f>
        <v>4.5</v>
      </c>
      <c r="L16" s="36" t="str">
        <f ca="1">IFERROR(__xludf.DUMMYFUNCTION("""COMPUTED_VALUE"""),"Бойчук Вікторія")</f>
        <v>Бойчук Вікторія</v>
      </c>
      <c r="M16" s="628">
        <f ca="1">IFERROR(__xludf.DUMMYFUNCTION("""COMPUTED_VALUE"""),5)</f>
        <v>5</v>
      </c>
      <c r="N16" s="36"/>
      <c r="O16" s="36"/>
      <c r="P16" s="36" t="str">
        <f ca="1">IFERROR(__xludf.DUMMYFUNCTION("""COMPUTED_VALUE"""),"Брикайло Ольга")</f>
        <v>Брикайло Ольга</v>
      </c>
      <c r="Q16" s="628">
        <f ca="1">IFERROR(__xludf.DUMMYFUNCTION("""COMPUTED_VALUE"""),5)</f>
        <v>5</v>
      </c>
    </row>
    <row r="17" spans="1:17">
      <c r="A17" s="36" t="str">
        <f ca="1">IFERROR(__xludf.DUMMYFUNCTION("""COMPUTED_VALUE"""),"Большунова Олена")</f>
        <v>Большунова Олена</v>
      </c>
      <c r="B17" s="628">
        <f ca="1">IFERROR(__xludf.DUMMYFUNCTION("""COMPUTED_VALUE"""),5)</f>
        <v>5</v>
      </c>
      <c r="C17" s="36">
        <f ca="1">IFERROR(__xludf.DUMMYFUNCTION("""COMPUTED_VALUE"""),12)</f>
        <v>12</v>
      </c>
      <c r="D17" s="36"/>
      <c r="E17" s="36" t="str">
        <f ca="1">IFERROR(__xludf.DUMMYFUNCTION("""COMPUTED_VALUE"""),"Вачинич Марія")</f>
        <v>Вачинич Марія</v>
      </c>
      <c r="F17" s="628">
        <f ca="1">IFERROR(__xludf.DUMMYFUNCTION("""COMPUTED_VALUE"""),5)</f>
        <v>5</v>
      </c>
      <c r="L17" s="36" t="str">
        <f ca="1">IFERROR(__xludf.DUMMYFUNCTION("""COMPUTED_VALUE"""),"Большунова Олена")</f>
        <v>Большунова Олена</v>
      </c>
      <c r="M17" s="628">
        <f ca="1">IFERROR(__xludf.DUMMYFUNCTION("""COMPUTED_VALUE"""),4.7)</f>
        <v>4.7</v>
      </c>
      <c r="N17" s="36"/>
      <c r="O17" s="36"/>
      <c r="P17" s="36" t="str">
        <f ca="1">IFERROR(__xludf.DUMMYFUNCTION("""COMPUTED_VALUE"""),"Брусова Оксана")</f>
        <v>Брусова Оксана</v>
      </c>
      <c r="Q17" s="628">
        <f ca="1">IFERROR(__xludf.DUMMYFUNCTION("""COMPUTED_VALUE"""),4.33333333333333)</f>
        <v>4.3333333333333304</v>
      </c>
    </row>
    <row r="18" spans="1:17">
      <c r="A18" s="36" t="str">
        <f ca="1">IFERROR(__xludf.DUMMYFUNCTION("""COMPUTED_VALUE"""),"Бондар Марина")</f>
        <v>Бондар Марина</v>
      </c>
      <c r="B18" s="628">
        <f ca="1">IFERROR(__xludf.DUMMYFUNCTION("""COMPUTED_VALUE"""),5)</f>
        <v>5</v>
      </c>
      <c r="C18" s="36">
        <f ca="1">IFERROR(__xludf.DUMMYFUNCTION("""COMPUTED_VALUE"""),3)</f>
        <v>3</v>
      </c>
      <c r="D18" s="36"/>
      <c r="E18" s="36" t="str">
        <f ca="1">IFERROR(__xludf.DUMMYFUNCTION("""COMPUTED_VALUE"""),"Войтенко Юлія")</f>
        <v>Войтенко Юлія</v>
      </c>
      <c r="F18" s="628">
        <f ca="1">IFERROR(__xludf.DUMMYFUNCTION("""COMPUTED_VALUE"""),4.75)</f>
        <v>4.75</v>
      </c>
      <c r="L18" s="36" t="str">
        <f ca="1">IFERROR(__xludf.DUMMYFUNCTION("""COMPUTED_VALUE"""),"Бондар Марина")</f>
        <v>Бондар Марина</v>
      </c>
      <c r="M18" s="628">
        <f ca="1">IFERROR(__xludf.DUMMYFUNCTION("""COMPUTED_VALUE"""),4.5)</f>
        <v>4.5</v>
      </c>
      <c r="N18" s="36"/>
      <c r="O18" s="36"/>
      <c r="P18" s="36" t="str">
        <f ca="1">IFERROR(__xludf.DUMMYFUNCTION("""COMPUTED_VALUE"""),"Брух Анна")</f>
        <v>Брух Анна</v>
      </c>
      <c r="Q18" s="628">
        <f ca="1">IFERROR(__xludf.DUMMYFUNCTION("""COMPUTED_VALUE"""),4.625)</f>
        <v>4.625</v>
      </c>
    </row>
    <row r="19" spans="1:17">
      <c r="A19" s="36" t="str">
        <f ca="1">IFERROR(__xludf.DUMMYFUNCTION("""COMPUTED_VALUE"""),"Бондаренко Ольга")</f>
        <v>Бондаренко Ольга</v>
      </c>
      <c r="B19" s="628">
        <f ca="1">IFERROR(__xludf.DUMMYFUNCTION("""COMPUTED_VALUE"""),5)</f>
        <v>5</v>
      </c>
      <c r="C19" s="36">
        <f ca="1">IFERROR(__xludf.DUMMYFUNCTION("""COMPUTED_VALUE"""),1)</f>
        <v>1</v>
      </c>
      <c r="D19" s="36"/>
      <c r="E19" s="36" t="str">
        <f ca="1">IFERROR(__xludf.DUMMYFUNCTION("""COMPUTED_VALUE"""),"Волдаєва Анна")</f>
        <v>Волдаєва Анна</v>
      </c>
      <c r="F19" s="628">
        <f ca="1">IFERROR(__xludf.DUMMYFUNCTION("""COMPUTED_VALUE"""),5)</f>
        <v>5</v>
      </c>
      <c r="L19" s="36" t="str">
        <f ca="1">IFERROR(__xludf.DUMMYFUNCTION("""COMPUTED_VALUE"""),"Бондаренко Ольга")</f>
        <v>Бондаренко Ольга</v>
      </c>
      <c r="M19" s="628">
        <f ca="1">IFERROR(__xludf.DUMMYFUNCTION("""COMPUTED_VALUE"""),5)</f>
        <v>5</v>
      </c>
      <c r="N19" s="36"/>
      <c r="O19" s="36"/>
      <c r="P19" s="36" t="str">
        <f ca="1">IFERROR(__xludf.DUMMYFUNCTION("""COMPUTED_VALUE"""),"Будзь Анастасія")</f>
        <v>Будзь Анастасія</v>
      </c>
      <c r="Q19" s="628">
        <f ca="1">IFERROR(__xludf.DUMMYFUNCTION("""COMPUTED_VALUE"""),4)</f>
        <v>4</v>
      </c>
    </row>
    <row r="20" spans="1:17">
      <c r="A20" s="36" t="str">
        <f ca="1">IFERROR(__xludf.DUMMYFUNCTION("""COMPUTED_VALUE"""),"Бородін Ярослав")</f>
        <v>Бородін Ярослав</v>
      </c>
      <c r="B20" s="628">
        <f ca="1">IFERROR(__xludf.DUMMYFUNCTION("""COMPUTED_VALUE"""),4.5)</f>
        <v>4.5</v>
      </c>
      <c r="C20" s="36">
        <f ca="1">IFERROR(__xludf.DUMMYFUNCTION("""COMPUTED_VALUE"""),2)</f>
        <v>2</v>
      </c>
      <c r="D20" s="36"/>
      <c r="E20" s="36" t="str">
        <f ca="1">IFERROR(__xludf.DUMMYFUNCTION("""COMPUTED_VALUE"""),"Гайченя Олена")</f>
        <v>Гайченя Олена</v>
      </c>
      <c r="F20" s="628">
        <f ca="1">IFERROR(__xludf.DUMMYFUNCTION("""COMPUTED_VALUE"""),4.69230769230769)</f>
        <v>4.6923076923076898</v>
      </c>
      <c r="L20" s="36" t="str">
        <f ca="1">IFERROR(__xludf.DUMMYFUNCTION("""COMPUTED_VALUE"""),"Борболюк Юлія")</f>
        <v>Борболюк Юлія</v>
      </c>
      <c r="M20" s="628">
        <f ca="1">IFERROR(__xludf.DUMMYFUNCTION("""COMPUTED_VALUE"""),5)</f>
        <v>5</v>
      </c>
      <c r="N20" s="36"/>
      <c r="O20" s="36"/>
      <c r="P20" s="36" t="str">
        <f ca="1">IFERROR(__xludf.DUMMYFUNCTION("""COMPUTED_VALUE"""),"Бутовська Марина")</f>
        <v>Бутовська Марина</v>
      </c>
      <c r="Q20" s="628">
        <f ca="1">IFERROR(__xludf.DUMMYFUNCTION("""COMPUTED_VALUE"""),4.66666666666666)</f>
        <v>4.6666666666666599</v>
      </c>
    </row>
    <row r="21" spans="1:17">
      <c r="A21" s="36" t="str">
        <f ca="1">IFERROR(__xludf.DUMMYFUNCTION("""COMPUTED_VALUE"""),"Брегеда Олена")</f>
        <v>Брегеда Олена</v>
      </c>
      <c r="B21" s="628">
        <f ca="1">IFERROR(__xludf.DUMMYFUNCTION("""COMPUTED_VALUE"""),5)</f>
        <v>5</v>
      </c>
      <c r="C21" s="36">
        <f ca="1">IFERROR(__xludf.DUMMYFUNCTION("""COMPUTED_VALUE"""),1)</f>
        <v>1</v>
      </c>
      <c r="D21" s="36"/>
      <c r="E21" s="36" t="str">
        <f ca="1">IFERROR(__xludf.DUMMYFUNCTION("""COMPUTED_VALUE"""),"Галенко Богдана")</f>
        <v>Галенко Богдана</v>
      </c>
      <c r="F21" s="628">
        <f ca="1">IFERROR(__xludf.DUMMYFUNCTION("""COMPUTED_VALUE"""),5)</f>
        <v>5</v>
      </c>
      <c r="L21" s="36" t="str">
        <f ca="1">IFERROR(__xludf.DUMMYFUNCTION("""COMPUTED_VALUE"""),"Бородін Ярослав")</f>
        <v>Бородін Ярослав</v>
      </c>
      <c r="M21" s="628">
        <f ca="1">IFERROR(__xludf.DUMMYFUNCTION("""COMPUTED_VALUE"""),4)</f>
        <v>4</v>
      </c>
      <c r="N21" s="36"/>
      <c r="O21" s="36"/>
      <c r="P21" s="36" t="str">
        <f ca="1">IFERROR(__xludf.DUMMYFUNCTION("""COMPUTED_VALUE"""),"Васильєва Ганна")</f>
        <v>Васильєва Ганна</v>
      </c>
      <c r="Q21" s="628">
        <f ca="1">IFERROR(__xludf.DUMMYFUNCTION("""COMPUTED_VALUE"""),4)</f>
        <v>4</v>
      </c>
    </row>
    <row r="22" spans="1:17">
      <c r="A22" s="36" t="str">
        <f ca="1">IFERROR(__xludf.DUMMYFUNCTION("""COMPUTED_VALUE"""),"Бровенко Борис")</f>
        <v>Бровенко Борис</v>
      </c>
      <c r="B22" s="628">
        <f ca="1">IFERROR(__xludf.DUMMYFUNCTION("""COMPUTED_VALUE"""),5)</f>
        <v>5</v>
      </c>
      <c r="C22" s="36">
        <f ca="1">IFERROR(__xludf.DUMMYFUNCTION("""COMPUTED_VALUE"""),4)</f>
        <v>4</v>
      </c>
      <c r="D22" s="36"/>
      <c r="E22" s="36" t="str">
        <f ca="1">IFERROR(__xludf.DUMMYFUNCTION("""COMPUTED_VALUE"""),"Галушка Кирило")</f>
        <v>Галушка Кирило</v>
      </c>
      <c r="F22" s="628">
        <f ca="1">IFERROR(__xludf.DUMMYFUNCTION("""COMPUTED_VALUE"""),4.66666666666666)</f>
        <v>4.6666666666666599</v>
      </c>
      <c r="L22" s="36" t="str">
        <f ca="1">IFERROR(__xludf.DUMMYFUNCTION("""COMPUTED_VALUE"""),"Бровенко Борис")</f>
        <v>Бровенко Борис</v>
      </c>
      <c r="M22" s="628">
        <f ca="1">IFERROR(__xludf.DUMMYFUNCTION("""COMPUTED_VALUE"""),5)</f>
        <v>5</v>
      </c>
      <c r="N22" s="36"/>
      <c r="O22" s="36"/>
      <c r="P22" s="36" t="str">
        <f ca="1">IFERROR(__xludf.DUMMYFUNCTION("""COMPUTED_VALUE"""),"Верзун Катерина")</f>
        <v>Верзун Катерина</v>
      </c>
      <c r="Q22" s="628">
        <f ca="1">IFERROR(__xludf.DUMMYFUNCTION("""COMPUTED_VALUE"""),5)</f>
        <v>5</v>
      </c>
    </row>
    <row r="23" spans="1:17">
      <c r="A23" s="36" t="str">
        <f ca="1">IFERROR(__xludf.DUMMYFUNCTION("""COMPUTED_VALUE"""),"Бровченко Вікторія")</f>
        <v>Бровченко Вікторія</v>
      </c>
      <c r="B23" s="628">
        <f ca="1">IFERROR(__xludf.DUMMYFUNCTION("""COMPUTED_VALUE"""),5)</f>
        <v>5</v>
      </c>
      <c r="C23" s="36">
        <f ca="1">IFERROR(__xludf.DUMMYFUNCTION("""COMPUTED_VALUE"""),4)</f>
        <v>4</v>
      </c>
      <c r="D23" s="36"/>
      <c r="E23" s="36" t="str">
        <f ca="1">IFERROR(__xludf.DUMMYFUNCTION("""COMPUTED_VALUE"""),"Гензерська Марія")</f>
        <v>Гензерська Марія</v>
      </c>
      <c r="F23" s="628">
        <f ca="1">IFERROR(__xludf.DUMMYFUNCTION("""COMPUTED_VALUE"""),4.88888888888888)</f>
        <v>4.8888888888888804</v>
      </c>
      <c r="L23" s="36" t="str">
        <f ca="1">IFERROR(__xludf.DUMMYFUNCTION("""COMPUTED_VALUE"""),"Бровченко Вікторія")</f>
        <v>Бровченко Вікторія</v>
      </c>
      <c r="M23" s="628">
        <f ca="1">IFERROR(__xludf.DUMMYFUNCTION("""COMPUTED_VALUE"""),5)</f>
        <v>5</v>
      </c>
      <c r="N23" s="36"/>
      <c r="O23" s="36"/>
      <c r="P23" s="36" t="str">
        <f ca="1">IFERROR(__xludf.DUMMYFUNCTION("""COMPUTED_VALUE"""),"Войтенко Юлія")</f>
        <v>Войтенко Юлія</v>
      </c>
      <c r="Q23" s="628">
        <f ca="1">IFERROR(__xludf.DUMMYFUNCTION("""COMPUTED_VALUE"""),5)</f>
        <v>5</v>
      </c>
    </row>
    <row r="24" spans="1:17">
      <c r="A24" s="36" t="str">
        <f ca="1">IFERROR(__xludf.DUMMYFUNCTION("""COMPUTED_VALUE"""),"Бугайов Костянтин")</f>
        <v>Бугайов Костянтин</v>
      </c>
      <c r="B24" s="628">
        <f ca="1">IFERROR(__xludf.DUMMYFUNCTION("""COMPUTED_VALUE"""),5)</f>
        <v>5</v>
      </c>
      <c r="C24" s="36">
        <f ca="1">IFERROR(__xludf.DUMMYFUNCTION("""COMPUTED_VALUE"""),5)</f>
        <v>5</v>
      </c>
      <c r="D24" s="36"/>
      <c r="E24" s="36" t="str">
        <f ca="1">IFERROR(__xludf.DUMMYFUNCTION("""COMPUTED_VALUE"""),"Грекова Євгенія")</f>
        <v>Грекова Євгенія</v>
      </c>
      <c r="F24" s="628">
        <f ca="1">IFERROR(__xludf.DUMMYFUNCTION("""COMPUTED_VALUE"""),5)</f>
        <v>5</v>
      </c>
      <c r="L24" s="36" t="str">
        <f ca="1">IFERROR(__xludf.DUMMYFUNCTION("""COMPUTED_VALUE"""),"Бугайов Костянтин")</f>
        <v>Бугайов Костянтин</v>
      </c>
      <c r="M24" s="628">
        <f ca="1">IFERROR(__xludf.DUMMYFUNCTION("""COMPUTED_VALUE"""),5)</f>
        <v>5</v>
      </c>
      <c r="N24" s="36"/>
      <c r="O24" s="36"/>
      <c r="P24" s="36" t="str">
        <f ca="1">IFERROR(__xludf.DUMMYFUNCTION("""COMPUTED_VALUE"""),"Волдаєва Анна")</f>
        <v>Волдаєва Анна</v>
      </c>
      <c r="Q24" s="628">
        <f ca="1">IFERROR(__xludf.DUMMYFUNCTION("""COMPUTED_VALUE"""),4.8)</f>
        <v>4.8</v>
      </c>
    </row>
    <row r="25" spans="1:17">
      <c r="A25" s="36" t="str">
        <f ca="1">IFERROR(__xludf.DUMMYFUNCTION("""COMPUTED_VALUE"""),"Букша Данило")</f>
        <v>Букша Данило</v>
      </c>
      <c r="B25" s="628">
        <f ca="1">IFERROR(__xludf.DUMMYFUNCTION("""COMPUTED_VALUE"""),5)</f>
        <v>5</v>
      </c>
      <c r="C25" s="36">
        <f ca="1">IFERROR(__xludf.DUMMYFUNCTION("""COMPUTED_VALUE"""),7)</f>
        <v>7</v>
      </c>
      <c r="D25" s="36"/>
      <c r="E25" s="36" t="str">
        <f ca="1">IFERROR(__xludf.DUMMYFUNCTION("""COMPUTED_VALUE"""),"Дементєєва Вероніка")</f>
        <v>Дементєєва Вероніка</v>
      </c>
      <c r="F25" s="628">
        <f ca="1">IFERROR(__xludf.DUMMYFUNCTION("""COMPUTED_VALUE"""),4.71428571428571)</f>
        <v>4.71428571428571</v>
      </c>
      <c r="L25" s="36" t="str">
        <f ca="1">IFERROR(__xludf.DUMMYFUNCTION("""COMPUTED_VALUE"""),"Букша Данило")</f>
        <v>Букша Данило</v>
      </c>
      <c r="M25" s="628">
        <f ca="1">IFERROR(__xludf.DUMMYFUNCTION("""COMPUTED_VALUE"""),4.66666666666666)</f>
        <v>4.6666666666666599</v>
      </c>
      <c r="N25" s="36"/>
      <c r="O25" s="36"/>
      <c r="P25" s="36" t="str">
        <f ca="1">IFERROR(__xludf.DUMMYFUNCTION("""COMPUTED_VALUE"""),"Гайченя Олена")</f>
        <v>Гайченя Олена</v>
      </c>
      <c r="Q25" s="628">
        <f ca="1">IFERROR(__xludf.DUMMYFUNCTION("""COMPUTED_VALUE"""),4.81818181818181)</f>
        <v>4.8181818181818103</v>
      </c>
    </row>
    <row r="26" spans="1:17">
      <c r="A26" s="36" t="str">
        <f ca="1">IFERROR(__xludf.DUMMYFUNCTION("""COMPUTED_VALUE"""),"Буланова Ангеліна")</f>
        <v>Буланова Ангеліна</v>
      </c>
      <c r="B26" s="628">
        <f ca="1">IFERROR(__xludf.DUMMYFUNCTION("""COMPUTED_VALUE"""),5)</f>
        <v>5</v>
      </c>
      <c r="C26" s="36">
        <f ca="1">IFERROR(__xludf.DUMMYFUNCTION("""COMPUTED_VALUE"""),1)</f>
        <v>1</v>
      </c>
      <c r="D26" s="36"/>
      <c r="E26" s="36" t="str">
        <f ca="1">IFERROR(__xludf.DUMMYFUNCTION("""COMPUTED_VALUE"""),"Денікевич Лілія")</f>
        <v>Денікевич Лілія</v>
      </c>
      <c r="F26" s="628">
        <f ca="1">IFERROR(__xludf.DUMMYFUNCTION("""COMPUTED_VALUE"""),5)</f>
        <v>5</v>
      </c>
      <c r="L26" s="36" t="str">
        <f ca="1">IFERROR(__xludf.DUMMYFUNCTION("""COMPUTED_VALUE"""),"Буланова Ангеліна")</f>
        <v>Буланова Ангеліна</v>
      </c>
      <c r="M26" s="628">
        <f ca="1">IFERROR(__xludf.DUMMYFUNCTION("""COMPUTED_VALUE"""),5)</f>
        <v>5</v>
      </c>
      <c r="N26" s="36"/>
      <c r="O26" s="36"/>
      <c r="P26" s="36" t="str">
        <f ca="1">IFERROR(__xludf.DUMMYFUNCTION("""COMPUTED_VALUE"""),"Галушка Кирило")</f>
        <v>Галушка Кирило</v>
      </c>
      <c r="Q26" s="628">
        <f ca="1">IFERROR(__xludf.DUMMYFUNCTION("""COMPUTED_VALUE"""),4.5)</f>
        <v>4.5</v>
      </c>
    </row>
    <row r="27" spans="1:17">
      <c r="A27" s="36" t="str">
        <f ca="1">IFERROR(__xludf.DUMMYFUNCTION("""COMPUTED_VALUE"""),"Бур'ян Олександра")</f>
        <v>Бур'ян Олександра</v>
      </c>
      <c r="B27" s="628">
        <f ca="1">IFERROR(__xludf.DUMMYFUNCTION("""COMPUTED_VALUE"""),5)</f>
        <v>5</v>
      </c>
      <c r="C27" s="36">
        <f ca="1">IFERROR(__xludf.DUMMYFUNCTION("""COMPUTED_VALUE"""),4)</f>
        <v>4</v>
      </c>
      <c r="D27" s="36"/>
      <c r="E27" s="36" t="str">
        <f ca="1">IFERROR(__xludf.DUMMYFUNCTION("""COMPUTED_VALUE"""),"Дєдова Оксана")</f>
        <v>Дєдова Оксана</v>
      </c>
      <c r="F27" s="628">
        <f ca="1">IFERROR(__xludf.DUMMYFUNCTION("""COMPUTED_VALUE"""),4.92857142857142)</f>
        <v>4.9285714285714199</v>
      </c>
      <c r="L27" s="36" t="str">
        <f ca="1">IFERROR(__xludf.DUMMYFUNCTION("""COMPUTED_VALUE"""),"Бур'ян Олександра")</f>
        <v>Бур'ян Олександра</v>
      </c>
      <c r="M27" s="628">
        <f ca="1">IFERROR(__xludf.DUMMYFUNCTION("""COMPUTED_VALUE"""),5)</f>
        <v>5</v>
      </c>
      <c r="N27" s="36"/>
      <c r="O27" s="36"/>
      <c r="P27" s="36" t="str">
        <f ca="1">IFERROR(__xludf.DUMMYFUNCTION("""COMPUTED_VALUE"""),"Гапак Наталія")</f>
        <v>Гапак Наталія</v>
      </c>
      <c r="Q27" s="628">
        <f ca="1">IFERROR(__xludf.DUMMYFUNCTION("""COMPUTED_VALUE"""),5)</f>
        <v>5</v>
      </c>
    </row>
    <row r="28" spans="1:17">
      <c r="A28" s="36" t="str">
        <f ca="1">IFERROR(__xludf.DUMMYFUNCTION("""COMPUTED_VALUE"""),"Бурлак Володимир")</f>
        <v>Бурлак Володимир</v>
      </c>
      <c r="B28" s="628">
        <f ca="1">IFERROR(__xludf.DUMMYFUNCTION("""COMPUTED_VALUE"""),4)</f>
        <v>4</v>
      </c>
      <c r="C28" s="36">
        <f ca="1">IFERROR(__xludf.DUMMYFUNCTION("""COMPUTED_VALUE"""),1)</f>
        <v>1</v>
      </c>
      <c r="D28" s="36"/>
      <c r="E28" s="36" t="str">
        <f ca="1">IFERROR(__xludf.DUMMYFUNCTION("""COMPUTED_VALUE"""),"Дмитриєвський Юрій-Георгій")</f>
        <v>Дмитриєвський Юрій-Георгій</v>
      </c>
      <c r="F28" s="628">
        <f ca="1">IFERROR(__xludf.DUMMYFUNCTION("""COMPUTED_VALUE"""),5)</f>
        <v>5</v>
      </c>
      <c r="L28" s="36" t="str">
        <f ca="1">IFERROR(__xludf.DUMMYFUNCTION("""COMPUTED_VALUE"""),"Бусова Альона")</f>
        <v>Бусова Альона</v>
      </c>
      <c r="M28" s="628">
        <f ca="1">IFERROR(__xludf.DUMMYFUNCTION("""COMPUTED_VALUE"""),4.92857142857142)</f>
        <v>4.9285714285714199</v>
      </c>
      <c r="N28" s="36"/>
      <c r="O28" s="36"/>
      <c r="P28" s="36" t="str">
        <f ca="1">IFERROR(__xludf.DUMMYFUNCTION("""COMPUTED_VALUE"""),"Гензерська Марія")</f>
        <v>Гензерська Марія</v>
      </c>
      <c r="Q28" s="628">
        <f ca="1">IFERROR(__xludf.DUMMYFUNCTION("""COMPUTED_VALUE"""),4.8095238095238)</f>
        <v>4.8095238095238004</v>
      </c>
    </row>
    <row r="29" spans="1:17">
      <c r="A29" s="36" t="str">
        <f ca="1">IFERROR(__xludf.DUMMYFUNCTION("""COMPUTED_VALUE"""),"Висоцький Ярослав")</f>
        <v>Висоцький Ярослав</v>
      </c>
      <c r="B29" s="628">
        <f ca="1">IFERROR(__xludf.DUMMYFUNCTION("""COMPUTED_VALUE"""),5)</f>
        <v>5</v>
      </c>
      <c r="C29" s="36">
        <f ca="1">IFERROR(__xludf.DUMMYFUNCTION("""COMPUTED_VALUE"""),1)</f>
        <v>1</v>
      </c>
      <c r="D29" s="36"/>
      <c r="E29" s="36" t="str">
        <f ca="1">IFERROR(__xludf.DUMMYFUNCTION("""COMPUTED_VALUE"""),"Дмитрук Олександра")</f>
        <v>Дмитрук Олександра</v>
      </c>
      <c r="F29" s="628">
        <f ca="1">IFERROR(__xludf.DUMMYFUNCTION("""COMPUTED_VALUE"""),4.71428571428571)</f>
        <v>4.71428571428571</v>
      </c>
      <c r="L29" s="36" t="str">
        <f ca="1">IFERROR(__xludf.DUMMYFUNCTION("""COMPUTED_VALUE"""),"Веренко Любов")</f>
        <v>Веренко Любов</v>
      </c>
      <c r="M29" s="628">
        <f ca="1">IFERROR(__xludf.DUMMYFUNCTION("""COMPUTED_VALUE"""),4.5)</f>
        <v>4.5</v>
      </c>
      <c r="N29" s="36"/>
      <c r="O29" s="36"/>
      <c r="P29" s="36" t="str">
        <f ca="1">IFERROR(__xludf.DUMMYFUNCTION("""COMPUTED_VALUE"""),"Грекова Євгенія")</f>
        <v>Грекова Євгенія</v>
      </c>
      <c r="Q29" s="628">
        <f ca="1">IFERROR(__xludf.DUMMYFUNCTION("""COMPUTED_VALUE"""),5)</f>
        <v>5</v>
      </c>
    </row>
    <row r="30" spans="1:17">
      <c r="A30" s="36" t="str">
        <f ca="1">IFERROR(__xludf.DUMMYFUNCTION("""COMPUTED_VALUE"""),"Волошиненко Тетяна")</f>
        <v>Волошиненко Тетяна</v>
      </c>
      <c r="B30" s="628">
        <f ca="1">IFERROR(__xludf.DUMMYFUNCTION("""COMPUTED_VALUE"""),4.6)</f>
        <v>4.5999999999999996</v>
      </c>
      <c r="C30" s="36">
        <f ca="1">IFERROR(__xludf.DUMMYFUNCTION("""COMPUTED_VALUE"""),5)</f>
        <v>5</v>
      </c>
      <c r="D30" s="36"/>
      <c r="E30" s="36" t="str">
        <f ca="1">IFERROR(__xludf.DUMMYFUNCTION("""COMPUTED_VALUE"""),"Доброскок Юлія")</f>
        <v>Доброскок Юлія</v>
      </c>
      <c r="F30" s="628">
        <f ca="1">IFERROR(__xludf.DUMMYFUNCTION("""COMPUTED_VALUE"""),4.83333333333333)</f>
        <v>4.8333333333333304</v>
      </c>
      <c r="L30" s="36" t="str">
        <f ca="1">IFERROR(__xludf.DUMMYFUNCTION("""COMPUTED_VALUE"""),"Веретенников Владислав")</f>
        <v>Веретенников Владислав</v>
      </c>
      <c r="M30" s="628">
        <f ca="1">IFERROR(__xludf.DUMMYFUNCTION("""COMPUTED_VALUE"""),5)</f>
        <v>5</v>
      </c>
      <c r="N30" s="36"/>
      <c r="O30" s="36"/>
      <c r="P30" s="36" t="str">
        <f ca="1">IFERROR(__xludf.DUMMYFUNCTION("""COMPUTED_VALUE"""),"Гриневич Олена")</f>
        <v>Гриневич Олена</v>
      </c>
      <c r="Q30" s="628">
        <f ca="1">IFERROR(__xludf.DUMMYFUNCTION("""COMPUTED_VALUE"""),5)</f>
        <v>5</v>
      </c>
    </row>
    <row r="31" spans="1:17">
      <c r="A31" s="36" t="str">
        <f ca="1">IFERROR(__xludf.DUMMYFUNCTION("""COMPUTED_VALUE"""),"Гаврилюк Артур")</f>
        <v>Гаврилюк Артур</v>
      </c>
      <c r="B31" s="628">
        <f ca="1">IFERROR(__xludf.DUMMYFUNCTION("""COMPUTED_VALUE"""),5)</f>
        <v>5</v>
      </c>
      <c r="C31" s="36">
        <f ca="1">IFERROR(__xludf.DUMMYFUNCTION("""COMPUTED_VALUE"""),2)</f>
        <v>2</v>
      </c>
      <c r="D31" s="36"/>
      <c r="E31" s="36" t="str">
        <f ca="1">IFERROR(__xludf.DUMMYFUNCTION("""COMPUTED_VALUE"""),"Доморацька Валерія")</f>
        <v>Доморацька Валерія</v>
      </c>
      <c r="F31" s="628">
        <f ca="1">IFERROR(__xludf.DUMMYFUNCTION("""COMPUTED_VALUE"""),5)</f>
        <v>5</v>
      </c>
      <c r="L31" s="36" t="str">
        <f ca="1">IFERROR(__xludf.DUMMYFUNCTION("""COMPUTED_VALUE"""),"Волковницький Роман")</f>
        <v>Волковницький Роман</v>
      </c>
      <c r="M31" s="628">
        <f ca="1">IFERROR(__xludf.DUMMYFUNCTION("""COMPUTED_VALUE"""),5)</f>
        <v>5</v>
      </c>
      <c r="N31" s="36"/>
      <c r="O31" s="36"/>
      <c r="P31" s="36" t="str">
        <f ca="1">IFERROR(__xludf.DUMMYFUNCTION("""COMPUTED_VALUE"""),"Гункевич Еріка")</f>
        <v>Гункевич Еріка</v>
      </c>
      <c r="Q31" s="628">
        <f ca="1">IFERROR(__xludf.DUMMYFUNCTION("""COMPUTED_VALUE"""),5)</f>
        <v>5</v>
      </c>
    </row>
    <row r="32" spans="1:17">
      <c r="A32" s="36" t="str">
        <f ca="1">IFERROR(__xludf.DUMMYFUNCTION("""COMPUTED_VALUE"""),"Гаврилюк Микита")</f>
        <v>Гаврилюк Микита</v>
      </c>
      <c r="B32" s="628">
        <f ca="1">IFERROR(__xludf.DUMMYFUNCTION("""COMPUTED_VALUE"""),5)</f>
        <v>5</v>
      </c>
      <c r="C32" s="36">
        <f ca="1">IFERROR(__xludf.DUMMYFUNCTION("""COMPUTED_VALUE"""),4)</f>
        <v>4</v>
      </c>
      <c r="D32" s="36"/>
      <c r="E32" s="36" t="str">
        <f ca="1">IFERROR(__xludf.DUMMYFUNCTION("""COMPUTED_VALUE"""),"Дуденко Аліса")</f>
        <v>Дуденко Аліса</v>
      </c>
      <c r="F32" s="628">
        <f ca="1">IFERROR(__xludf.DUMMYFUNCTION("""COMPUTED_VALUE"""),4.84)</f>
        <v>4.84</v>
      </c>
      <c r="L32" s="36" t="str">
        <f ca="1">IFERROR(__xludf.DUMMYFUNCTION("""COMPUTED_VALUE"""),"Волошиненко Тетяна")</f>
        <v>Волошиненко Тетяна</v>
      </c>
      <c r="M32" s="628">
        <f ca="1">IFERROR(__xludf.DUMMYFUNCTION("""COMPUTED_VALUE"""),4.73333333333333)</f>
        <v>4.7333333333333298</v>
      </c>
      <c r="N32" s="36"/>
      <c r="O32" s="36"/>
      <c r="P32" s="36" t="str">
        <f ca="1">IFERROR(__xludf.DUMMYFUNCTION("""COMPUTED_VALUE"""),"Дементєєва Вероніка")</f>
        <v>Дементєєва Вероніка</v>
      </c>
      <c r="Q32" s="628">
        <f ca="1">IFERROR(__xludf.DUMMYFUNCTION("""COMPUTED_VALUE"""),4.75)</f>
        <v>4.75</v>
      </c>
    </row>
    <row r="33" spans="1:17">
      <c r="A33" s="36" t="str">
        <f ca="1">IFERROR(__xludf.DUMMYFUNCTION("""COMPUTED_VALUE"""),"Гайдук Іван")</f>
        <v>Гайдук Іван</v>
      </c>
      <c r="B33" s="628">
        <f ca="1">IFERROR(__xludf.DUMMYFUNCTION("""COMPUTED_VALUE"""),5)</f>
        <v>5</v>
      </c>
      <c r="C33" s="36">
        <f ca="1">IFERROR(__xludf.DUMMYFUNCTION("""COMPUTED_VALUE"""),2)</f>
        <v>2</v>
      </c>
      <c r="D33" s="36"/>
      <c r="E33" s="36" t="str">
        <f ca="1">IFERROR(__xludf.DUMMYFUNCTION("""COMPUTED_VALUE"""),"Дудка Інна")</f>
        <v>Дудка Інна</v>
      </c>
      <c r="F33" s="628">
        <f ca="1">IFERROR(__xludf.DUMMYFUNCTION("""COMPUTED_VALUE"""),4.8)</f>
        <v>4.8</v>
      </c>
      <c r="L33" s="36" t="str">
        <f ca="1">IFERROR(__xludf.DUMMYFUNCTION("""COMPUTED_VALUE"""),"Врабіє Варвара")</f>
        <v>Врабіє Варвара</v>
      </c>
      <c r="M33" s="628">
        <f ca="1">IFERROR(__xludf.DUMMYFUNCTION("""COMPUTED_VALUE"""),4.8)</f>
        <v>4.8</v>
      </c>
      <c r="N33" s="36"/>
      <c r="O33" s="36"/>
      <c r="P33" s="36" t="str">
        <f ca="1">IFERROR(__xludf.DUMMYFUNCTION("""COMPUTED_VALUE"""),"Денікевич Лілія")</f>
        <v>Денікевич Лілія</v>
      </c>
      <c r="Q33" s="628">
        <f ca="1">IFERROR(__xludf.DUMMYFUNCTION("""COMPUTED_VALUE"""),5)</f>
        <v>5</v>
      </c>
    </row>
    <row r="34" spans="1:17">
      <c r="A34" s="36" t="str">
        <f ca="1">IFERROR(__xludf.DUMMYFUNCTION("""COMPUTED_VALUE"""),"Гайдур Ксенія")</f>
        <v>Гайдур Ксенія</v>
      </c>
      <c r="B34" s="628">
        <f ca="1">IFERROR(__xludf.DUMMYFUNCTION("""COMPUTED_VALUE"""),5)</f>
        <v>5</v>
      </c>
      <c r="C34" s="36">
        <f ca="1">IFERROR(__xludf.DUMMYFUNCTION("""COMPUTED_VALUE"""),1)</f>
        <v>1</v>
      </c>
      <c r="D34" s="36"/>
      <c r="E34" s="36" t="str">
        <f ca="1">IFERROR(__xludf.DUMMYFUNCTION("""COMPUTED_VALUE"""),"Жеронкін Антон")</f>
        <v>Жеронкін Антон</v>
      </c>
      <c r="F34" s="628">
        <f ca="1">IFERROR(__xludf.DUMMYFUNCTION("""COMPUTED_VALUE"""),5)</f>
        <v>5</v>
      </c>
      <c r="L34" s="36" t="str">
        <f ca="1">IFERROR(__xludf.DUMMYFUNCTION("""COMPUTED_VALUE"""),"Гаврилюк Артур")</f>
        <v>Гаврилюк Артур</v>
      </c>
      <c r="M34" s="628">
        <f ca="1">IFERROR(__xludf.DUMMYFUNCTION("""COMPUTED_VALUE"""),3)</f>
        <v>3</v>
      </c>
      <c r="N34" s="36"/>
      <c r="O34" s="36"/>
      <c r="P34" s="36" t="str">
        <f ca="1">IFERROR(__xludf.DUMMYFUNCTION("""COMPUTED_VALUE"""),"Дєдова Оксана")</f>
        <v>Дєдова Оксана</v>
      </c>
      <c r="Q34" s="628">
        <f ca="1">IFERROR(__xludf.DUMMYFUNCTION("""COMPUTED_VALUE"""),4.71428571428571)</f>
        <v>4.71428571428571</v>
      </c>
    </row>
    <row r="35" spans="1:17">
      <c r="A35" s="36" t="str">
        <f ca="1">IFERROR(__xludf.DUMMYFUNCTION("""COMPUTED_VALUE"""),"Галенко Богдана")</f>
        <v>Галенко Богдана</v>
      </c>
      <c r="B35" s="628">
        <f ca="1">IFERROR(__xludf.DUMMYFUNCTION("""COMPUTED_VALUE"""),4.88888888888888)</f>
        <v>4.8888888888888804</v>
      </c>
      <c r="C35" s="36">
        <f ca="1">IFERROR(__xludf.DUMMYFUNCTION("""COMPUTED_VALUE"""),18)</f>
        <v>18</v>
      </c>
      <c r="D35" s="36"/>
      <c r="E35" s="36" t="str">
        <f ca="1">IFERROR(__xludf.DUMMYFUNCTION("""COMPUTED_VALUE"""),"Журавель Ірина")</f>
        <v>Журавель Ірина</v>
      </c>
      <c r="F35" s="628">
        <f ca="1">IFERROR(__xludf.DUMMYFUNCTION("""COMPUTED_VALUE"""),5)</f>
        <v>5</v>
      </c>
      <c r="L35" s="36" t="str">
        <f ca="1">IFERROR(__xludf.DUMMYFUNCTION("""COMPUTED_VALUE"""),"Гаврилюк Микита")</f>
        <v>Гаврилюк Микита</v>
      </c>
      <c r="M35" s="628">
        <f ca="1">IFERROR(__xludf.DUMMYFUNCTION("""COMPUTED_VALUE"""),5)</f>
        <v>5</v>
      </c>
      <c r="N35" s="36"/>
      <c r="O35" s="36"/>
      <c r="P35" s="36" t="str">
        <f ca="1">IFERROR(__xludf.DUMMYFUNCTION("""COMPUTED_VALUE"""),"Дітчик Вікторія")</f>
        <v>Дітчик Вікторія</v>
      </c>
      <c r="Q35" s="628">
        <f ca="1">IFERROR(__xludf.DUMMYFUNCTION("""COMPUTED_VALUE"""),4.5)</f>
        <v>4.5</v>
      </c>
    </row>
    <row r="36" spans="1:17">
      <c r="A36" s="36" t="str">
        <f ca="1">IFERROR(__xludf.DUMMYFUNCTION("""COMPUTED_VALUE"""),"Галіброда Анатолій")</f>
        <v>Галіброда Анатолій</v>
      </c>
      <c r="B36" s="628">
        <f ca="1">IFERROR(__xludf.DUMMYFUNCTION("""COMPUTED_VALUE"""),5)</f>
        <v>5</v>
      </c>
      <c r="C36" s="36">
        <f ca="1">IFERROR(__xludf.DUMMYFUNCTION("""COMPUTED_VALUE"""),2)</f>
        <v>2</v>
      </c>
      <c r="D36" s="36"/>
      <c r="E36" s="36" t="str">
        <f ca="1">IFERROR(__xludf.DUMMYFUNCTION("""COMPUTED_VALUE"""),"Завада Валерія")</f>
        <v>Завада Валерія</v>
      </c>
      <c r="F36" s="628">
        <f ca="1">IFERROR(__xludf.DUMMYFUNCTION("""COMPUTED_VALUE"""),4.875)</f>
        <v>4.875</v>
      </c>
      <c r="L36" s="36" t="str">
        <f ca="1">IFERROR(__xludf.DUMMYFUNCTION("""COMPUTED_VALUE"""),"Гайдук Іван")</f>
        <v>Гайдук Іван</v>
      </c>
      <c r="M36" s="628">
        <f ca="1">IFERROR(__xludf.DUMMYFUNCTION("""COMPUTED_VALUE"""),4.5)</f>
        <v>4.5</v>
      </c>
      <c r="N36" s="36"/>
      <c r="O36" s="36"/>
      <c r="P36" s="36" t="str">
        <f ca="1">IFERROR(__xludf.DUMMYFUNCTION("""COMPUTED_VALUE"""),"Дмитренко Катерина")</f>
        <v>Дмитренко Катерина</v>
      </c>
      <c r="Q36" s="628">
        <f ca="1">IFERROR(__xludf.DUMMYFUNCTION("""COMPUTED_VALUE"""),5)</f>
        <v>5</v>
      </c>
    </row>
    <row r="37" spans="1:17">
      <c r="A37" s="36" t="str">
        <f ca="1">IFERROR(__xludf.DUMMYFUNCTION("""COMPUTED_VALUE"""),"Гапук Олег")</f>
        <v>Гапук Олег</v>
      </c>
      <c r="B37" s="628">
        <f ca="1">IFERROR(__xludf.DUMMYFUNCTION("""COMPUTED_VALUE"""),5)</f>
        <v>5</v>
      </c>
      <c r="C37" s="36">
        <f ca="1">IFERROR(__xludf.DUMMYFUNCTION("""COMPUTED_VALUE"""),1)</f>
        <v>1</v>
      </c>
      <c r="D37" s="36"/>
      <c r="E37" s="36" t="str">
        <f ca="1">IFERROR(__xludf.DUMMYFUNCTION("""COMPUTED_VALUE"""),"Зайцева Марина")</f>
        <v>Зайцева Марина</v>
      </c>
      <c r="F37" s="628">
        <f ca="1">IFERROR(__xludf.DUMMYFUNCTION("""COMPUTED_VALUE"""),4)</f>
        <v>4</v>
      </c>
      <c r="L37" s="36" t="str">
        <f ca="1">IFERROR(__xludf.DUMMYFUNCTION("""COMPUTED_VALUE"""),"Гайдур Ксенія")</f>
        <v>Гайдур Ксенія</v>
      </c>
      <c r="M37" s="628">
        <f ca="1">IFERROR(__xludf.DUMMYFUNCTION("""COMPUTED_VALUE"""),5)</f>
        <v>5</v>
      </c>
      <c r="N37" s="36"/>
      <c r="O37" s="36"/>
      <c r="P37" s="36" t="str">
        <f ca="1">IFERROR(__xludf.DUMMYFUNCTION("""COMPUTED_VALUE"""),"Дмитренко Юлія")</f>
        <v>Дмитренко Юлія</v>
      </c>
      <c r="Q37" s="628">
        <f ca="1">IFERROR(__xludf.DUMMYFUNCTION("""COMPUTED_VALUE"""),4.83333333333333)</f>
        <v>4.8333333333333304</v>
      </c>
    </row>
    <row r="38" spans="1:17">
      <c r="A38" s="36" t="str">
        <f ca="1">IFERROR(__xludf.DUMMYFUNCTION("""COMPUTED_VALUE"""),"Глушаниця Роман")</f>
        <v>Глушаниця Роман</v>
      </c>
      <c r="B38" s="628">
        <f ca="1">IFERROR(__xludf.DUMMYFUNCTION("""COMPUTED_VALUE"""),5)</f>
        <v>5</v>
      </c>
      <c r="C38" s="36">
        <f ca="1">IFERROR(__xludf.DUMMYFUNCTION("""COMPUTED_VALUE"""),1)</f>
        <v>1</v>
      </c>
      <c r="D38" s="36"/>
      <c r="E38" s="36" t="str">
        <f ca="1">IFERROR(__xludf.DUMMYFUNCTION("""COMPUTED_VALUE"""),"Захарчук Денис")</f>
        <v>Захарчук Денис</v>
      </c>
      <c r="F38" s="628">
        <f ca="1">IFERROR(__xludf.DUMMYFUNCTION("""COMPUTED_VALUE"""),5)</f>
        <v>5</v>
      </c>
      <c r="L38" s="36" t="str">
        <f ca="1">IFERROR(__xludf.DUMMYFUNCTION("""COMPUTED_VALUE"""),"Галенко Богдана")</f>
        <v>Галенко Богдана</v>
      </c>
      <c r="M38" s="628">
        <f ca="1">IFERROR(__xludf.DUMMYFUNCTION("""COMPUTED_VALUE"""),4.64705882352941)</f>
        <v>4.6470588235294104</v>
      </c>
      <c r="N38" s="36"/>
      <c r="O38" s="36"/>
      <c r="P38" s="36" t="str">
        <f ca="1">IFERROR(__xludf.DUMMYFUNCTION("""COMPUTED_VALUE"""),"Дмитриєвський Юрій-Георгій")</f>
        <v>Дмитриєвський Юрій-Георгій</v>
      </c>
      <c r="Q38" s="628">
        <f ca="1">IFERROR(__xludf.DUMMYFUNCTION("""COMPUTED_VALUE"""),5)</f>
        <v>5</v>
      </c>
    </row>
    <row r="39" spans="1:17">
      <c r="A39" s="36" t="str">
        <f ca="1">IFERROR(__xludf.DUMMYFUNCTION("""COMPUTED_VALUE"""),"Головачов Данііл")</f>
        <v>Головачов Данііл</v>
      </c>
      <c r="B39" s="628">
        <f ca="1">IFERROR(__xludf.DUMMYFUNCTION("""COMPUTED_VALUE"""),5)</f>
        <v>5</v>
      </c>
      <c r="C39" s="36">
        <f ca="1">IFERROR(__xludf.DUMMYFUNCTION("""COMPUTED_VALUE"""),4)</f>
        <v>4</v>
      </c>
      <c r="D39" s="36"/>
      <c r="E39" s="36" t="str">
        <f ca="1">IFERROR(__xludf.DUMMYFUNCTION("""COMPUTED_VALUE"""),"Зуза Інна")</f>
        <v>Зуза Інна</v>
      </c>
      <c r="F39" s="628">
        <f ca="1">IFERROR(__xludf.DUMMYFUNCTION("""COMPUTED_VALUE"""),4.4)</f>
        <v>4.4000000000000004</v>
      </c>
      <c r="L39" s="36" t="str">
        <f ca="1">IFERROR(__xludf.DUMMYFUNCTION("""COMPUTED_VALUE"""),"Галіброда Анатолій")</f>
        <v>Галіброда Анатолій</v>
      </c>
      <c r="M39" s="628">
        <f ca="1">IFERROR(__xludf.DUMMYFUNCTION("""COMPUTED_VALUE"""),5)</f>
        <v>5</v>
      </c>
      <c r="N39" s="36"/>
      <c r="O39" s="36"/>
      <c r="P39" s="36" t="str">
        <f ca="1">IFERROR(__xludf.DUMMYFUNCTION("""COMPUTED_VALUE"""),"Дмитрук Олександра")</f>
        <v>Дмитрук Олександра</v>
      </c>
      <c r="Q39" s="628">
        <f ca="1">IFERROR(__xludf.DUMMYFUNCTION("""COMPUTED_VALUE"""),4.83333333333333)</f>
        <v>4.8333333333333304</v>
      </c>
    </row>
    <row r="40" spans="1:17">
      <c r="A40" s="36" t="str">
        <f ca="1">IFERROR(__xludf.DUMMYFUNCTION("""COMPUTED_VALUE"""),"Гоник Михайло")</f>
        <v>Гоник Михайло</v>
      </c>
      <c r="B40" s="628">
        <f ca="1">IFERROR(__xludf.DUMMYFUNCTION("""COMPUTED_VALUE"""),4.85714285714285)</f>
        <v>4.8571428571428497</v>
      </c>
      <c r="C40" s="36">
        <f ca="1">IFERROR(__xludf.DUMMYFUNCTION("""COMPUTED_VALUE"""),7)</f>
        <v>7</v>
      </c>
      <c r="D40" s="36"/>
      <c r="E40" s="36" t="str">
        <f ca="1">IFERROR(__xludf.DUMMYFUNCTION("""COMPUTED_VALUE"""),"Іваненко Ірина")</f>
        <v>Іваненко Ірина</v>
      </c>
      <c r="F40" s="628">
        <f ca="1">IFERROR(__xludf.DUMMYFUNCTION("""COMPUTED_VALUE"""),3.66666666666666)</f>
        <v>3.6666666666666599</v>
      </c>
      <c r="L40" s="36" t="str">
        <f ca="1">IFERROR(__xludf.DUMMYFUNCTION("""COMPUTED_VALUE"""),"Гапук Олег")</f>
        <v>Гапук Олег</v>
      </c>
      <c r="M40" s="628">
        <f ca="1">IFERROR(__xludf.DUMMYFUNCTION("""COMPUTED_VALUE"""),5)</f>
        <v>5</v>
      </c>
      <c r="N40" s="36"/>
      <c r="O40" s="36"/>
      <c r="P40" s="36" t="str">
        <f ca="1">IFERROR(__xludf.DUMMYFUNCTION("""COMPUTED_VALUE"""),"Доброскок Юлія")</f>
        <v>Доброскок Юлія</v>
      </c>
      <c r="Q40" s="628">
        <f ca="1">IFERROR(__xludf.DUMMYFUNCTION("""COMPUTED_VALUE"""),5)</f>
        <v>5</v>
      </c>
    </row>
    <row r="41" spans="1:17">
      <c r="A41" s="36" t="str">
        <f ca="1">IFERROR(__xludf.DUMMYFUNCTION("""COMPUTED_VALUE"""),"Гончар Микита")</f>
        <v>Гончар Микита</v>
      </c>
      <c r="B41" s="628">
        <f ca="1">IFERROR(__xludf.DUMMYFUNCTION("""COMPUTED_VALUE"""),5)</f>
        <v>5</v>
      </c>
      <c r="C41" s="36">
        <f ca="1">IFERROR(__xludf.DUMMYFUNCTION("""COMPUTED_VALUE"""),11)</f>
        <v>11</v>
      </c>
      <c r="D41" s="36"/>
      <c r="E41" s="36" t="str">
        <f ca="1">IFERROR(__xludf.DUMMYFUNCTION("""COMPUTED_VALUE"""),"Іванішена Юлія (Боднар)")</f>
        <v>Іванішена Юлія (Боднар)</v>
      </c>
      <c r="F41" s="628">
        <f ca="1">IFERROR(__xludf.DUMMYFUNCTION("""COMPUTED_VALUE"""),4.84615384615384)</f>
        <v>4.8461538461538396</v>
      </c>
      <c r="L41" s="36" t="str">
        <f ca="1">IFERROR(__xludf.DUMMYFUNCTION("""COMPUTED_VALUE"""),"Герасимов Владислав")</f>
        <v>Герасимов Владислав</v>
      </c>
      <c r="M41" s="628">
        <f ca="1">IFERROR(__xludf.DUMMYFUNCTION("""COMPUTED_VALUE"""),4.5)</f>
        <v>4.5</v>
      </c>
      <c r="N41" s="36"/>
      <c r="O41" s="36"/>
      <c r="P41" s="36" t="str">
        <f ca="1">IFERROR(__xludf.DUMMYFUNCTION("""COMPUTED_VALUE"""),"Доморацька Валерія")</f>
        <v>Доморацька Валерія</v>
      </c>
      <c r="Q41" s="628">
        <f ca="1">IFERROR(__xludf.DUMMYFUNCTION("""COMPUTED_VALUE"""),5)</f>
        <v>5</v>
      </c>
    </row>
    <row r="42" spans="1:17">
      <c r="A42" s="36" t="str">
        <f ca="1">IFERROR(__xludf.DUMMYFUNCTION("""COMPUTED_VALUE"""),"Гончаренко Анна")</f>
        <v>Гончаренко Анна</v>
      </c>
      <c r="B42" s="628">
        <f ca="1">IFERROR(__xludf.DUMMYFUNCTION("""COMPUTED_VALUE"""),5)</f>
        <v>5</v>
      </c>
      <c r="C42" s="36">
        <f ca="1">IFERROR(__xludf.DUMMYFUNCTION("""COMPUTED_VALUE"""),3)</f>
        <v>3</v>
      </c>
      <c r="D42" s="36"/>
      <c r="E42" s="36" t="str">
        <f ca="1">IFERROR(__xludf.DUMMYFUNCTION("""COMPUTED_VALUE"""),"Іванченко Анастасія")</f>
        <v>Іванченко Анастасія</v>
      </c>
      <c r="F42" s="628">
        <f ca="1">IFERROR(__xludf.DUMMYFUNCTION("""COMPUTED_VALUE"""),4.75)</f>
        <v>4.75</v>
      </c>
      <c r="L42" s="36" t="str">
        <f ca="1">IFERROR(__xludf.DUMMYFUNCTION("""COMPUTED_VALUE"""),"Глушаниця Роман")</f>
        <v>Глушаниця Роман</v>
      </c>
      <c r="M42" s="628">
        <f ca="1">IFERROR(__xludf.DUMMYFUNCTION("""COMPUTED_VALUE"""),5)</f>
        <v>5</v>
      </c>
      <c r="N42" s="36"/>
      <c r="O42" s="36"/>
      <c r="P42" s="36" t="str">
        <f ca="1">IFERROR(__xludf.DUMMYFUNCTION("""COMPUTED_VALUE"""),"Дуденко Аліса")</f>
        <v>Дуденко Аліса</v>
      </c>
      <c r="Q42" s="628">
        <f ca="1">IFERROR(__xludf.DUMMYFUNCTION("""COMPUTED_VALUE"""),4.93333333333333)</f>
        <v>4.93333333333333</v>
      </c>
    </row>
    <row r="43" spans="1:17">
      <c r="A43" s="36" t="str">
        <f ca="1">IFERROR(__xludf.DUMMYFUNCTION("""COMPUTED_VALUE"""),"Гордова Анна")</f>
        <v>Гордова Анна</v>
      </c>
      <c r="B43" s="628">
        <f ca="1">IFERROR(__xludf.DUMMYFUNCTION("""COMPUTED_VALUE"""),4.7)</f>
        <v>4.7</v>
      </c>
      <c r="C43" s="36">
        <f ca="1">IFERROR(__xludf.DUMMYFUNCTION("""COMPUTED_VALUE"""),10)</f>
        <v>10</v>
      </c>
      <c r="D43" s="36"/>
      <c r="E43" s="36" t="str">
        <f ca="1">IFERROR(__xludf.DUMMYFUNCTION("""COMPUTED_VALUE"""),"Казанок Анжеліка")</f>
        <v>Казанок Анжеліка</v>
      </c>
      <c r="F43" s="628">
        <f ca="1">IFERROR(__xludf.DUMMYFUNCTION("""COMPUTED_VALUE"""),4.83333333333333)</f>
        <v>4.8333333333333304</v>
      </c>
      <c r="L43" s="36" t="str">
        <f ca="1">IFERROR(__xludf.DUMMYFUNCTION("""COMPUTED_VALUE"""),"Головачов Данііл")</f>
        <v>Головачов Данііл</v>
      </c>
      <c r="M43" s="628">
        <f ca="1">IFERROR(__xludf.DUMMYFUNCTION("""COMPUTED_VALUE"""),5)</f>
        <v>5</v>
      </c>
      <c r="N43" s="36"/>
      <c r="O43" s="36"/>
      <c r="P43" s="36" t="str">
        <f ca="1">IFERROR(__xludf.DUMMYFUNCTION("""COMPUTED_VALUE"""),"Дудка Інна")</f>
        <v>Дудка Інна</v>
      </c>
      <c r="Q43" s="628">
        <f ca="1">IFERROR(__xludf.DUMMYFUNCTION("""COMPUTED_VALUE"""),4.14285714285714)</f>
        <v>4.1428571428571397</v>
      </c>
    </row>
    <row r="44" spans="1:17">
      <c r="A44" s="36" t="str">
        <f ca="1">IFERROR(__xludf.DUMMYFUNCTION("""COMPUTED_VALUE"""),"Грачова Анна")</f>
        <v>Грачова Анна</v>
      </c>
      <c r="B44" s="628">
        <f ca="1">IFERROR(__xludf.DUMMYFUNCTION("""COMPUTED_VALUE"""),5)</f>
        <v>5</v>
      </c>
      <c r="C44" s="36">
        <f ca="1">IFERROR(__xludf.DUMMYFUNCTION("""COMPUTED_VALUE"""),2)</f>
        <v>2</v>
      </c>
      <c r="D44" s="36"/>
      <c r="E44" s="36" t="str">
        <f ca="1">IFERROR(__xludf.DUMMYFUNCTION("""COMPUTED_VALUE"""),"Кміть Анна")</f>
        <v>Кміть Анна</v>
      </c>
      <c r="F44" s="628">
        <f ca="1">IFERROR(__xludf.DUMMYFUNCTION("""COMPUTED_VALUE"""),4.85714285714285)</f>
        <v>4.8571428571428497</v>
      </c>
      <c r="L44" s="36" t="str">
        <f ca="1">IFERROR(__xludf.DUMMYFUNCTION("""COMPUTED_VALUE"""),"Гоник Михайло")</f>
        <v>Гоник Михайло</v>
      </c>
      <c r="M44" s="628">
        <f ca="1">IFERROR(__xludf.DUMMYFUNCTION("""COMPUTED_VALUE"""),4.85714285714285)</f>
        <v>4.8571428571428497</v>
      </c>
      <c r="N44" s="36"/>
      <c r="O44" s="36"/>
      <c r="P44" s="36" t="str">
        <f ca="1">IFERROR(__xludf.DUMMYFUNCTION("""COMPUTED_VALUE"""),"Жеронкін Антон")</f>
        <v>Жеронкін Антон</v>
      </c>
      <c r="Q44" s="628">
        <f ca="1">IFERROR(__xludf.DUMMYFUNCTION("""COMPUTED_VALUE"""),4.85714285714285)</f>
        <v>4.8571428571428497</v>
      </c>
    </row>
    <row r="45" spans="1:17">
      <c r="A45" s="36" t="str">
        <f ca="1">IFERROR(__xludf.DUMMYFUNCTION("""COMPUTED_VALUE"""),"Григор'єва Олеся")</f>
        <v>Григор'єва Олеся</v>
      </c>
      <c r="B45" s="628">
        <f ca="1">IFERROR(__xludf.DUMMYFUNCTION("""COMPUTED_VALUE"""),5)</f>
        <v>5</v>
      </c>
      <c r="C45" s="36">
        <f ca="1">IFERROR(__xludf.DUMMYFUNCTION("""COMPUTED_VALUE"""),6)</f>
        <v>6</v>
      </c>
      <c r="D45" s="36"/>
      <c r="E45" s="36" t="str">
        <f ca="1">IFERROR(__xludf.DUMMYFUNCTION("""COMPUTED_VALUE"""),"Коваленко Людмила")</f>
        <v>Коваленко Людмила</v>
      </c>
      <c r="F45" s="628">
        <f ca="1">IFERROR(__xludf.DUMMYFUNCTION("""COMPUTED_VALUE"""),5)</f>
        <v>5</v>
      </c>
      <c r="L45" s="36" t="str">
        <f ca="1">IFERROR(__xludf.DUMMYFUNCTION("""COMPUTED_VALUE"""),"Гончар Микита")</f>
        <v>Гончар Микита</v>
      </c>
      <c r="M45" s="628">
        <f ca="1">IFERROR(__xludf.DUMMYFUNCTION("""COMPUTED_VALUE"""),5)</f>
        <v>5</v>
      </c>
      <c r="N45" s="36"/>
      <c r="O45" s="36"/>
      <c r="P45" s="36" t="str">
        <f ca="1">IFERROR(__xludf.DUMMYFUNCTION("""COMPUTED_VALUE"""),"Жулковська Анастасія")</f>
        <v>Жулковська Анастасія</v>
      </c>
      <c r="Q45" s="628">
        <f ca="1">IFERROR(__xludf.DUMMYFUNCTION("""COMPUTED_VALUE"""),4.16666666666666)</f>
        <v>4.1666666666666599</v>
      </c>
    </row>
    <row r="46" spans="1:17">
      <c r="A46" s="36" t="str">
        <f ca="1">IFERROR(__xludf.DUMMYFUNCTION("""COMPUTED_VALUE"""),"Гринько Сергій")</f>
        <v>Гринько Сергій</v>
      </c>
      <c r="B46" s="628">
        <f ca="1">IFERROR(__xludf.DUMMYFUNCTION("""COMPUTED_VALUE"""),4.66666666666666)</f>
        <v>4.6666666666666599</v>
      </c>
      <c r="C46" s="36">
        <f ca="1">IFERROR(__xludf.DUMMYFUNCTION("""COMPUTED_VALUE"""),3)</f>
        <v>3</v>
      </c>
      <c r="D46" s="36"/>
      <c r="E46" s="36" t="str">
        <f ca="1">IFERROR(__xludf.DUMMYFUNCTION("""COMPUTED_VALUE"""),"Коваль Світлана")</f>
        <v>Коваль Світлана</v>
      </c>
      <c r="F46" s="628">
        <f ca="1">IFERROR(__xludf.DUMMYFUNCTION("""COMPUTED_VALUE"""),4.75)</f>
        <v>4.75</v>
      </c>
      <c r="L46" s="36" t="str">
        <f ca="1">IFERROR(__xludf.DUMMYFUNCTION("""COMPUTED_VALUE"""),"Гордова Анна")</f>
        <v>Гордова Анна</v>
      </c>
      <c r="M46" s="628">
        <f ca="1">IFERROR(__xludf.DUMMYFUNCTION("""COMPUTED_VALUE"""),5)</f>
        <v>5</v>
      </c>
      <c r="N46" s="36"/>
      <c r="O46" s="36"/>
      <c r="P46" s="36" t="str">
        <f ca="1">IFERROR(__xludf.DUMMYFUNCTION("""COMPUTED_VALUE"""),"Журавель Ірина")</f>
        <v>Журавель Ірина</v>
      </c>
      <c r="Q46" s="628">
        <f ca="1">IFERROR(__xludf.DUMMYFUNCTION("""COMPUTED_VALUE"""),4.4)</f>
        <v>4.4000000000000004</v>
      </c>
    </row>
    <row r="47" spans="1:17">
      <c r="A47" s="36" t="str">
        <f ca="1">IFERROR(__xludf.DUMMYFUNCTION("""COMPUTED_VALUE"""),"Грозний Богдан")</f>
        <v>Грозний Богдан</v>
      </c>
      <c r="B47" s="628">
        <f ca="1">IFERROR(__xludf.DUMMYFUNCTION("""COMPUTED_VALUE"""),4.54545454545454)</f>
        <v>4.5454545454545396</v>
      </c>
      <c r="C47" s="36">
        <f ca="1">IFERROR(__xludf.DUMMYFUNCTION("""COMPUTED_VALUE"""),11)</f>
        <v>11</v>
      </c>
      <c r="D47" s="36"/>
      <c r="E47" s="36" t="str">
        <f ca="1">IFERROR(__xludf.DUMMYFUNCTION("""COMPUTED_VALUE"""),"Колісниченко Юлія")</f>
        <v>Колісниченко Юлія</v>
      </c>
      <c r="F47" s="628">
        <f ca="1">IFERROR(__xludf.DUMMYFUNCTION("""COMPUTED_VALUE"""),4.83333333333333)</f>
        <v>4.8333333333333304</v>
      </c>
      <c r="L47" s="36" t="str">
        <f ca="1">IFERROR(__xludf.DUMMYFUNCTION("""COMPUTED_VALUE"""),"Грачова Анна")</f>
        <v>Грачова Анна</v>
      </c>
      <c r="M47" s="628">
        <f ca="1">IFERROR(__xludf.DUMMYFUNCTION("""COMPUTED_VALUE"""),4.75)</f>
        <v>4.75</v>
      </c>
      <c r="N47" s="36"/>
      <c r="O47" s="36"/>
      <c r="P47" s="36" t="str">
        <f ca="1">IFERROR(__xludf.DUMMYFUNCTION("""COMPUTED_VALUE"""),"Завада Валерія")</f>
        <v>Завада Валерія</v>
      </c>
      <c r="Q47" s="628">
        <f ca="1">IFERROR(__xludf.DUMMYFUNCTION("""COMPUTED_VALUE"""),4.9)</f>
        <v>4.9000000000000004</v>
      </c>
    </row>
    <row r="48" spans="1:17">
      <c r="A48" s="36" t="str">
        <f ca="1">IFERROR(__xludf.DUMMYFUNCTION("""COMPUTED_VALUE"""),"Гунько Ольга")</f>
        <v>Гунько Ольга</v>
      </c>
      <c r="B48" s="628">
        <f ca="1">IFERROR(__xludf.DUMMYFUNCTION("""COMPUTED_VALUE"""),4.33333333333333)</f>
        <v>4.3333333333333304</v>
      </c>
      <c r="C48" s="36">
        <f ca="1">IFERROR(__xludf.DUMMYFUNCTION("""COMPUTED_VALUE"""),3)</f>
        <v>3</v>
      </c>
      <c r="D48" s="36"/>
      <c r="E48" s="36" t="str">
        <f ca="1">IFERROR(__xludf.DUMMYFUNCTION("""COMPUTED_VALUE"""),"Корнієнко Юлія")</f>
        <v>Корнієнко Юлія</v>
      </c>
      <c r="F48" s="628">
        <f ca="1">IFERROR(__xludf.DUMMYFUNCTION("""COMPUTED_VALUE"""),5)</f>
        <v>5</v>
      </c>
      <c r="L48" s="36" t="str">
        <f ca="1">IFERROR(__xludf.DUMMYFUNCTION("""COMPUTED_VALUE"""),"Григор'єва Олеся")</f>
        <v>Григор'єва Олеся</v>
      </c>
      <c r="M48" s="628">
        <f ca="1">IFERROR(__xludf.DUMMYFUNCTION("""COMPUTED_VALUE"""),5)</f>
        <v>5</v>
      </c>
      <c r="N48" s="36"/>
      <c r="O48" s="36"/>
      <c r="P48" s="36" t="str">
        <f ca="1">IFERROR(__xludf.DUMMYFUNCTION("""COMPUTED_VALUE"""),"Зайцева Марина")</f>
        <v>Зайцева Марина</v>
      </c>
      <c r="Q48" s="628">
        <f ca="1">IFERROR(__xludf.DUMMYFUNCTION("""COMPUTED_VALUE"""),3)</f>
        <v>3</v>
      </c>
    </row>
    <row r="49" spans="1:17">
      <c r="A49" s="36" t="str">
        <f ca="1">IFERROR(__xludf.DUMMYFUNCTION("""COMPUTED_VALUE"""),"Гусєва Єлизавета")</f>
        <v>Гусєва Єлизавета</v>
      </c>
      <c r="B49" s="628">
        <f ca="1">IFERROR(__xludf.DUMMYFUNCTION("""COMPUTED_VALUE"""),5)</f>
        <v>5</v>
      </c>
      <c r="C49" s="36">
        <f ca="1">IFERROR(__xludf.DUMMYFUNCTION("""COMPUTED_VALUE"""),5)</f>
        <v>5</v>
      </c>
      <c r="D49" s="36"/>
      <c r="E49" s="36" t="str">
        <f ca="1">IFERROR(__xludf.DUMMYFUNCTION("""COMPUTED_VALUE"""),"Корольова Олександра")</f>
        <v>Корольова Олександра</v>
      </c>
      <c r="F49" s="628">
        <f ca="1">IFERROR(__xludf.DUMMYFUNCTION("""COMPUTED_VALUE"""),5)</f>
        <v>5</v>
      </c>
      <c r="L49" s="36" t="str">
        <f ca="1">IFERROR(__xludf.DUMMYFUNCTION("""COMPUTED_VALUE"""),"Грицик Анна")</f>
        <v>Грицик Анна</v>
      </c>
      <c r="M49" s="628">
        <f ca="1">IFERROR(__xludf.DUMMYFUNCTION("""COMPUTED_VALUE"""),5)</f>
        <v>5</v>
      </c>
      <c r="N49" s="36"/>
      <c r="O49" s="36"/>
      <c r="P49" s="36" t="str">
        <f ca="1">IFERROR(__xludf.DUMMYFUNCTION("""COMPUTED_VALUE"""),"Захарчук Денис")</f>
        <v>Захарчук Денис</v>
      </c>
      <c r="Q49" s="628">
        <f ca="1">IFERROR(__xludf.DUMMYFUNCTION("""COMPUTED_VALUE"""),5)</f>
        <v>5</v>
      </c>
    </row>
    <row r="50" spans="1:17">
      <c r="A50" s="36" t="str">
        <f ca="1">IFERROR(__xludf.DUMMYFUNCTION("""COMPUTED_VALUE"""),"Дадашьянц Артем")</f>
        <v>Дадашьянц Артем</v>
      </c>
      <c r="B50" s="628">
        <f ca="1">IFERROR(__xludf.DUMMYFUNCTION("""COMPUTED_VALUE"""),4.42857142857142)</f>
        <v>4.4285714285714199</v>
      </c>
      <c r="C50" s="36">
        <f ca="1">IFERROR(__xludf.DUMMYFUNCTION("""COMPUTED_VALUE"""),7)</f>
        <v>7</v>
      </c>
      <c r="D50" s="36"/>
      <c r="E50" s="36" t="str">
        <f ca="1">IFERROR(__xludf.DUMMYFUNCTION("""COMPUTED_VALUE"""),"Костюк Юлія")</f>
        <v>Костюк Юлія</v>
      </c>
      <c r="F50" s="628">
        <f ca="1">IFERROR(__xludf.DUMMYFUNCTION("""COMPUTED_VALUE"""),4.9090909090909)</f>
        <v>4.9090909090909003</v>
      </c>
      <c r="L50" s="36" t="str">
        <f ca="1">IFERROR(__xludf.DUMMYFUNCTION("""COMPUTED_VALUE"""),"Грищенко Наталія")</f>
        <v>Грищенко Наталія</v>
      </c>
      <c r="M50" s="628">
        <f ca="1">IFERROR(__xludf.DUMMYFUNCTION("""COMPUTED_VALUE"""),4)</f>
        <v>4</v>
      </c>
      <c r="N50" s="36"/>
      <c r="O50" s="36"/>
      <c r="P50" s="36" t="str">
        <f ca="1">IFERROR(__xludf.DUMMYFUNCTION("""COMPUTED_VALUE"""),"Зуза Інна")</f>
        <v>Зуза Інна</v>
      </c>
      <c r="Q50" s="628">
        <f ca="1">IFERROR(__xludf.DUMMYFUNCTION("""COMPUTED_VALUE"""),4.81818181818181)</f>
        <v>4.8181818181818103</v>
      </c>
    </row>
    <row r="51" spans="1:17">
      <c r="A51" s="36" t="str">
        <f ca="1">IFERROR(__xludf.DUMMYFUNCTION("""COMPUTED_VALUE"""),"Даневич Галина")</f>
        <v>Даневич Галина</v>
      </c>
      <c r="B51" s="628">
        <f ca="1">IFERROR(__xludf.DUMMYFUNCTION("""COMPUTED_VALUE"""),5)</f>
        <v>5</v>
      </c>
      <c r="C51" s="36">
        <f ca="1">IFERROR(__xludf.DUMMYFUNCTION("""COMPUTED_VALUE"""),11)</f>
        <v>11</v>
      </c>
      <c r="D51" s="36"/>
      <c r="E51" s="36" t="str">
        <f ca="1">IFERROR(__xludf.DUMMYFUNCTION("""COMPUTED_VALUE"""),"Костяк Марія")</f>
        <v>Костяк Марія</v>
      </c>
      <c r="F51" s="628">
        <f ca="1">IFERROR(__xludf.DUMMYFUNCTION("""COMPUTED_VALUE"""),4.94444444444444)</f>
        <v>4.9444444444444402</v>
      </c>
      <c r="L51" s="36" t="str">
        <f ca="1">IFERROR(__xludf.DUMMYFUNCTION("""COMPUTED_VALUE"""),"Грінько Сергій")</f>
        <v>Грінько Сергій</v>
      </c>
      <c r="M51" s="628">
        <f ca="1">IFERROR(__xludf.DUMMYFUNCTION("""COMPUTED_VALUE"""),5)</f>
        <v>5</v>
      </c>
      <c r="N51" s="36"/>
      <c r="O51" s="36"/>
      <c r="P51" s="36" t="str">
        <f ca="1">IFERROR(__xludf.DUMMYFUNCTION("""COMPUTED_VALUE"""),"Іваненко Ірина")</f>
        <v>Іваненко Ірина</v>
      </c>
      <c r="Q51" s="628">
        <f ca="1">IFERROR(__xludf.DUMMYFUNCTION("""COMPUTED_VALUE"""),4.3)</f>
        <v>4.3</v>
      </c>
    </row>
    <row r="52" spans="1:17">
      <c r="A52" s="36" t="str">
        <f ca="1">IFERROR(__xludf.DUMMYFUNCTION("""COMPUTED_VALUE"""),"Даниленко Роман")</f>
        <v>Даниленко Роман</v>
      </c>
      <c r="B52" s="628">
        <f ca="1">IFERROR(__xludf.DUMMYFUNCTION("""COMPUTED_VALUE"""),5)</f>
        <v>5</v>
      </c>
      <c r="C52" s="36">
        <f ca="1">IFERROR(__xludf.DUMMYFUNCTION("""COMPUTED_VALUE"""),3)</f>
        <v>3</v>
      </c>
      <c r="D52" s="36"/>
      <c r="E52" s="36" t="str">
        <f ca="1">IFERROR(__xludf.DUMMYFUNCTION("""COMPUTED_VALUE"""),"Кравчик Олена")</f>
        <v>Кравчик Олена</v>
      </c>
      <c r="F52" s="628">
        <f ca="1">IFERROR(__xludf.DUMMYFUNCTION("""COMPUTED_VALUE"""),5)</f>
        <v>5</v>
      </c>
      <c r="L52" s="36" t="str">
        <f ca="1">IFERROR(__xludf.DUMMYFUNCTION("""COMPUTED_VALUE"""),"Грозний Богдан")</f>
        <v>Грозний Богдан</v>
      </c>
      <c r="M52" s="628">
        <f ca="1">IFERROR(__xludf.DUMMYFUNCTION("""COMPUTED_VALUE"""),4.71428571428571)</f>
        <v>4.71428571428571</v>
      </c>
      <c r="N52" s="36"/>
      <c r="O52" s="36"/>
      <c r="P52" s="36" t="str">
        <f ca="1">IFERROR(__xludf.DUMMYFUNCTION("""COMPUTED_VALUE"""),"Іванішена Юлія")</f>
        <v>Іванішена Юлія</v>
      </c>
      <c r="Q52" s="628">
        <f ca="1">IFERROR(__xludf.DUMMYFUNCTION("""COMPUTED_VALUE"""),4.79166666666666)</f>
        <v>4.7916666666666599</v>
      </c>
    </row>
    <row r="53" spans="1:17">
      <c r="A53" s="36" t="str">
        <f ca="1">IFERROR(__xludf.DUMMYFUNCTION("""COMPUTED_VALUE"""),"Данилович Олег")</f>
        <v>Данилович Олег</v>
      </c>
      <c r="B53" s="628">
        <f ca="1">IFERROR(__xludf.DUMMYFUNCTION("""COMPUTED_VALUE"""),5)</f>
        <v>5</v>
      </c>
      <c r="C53" s="36">
        <f ca="1">IFERROR(__xludf.DUMMYFUNCTION("""COMPUTED_VALUE"""),2)</f>
        <v>2</v>
      </c>
      <c r="D53" s="36"/>
      <c r="E53" s="36" t="str">
        <f ca="1">IFERROR(__xludf.DUMMYFUNCTION("""COMPUTED_VALUE"""),"Кроковна Катерина")</f>
        <v>Кроковна Катерина</v>
      </c>
      <c r="F53" s="628">
        <f ca="1">IFERROR(__xludf.DUMMYFUNCTION("""COMPUTED_VALUE"""),5)</f>
        <v>5</v>
      </c>
      <c r="L53" s="36" t="str">
        <f ca="1">IFERROR(__xludf.DUMMYFUNCTION("""COMPUTED_VALUE"""),"Гудзь Іван")</f>
        <v>Гудзь Іван</v>
      </c>
      <c r="M53" s="628">
        <f ca="1">IFERROR(__xludf.DUMMYFUNCTION("""COMPUTED_VALUE"""),5)</f>
        <v>5</v>
      </c>
      <c r="N53" s="36"/>
      <c r="O53" s="36"/>
      <c r="P53" s="36" t="str">
        <f ca="1">IFERROR(__xludf.DUMMYFUNCTION("""COMPUTED_VALUE"""),"Іванченко Анастасія")</f>
        <v>Іванченко Анастасія</v>
      </c>
      <c r="Q53" s="628">
        <f ca="1">IFERROR(__xludf.DUMMYFUNCTION("""COMPUTED_VALUE"""),4.84375)</f>
        <v>4.84375</v>
      </c>
    </row>
    <row r="54" spans="1:17">
      <c r="A54" s="36" t="str">
        <f ca="1">IFERROR(__xludf.DUMMYFUNCTION("""COMPUTED_VALUE"""),"Дебольський Олександр")</f>
        <v>Дебольський Олександр</v>
      </c>
      <c r="B54" s="628">
        <f ca="1">IFERROR(__xludf.DUMMYFUNCTION("""COMPUTED_VALUE"""),4.5)</f>
        <v>4.5</v>
      </c>
      <c r="C54" s="36">
        <f ca="1">IFERROR(__xludf.DUMMYFUNCTION("""COMPUTED_VALUE"""),2)</f>
        <v>2</v>
      </c>
      <c r="D54" s="36"/>
      <c r="E54" s="36" t="str">
        <f ca="1">IFERROR(__xludf.DUMMYFUNCTION("""COMPUTED_VALUE"""),"Мазурик Діана")</f>
        <v>Мазурик Діана</v>
      </c>
      <c r="F54" s="628">
        <f ca="1">IFERROR(__xludf.DUMMYFUNCTION("""COMPUTED_VALUE"""),4.88888888888888)</f>
        <v>4.8888888888888804</v>
      </c>
      <c r="L54" s="36" t="str">
        <f ca="1">IFERROR(__xludf.DUMMYFUNCTION("""COMPUTED_VALUE"""),"Гудзь Ірина")</f>
        <v>Гудзь Ірина</v>
      </c>
      <c r="M54" s="628">
        <f ca="1">IFERROR(__xludf.DUMMYFUNCTION("""COMPUTED_VALUE"""),5)</f>
        <v>5</v>
      </c>
      <c r="N54" s="36"/>
      <c r="O54" s="36"/>
      <c r="P54" s="36" t="str">
        <f ca="1">IFERROR(__xludf.DUMMYFUNCTION("""COMPUTED_VALUE"""),"Каширіна Альона")</f>
        <v>Каширіна Альона</v>
      </c>
      <c r="Q54" s="628">
        <f ca="1">IFERROR(__xludf.DUMMYFUNCTION("""COMPUTED_VALUE"""),4.83333333333333)</f>
        <v>4.8333333333333304</v>
      </c>
    </row>
    <row r="55" spans="1:17">
      <c r="A55" s="36" t="str">
        <f ca="1">IFERROR(__xludf.DUMMYFUNCTION("""COMPUTED_VALUE"""),"Дем'яник Дмитро")</f>
        <v>Дем'яник Дмитро</v>
      </c>
      <c r="B55" s="628">
        <f ca="1">IFERROR(__xludf.DUMMYFUNCTION("""COMPUTED_VALUE"""),5)</f>
        <v>5</v>
      </c>
      <c r="C55" s="36">
        <f ca="1">IFERROR(__xludf.DUMMYFUNCTION("""COMPUTED_VALUE"""),1)</f>
        <v>1</v>
      </c>
      <c r="D55" s="36"/>
      <c r="E55" s="36" t="str">
        <f ca="1">IFERROR(__xludf.DUMMYFUNCTION("""COMPUTED_VALUE"""),"Миголь Марія")</f>
        <v>Миголь Марія</v>
      </c>
      <c r="F55" s="628">
        <f ca="1">IFERROR(__xludf.DUMMYFUNCTION("""COMPUTED_VALUE"""),4.69230769230769)</f>
        <v>4.6923076923076898</v>
      </c>
      <c r="L55" s="36" t="str">
        <f ca="1">IFERROR(__xludf.DUMMYFUNCTION("""COMPUTED_VALUE"""),"Гук Надія")</f>
        <v>Гук Надія</v>
      </c>
      <c r="M55" s="628">
        <f ca="1">IFERROR(__xludf.DUMMYFUNCTION("""COMPUTED_VALUE"""),5)</f>
        <v>5</v>
      </c>
      <c r="N55" s="36"/>
      <c r="O55" s="36"/>
      <c r="P55" s="36" t="str">
        <f ca="1">IFERROR(__xludf.DUMMYFUNCTION("""COMPUTED_VALUE"""),"Кміть Анна")</f>
        <v>Кміть Анна</v>
      </c>
      <c r="Q55" s="628">
        <f ca="1">IFERROR(__xludf.DUMMYFUNCTION("""COMPUTED_VALUE"""),4.60526315789473)</f>
        <v>4.6052631578947301</v>
      </c>
    </row>
    <row r="56" spans="1:17">
      <c r="A56" s="36" t="str">
        <f ca="1">IFERROR(__xludf.DUMMYFUNCTION("""COMPUTED_VALUE"""),"Дементєєв Дмитро")</f>
        <v>Дементєєв Дмитро</v>
      </c>
      <c r="B56" s="628">
        <f ca="1">IFERROR(__xludf.DUMMYFUNCTION("""COMPUTED_VALUE"""),5)</f>
        <v>5</v>
      </c>
      <c r="C56" s="36">
        <f ca="1">IFERROR(__xludf.DUMMYFUNCTION("""COMPUTED_VALUE"""),6)</f>
        <v>6</v>
      </c>
      <c r="D56" s="36"/>
      <c r="E56" s="36" t="str">
        <f ca="1">IFERROR(__xludf.DUMMYFUNCTION("""COMPUTED_VALUE"""),"Микитчук Катерина")</f>
        <v>Микитчук Катерина</v>
      </c>
      <c r="F56" s="628">
        <f ca="1">IFERROR(__xludf.DUMMYFUNCTION("""COMPUTED_VALUE"""),4.75)</f>
        <v>4.75</v>
      </c>
      <c r="L56" s="36" t="str">
        <f ca="1">IFERROR(__xludf.DUMMYFUNCTION("""COMPUTED_VALUE"""),"Гунько Ольга")</f>
        <v>Гунько Ольга</v>
      </c>
      <c r="M56" s="628">
        <f ca="1">IFERROR(__xludf.DUMMYFUNCTION("""COMPUTED_VALUE"""),4.66666666666666)</f>
        <v>4.6666666666666599</v>
      </c>
      <c r="N56" s="36"/>
      <c r="O56" s="36"/>
      <c r="P56" s="36" t="str">
        <f ca="1">IFERROR(__xludf.DUMMYFUNCTION("""COMPUTED_VALUE"""),"Коваленко Людмила")</f>
        <v>Коваленко Людмила</v>
      </c>
      <c r="Q56" s="628">
        <f ca="1">IFERROR(__xludf.DUMMYFUNCTION("""COMPUTED_VALUE"""),4.69230769230769)</f>
        <v>4.6923076923076898</v>
      </c>
    </row>
    <row r="57" spans="1:17">
      <c r="A57" s="36" t="str">
        <f ca="1">IFERROR(__xludf.DUMMYFUNCTION("""COMPUTED_VALUE"""),"Денисов Михайло")</f>
        <v>Денисов Михайло</v>
      </c>
      <c r="B57" s="628">
        <f ca="1">IFERROR(__xludf.DUMMYFUNCTION("""COMPUTED_VALUE"""),5)</f>
        <v>5</v>
      </c>
      <c r="C57" s="36">
        <f ca="1">IFERROR(__xludf.DUMMYFUNCTION("""COMPUTED_VALUE"""),9)</f>
        <v>9</v>
      </c>
      <c r="D57" s="36"/>
      <c r="E57" s="36" t="str">
        <f ca="1">IFERROR(__xludf.DUMMYFUNCTION("""COMPUTED_VALUE"""),"Миршавка Анастасія")</f>
        <v>Миршавка Анастасія</v>
      </c>
      <c r="F57" s="628">
        <f ca="1">IFERROR(__xludf.DUMMYFUNCTION("""COMPUTED_VALUE"""),4.57142857142857)</f>
        <v>4.5714285714285703</v>
      </c>
      <c r="L57" s="36" t="str">
        <f ca="1">IFERROR(__xludf.DUMMYFUNCTION("""COMPUTED_VALUE"""),"Гусєва Єлизавета")</f>
        <v>Гусєва Єлизавета</v>
      </c>
      <c r="M57" s="628">
        <f ca="1">IFERROR(__xludf.DUMMYFUNCTION("""COMPUTED_VALUE"""),5)</f>
        <v>5</v>
      </c>
      <c r="N57" s="36"/>
      <c r="O57" s="36"/>
      <c r="P57" s="36" t="str">
        <f ca="1">IFERROR(__xludf.DUMMYFUNCTION("""COMPUTED_VALUE"""),"Коваль Світлана")</f>
        <v>Коваль Світлана</v>
      </c>
      <c r="Q57" s="628">
        <f ca="1">IFERROR(__xludf.DUMMYFUNCTION("""COMPUTED_VALUE"""),4.83333333333333)</f>
        <v>4.8333333333333304</v>
      </c>
    </row>
    <row r="58" spans="1:17">
      <c r="A58" s="36" t="str">
        <f ca="1">IFERROR(__xludf.DUMMYFUNCTION("""COMPUTED_VALUE"""),"Денисюк Михайло")</f>
        <v>Денисюк Михайло</v>
      </c>
      <c r="B58" s="628">
        <f ca="1">IFERROR(__xludf.DUMMYFUNCTION("""COMPUTED_VALUE"""),4.8)</f>
        <v>4.8</v>
      </c>
      <c r="C58" s="36">
        <f ca="1">IFERROR(__xludf.DUMMYFUNCTION("""COMPUTED_VALUE"""),5)</f>
        <v>5</v>
      </c>
      <c r="D58" s="36"/>
      <c r="E58" s="36" t="str">
        <f ca="1">IFERROR(__xludf.DUMMYFUNCTION("""COMPUTED_VALUE"""),"Музика Вікторія")</f>
        <v>Музика Вікторія</v>
      </c>
      <c r="F58" s="628">
        <f ca="1">IFERROR(__xludf.DUMMYFUNCTION("""COMPUTED_VALUE"""),5)</f>
        <v>5</v>
      </c>
      <c r="L58" s="36" t="str">
        <f ca="1">IFERROR(__xludf.DUMMYFUNCTION("""COMPUTED_VALUE"""),"Даневич Галина")</f>
        <v>Даневич Галина</v>
      </c>
      <c r="M58" s="628">
        <f ca="1">IFERROR(__xludf.DUMMYFUNCTION("""COMPUTED_VALUE"""),4.79166666666666)</f>
        <v>4.7916666666666599</v>
      </c>
      <c r="N58" s="36"/>
      <c r="O58" s="36"/>
      <c r="P58" s="36" t="str">
        <f ca="1">IFERROR(__xludf.DUMMYFUNCTION("""COMPUTED_VALUE"""),"Колісниченко Юлія")</f>
        <v>Колісниченко Юлія</v>
      </c>
      <c r="Q58" s="628">
        <f ca="1">IFERROR(__xludf.DUMMYFUNCTION("""COMPUTED_VALUE"""),4.77777777777777)</f>
        <v>4.7777777777777697</v>
      </c>
    </row>
    <row r="59" spans="1:17">
      <c r="A59" s="36" t="str">
        <f ca="1">IFERROR(__xludf.DUMMYFUNCTION("""COMPUTED_VALUE"""),"Дєдова Ірина")</f>
        <v>Дєдова Ірина</v>
      </c>
      <c r="B59" s="628">
        <f ca="1">IFERROR(__xludf.DUMMYFUNCTION("""COMPUTED_VALUE"""),5)</f>
        <v>5</v>
      </c>
      <c r="C59" s="36">
        <f ca="1">IFERROR(__xludf.DUMMYFUNCTION("""COMPUTED_VALUE"""),5)</f>
        <v>5</v>
      </c>
      <c r="D59" s="36"/>
      <c r="E59" s="36" t="str">
        <f ca="1">IFERROR(__xludf.DUMMYFUNCTION("""COMPUTED_VALUE"""),"Немає занять Soft Skills")</f>
        <v>Немає занять Soft Skills</v>
      </c>
      <c r="F59" s="628">
        <f ca="1">IFERROR(__xludf.DUMMYFUNCTION("""COMPUTED_VALUE"""),4.33333333333333)</f>
        <v>4.3333333333333304</v>
      </c>
      <c r="L59" s="36" t="str">
        <f ca="1">IFERROR(__xludf.DUMMYFUNCTION("""COMPUTED_VALUE"""),"Данилович Олег")</f>
        <v>Данилович Олег</v>
      </c>
      <c r="M59" s="628">
        <f ca="1">IFERROR(__xludf.DUMMYFUNCTION("""COMPUTED_VALUE"""),4.5)</f>
        <v>4.5</v>
      </c>
      <c r="N59" s="36"/>
      <c r="O59" s="36"/>
      <c r="P59" s="36" t="str">
        <f ca="1">IFERROR(__xludf.DUMMYFUNCTION("""COMPUTED_VALUE"""),"Корнієнко Юлія")</f>
        <v>Корнієнко Юлія</v>
      </c>
      <c r="Q59" s="628">
        <f ca="1">IFERROR(__xludf.DUMMYFUNCTION("""COMPUTED_VALUE"""),5)</f>
        <v>5</v>
      </c>
    </row>
    <row r="60" spans="1:17">
      <c r="A60" s="36" t="str">
        <f ca="1">IFERROR(__xludf.DUMMYFUNCTION("""COMPUTED_VALUE"""),"Джеммель Віолетта")</f>
        <v>Джеммель Віолетта</v>
      </c>
      <c r="B60" s="628">
        <f ca="1">IFERROR(__xludf.DUMMYFUNCTION("""COMPUTED_VALUE"""),4.5)</f>
        <v>4.5</v>
      </c>
      <c r="C60" s="36">
        <f ca="1">IFERROR(__xludf.DUMMYFUNCTION("""COMPUTED_VALUE"""),6)</f>
        <v>6</v>
      </c>
      <c r="D60" s="36"/>
      <c r="E60" s="36" t="str">
        <f ca="1">IFERROR(__xludf.DUMMYFUNCTION("""COMPUTED_VALUE"""),"Немає софтів")</f>
        <v>Немає софтів</v>
      </c>
      <c r="F60" s="628">
        <f ca="1">IFERROR(__xludf.DUMMYFUNCTION("""COMPUTED_VALUE"""),4.5)</f>
        <v>4.5</v>
      </c>
      <c r="L60" s="36" t="str">
        <f ca="1">IFERROR(__xludf.DUMMYFUNCTION("""COMPUTED_VALUE"""),"Данчишин Андрій")</f>
        <v>Данчишин Андрій</v>
      </c>
      <c r="M60" s="628">
        <f ca="1">IFERROR(__xludf.DUMMYFUNCTION("""COMPUTED_VALUE"""),4.33333333333333)</f>
        <v>4.3333333333333304</v>
      </c>
      <c r="N60" s="36"/>
      <c r="O60" s="36"/>
      <c r="P60" s="36" t="str">
        <f ca="1">IFERROR(__xludf.DUMMYFUNCTION("""COMPUTED_VALUE"""),"Костюк Юлія")</f>
        <v>Костюк Юлія</v>
      </c>
      <c r="Q60" s="628">
        <f ca="1">IFERROR(__xludf.DUMMYFUNCTION("""COMPUTED_VALUE"""),4.9090909090909)</f>
        <v>4.9090909090909003</v>
      </c>
    </row>
    <row r="61" spans="1:17">
      <c r="A61" s="36" t="str">
        <f ca="1">IFERROR(__xludf.DUMMYFUNCTION("""COMPUTED_VALUE"""),"Дзівідзінська Мар'яна")</f>
        <v>Дзівідзінська Мар'яна</v>
      </c>
      <c r="B61" s="628">
        <f ca="1">IFERROR(__xludf.DUMMYFUNCTION("""COMPUTED_VALUE"""),5)</f>
        <v>5</v>
      </c>
      <c r="C61" s="36">
        <f ca="1">IFERROR(__xludf.DUMMYFUNCTION("""COMPUTED_VALUE"""),5)</f>
        <v>5</v>
      </c>
      <c r="D61" s="36"/>
      <c r="E61" s="36" t="str">
        <f ca="1">IFERROR(__xludf.DUMMYFUNCTION("""COMPUTED_VALUE"""),"Нігматулліна Жасмін")</f>
        <v>Нігматулліна Жасмін</v>
      </c>
      <c r="F61" s="628">
        <f ca="1">IFERROR(__xludf.DUMMYFUNCTION("""COMPUTED_VALUE"""),5)</f>
        <v>5</v>
      </c>
      <c r="L61" s="36" t="str">
        <f ca="1">IFERROR(__xludf.DUMMYFUNCTION("""COMPUTED_VALUE"""),"Дебольський Олександр")</f>
        <v>Дебольський Олександр</v>
      </c>
      <c r="M61" s="628">
        <f ca="1">IFERROR(__xludf.DUMMYFUNCTION("""COMPUTED_VALUE"""),4.71428571428571)</f>
        <v>4.71428571428571</v>
      </c>
      <c r="N61" s="36"/>
      <c r="O61" s="36"/>
      <c r="P61" s="36" t="str">
        <f ca="1">IFERROR(__xludf.DUMMYFUNCTION("""COMPUTED_VALUE"""),"Костяк Марія")</f>
        <v>Костяк Марія</v>
      </c>
      <c r="Q61" s="628">
        <f ca="1">IFERROR(__xludf.DUMMYFUNCTION("""COMPUTED_VALUE"""),4.96153846153846)</f>
        <v>4.9615384615384599</v>
      </c>
    </row>
    <row r="62" spans="1:17">
      <c r="A62" s="36" t="str">
        <f ca="1">IFERROR(__xludf.DUMMYFUNCTION("""COMPUTED_VALUE"""),"Дмитренко Катерина")</f>
        <v>Дмитренко Катерина</v>
      </c>
      <c r="B62" s="628">
        <f ca="1">IFERROR(__xludf.DUMMYFUNCTION("""COMPUTED_VALUE"""),5)</f>
        <v>5</v>
      </c>
      <c r="C62" s="36">
        <f ca="1">IFERROR(__xludf.DUMMYFUNCTION("""COMPUTED_VALUE"""),3)</f>
        <v>3</v>
      </c>
      <c r="D62" s="36"/>
      <c r="E62" s="36" t="str">
        <f ca="1">IFERROR(__xludf.DUMMYFUNCTION("""COMPUTED_VALUE"""),"Новохатько Наталя")</f>
        <v>Новохатько Наталя</v>
      </c>
      <c r="F62" s="628">
        <f ca="1">IFERROR(__xludf.DUMMYFUNCTION("""COMPUTED_VALUE"""),5)</f>
        <v>5</v>
      </c>
      <c r="L62" s="36" t="str">
        <f ca="1">IFERROR(__xludf.DUMMYFUNCTION("""COMPUTED_VALUE"""),"Дейлік Марія")</f>
        <v>Дейлік Марія</v>
      </c>
      <c r="M62" s="628">
        <f ca="1">IFERROR(__xludf.DUMMYFUNCTION("""COMPUTED_VALUE"""),5)</f>
        <v>5</v>
      </c>
      <c r="N62" s="36"/>
      <c r="O62" s="36"/>
      <c r="P62" s="36" t="str">
        <f ca="1">IFERROR(__xludf.DUMMYFUNCTION("""COMPUTED_VALUE"""),"Криворученко Анастасія")</f>
        <v>Криворученко Анастасія</v>
      </c>
      <c r="Q62" s="628">
        <f ca="1">IFERROR(__xludf.DUMMYFUNCTION("""COMPUTED_VALUE"""),4.71428571428571)</f>
        <v>4.71428571428571</v>
      </c>
    </row>
    <row r="63" spans="1:17">
      <c r="A63" s="36" t="str">
        <f ca="1">IFERROR(__xludf.DUMMYFUNCTION("""COMPUTED_VALUE"""),"Дубина Микола")</f>
        <v>Дубина Микола</v>
      </c>
      <c r="B63" s="628">
        <f ca="1">IFERROR(__xludf.DUMMYFUNCTION("""COMPUTED_VALUE"""),5)</f>
        <v>5</v>
      </c>
      <c r="C63" s="36">
        <f ca="1">IFERROR(__xludf.DUMMYFUNCTION("""COMPUTED_VALUE"""),2)</f>
        <v>2</v>
      </c>
      <c r="D63" s="36"/>
      <c r="E63" s="36" t="str">
        <f ca="1">IFERROR(__xludf.DUMMYFUNCTION("""COMPUTED_VALUE"""),"Оджиковська Світлана")</f>
        <v>Оджиковська Світлана</v>
      </c>
      <c r="F63" s="628">
        <f ca="1">IFERROR(__xludf.DUMMYFUNCTION("""COMPUTED_VALUE"""),5)</f>
        <v>5</v>
      </c>
      <c r="L63" s="36" t="str">
        <f ca="1">IFERROR(__xludf.DUMMYFUNCTION("""COMPUTED_VALUE"""),"Дементєєв Дмитро")</f>
        <v>Дементєєв Дмитро</v>
      </c>
      <c r="M63" s="628">
        <f ca="1">IFERROR(__xludf.DUMMYFUNCTION("""COMPUTED_VALUE"""),5)</f>
        <v>5</v>
      </c>
      <c r="N63" s="36"/>
      <c r="O63" s="36"/>
      <c r="P63" s="36" t="str">
        <f ca="1">IFERROR(__xludf.DUMMYFUNCTION("""COMPUTED_VALUE"""),"Кроковна Катерина")</f>
        <v>Кроковна Катерина</v>
      </c>
      <c r="Q63" s="628">
        <f ca="1">IFERROR(__xludf.DUMMYFUNCTION("""COMPUTED_VALUE"""),4.92857142857142)</f>
        <v>4.9285714285714199</v>
      </c>
    </row>
    <row r="64" spans="1:17">
      <c r="A64" s="36" t="str">
        <f ca="1">IFERROR(__xludf.DUMMYFUNCTION("""COMPUTED_VALUE"""),"Дубяга Микита")</f>
        <v>Дубяга Микита</v>
      </c>
      <c r="B64" s="628">
        <f ca="1">IFERROR(__xludf.DUMMYFUNCTION("""COMPUTED_VALUE"""),5)</f>
        <v>5</v>
      </c>
      <c r="C64" s="36">
        <f ca="1">IFERROR(__xludf.DUMMYFUNCTION("""COMPUTED_VALUE"""),1)</f>
        <v>1</v>
      </c>
      <c r="D64" s="36"/>
      <c r="E64" s="36" t="str">
        <f ca="1">IFERROR(__xludf.DUMMYFUNCTION("""COMPUTED_VALUE"""),"Орловська Надія")</f>
        <v>Орловська Надія</v>
      </c>
      <c r="F64" s="628">
        <f ca="1">IFERROR(__xludf.DUMMYFUNCTION("""COMPUTED_VALUE"""),4.81818181818181)</f>
        <v>4.8181818181818103</v>
      </c>
      <c r="L64" s="36" t="str">
        <f ca="1">IFERROR(__xludf.DUMMYFUNCTION("""COMPUTED_VALUE"""),"Денисов Михайло")</f>
        <v>Денисов Михайло</v>
      </c>
      <c r="M64" s="628">
        <f ca="1">IFERROR(__xludf.DUMMYFUNCTION("""COMPUTED_VALUE"""),4.91666666666666)</f>
        <v>4.9166666666666599</v>
      </c>
      <c r="N64" s="36"/>
      <c r="O64" s="36"/>
      <c r="P64" s="36" t="str">
        <f ca="1">IFERROR(__xludf.DUMMYFUNCTION("""COMPUTED_VALUE"""),"Курилюк Юлія")</f>
        <v>Курилюк Юлія</v>
      </c>
      <c r="Q64" s="628">
        <f ca="1">IFERROR(__xludf.DUMMYFUNCTION("""COMPUTED_VALUE"""),4.75)</f>
        <v>4.75</v>
      </c>
    </row>
    <row r="65" spans="1:17">
      <c r="A65" s="36" t="str">
        <f ca="1">IFERROR(__xludf.DUMMYFUNCTION("""COMPUTED_VALUE"""),"Душенко Тарас")</f>
        <v>Душенко Тарас</v>
      </c>
      <c r="B65" s="628">
        <f ca="1">IFERROR(__xludf.DUMMYFUNCTION("""COMPUTED_VALUE"""),5)</f>
        <v>5</v>
      </c>
      <c r="C65" s="36">
        <f ca="1">IFERROR(__xludf.DUMMYFUNCTION("""COMPUTED_VALUE"""),1)</f>
        <v>1</v>
      </c>
      <c r="D65" s="36"/>
      <c r="E65" s="36" t="str">
        <f ca="1">IFERROR(__xludf.DUMMYFUNCTION("""COMPUTED_VALUE"""),"П‘єц Адріана")</f>
        <v>П‘єц Адріана</v>
      </c>
      <c r="F65" s="628">
        <f ca="1">IFERROR(__xludf.DUMMYFUNCTION("""COMPUTED_VALUE"""),4.66666666666666)</f>
        <v>4.6666666666666599</v>
      </c>
      <c r="L65" s="36" t="str">
        <f ca="1">IFERROR(__xludf.DUMMYFUNCTION("""COMPUTED_VALUE"""),"Денисюк Михайло")</f>
        <v>Денисюк Михайло</v>
      </c>
      <c r="M65" s="628">
        <f ca="1">IFERROR(__xludf.DUMMYFUNCTION("""COMPUTED_VALUE"""),5)</f>
        <v>5</v>
      </c>
      <c r="N65" s="36"/>
      <c r="O65" s="36"/>
      <c r="P65" s="36" t="str">
        <f ca="1">IFERROR(__xludf.DUMMYFUNCTION("""COMPUTED_VALUE"""),"Кутья Лада")</f>
        <v>Кутья Лада</v>
      </c>
      <c r="Q65" s="628">
        <f ca="1">IFERROR(__xludf.DUMMYFUNCTION("""COMPUTED_VALUE"""),5)</f>
        <v>5</v>
      </c>
    </row>
    <row r="66" spans="1:17">
      <c r="A66" s="36" t="str">
        <f ca="1">IFERROR(__xludf.DUMMYFUNCTION("""COMPUTED_VALUE"""),"Євсюкова Олександра")</f>
        <v>Євсюкова Олександра</v>
      </c>
      <c r="B66" s="628">
        <f ca="1">IFERROR(__xludf.DUMMYFUNCTION("""COMPUTED_VALUE"""),5)</f>
        <v>5</v>
      </c>
      <c r="C66" s="36">
        <f ca="1">IFERROR(__xludf.DUMMYFUNCTION("""COMPUTED_VALUE"""),2)</f>
        <v>2</v>
      </c>
      <c r="D66" s="36"/>
      <c r="E66" s="36" t="str">
        <f ca="1">IFERROR(__xludf.DUMMYFUNCTION("""COMPUTED_VALUE"""),"Пасічник Вікторія")</f>
        <v>Пасічник Вікторія</v>
      </c>
      <c r="F66" s="628">
        <f ca="1">IFERROR(__xludf.DUMMYFUNCTION("""COMPUTED_VALUE"""),5)</f>
        <v>5</v>
      </c>
      <c r="L66" s="36" t="str">
        <f ca="1">IFERROR(__xludf.DUMMYFUNCTION("""COMPUTED_VALUE"""),"Дерев'янко Володимир")</f>
        <v>Дерев'янко Володимир</v>
      </c>
      <c r="M66" s="628">
        <f ca="1">IFERROR(__xludf.DUMMYFUNCTION("""COMPUTED_VALUE"""),4)</f>
        <v>4</v>
      </c>
      <c r="N66" s="36"/>
      <c r="O66" s="36"/>
      <c r="P66" s="36" t="str">
        <f ca="1">IFERROR(__xludf.DUMMYFUNCTION("""COMPUTED_VALUE"""),"Лабунець Неля")</f>
        <v>Лабунець Неля</v>
      </c>
      <c r="Q66" s="628">
        <f ca="1">IFERROR(__xludf.DUMMYFUNCTION("""COMPUTED_VALUE"""),4)</f>
        <v>4</v>
      </c>
    </row>
    <row r="67" spans="1:17">
      <c r="A67" s="36" t="str">
        <f ca="1">IFERROR(__xludf.DUMMYFUNCTION("""COMPUTED_VALUE"""),"Євсюкова Юлія")</f>
        <v>Євсюкова Юлія</v>
      </c>
      <c r="B67" s="628">
        <f ca="1">IFERROR(__xludf.DUMMYFUNCTION("""COMPUTED_VALUE"""),5)</f>
        <v>5</v>
      </c>
      <c r="C67" s="36">
        <f ca="1">IFERROR(__xludf.DUMMYFUNCTION("""COMPUTED_VALUE"""),1)</f>
        <v>1</v>
      </c>
      <c r="D67" s="36"/>
      <c r="E67" s="36" t="str">
        <f ca="1">IFERROR(__xludf.DUMMYFUNCTION("""COMPUTED_VALUE"""),"Педос Анастасія")</f>
        <v>Педос Анастасія</v>
      </c>
      <c r="F67" s="628">
        <f ca="1">IFERROR(__xludf.DUMMYFUNCTION("""COMPUTED_VALUE"""),5)</f>
        <v>5</v>
      </c>
      <c r="L67" s="36" t="str">
        <f ca="1">IFERROR(__xludf.DUMMYFUNCTION("""COMPUTED_VALUE"""),"Дєдова Ірина")</f>
        <v>Дєдова Ірина</v>
      </c>
      <c r="M67" s="628">
        <f ca="1">IFERROR(__xludf.DUMMYFUNCTION("""COMPUTED_VALUE"""),5)</f>
        <v>5</v>
      </c>
      <c r="N67" s="36"/>
      <c r="O67" s="36"/>
      <c r="P67" s="36" t="str">
        <f ca="1">IFERROR(__xludf.DUMMYFUNCTION("""COMPUTED_VALUE"""),"Миголь Марія")</f>
        <v>Миголь Марія</v>
      </c>
      <c r="Q67" s="628">
        <f ca="1">IFERROR(__xludf.DUMMYFUNCTION("""COMPUTED_VALUE"""),4.8235294117647)</f>
        <v>4.8235294117647003</v>
      </c>
    </row>
    <row r="68" spans="1:17">
      <c r="A68" s="36" t="str">
        <f ca="1">IFERROR(__xludf.DUMMYFUNCTION("""COMPUTED_VALUE"""),"Єсаулов Олександр")</f>
        <v>Єсаулов Олександр</v>
      </c>
      <c r="B68" s="628">
        <f ca="1">IFERROR(__xludf.DUMMYFUNCTION("""COMPUTED_VALUE"""),3.66666666666666)</f>
        <v>3.6666666666666599</v>
      </c>
      <c r="C68" s="36">
        <f ca="1">IFERROR(__xludf.DUMMYFUNCTION("""COMPUTED_VALUE"""),3)</f>
        <v>3</v>
      </c>
      <c r="D68" s="36"/>
      <c r="E68" s="36" t="str">
        <f ca="1">IFERROR(__xludf.DUMMYFUNCTION("""COMPUTED_VALUE"""),"Пекшина Сабіна")</f>
        <v>Пекшина Сабіна</v>
      </c>
      <c r="F68" s="628">
        <f ca="1">IFERROR(__xludf.DUMMYFUNCTION("""COMPUTED_VALUE"""),4.75)</f>
        <v>4.75</v>
      </c>
      <c r="L68" s="36" t="str">
        <f ca="1">IFERROR(__xludf.DUMMYFUNCTION("""COMPUTED_VALUE"""),"Джеммель Віолетта")</f>
        <v>Джеммель Віолетта</v>
      </c>
      <c r="M68" s="628">
        <f ca="1">IFERROR(__xludf.DUMMYFUNCTION("""COMPUTED_VALUE"""),4.6)</f>
        <v>4.5999999999999996</v>
      </c>
      <c r="N68" s="36"/>
      <c r="O68" s="36"/>
      <c r="P68" s="36" t="str">
        <f ca="1">IFERROR(__xludf.DUMMYFUNCTION("""COMPUTED_VALUE"""),"Микитюк Анастасія")</f>
        <v>Микитюк Анастасія</v>
      </c>
      <c r="Q68" s="628">
        <f ca="1">IFERROR(__xludf.DUMMYFUNCTION("""COMPUTED_VALUE"""),4.6)</f>
        <v>4.5999999999999996</v>
      </c>
    </row>
    <row r="69" spans="1:17">
      <c r="A69" s="36" t="str">
        <f ca="1">IFERROR(__xludf.DUMMYFUNCTION("""COMPUTED_VALUE"""),"Єськов Михайло")</f>
        <v>Єськов Михайло</v>
      </c>
      <c r="B69" s="628">
        <f ca="1">IFERROR(__xludf.DUMMYFUNCTION("""COMPUTED_VALUE"""),5)</f>
        <v>5</v>
      </c>
      <c r="C69" s="36">
        <f ca="1">IFERROR(__xludf.DUMMYFUNCTION("""COMPUTED_VALUE"""),1)</f>
        <v>1</v>
      </c>
      <c r="D69" s="36"/>
      <c r="E69" s="36" t="str">
        <f ca="1">IFERROR(__xludf.DUMMYFUNCTION("""COMPUTED_VALUE"""),"Пивовар Альона")</f>
        <v>Пивовар Альона</v>
      </c>
      <c r="F69" s="628">
        <f ca="1">IFERROR(__xludf.DUMMYFUNCTION("""COMPUTED_VALUE"""),4.88888888888888)</f>
        <v>4.8888888888888804</v>
      </c>
      <c r="L69" s="36" t="str">
        <f ca="1">IFERROR(__xludf.DUMMYFUNCTION("""COMPUTED_VALUE"""),"Дзівідзінська Мар'яна")</f>
        <v>Дзівідзінська Мар'яна</v>
      </c>
      <c r="M69" s="628">
        <f ca="1">IFERROR(__xludf.DUMMYFUNCTION("""COMPUTED_VALUE"""),5)</f>
        <v>5</v>
      </c>
      <c r="N69" s="36"/>
      <c r="O69" s="36"/>
      <c r="P69" s="36" t="str">
        <f ca="1">IFERROR(__xludf.DUMMYFUNCTION("""COMPUTED_VALUE"""),"Мироненко Геннадій")</f>
        <v>Мироненко Геннадій</v>
      </c>
      <c r="Q69" s="628">
        <f ca="1">IFERROR(__xludf.DUMMYFUNCTION("""COMPUTED_VALUE"""),4.57894736842105)</f>
        <v>4.5789473684210504</v>
      </c>
    </row>
    <row r="70" spans="1:17">
      <c r="A70" s="36" t="str">
        <f ca="1">IFERROR(__xludf.DUMMYFUNCTION("""COMPUTED_VALUE"""),"Єфременко Єлизавета")</f>
        <v>Єфременко Єлизавета</v>
      </c>
      <c r="B70" s="628">
        <f ca="1">IFERROR(__xludf.DUMMYFUNCTION("""COMPUTED_VALUE"""),5)</f>
        <v>5</v>
      </c>
      <c r="C70" s="36">
        <f ca="1">IFERROR(__xludf.DUMMYFUNCTION("""COMPUTED_VALUE"""),9)</f>
        <v>9</v>
      </c>
      <c r="D70" s="36"/>
      <c r="E70" s="36" t="str">
        <f ca="1">IFERROR(__xludf.DUMMYFUNCTION("""COMPUTED_VALUE"""),"Почтар Анастасія")</f>
        <v>Почтар Анастасія</v>
      </c>
      <c r="F70" s="628">
        <f ca="1">IFERROR(__xludf.DUMMYFUNCTION("""COMPUTED_VALUE"""),4.92857142857142)</f>
        <v>4.9285714285714199</v>
      </c>
      <c r="L70" s="36" t="str">
        <f ca="1">IFERROR(__xludf.DUMMYFUNCTION("""COMPUTED_VALUE"""),"Діденко Данило")</f>
        <v>Діденко Данило</v>
      </c>
      <c r="M70" s="628">
        <f ca="1">IFERROR(__xludf.DUMMYFUNCTION("""COMPUTED_VALUE"""),5)</f>
        <v>5</v>
      </c>
      <c r="N70" s="36"/>
      <c r="O70" s="36"/>
      <c r="P70" s="36" t="str">
        <f ca="1">IFERROR(__xludf.DUMMYFUNCTION("""COMPUTED_VALUE"""),"Миршавка Анастасія")</f>
        <v>Миршавка Анастасія</v>
      </c>
      <c r="Q70" s="628">
        <f ca="1">IFERROR(__xludf.DUMMYFUNCTION("""COMPUTED_VALUE"""),4.77777777777777)</f>
        <v>4.7777777777777697</v>
      </c>
    </row>
    <row r="71" spans="1:17">
      <c r="A71" s="36" t="str">
        <f ca="1">IFERROR(__xludf.DUMMYFUNCTION("""COMPUTED_VALUE"""),"Желєзна Вікторія")</f>
        <v>Желєзна Вікторія</v>
      </c>
      <c r="B71" s="628">
        <f ca="1">IFERROR(__xludf.DUMMYFUNCTION("""COMPUTED_VALUE"""),4.5)</f>
        <v>4.5</v>
      </c>
      <c r="C71" s="36">
        <f ca="1">IFERROR(__xludf.DUMMYFUNCTION("""COMPUTED_VALUE"""),2)</f>
        <v>2</v>
      </c>
      <c r="D71" s="36"/>
      <c r="E71" s="36" t="str">
        <f ca="1">IFERROR(__xludf.DUMMYFUNCTION("""COMPUTED_VALUE"""),"Пустова Юлія")</f>
        <v>Пустова Юлія</v>
      </c>
      <c r="F71" s="628">
        <f ca="1">IFERROR(__xludf.DUMMYFUNCTION("""COMPUTED_VALUE"""),5)</f>
        <v>5</v>
      </c>
      <c r="L71" s="36" t="str">
        <f ca="1">IFERROR(__xludf.DUMMYFUNCTION("""COMPUTED_VALUE"""),"Дмитренко Катерина")</f>
        <v>Дмитренко Катерина</v>
      </c>
      <c r="M71" s="628">
        <f ca="1">IFERROR(__xludf.DUMMYFUNCTION("""COMPUTED_VALUE"""),5)</f>
        <v>5</v>
      </c>
      <c r="N71" s="36"/>
      <c r="O71" s="36"/>
      <c r="P71" s="36" t="str">
        <f ca="1">IFERROR(__xludf.DUMMYFUNCTION("""COMPUTED_VALUE"""),"Молчанова Оксана")</f>
        <v>Молчанова Оксана</v>
      </c>
      <c r="Q71" s="628">
        <f ca="1">IFERROR(__xludf.DUMMYFUNCTION("""COMPUTED_VALUE"""),4.66666666666666)</f>
        <v>4.6666666666666599</v>
      </c>
    </row>
    <row r="72" spans="1:17">
      <c r="A72" s="36" t="str">
        <f ca="1">IFERROR(__xludf.DUMMYFUNCTION("""COMPUTED_VALUE"""),"Житонбаєв Антон")</f>
        <v>Житонбаєв Антон</v>
      </c>
      <c r="B72" s="628">
        <f ca="1">IFERROR(__xludf.DUMMYFUNCTION("""COMPUTED_VALUE"""),5)</f>
        <v>5</v>
      </c>
      <c r="C72" s="36">
        <f ca="1">IFERROR(__xludf.DUMMYFUNCTION("""COMPUTED_VALUE"""),1)</f>
        <v>1</v>
      </c>
      <c r="D72" s="36"/>
      <c r="E72" s="36" t="str">
        <f ca="1">IFERROR(__xludf.DUMMYFUNCTION("""COMPUTED_VALUE"""),"Радіонова Антоніна")</f>
        <v>Радіонова Антоніна</v>
      </c>
      <c r="F72" s="628">
        <f ca="1">IFERROR(__xludf.DUMMYFUNCTION("""COMPUTED_VALUE"""),5)</f>
        <v>5</v>
      </c>
      <c r="L72" s="36" t="str">
        <f ca="1">IFERROR(__xludf.DUMMYFUNCTION("""COMPUTED_VALUE"""),"Дорофій Тетяна")</f>
        <v>Дорофій Тетяна</v>
      </c>
      <c r="M72" s="628">
        <f ca="1">IFERROR(__xludf.DUMMYFUNCTION("""COMPUTED_VALUE"""),4.8)</f>
        <v>4.8</v>
      </c>
      <c r="N72" s="36"/>
      <c r="O72" s="36"/>
      <c r="P72" s="36" t="str">
        <f ca="1">IFERROR(__xludf.DUMMYFUNCTION("""COMPUTED_VALUE"""),"Музика Вікторія")</f>
        <v>Музика Вікторія</v>
      </c>
      <c r="Q72" s="628">
        <f ca="1">IFERROR(__xludf.DUMMYFUNCTION("""COMPUTED_VALUE"""),5)</f>
        <v>5</v>
      </c>
    </row>
    <row r="73" spans="1:17">
      <c r="A73" s="36" t="str">
        <f ca="1">IFERROR(__xludf.DUMMYFUNCTION("""COMPUTED_VALUE"""),"Жуковін Олександр")</f>
        <v>Жуковін Олександр</v>
      </c>
      <c r="B73" s="628">
        <f ca="1">IFERROR(__xludf.DUMMYFUNCTION("""COMPUTED_VALUE"""),4.66666666666666)</f>
        <v>4.6666666666666599</v>
      </c>
      <c r="C73" s="36">
        <f ca="1">IFERROR(__xludf.DUMMYFUNCTION("""COMPUTED_VALUE"""),3)</f>
        <v>3</v>
      </c>
      <c r="D73" s="36"/>
      <c r="E73" s="36" t="str">
        <f ca="1">IFERROR(__xludf.DUMMYFUNCTION("""COMPUTED_VALUE"""),"Резніченко Лілія")</f>
        <v>Резніченко Лілія</v>
      </c>
      <c r="F73" s="628">
        <f ca="1">IFERROR(__xludf.DUMMYFUNCTION("""COMPUTED_VALUE"""),4.66666666666666)</f>
        <v>4.6666666666666599</v>
      </c>
      <c r="L73" s="36" t="str">
        <f ca="1">IFERROR(__xludf.DUMMYFUNCTION("""COMPUTED_VALUE"""),"Дубина Микола")</f>
        <v>Дубина Микола</v>
      </c>
      <c r="M73" s="628">
        <f ca="1">IFERROR(__xludf.DUMMYFUNCTION("""COMPUTED_VALUE"""),5)</f>
        <v>5</v>
      </c>
      <c r="N73" s="36"/>
      <c r="O73" s="36"/>
      <c r="P73" s="36" t="str">
        <f ca="1">IFERROR(__xludf.DUMMYFUNCTION("""COMPUTED_VALUE"""),"Немає софтів")</f>
        <v>Немає софтів</v>
      </c>
      <c r="Q73" s="628">
        <f ca="1">IFERROR(__xludf.DUMMYFUNCTION("""COMPUTED_VALUE"""),4.72727272727272)</f>
        <v>4.7272727272727204</v>
      </c>
    </row>
    <row r="74" spans="1:17">
      <c r="A74" s="36" t="str">
        <f ca="1">IFERROR(__xludf.DUMMYFUNCTION("""COMPUTED_VALUE"""),"Загоруйко Ксенія")</f>
        <v>Загоруйко Ксенія</v>
      </c>
      <c r="B74" s="628">
        <f ca="1">IFERROR(__xludf.DUMMYFUNCTION("""COMPUTED_VALUE"""),4.5)</f>
        <v>4.5</v>
      </c>
      <c r="C74" s="36">
        <f ca="1">IFERROR(__xludf.DUMMYFUNCTION("""COMPUTED_VALUE"""),2)</f>
        <v>2</v>
      </c>
      <c r="D74" s="36"/>
      <c r="E74" s="36" t="str">
        <f ca="1">IFERROR(__xludf.DUMMYFUNCTION("""COMPUTED_VALUE"""),"Рижа Олена")</f>
        <v>Рижа Олена</v>
      </c>
      <c r="F74" s="628">
        <f ca="1">IFERROR(__xludf.DUMMYFUNCTION("""COMPUTED_VALUE"""),4.91428571428571)</f>
        <v>4.9142857142857101</v>
      </c>
      <c r="L74" s="36" t="str">
        <f ca="1">IFERROR(__xludf.DUMMYFUNCTION("""COMPUTED_VALUE"""),"Дувінський Денис")</f>
        <v>Дувінський Денис</v>
      </c>
      <c r="M74" s="628">
        <f ca="1">IFERROR(__xludf.DUMMYFUNCTION("""COMPUTED_VALUE"""),4.5)</f>
        <v>4.5</v>
      </c>
      <c r="N74" s="36"/>
      <c r="O74" s="36"/>
      <c r="P74" s="36" t="str">
        <f ca="1">IFERROR(__xludf.DUMMYFUNCTION("""COMPUTED_VALUE"""),"Нігматулліна Жасмін")</f>
        <v>Нігматулліна Жасмін</v>
      </c>
      <c r="Q74" s="628">
        <f ca="1">IFERROR(__xludf.DUMMYFUNCTION("""COMPUTED_VALUE"""),5)</f>
        <v>5</v>
      </c>
    </row>
    <row r="75" spans="1:17">
      <c r="A75" s="36" t="str">
        <f ca="1">IFERROR(__xludf.DUMMYFUNCTION("""COMPUTED_VALUE"""),"Заїка Вадим")</f>
        <v>Заїка Вадим</v>
      </c>
      <c r="B75" s="628">
        <f ca="1">IFERROR(__xludf.DUMMYFUNCTION("""COMPUTED_VALUE"""),5)</f>
        <v>5</v>
      </c>
      <c r="C75" s="36">
        <f ca="1">IFERROR(__xludf.DUMMYFUNCTION("""COMPUTED_VALUE"""),9)</f>
        <v>9</v>
      </c>
      <c r="D75" s="36"/>
      <c r="E75" s="36" t="str">
        <f ca="1">IFERROR(__xludf.DUMMYFUNCTION("""COMPUTED_VALUE"""),"Росахата Марина")</f>
        <v>Росахата Марина</v>
      </c>
      <c r="F75" s="628">
        <f ca="1">IFERROR(__xludf.DUMMYFUNCTION("""COMPUTED_VALUE"""),5)</f>
        <v>5</v>
      </c>
      <c r="L75" s="36" t="str">
        <f ca="1">IFERROR(__xludf.DUMMYFUNCTION("""COMPUTED_VALUE"""),"Дьогтяр Руслан")</f>
        <v>Дьогтяр Руслан</v>
      </c>
      <c r="M75" s="628">
        <f ca="1">IFERROR(__xludf.DUMMYFUNCTION("""COMPUTED_VALUE"""),5)</f>
        <v>5</v>
      </c>
      <c r="N75" s="36"/>
      <c r="O75" s="36"/>
      <c r="P75" s="36" t="str">
        <f ca="1">IFERROR(__xludf.DUMMYFUNCTION("""COMPUTED_VALUE"""),"Нікітюк Юлія")</f>
        <v>Нікітюк Юлія</v>
      </c>
      <c r="Q75" s="628">
        <f ca="1">IFERROR(__xludf.DUMMYFUNCTION("""COMPUTED_VALUE"""),4.9090909090909)</f>
        <v>4.9090909090909003</v>
      </c>
    </row>
    <row r="76" spans="1:17">
      <c r="A76" s="36" t="str">
        <f ca="1">IFERROR(__xludf.DUMMYFUNCTION("""COMPUTED_VALUE"""),"Зайцева Марина")</f>
        <v>Зайцева Марина</v>
      </c>
      <c r="B76" s="628">
        <f ca="1">IFERROR(__xludf.DUMMYFUNCTION("""COMPUTED_VALUE"""),2)</f>
        <v>2</v>
      </c>
      <c r="C76" s="36">
        <f ca="1">IFERROR(__xludf.DUMMYFUNCTION("""COMPUTED_VALUE"""),3)</f>
        <v>3</v>
      </c>
      <c r="D76" s="36"/>
      <c r="E76" s="36" t="str">
        <f ca="1">IFERROR(__xludf.DUMMYFUNCTION("""COMPUTED_VALUE"""),"Руденко Юлія")</f>
        <v>Руденко Юлія</v>
      </c>
      <c r="F76" s="628">
        <f ca="1">IFERROR(__xludf.DUMMYFUNCTION("""COMPUTED_VALUE"""),5)</f>
        <v>5</v>
      </c>
      <c r="L76" s="36" t="str">
        <f ca="1">IFERROR(__xludf.DUMMYFUNCTION("""COMPUTED_VALUE"""),"Єфременко Єлизавета")</f>
        <v>Єфременко Єлизавета</v>
      </c>
      <c r="M76" s="628">
        <f ca="1">IFERROR(__xludf.DUMMYFUNCTION("""COMPUTED_VALUE"""),4.92307692307692)</f>
        <v>4.9230769230769198</v>
      </c>
      <c r="N76" s="36"/>
      <c r="O76" s="36"/>
      <c r="P76" s="36" t="str">
        <f ca="1">IFERROR(__xludf.DUMMYFUNCTION("""COMPUTED_VALUE"""),"Нікуліна Марина")</f>
        <v>Нікуліна Марина</v>
      </c>
      <c r="Q76" s="628">
        <f ca="1">IFERROR(__xludf.DUMMYFUNCTION("""COMPUTED_VALUE"""),4.75)</f>
        <v>4.75</v>
      </c>
    </row>
    <row r="77" spans="1:17">
      <c r="A77" s="36" t="str">
        <f ca="1">IFERROR(__xludf.DUMMYFUNCTION("""COMPUTED_VALUE"""),"Закружний Андрій")</f>
        <v>Закружний Андрій</v>
      </c>
      <c r="B77" s="628">
        <f ca="1">IFERROR(__xludf.DUMMYFUNCTION("""COMPUTED_VALUE"""),5)</f>
        <v>5</v>
      </c>
      <c r="C77" s="36">
        <f ca="1">IFERROR(__xludf.DUMMYFUNCTION("""COMPUTED_VALUE"""),2)</f>
        <v>2</v>
      </c>
      <c r="D77" s="36"/>
      <c r="E77" s="36" t="str">
        <f ca="1">IFERROR(__xludf.DUMMYFUNCTION("""COMPUTED_VALUE"""),"Рурак Катерина")</f>
        <v>Рурак Катерина</v>
      </c>
      <c r="F77" s="628">
        <f ca="1">IFERROR(__xludf.DUMMYFUNCTION("""COMPUTED_VALUE"""),4.75)</f>
        <v>4.75</v>
      </c>
      <c r="L77" s="36" t="str">
        <f ca="1">IFERROR(__xludf.DUMMYFUNCTION("""COMPUTED_VALUE"""),"Желєзна Вікторія")</f>
        <v>Желєзна Вікторія</v>
      </c>
      <c r="M77" s="628">
        <f ca="1">IFERROR(__xludf.DUMMYFUNCTION("""COMPUTED_VALUE"""),4.8)</f>
        <v>4.8</v>
      </c>
      <c r="N77" s="36"/>
      <c r="O77" s="36"/>
      <c r="P77" s="36" t="str">
        <f ca="1">IFERROR(__xludf.DUMMYFUNCTION("""COMPUTED_VALUE"""),"Новохатько Наталя")</f>
        <v>Новохатько Наталя</v>
      </c>
      <c r="Q77" s="628">
        <f ca="1">IFERROR(__xludf.DUMMYFUNCTION("""COMPUTED_VALUE"""),5)</f>
        <v>5</v>
      </c>
    </row>
    <row r="78" spans="1:17">
      <c r="A78" s="36" t="str">
        <f ca="1">IFERROR(__xludf.DUMMYFUNCTION("""COMPUTED_VALUE"""),"Зелений Ярослав")</f>
        <v>Зелений Ярослав</v>
      </c>
      <c r="B78" s="628">
        <f ca="1">IFERROR(__xludf.DUMMYFUNCTION("""COMPUTED_VALUE"""),4.875)</f>
        <v>4.875</v>
      </c>
      <c r="C78" s="36">
        <f ca="1">IFERROR(__xludf.DUMMYFUNCTION("""COMPUTED_VALUE"""),8)</f>
        <v>8</v>
      </c>
      <c r="D78" s="36"/>
      <c r="E78" s="36" t="str">
        <f ca="1">IFERROR(__xludf.DUMMYFUNCTION("""COMPUTED_VALUE"""),"Ряшко Дарина")</f>
        <v>Ряшко Дарина</v>
      </c>
      <c r="F78" s="628">
        <f ca="1">IFERROR(__xludf.DUMMYFUNCTION("""COMPUTED_VALUE"""),4.74074074074074)</f>
        <v>4.7407407407407396</v>
      </c>
      <c r="L78" s="36" t="str">
        <f ca="1">IFERROR(__xludf.DUMMYFUNCTION("""COMPUTED_VALUE"""),"Жуковін Олександр")</f>
        <v>Жуковін Олександр</v>
      </c>
      <c r="M78" s="628">
        <f ca="1">IFERROR(__xludf.DUMMYFUNCTION("""COMPUTED_VALUE"""),4.75)</f>
        <v>4.75</v>
      </c>
      <c r="N78" s="36"/>
      <c r="O78" s="36"/>
      <c r="P78" s="36" t="str">
        <f ca="1">IFERROR(__xludf.DUMMYFUNCTION("""COMPUTED_VALUE"""),"Оджиковська Анна")</f>
        <v>Оджиковська Анна</v>
      </c>
      <c r="Q78" s="628">
        <f ca="1">IFERROR(__xludf.DUMMYFUNCTION("""COMPUTED_VALUE"""),5)</f>
        <v>5</v>
      </c>
    </row>
    <row r="79" spans="1:17">
      <c r="A79" s="36" t="str">
        <f ca="1">IFERROR(__xludf.DUMMYFUNCTION("""COMPUTED_VALUE"""),"Зеленова Єлизавета")</f>
        <v>Зеленова Єлизавета</v>
      </c>
      <c r="B79" s="628">
        <f ca="1">IFERROR(__xludf.DUMMYFUNCTION("""COMPUTED_VALUE"""),5)</f>
        <v>5</v>
      </c>
      <c r="C79" s="36">
        <f ca="1">IFERROR(__xludf.DUMMYFUNCTION("""COMPUTED_VALUE"""),6)</f>
        <v>6</v>
      </c>
      <c r="D79" s="36"/>
      <c r="E79" s="36" t="str">
        <f ca="1">IFERROR(__xludf.DUMMYFUNCTION("""COMPUTED_VALUE"""),"Савченко Дар'я")</f>
        <v>Савченко Дар'я</v>
      </c>
      <c r="F79" s="628">
        <f ca="1">IFERROR(__xludf.DUMMYFUNCTION("""COMPUTED_VALUE"""),5)</f>
        <v>5</v>
      </c>
      <c r="L79" s="36" t="str">
        <f ca="1">IFERROR(__xludf.DUMMYFUNCTION("""COMPUTED_VALUE"""),"Заїка Олександра")</f>
        <v>Заїка Олександра</v>
      </c>
      <c r="M79" s="628">
        <f ca="1">IFERROR(__xludf.DUMMYFUNCTION("""COMPUTED_VALUE"""),4.8)</f>
        <v>4.8</v>
      </c>
      <c r="N79" s="36"/>
      <c r="O79" s="36"/>
      <c r="P79" s="36" t="str">
        <f ca="1">IFERROR(__xludf.DUMMYFUNCTION("""COMPUTED_VALUE"""),"Оджиковська Світлана")</f>
        <v>Оджиковська Світлана</v>
      </c>
      <c r="Q79" s="628">
        <f ca="1">IFERROR(__xludf.DUMMYFUNCTION("""COMPUTED_VALUE"""),4.75)</f>
        <v>4.75</v>
      </c>
    </row>
    <row r="80" spans="1:17">
      <c r="A80" s="36" t="str">
        <f ca="1">IFERROR(__xludf.DUMMYFUNCTION("""COMPUTED_VALUE"""),"Зеньо Роман")</f>
        <v>Зеньо Роман</v>
      </c>
      <c r="B80" s="628">
        <f ca="1">IFERROR(__xludf.DUMMYFUNCTION("""COMPUTED_VALUE"""),4.66666666666666)</f>
        <v>4.6666666666666599</v>
      </c>
      <c r="C80" s="36">
        <f ca="1">IFERROR(__xludf.DUMMYFUNCTION("""COMPUTED_VALUE"""),3)</f>
        <v>3</v>
      </c>
      <c r="D80" s="36"/>
      <c r="E80" s="36" t="str">
        <f ca="1">IFERROR(__xludf.DUMMYFUNCTION("""COMPUTED_VALUE"""),"Садова Юлія")</f>
        <v>Садова Юлія</v>
      </c>
      <c r="F80" s="628">
        <f ca="1">IFERROR(__xludf.DUMMYFUNCTION("""COMPUTED_VALUE"""),5)</f>
        <v>5</v>
      </c>
      <c r="L80" s="36" t="str">
        <f ca="1">IFERROR(__xludf.DUMMYFUNCTION("""COMPUTED_VALUE"""),"Зайцева Марина")</f>
        <v>Зайцева Марина</v>
      </c>
      <c r="M80" s="628">
        <f ca="1">IFERROR(__xludf.DUMMYFUNCTION("""COMPUTED_VALUE"""),5)</f>
        <v>5</v>
      </c>
      <c r="N80" s="36"/>
      <c r="O80" s="36"/>
      <c r="P80" s="36" t="str">
        <f ca="1">IFERROR(__xludf.DUMMYFUNCTION("""COMPUTED_VALUE"""),"Орлова Світлана")</f>
        <v>Орлова Світлана</v>
      </c>
      <c r="Q80" s="628">
        <f ca="1">IFERROR(__xludf.DUMMYFUNCTION("""COMPUTED_VALUE"""),5)</f>
        <v>5</v>
      </c>
    </row>
    <row r="81" spans="1:17">
      <c r="A81" s="36" t="str">
        <f ca="1">IFERROR(__xludf.DUMMYFUNCTION("""COMPUTED_VALUE"""),"Зимін Федір")</f>
        <v>Зимін Федір</v>
      </c>
      <c r="B81" s="628">
        <f ca="1">IFERROR(__xludf.DUMMYFUNCTION("""COMPUTED_VALUE"""),4)</f>
        <v>4</v>
      </c>
      <c r="C81" s="36">
        <f ca="1">IFERROR(__xludf.DUMMYFUNCTION("""COMPUTED_VALUE"""),2)</f>
        <v>2</v>
      </c>
      <c r="D81" s="36"/>
      <c r="E81" s="36" t="str">
        <f ca="1">IFERROR(__xludf.DUMMYFUNCTION("""COMPUTED_VALUE"""),"Сапун Олена")</f>
        <v>Сапун Олена</v>
      </c>
      <c r="F81" s="628">
        <f ca="1">IFERROR(__xludf.DUMMYFUNCTION("""COMPUTED_VALUE"""),4.69565217391304)</f>
        <v>4.6956521739130404</v>
      </c>
      <c r="L81" s="36" t="str">
        <f ca="1">IFERROR(__xludf.DUMMYFUNCTION("""COMPUTED_VALUE"""),"Закружний Андрій")</f>
        <v>Закружний Андрій</v>
      </c>
      <c r="M81" s="628">
        <f ca="1">IFERROR(__xludf.DUMMYFUNCTION("""COMPUTED_VALUE"""),3.66666666666666)</f>
        <v>3.6666666666666599</v>
      </c>
      <c r="N81" s="36"/>
      <c r="O81" s="36"/>
      <c r="P81" s="36" t="str">
        <f ca="1">IFERROR(__xludf.DUMMYFUNCTION("""COMPUTED_VALUE"""),"Орловська Надія")</f>
        <v>Орловська Надія</v>
      </c>
      <c r="Q81" s="628">
        <f ca="1">IFERROR(__xludf.DUMMYFUNCTION("""COMPUTED_VALUE"""),5)</f>
        <v>5</v>
      </c>
    </row>
    <row r="82" spans="1:17">
      <c r="A82" s="36" t="str">
        <f ca="1">IFERROR(__xludf.DUMMYFUNCTION("""COMPUTED_VALUE"""),"Іваненко Дмитро")</f>
        <v>Іваненко Дмитро</v>
      </c>
      <c r="B82" s="628">
        <f ca="1">IFERROR(__xludf.DUMMYFUNCTION("""COMPUTED_VALUE"""),4.92307692307692)</f>
        <v>4.9230769230769198</v>
      </c>
      <c r="C82" s="36">
        <f ca="1">IFERROR(__xludf.DUMMYFUNCTION("""COMPUTED_VALUE"""),13)</f>
        <v>13</v>
      </c>
      <c r="D82" s="36"/>
      <c r="E82" s="36" t="str">
        <f ca="1">IFERROR(__xludf.DUMMYFUNCTION("""COMPUTED_VALUE"""),"Сафонова Тетяна")</f>
        <v>Сафонова Тетяна</v>
      </c>
      <c r="F82" s="628">
        <f ca="1">IFERROR(__xludf.DUMMYFUNCTION("""COMPUTED_VALUE"""),4.875)</f>
        <v>4.875</v>
      </c>
      <c r="L82" s="36" t="str">
        <f ca="1">IFERROR(__xludf.DUMMYFUNCTION("""COMPUTED_VALUE"""),"Звенигородський Назар")</f>
        <v>Звенигородський Назар</v>
      </c>
      <c r="M82" s="628">
        <f ca="1">IFERROR(__xludf.DUMMYFUNCTION("""COMPUTED_VALUE"""),5)</f>
        <v>5</v>
      </c>
      <c r="N82" s="36"/>
      <c r="O82" s="36"/>
      <c r="P82" s="36" t="str">
        <f ca="1">IFERROR(__xludf.DUMMYFUNCTION("""COMPUTED_VALUE"""),"Пасічник Вікторія")</f>
        <v>Пасічник Вікторія</v>
      </c>
      <c r="Q82" s="628">
        <f ca="1">IFERROR(__xludf.DUMMYFUNCTION("""COMPUTED_VALUE"""),4.875)</f>
        <v>4.875</v>
      </c>
    </row>
    <row r="83" spans="1:17">
      <c r="A83" s="36" t="str">
        <f ca="1">IFERROR(__xludf.DUMMYFUNCTION("""COMPUTED_VALUE"""),"Іпатенко Володимир")</f>
        <v>Іпатенко Володимир</v>
      </c>
      <c r="B83" s="628">
        <f ca="1">IFERROR(__xludf.DUMMYFUNCTION("""COMPUTED_VALUE"""),5)</f>
        <v>5</v>
      </c>
      <c r="C83" s="36">
        <f ca="1">IFERROR(__xludf.DUMMYFUNCTION("""COMPUTED_VALUE"""),5)</f>
        <v>5</v>
      </c>
      <c r="D83" s="36"/>
      <c r="E83" s="36" t="str">
        <f ca="1">IFERROR(__xludf.DUMMYFUNCTION("""COMPUTED_VALUE"""),"Симоненко Анна")</f>
        <v>Симоненко Анна</v>
      </c>
      <c r="F83" s="628">
        <f ca="1">IFERROR(__xludf.DUMMYFUNCTION("""COMPUTED_VALUE"""),4.9)</f>
        <v>4.9000000000000004</v>
      </c>
      <c r="L83" s="36" t="str">
        <f ca="1">IFERROR(__xludf.DUMMYFUNCTION("""COMPUTED_VALUE"""),"Зелений Ярослав")</f>
        <v>Зелений Ярослав</v>
      </c>
      <c r="M83" s="628">
        <f ca="1">IFERROR(__xludf.DUMMYFUNCTION("""COMPUTED_VALUE"""),5)</f>
        <v>5</v>
      </c>
      <c r="N83" s="36"/>
      <c r="O83" s="36"/>
      <c r="P83" s="36" t="str">
        <f ca="1">IFERROR(__xludf.DUMMYFUNCTION("""COMPUTED_VALUE"""),"Педос Анастасія")</f>
        <v>Педос Анастасія</v>
      </c>
      <c r="Q83" s="628">
        <f ca="1">IFERROR(__xludf.DUMMYFUNCTION("""COMPUTED_VALUE"""),5)</f>
        <v>5</v>
      </c>
    </row>
    <row r="84" spans="1:17">
      <c r="A84" s="36" t="str">
        <f ca="1">IFERROR(__xludf.DUMMYFUNCTION("""COMPUTED_VALUE"""),"Іщенко Лілія")</f>
        <v>Іщенко Лілія</v>
      </c>
      <c r="B84" s="628">
        <f ca="1">IFERROR(__xludf.DUMMYFUNCTION("""COMPUTED_VALUE"""),5)</f>
        <v>5</v>
      </c>
      <c r="C84" s="36">
        <f ca="1">IFERROR(__xludf.DUMMYFUNCTION("""COMPUTED_VALUE"""),1)</f>
        <v>1</v>
      </c>
      <c r="D84" s="36"/>
      <c r="E84" s="36" t="str">
        <f ca="1">IFERROR(__xludf.DUMMYFUNCTION("""COMPUTED_VALUE"""),"Сітко Віта")</f>
        <v>Сітко Віта</v>
      </c>
      <c r="F84" s="628">
        <f ca="1">IFERROR(__xludf.DUMMYFUNCTION("""COMPUTED_VALUE"""),5)</f>
        <v>5</v>
      </c>
      <c r="L84" s="36" t="str">
        <f ca="1">IFERROR(__xludf.DUMMYFUNCTION("""COMPUTED_VALUE"""),"Зеленова Єлизавета")</f>
        <v>Зеленова Єлизавета</v>
      </c>
      <c r="M84" s="628">
        <f ca="1">IFERROR(__xludf.DUMMYFUNCTION("""COMPUTED_VALUE"""),5)</f>
        <v>5</v>
      </c>
      <c r="N84" s="36"/>
      <c r="O84" s="36"/>
      <c r="P84" s="36" t="str">
        <f ca="1">IFERROR(__xludf.DUMMYFUNCTION("""COMPUTED_VALUE"""),"Педь Єлизавета")</f>
        <v>Педь Єлизавета</v>
      </c>
      <c r="Q84" s="628">
        <f ca="1">IFERROR(__xludf.DUMMYFUNCTION("""COMPUTED_VALUE"""),5)</f>
        <v>5</v>
      </c>
    </row>
    <row r="85" spans="1:17">
      <c r="A85" s="36" t="str">
        <f ca="1">IFERROR(__xludf.DUMMYFUNCTION("""COMPUTED_VALUE"""),"Калинчук Іван")</f>
        <v>Калинчук Іван</v>
      </c>
      <c r="B85" s="628">
        <f ca="1">IFERROR(__xludf.DUMMYFUNCTION("""COMPUTED_VALUE"""),3)</f>
        <v>3</v>
      </c>
      <c r="C85" s="36">
        <f ca="1">IFERROR(__xludf.DUMMYFUNCTION("""COMPUTED_VALUE"""),1)</f>
        <v>1</v>
      </c>
      <c r="D85" s="36"/>
      <c r="E85" s="36" t="str">
        <f ca="1">IFERROR(__xludf.DUMMYFUNCTION("""COMPUTED_VALUE"""),"Скакун Любов")</f>
        <v>Скакун Любов</v>
      </c>
      <c r="F85" s="628">
        <f ca="1">IFERROR(__xludf.DUMMYFUNCTION("""COMPUTED_VALUE"""),4)</f>
        <v>4</v>
      </c>
      <c r="L85" s="36" t="str">
        <f ca="1">IFERROR(__xludf.DUMMYFUNCTION("""COMPUTED_VALUE"""),"Земський Олександр")</f>
        <v>Земський Олександр</v>
      </c>
      <c r="M85" s="628">
        <f ca="1">IFERROR(__xludf.DUMMYFUNCTION("""COMPUTED_VALUE"""),5)</f>
        <v>5</v>
      </c>
      <c r="N85" s="36"/>
      <c r="O85" s="36"/>
      <c r="P85" s="36" t="str">
        <f ca="1">IFERROR(__xludf.DUMMYFUNCTION("""COMPUTED_VALUE"""),"Пекшина Сабіна")</f>
        <v>Пекшина Сабіна</v>
      </c>
      <c r="Q85" s="628">
        <f ca="1">IFERROR(__xludf.DUMMYFUNCTION("""COMPUTED_VALUE"""),4.66666666666666)</f>
        <v>4.6666666666666599</v>
      </c>
    </row>
    <row r="86" spans="1:17">
      <c r="A86" s="36" t="str">
        <f ca="1">IFERROR(__xludf.DUMMYFUNCTION("""COMPUTED_VALUE"""),"Калін Максим")</f>
        <v>Калін Максим</v>
      </c>
      <c r="B86" s="628">
        <f ca="1">IFERROR(__xludf.DUMMYFUNCTION("""COMPUTED_VALUE"""),5)</f>
        <v>5</v>
      </c>
      <c r="C86" s="36">
        <f ca="1">IFERROR(__xludf.DUMMYFUNCTION("""COMPUTED_VALUE"""),2)</f>
        <v>2</v>
      </c>
      <c r="D86" s="36"/>
      <c r="E86" s="36" t="str">
        <f ca="1">IFERROR(__xludf.DUMMYFUNCTION("""COMPUTED_VALUE"""),"Струк Наталія")</f>
        <v>Струк Наталія</v>
      </c>
      <c r="F86" s="628">
        <f ca="1">IFERROR(__xludf.DUMMYFUNCTION("""COMPUTED_VALUE"""),5)</f>
        <v>5</v>
      </c>
      <c r="L86" s="36" t="str">
        <f ca="1">IFERROR(__xludf.DUMMYFUNCTION("""COMPUTED_VALUE"""),"Зеньо Роман")</f>
        <v>Зеньо Роман</v>
      </c>
      <c r="M86" s="628">
        <f ca="1">IFERROR(__xludf.DUMMYFUNCTION("""COMPUTED_VALUE"""),5)</f>
        <v>5</v>
      </c>
      <c r="N86" s="36"/>
      <c r="O86" s="36"/>
      <c r="P86" s="36" t="str">
        <f ca="1">IFERROR(__xludf.DUMMYFUNCTION("""COMPUTED_VALUE"""),"Пивовар Альона")</f>
        <v>Пивовар Альона</v>
      </c>
      <c r="Q86" s="628">
        <f ca="1">IFERROR(__xludf.DUMMYFUNCTION("""COMPUTED_VALUE"""),4.875)</f>
        <v>4.875</v>
      </c>
    </row>
    <row r="87" spans="1:17">
      <c r="A87" s="36" t="str">
        <f ca="1">IFERROR(__xludf.DUMMYFUNCTION("""COMPUTED_VALUE"""),"Карпій Віталій")</f>
        <v>Карпій Віталій</v>
      </c>
      <c r="B87" s="628">
        <f ca="1">IFERROR(__xludf.DUMMYFUNCTION("""COMPUTED_VALUE"""),4.71428571428571)</f>
        <v>4.71428571428571</v>
      </c>
      <c r="C87" s="36">
        <f ca="1">IFERROR(__xludf.DUMMYFUNCTION("""COMPUTED_VALUE"""),7)</f>
        <v>7</v>
      </c>
      <c r="D87" s="36"/>
      <c r="E87" s="36" t="str">
        <f ca="1">IFERROR(__xludf.DUMMYFUNCTION("""COMPUTED_VALUE"""),"Таценко Катерина")</f>
        <v>Таценко Катерина</v>
      </c>
      <c r="F87" s="628">
        <f ca="1">IFERROR(__xludf.DUMMYFUNCTION("""COMPUTED_VALUE"""),4)</f>
        <v>4</v>
      </c>
      <c r="L87" s="36" t="str">
        <f ca="1">IFERROR(__xludf.DUMMYFUNCTION("""COMPUTED_VALUE"""),"Знак Орест")</f>
        <v>Знак Орест</v>
      </c>
      <c r="M87" s="628">
        <f ca="1">IFERROR(__xludf.DUMMYFUNCTION("""COMPUTED_VALUE"""),5)</f>
        <v>5</v>
      </c>
      <c r="N87" s="36"/>
      <c r="O87" s="36"/>
      <c r="P87" s="36" t="str">
        <f ca="1">IFERROR(__xludf.DUMMYFUNCTION("""COMPUTED_VALUE"""),"Почтар Анастасія")</f>
        <v>Почтар Анастасія</v>
      </c>
      <c r="Q87" s="628">
        <f ca="1">IFERROR(__xludf.DUMMYFUNCTION("""COMPUTED_VALUE"""),4)</f>
        <v>4</v>
      </c>
    </row>
    <row r="88" spans="1:17">
      <c r="A88" s="36" t="str">
        <f ca="1">IFERROR(__xludf.DUMMYFUNCTION("""COMPUTED_VALUE"""),"Карташов Микита")</f>
        <v>Карташов Микита</v>
      </c>
      <c r="B88" s="628">
        <f ca="1">IFERROR(__xludf.DUMMYFUNCTION("""COMPUTED_VALUE"""),5)</f>
        <v>5</v>
      </c>
      <c r="C88" s="36">
        <f ca="1">IFERROR(__xludf.DUMMYFUNCTION("""COMPUTED_VALUE"""),11)</f>
        <v>11</v>
      </c>
      <c r="D88" s="36"/>
      <c r="E88" s="36" t="str">
        <f ca="1">IFERROR(__xludf.DUMMYFUNCTION("""COMPUTED_VALUE"""),"Тесленко Тетяна")</f>
        <v>Тесленко Тетяна</v>
      </c>
      <c r="F88" s="628">
        <f ca="1">IFERROR(__xludf.DUMMYFUNCTION("""COMPUTED_VALUE"""),5)</f>
        <v>5</v>
      </c>
      <c r="L88" s="36" t="str">
        <f ca="1">IFERROR(__xludf.DUMMYFUNCTION("""COMPUTED_VALUE"""),"Золотарьов Артем")</f>
        <v>Золотарьов Артем</v>
      </c>
      <c r="M88" s="628">
        <f ca="1">IFERROR(__xludf.DUMMYFUNCTION("""COMPUTED_VALUE"""),5)</f>
        <v>5</v>
      </c>
      <c r="N88" s="36"/>
      <c r="O88" s="36"/>
      <c r="P88" s="36" t="str">
        <f ca="1">IFERROR(__xludf.DUMMYFUNCTION("""COMPUTED_VALUE"""),"Пустова Юлія")</f>
        <v>Пустова Юлія</v>
      </c>
      <c r="Q88" s="628">
        <f ca="1">IFERROR(__xludf.DUMMYFUNCTION("""COMPUTED_VALUE"""),5)</f>
        <v>5</v>
      </c>
    </row>
    <row r="89" spans="1:17">
      <c r="A89" s="36" t="str">
        <f ca="1">IFERROR(__xludf.DUMMYFUNCTION("""COMPUTED_VALUE"""),"Каськів Володимир")</f>
        <v>Каськів Володимир</v>
      </c>
      <c r="B89" s="628">
        <f ca="1">IFERROR(__xludf.DUMMYFUNCTION("""COMPUTED_VALUE"""),4.75)</f>
        <v>4.75</v>
      </c>
      <c r="C89" s="36">
        <f ca="1">IFERROR(__xludf.DUMMYFUNCTION("""COMPUTED_VALUE"""),4)</f>
        <v>4</v>
      </c>
      <c r="D89" s="36"/>
      <c r="E89" s="36" t="str">
        <f ca="1">IFERROR(__xludf.DUMMYFUNCTION("""COMPUTED_VALUE"""),"Тимків Людмила")</f>
        <v>Тимків Людмила</v>
      </c>
      <c r="F89" s="628">
        <f ca="1">IFERROR(__xludf.DUMMYFUNCTION("""COMPUTED_VALUE"""),4.4)</f>
        <v>4.4000000000000004</v>
      </c>
      <c r="L89" s="36" t="str">
        <f ca="1">IFERROR(__xludf.DUMMYFUNCTION("""COMPUTED_VALUE"""),"Іваненко Дмитро")</f>
        <v>Іваненко Дмитро</v>
      </c>
      <c r="M89" s="628">
        <f ca="1">IFERROR(__xludf.DUMMYFUNCTION("""COMPUTED_VALUE"""),5)</f>
        <v>5</v>
      </c>
      <c r="N89" s="36"/>
      <c r="O89" s="36"/>
      <c r="P89" s="36" t="str">
        <f ca="1">IFERROR(__xludf.DUMMYFUNCTION("""COMPUTED_VALUE"""),"Радзивилюк Наталія")</f>
        <v>Радзивилюк Наталія</v>
      </c>
      <c r="Q89" s="628">
        <f ca="1">IFERROR(__xludf.DUMMYFUNCTION("""COMPUTED_VALUE"""),4.75)</f>
        <v>4.75</v>
      </c>
    </row>
    <row r="90" spans="1:17">
      <c r="A90" s="36" t="str">
        <f ca="1">IFERROR(__xludf.DUMMYFUNCTION("""COMPUTED_VALUE"""),"Квітка Таісія")</f>
        <v>Квітка Таісія</v>
      </c>
      <c r="B90" s="628">
        <f ca="1">IFERROR(__xludf.DUMMYFUNCTION("""COMPUTED_VALUE"""),5)</f>
        <v>5</v>
      </c>
      <c r="C90" s="36">
        <f ca="1">IFERROR(__xludf.DUMMYFUNCTION("""COMPUTED_VALUE"""),5)</f>
        <v>5</v>
      </c>
      <c r="D90" s="36"/>
      <c r="E90" s="36" t="str">
        <f ca="1">IFERROR(__xludf.DUMMYFUNCTION("""COMPUTED_VALUE"""),"Травкіна Мар'яна")</f>
        <v>Травкіна Мар'яна</v>
      </c>
      <c r="F90" s="628">
        <f ca="1">IFERROR(__xludf.DUMMYFUNCTION("""COMPUTED_VALUE"""),5)</f>
        <v>5</v>
      </c>
      <c r="L90" s="36" t="str">
        <f ca="1">IFERROR(__xludf.DUMMYFUNCTION("""COMPUTED_VALUE"""),"Івасенко Катерина")</f>
        <v>Івасенко Катерина</v>
      </c>
      <c r="M90" s="628">
        <f ca="1">IFERROR(__xludf.DUMMYFUNCTION("""COMPUTED_VALUE"""),4.5)</f>
        <v>4.5</v>
      </c>
      <c r="N90" s="36"/>
      <c r="O90" s="36"/>
      <c r="P90" s="36" t="str">
        <f ca="1">IFERROR(__xludf.DUMMYFUNCTION("""COMPUTED_VALUE"""),"Радіонова Антоніна")</f>
        <v>Радіонова Антоніна</v>
      </c>
      <c r="Q90" s="628">
        <f ca="1">IFERROR(__xludf.DUMMYFUNCTION("""COMPUTED_VALUE"""),5)</f>
        <v>5</v>
      </c>
    </row>
    <row r="91" spans="1:17">
      <c r="A91" s="36" t="str">
        <f ca="1">IFERROR(__xludf.DUMMYFUNCTION("""COMPUTED_VALUE"""),"Кевхаян Єлизавета")</f>
        <v>Кевхаян Єлизавета</v>
      </c>
      <c r="B91" s="628">
        <f ca="1">IFERROR(__xludf.DUMMYFUNCTION("""COMPUTED_VALUE"""),4.75)</f>
        <v>4.75</v>
      </c>
      <c r="C91" s="36">
        <f ca="1">IFERROR(__xludf.DUMMYFUNCTION("""COMPUTED_VALUE"""),4)</f>
        <v>4</v>
      </c>
      <c r="D91" s="36"/>
      <c r="E91" s="36" t="str">
        <f ca="1">IFERROR(__xludf.DUMMYFUNCTION("""COMPUTED_VALUE"""),"Третьяк Олександра")</f>
        <v>Третьяк Олександра</v>
      </c>
      <c r="F91" s="628">
        <f ca="1">IFERROR(__xludf.DUMMYFUNCTION("""COMPUTED_VALUE"""),5)</f>
        <v>5</v>
      </c>
      <c r="L91" s="36" t="str">
        <f ca="1">IFERROR(__xludf.DUMMYFUNCTION("""COMPUTED_VALUE"""),"Іпатенко Володимир")</f>
        <v>Іпатенко Володимир</v>
      </c>
      <c r="M91" s="628">
        <f ca="1">IFERROR(__xludf.DUMMYFUNCTION("""COMPUTED_VALUE"""),4.74074074074074)</f>
        <v>4.7407407407407396</v>
      </c>
      <c r="N91" s="36"/>
      <c r="O91" s="36"/>
      <c r="P91" s="36" t="str">
        <f ca="1">IFERROR(__xludf.DUMMYFUNCTION("""COMPUTED_VALUE"""),"Резніченко Лілія")</f>
        <v>Резніченко Лілія</v>
      </c>
      <c r="Q91" s="628">
        <f ca="1">IFERROR(__xludf.DUMMYFUNCTION("""COMPUTED_VALUE"""),5)</f>
        <v>5</v>
      </c>
    </row>
    <row r="92" spans="1:17">
      <c r="A92" s="36" t="str">
        <f ca="1">IFERROR(__xludf.DUMMYFUNCTION("""COMPUTED_VALUE"""),"Кекляк Анна")</f>
        <v>Кекляк Анна</v>
      </c>
      <c r="B92" s="628">
        <f ca="1">IFERROR(__xludf.DUMMYFUNCTION("""COMPUTED_VALUE"""),4.57142857142857)</f>
        <v>4.5714285714285703</v>
      </c>
      <c r="C92" s="36">
        <f ca="1">IFERROR(__xludf.DUMMYFUNCTION("""COMPUTED_VALUE"""),7)</f>
        <v>7</v>
      </c>
      <c r="D92" s="36"/>
      <c r="E92" s="36" t="str">
        <f ca="1">IFERROR(__xludf.DUMMYFUNCTION("""COMPUTED_VALUE"""),"Туліка Валерія")</f>
        <v>Туліка Валерія</v>
      </c>
      <c r="F92" s="628">
        <f ca="1">IFERROR(__xludf.DUMMYFUNCTION("""COMPUTED_VALUE"""),4.8)</f>
        <v>4.8</v>
      </c>
      <c r="L92" s="36" t="str">
        <f ca="1">IFERROR(__xludf.DUMMYFUNCTION("""COMPUTED_VALUE"""),"Іщенко Лілія")</f>
        <v>Іщенко Лілія</v>
      </c>
      <c r="M92" s="628">
        <f ca="1">IFERROR(__xludf.DUMMYFUNCTION("""COMPUTED_VALUE"""),4.75)</f>
        <v>4.75</v>
      </c>
      <c r="N92" s="36"/>
      <c r="O92" s="36"/>
      <c r="P92" s="36" t="str">
        <f ca="1">IFERROR(__xludf.DUMMYFUNCTION("""COMPUTED_VALUE"""),"Рижа Олена")</f>
        <v>Рижа Олена</v>
      </c>
      <c r="Q92" s="628">
        <f ca="1">IFERROR(__xludf.DUMMYFUNCTION("""COMPUTED_VALUE"""),4.89393939393939)</f>
        <v>4.89393939393939</v>
      </c>
    </row>
    <row r="93" spans="1:17">
      <c r="A93" s="36" t="str">
        <f ca="1">IFERROR(__xludf.DUMMYFUNCTION("""COMPUTED_VALUE"""),"Кисельов Данило")</f>
        <v>Кисельов Данило</v>
      </c>
      <c r="B93" s="628">
        <f ca="1">IFERROR(__xludf.DUMMYFUNCTION("""COMPUTED_VALUE"""),5)</f>
        <v>5</v>
      </c>
      <c r="C93" s="36">
        <f ca="1">IFERROR(__xludf.DUMMYFUNCTION("""COMPUTED_VALUE"""),2)</f>
        <v>2</v>
      </c>
      <c r="D93" s="36"/>
      <c r="E93" s="36" t="str">
        <f ca="1">IFERROR(__xludf.DUMMYFUNCTION("""COMPUTED_VALUE"""),"Філоненко Василь")</f>
        <v>Філоненко Василь</v>
      </c>
      <c r="F93" s="628">
        <f ca="1">IFERROR(__xludf.DUMMYFUNCTION("""COMPUTED_VALUE"""),4.5)</f>
        <v>4.5</v>
      </c>
      <c r="L93" s="36" t="str">
        <f ca="1">IFERROR(__xludf.DUMMYFUNCTION("""COMPUTED_VALUE"""),"Іщенко Микола")</f>
        <v>Іщенко Микола</v>
      </c>
      <c r="M93" s="628">
        <f ca="1">IFERROR(__xludf.DUMMYFUNCTION("""COMPUTED_VALUE"""),4)</f>
        <v>4</v>
      </c>
      <c r="N93" s="36"/>
      <c r="O93" s="36"/>
      <c r="P93" s="36" t="str">
        <f ca="1">IFERROR(__xludf.DUMMYFUNCTION("""COMPUTED_VALUE"""),"Руденко Юлія")</f>
        <v>Руденко Юлія</v>
      </c>
      <c r="Q93" s="628">
        <f ca="1">IFERROR(__xludf.DUMMYFUNCTION("""COMPUTED_VALUE"""),5)</f>
        <v>5</v>
      </c>
    </row>
    <row r="94" spans="1:17">
      <c r="A94" s="36" t="str">
        <f ca="1">IFERROR(__xludf.DUMMYFUNCTION("""COMPUTED_VALUE"""),"Кіраль Христина")</f>
        <v>Кіраль Христина</v>
      </c>
      <c r="B94" s="628">
        <f ca="1">IFERROR(__xludf.DUMMYFUNCTION("""COMPUTED_VALUE"""),5)</f>
        <v>5</v>
      </c>
      <c r="C94" s="36">
        <f ca="1">IFERROR(__xludf.DUMMYFUNCTION("""COMPUTED_VALUE"""),5)</f>
        <v>5</v>
      </c>
      <c r="D94" s="36"/>
      <c r="E94" s="36" t="str">
        <f ca="1">IFERROR(__xludf.DUMMYFUNCTION("""COMPUTED_VALUE"""),"Царьова Юлія")</f>
        <v>Царьова Юлія</v>
      </c>
      <c r="F94" s="628">
        <f ca="1">IFERROR(__xludf.DUMMYFUNCTION("""COMPUTED_VALUE"""),4.85714285714285)</f>
        <v>4.8571428571428497</v>
      </c>
      <c r="L94" s="36" t="str">
        <f ca="1">IFERROR(__xludf.DUMMYFUNCTION("""COMPUTED_VALUE"""),"Казбанова Ксенія")</f>
        <v>Казбанова Ксенія</v>
      </c>
      <c r="M94" s="628">
        <f ca="1">IFERROR(__xludf.DUMMYFUNCTION("""COMPUTED_VALUE"""),4)</f>
        <v>4</v>
      </c>
      <c r="N94" s="36"/>
      <c r="O94" s="36"/>
      <c r="P94" s="36" t="str">
        <f ca="1">IFERROR(__xludf.DUMMYFUNCTION("""COMPUTED_VALUE"""),"Рурак Катерина")</f>
        <v>Рурак Катерина</v>
      </c>
      <c r="Q94" s="628">
        <f ca="1">IFERROR(__xludf.DUMMYFUNCTION("""COMPUTED_VALUE"""),4.83333333333333)</f>
        <v>4.8333333333333304</v>
      </c>
    </row>
    <row r="95" spans="1:17">
      <c r="A95" s="36" t="str">
        <f ca="1">IFERROR(__xludf.DUMMYFUNCTION("""COMPUTED_VALUE"""),"Ковбасюк Ілона")</f>
        <v>Ковбасюк Ілона</v>
      </c>
      <c r="B95" s="628">
        <f ca="1">IFERROR(__xludf.DUMMYFUNCTION("""COMPUTED_VALUE"""),5)</f>
        <v>5</v>
      </c>
      <c r="C95" s="36">
        <f ca="1">IFERROR(__xludf.DUMMYFUNCTION("""COMPUTED_VALUE"""),1)</f>
        <v>1</v>
      </c>
      <c r="D95" s="36"/>
      <c r="E95" s="36" t="str">
        <f ca="1">IFERROR(__xludf.DUMMYFUNCTION("""COMPUTED_VALUE"""),"Чурілов Євген")</f>
        <v>Чурілов Євген</v>
      </c>
      <c r="F95" s="628">
        <f ca="1">IFERROR(__xludf.DUMMYFUNCTION("""COMPUTED_VALUE"""),4.8125)</f>
        <v>4.8125</v>
      </c>
      <c r="L95" s="36" t="str">
        <f ca="1">IFERROR(__xludf.DUMMYFUNCTION("""COMPUTED_VALUE"""),"Калинчук Іван")</f>
        <v>Калинчук Іван</v>
      </c>
      <c r="M95" s="628">
        <f ca="1">IFERROR(__xludf.DUMMYFUNCTION("""COMPUTED_VALUE"""),5)</f>
        <v>5</v>
      </c>
      <c r="N95" s="36"/>
      <c r="O95" s="36"/>
      <c r="P95" s="36" t="str">
        <f ca="1">IFERROR(__xludf.DUMMYFUNCTION("""COMPUTED_VALUE"""),"Ряшко Дарина")</f>
        <v>Ряшко Дарина</v>
      </c>
      <c r="Q95" s="628">
        <f ca="1">IFERROR(__xludf.DUMMYFUNCTION("""COMPUTED_VALUE"""),4.875)</f>
        <v>4.875</v>
      </c>
    </row>
    <row r="96" spans="1:17">
      <c r="A96" s="36" t="str">
        <f ca="1">IFERROR(__xludf.DUMMYFUNCTION("""COMPUTED_VALUE"""),"Коврига Аліна")</f>
        <v>Коврига Аліна</v>
      </c>
      <c r="B96" s="628">
        <f ca="1">IFERROR(__xludf.DUMMYFUNCTION("""COMPUTED_VALUE"""),4.66666666666666)</f>
        <v>4.6666666666666599</v>
      </c>
      <c r="C96" s="36">
        <f ca="1">IFERROR(__xludf.DUMMYFUNCTION("""COMPUTED_VALUE"""),6)</f>
        <v>6</v>
      </c>
      <c r="D96" s="36"/>
      <c r="E96" s="36" t="str">
        <f ca="1">IFERROR(__xludf.DUMMYFUNCTION("""COMPUTED_VALUE"""),"Шаповалова Аліна")</f>
        <v>Шаповалова Аліна</v>
      </c>
      <c r="F96" s="628">
        <f ca="1">IFERROR(__xludf.DUMMYFUNCTION("""COMPUTED_VALUE"""),5)</f>
        <v>5</v>
      </c>
      <c r="L96" s="36" t="str">
        <f ca="1">IFERROR(__xludf.DUMMYFUNCTION("""COMPUTED_VALUE"""),"Калиста Юлія")</f>
        <v>Калиста Юлія</v>
      </c>
      <c r="M96" s="628">
        <f ca="1">IFERROR(__xludf.DUMMYFUNCTION("""COMPUTED_VALUE"""),5)</f>
        <v>5</v>
      </c>
      <c r="N96" s="36"/>
      <c r="O96" s="36"/>
      <c r="P96" s="36" t="str">
        <f ca="1">IFERROR(__xludf.DUMMYFUNCTION("""COMPUTED_VALUE"""),"Садова Юлія")</f>
        <v>Садова Юлія</v>
      </c>
      <c r="Q96" s="628">
        <f ca="1">IFERROR(__xludf.DUMMYFUNCTION("""COMPUTED_VALUE"""),5)</f>
        <v>5</v>
      </c>
    </row>
    <row r="97" spans="1:17">
      <c r="A97" s="36" t="str">
        <f ca="1">IFERROR(__xludf.DUMMYFUNCTION("""COMPUTED_VALUE"""),"Ковтало Оксана")</f>
        <v>Ковтало Оксана</v>
      </c>
      <c r="B97" s="628">
        <f ca="1">IFERROR(__xludf.DUMMYFUNCTION("""COMPUTED_VALUE"""),4.83333333333333)</f>
        <v>4.8333333333333304</v>
      </c>
      <c r="C97" s="36">
        <f ca="1">IFERROR(__xludf.DUMMYFUNCTION("""COMPUTED_VALUE"""),6)</f>
        <v>6</v>
      </c>
      <c r="D97" s="36"/>
      <c r="E97" s="36" t="str">
        <f ca="1">IFERROR(__xludf.DUMMYFUNCTION("""COMPUTED_VALUE"""),"Шевчук Богдан")</f>
        <v>Шевчук Богдан</v>
      </c>
      <c r="F97" s="628">
        <f ca="1">IFERROR(__xludf.DUMMYFUNCTION("""COMPUTED_VALUE"""),4.375)</f>
        <v>4.375</v>
      </c>
      <c r="L97" s="36" t="str">
        <f ca="1">IFERROR(__xludf.DUMMYFUNCTION("""COMPUTED_VALUE"""),"Калін Максим")</f>
        <v>Калін Максим</v>
      </c>
      <c r="M97" s="628">
        <f ca="1">IFERROR(__xludf.DUMMYFUNCTION("""COMPUTED_VALUE"""),4.5)</f>
        <v>4.5</v>
      </c>
      <c r="N97" s="36"/>
      <c r="O97" s="36"/>
      <c r="P97" s="36" t="str">
        <f ca="1">IFERROR(__xludf.DUMMYFUNCTION("""COMPUTED_VALUE"""),"Самойленко Роксолана")</f>
        <v>Самойленко Роксолана</v>
      </c>
      <c r="Q97" s="628">
        <f ca="1">IFERROR(__xludf.DUMMYFUNCTION("""COMPUTED_VALUE"""),5)</f>
        <v>5</v>
      </c>
    </row>
    <row r="98" spans="1:17">
      <c r="A98" s="36" t="str">
        <f ca="1">IFERROR(__xludf.DUMMYFUNCTION("""COMPUTED_VALUE"""),"Козловська Аліна")</f>
        <v>Козловська Аліна</v>
      </c>
      <c r="B98" s="628">
        <f ca="1">IFERROR(__xludf.DUMMYFUNCTION("""COMPUTED_VALUE"""),5)</f>
        <v>5</v>
      </c>
      <c r="C98" s="36">
        <f ca="1">IFERROR(__xludf.DUMMYFUNCTION("""COMPUTED_VALUE"""),1)</f>
        <v>1</v>
      </c>
      <c r="D98" s="36"/>
      <c r="E98" s="36" t="str">
        <f ca="1">IFERROR(__xludf.DUMMYFUNCTION("""COMPUTED_VALUE"""),"Шелемеха Марія")</f>
        <v>Шелемеха Марія</v>
      </c>
      <c r="F98" s="628">
        <f ca="1">IFERROR(__xludf.DUMMYFUNCTION("""COMPUTED_VALUE"""),4)</f>
        <v>4</v>
      </c>
      <c r="L98" s="36" t="str">
        <f ca="1">IFERROR(__xludf.DUMMYFUNCTION("""COMPUTED_VALUE"""),"Карпій Віталій")</f>
        <v>Карпій Віталій</v>
      </c>
      <c r="M98" s="628">
        <f ca="1">IFERROR(__xludf.DUMMYFUNCTION("""COMPUTED_VALUE"""),4.66666666666666)</f>
        <v>4.6666666666666599</v>
      </c>
      <c r="N98" s="36"/>
      <c r="O98" s="36"/>
      <c r="P98" s="36" t="str">
        <f ca="1">IFERROR(__xludf.DUMMYFUNCTION("""COMPUTED_VALUE"""),"Сапун Олена")</f>
        <v>Сапун Олена</v>
      </c>
      <c r="Q98" s="628">
        <f ca="1">IFERROR(__xludf.DUMMYFUNCTION("""COMPUTED_VALUE"""),4.8)</f>
        <v>4.8</v>
      </c>
    </row>
    <row r="99" spans="1:17">
      <c r="A99" s="36" t="str">
        <f ca="1">IFERROR(__xludf.DUMMYFUNCTION("""COMPUTED_VALUE"""),"Козловська Анастасія")</f>
        <v>Козловська Анастасія</v>
      </c>
      <c r="B99" s="628">
        <f ca="1">IFERROR(__xludf.DUMMYFUNCTION("""COMPUTED_VALUE"""),5)</f>
        <v>5</v>
      </c>
      <c r="C99" s="36">
        <f ca="1">IFERROR(__xludf.DUMMYFUNCTION("""COMPUTED_VALUE"""),2)</f>
        <v>2</v>
      </c>
      <c r="D99" s="36"/>
      <c r="E99" s="36" t="str">
        <f ca="1">IFERROR(__xludf.DUMMYFUNCTION("""COMPUTED_VALUE"""),"Шимончук Анастасія")</f>
        <v>Шимончук Анастасія</v>
      </c>
      <c r="F99" s="628">
        <f ca="1">IFERROR(__xludf.DUMMYFUNCTION("""COMPUTED_VALUE"""),5)</f>
        <v>5</v>
      </c>
      <c r="L99" s="36" t="str">
        <f ca="1">IFERROR(__xludf.DUMMYFUNCTION("""COMPUTED_VALUE"""),"Карташов Микита")</f>
        <v>Карташов Микита</v>
      </c>
      <c r="M99" s="628">
        <f ca="1">IFERROR(__xludf.DUMMYFUNCTION("""COMPUTED_VALUE"""),5)</f>
        <v>5</v>
      </c>
      <c r="N99" s="36"/>
      <c r="O99" s="36"/>
      <c r="P99" s="36" t="str">
        <f ca="1">IFERROR(__xludf.DUMMYFUNCTION("""COMPUTED_VALUE"""),"Сафонова Тетяна")</f>
        <v>Сафонова Тетяна</v>
      </c>
      <c r="Q99" s="628">
        <f ca="1">IFERROR(__xludf.DUMMYFUNCTION("""COMPUTED_VALUE"""),5)</f>
        <v>5</v>
      </c>
    </row>
    <row r="100" spans="1:17">
      <c r="A100" s="36" t="str">
        <f ca="1">IFERROR(__xludf.DUMMYFUNCTION("""COMPUTED_VALUE"""),"Колеснік Дмитро")</f>
        <v>Колеснік Дмитро</v>
      </c>
      <c r="B100" s="628">
        <f ca="1">IFERROR(__xludf.DUMMYFUNCTION("""COMPUTED_VALUE"""),5)</f>
        <v>5</v>
      </c>
      <c r="C100" s="36">
        <f ca="1">IFERROR(__xludf.DUMMYFUNCTION("""COMPUTED_VALUE"""),1)</f>
        <v>1</v>
      </c>
      <c r="D100" s="36"/>
      <c r="E100" s="36" t="str">
        <f ca="1">IFERROR(__xludf.DUMMYFUNCTION("""COMPUTED_VALUE"""),"Шулєшко Дар‘я")</f>
        <v>Шулєшко Дар‘я</v>
      </c>
      <c r="F100" s="628">
        <f ca="1">IFERROR(__xludf.DUMMYFUNCTION("""COMPUTED_VALUE"""),5)</f>
        <v>5</v>
      </c>
      <c r="L100" s="36" t="str">
        <f ca="1">IFERROR(__xludf.DUMMYFUNCTION("""COMPUTED_VALUE"""),"Каськів Володимир")</f>
        <v>Каськів Володимир</v>
      </c>
      <c r="M100" s="628">
        <f ca="1">IFERROR(__xludf.DUMMYFUNCTION("""COMPUTED_VALUE"""),4.71428571428571)</f>
        <v>4.71428571428571</v>
      </c>
      <c r="N100" s="36"/>
      <c r="O100" s="36"/>
      <c r="P100" s="36" t="str">
        <f ca="1">IFERROR(__xludf.DUMMYFUNCTION("""COMPUTED_VALUE"""),"Симоненко Анна")</f>
        <v>Симоненко Анна</v>
      </c>
      <c r="Q100" s="628">
        <f ca="1">IFERROR(__xludf.DUMMYFUNCTION("""COMPUTED_VALUE"""),5)</f>
        <v>5</v>
      </c>
    </row>
    <row r="101" spans="1:17">
      <c r="A101" s="36" t="str">
        <f ca="1">IFERROR(__xludf.DUMMYFUNCTION("""COMPUTED_VALUE"""),"Конасова Ольга")</f>
        <v>Конасова Ольга</v>
      </c>
      <c r="B101" s="628">
        <f ca="1">IFERROR(__xludf.DUMMYFUNCTION("""COMPUTED_VALUE"""),5)</f>
        <v>5</v>
      </c>
      <c r="C101" s="36">
        <f ca="1">IFERROR(__xludf.DUMMYFUNCTION("""COMPUTED_VALUE"""),4)</f>
        <v>4</v>
      </c>
      <c r="D101" s="36"/>
      <c r="E101" s="36" t="str">
        <f ca="1">IFERROR(__xludf.DUMMYFUNCTION("""COMPUTED_VALUE"""),"Щербакова Анастасія")</f>
        <v>Щербакова Анастасія</v>
      </c>
      <c r="F101" s="628">
        <f ca="1">IFERROR(__xludf.DUMMYFUNCTION("""COMPUTED_VALUE"""),4.5)</f>
        <v>4.5</v>
      </c>
      <c r="L101" s="36" t="str">
        <f ca="1">IFERROR(__xludf.DUMMYFUNCTION("""COMPUTED_VALUE"""),"Квітка Таісія")</f>
        <v>Квітка Таісія</v>
      </c>
      <c r="M101" s="628">
        <f ca="1">IFERROR(__xludf.DUMMYFUNCTION("""COMPUTED_VALUE"""),5)</f>
        <v>5</v>
      </c>
      <c r="N101" s="36"/>
      <c r="O101" s="36"/>
      <c r="P101" s="36" t="str">
        <f ca="1">IFERROR(__xludf.DUMMYFUNCTION("""COMPUTED_VALUE"""),"Скакун Любов")</f>
        <v>Скакун Любов</v>
      </c>
      <c r="Q101" s="628">
        <f ca="1">IFERROR(__xludf.DUMMYFUNCTION("""COMPUTED_VALUE"""),5)</f>
        <v>5</v>
      </c>
    </row>
    <row r="102" spans="1:17">
      <c r="A102" s="36" t="str">
        <f ca="1">IFERROR(__xludf.DUMMYFUNCTION("""COMPUTED_VALUE"""),"Кондратюк Богдан")</f>
        <v>Кондратюк Богдан</v>
      </c>
      <c r="B102" s="628">
        <f ca="1">IFERROR(__xludf.DUMMYFUNCTION("""COMPUTED_VALUE"""),5)</f>
        <v>5</v>
      </c>
      <c r="C102" s="36">
        <f ca="1">IFERROR(__xludf.DUMMYFUNCTION("""COMPUTED_VALUE"""),3)</f>
        <v>3</v>
      </c>
      <c r="D102" s="36"/>
      <c r="E102" s="36" t="str">
        <f ca="1">IFERROR(__xludf.DUMMYFUNCTION("""COMPUTED_VALUE"""),"Юзькова Інна")</f>
        <v>Юзькова Інна</v>
      </c>
      <c r="F102" s="628">
        <f ca="1">IFERROR(__xludf.DUMMYFUNCTION("""COMPUTED_VALUE"""),4.53846153846153)</f>
        <v>4.5384615384615303</v>
      </c>
      <c r="L102" s="36" t="str">
        <f ca="1">IFERROR(__xludf.DUMMYFUNCTION("""COMPUTED_VALUE"""),"Кевхаян Єлизавета")</f>
        <v>Кевхаян Єлизавета</v>
      </c>
      <c r="M102" s="628">
        <f ca="1">IFERROR(__xludf.DUMMYFUNCTION("""COMPUTED_VALUE"""),4.5)</f>
        <v>4.5</v>
      </c>
      <c r="N102" s="36"/>
      <c r="O102" s="36"/>
      <c r="P102" s="36" t="str">
        <f ca="1">IFERROR(__xludf.DUMMYFUNCTION("""COMPUTED_VALUE"""),"Тараканов Олександр")</f>
        <v>Тараканов Олександр</v>
      </c>
      <c r="Q102" s="628">
        <f ca="1">IFERROR(__xludf.DUMMYFUNCTION("""COMPUTED_VALUE"""),4.55555555555555)</f>
        <v>4.55555555555555</v>
      </c>
    </row>
    <row r="103" spans="1:17">
      <c r="A103" s="36" t="str">
        <f ca="1">IFERROR(__xludf.DUMMYFUNCTION("""COMPUTED_VALUE"""),"Кондюк Катерина")</f>
        <v>Кондюк Катерина</v>
      </c>
      <c r="B103" s="628">
        <f ca="1">IFERROR(__xludf.DUMMYFUNCTION("""COMPUTED_VALUE"""),5)</f>
        <v>5</v>
      </c>
      <c r="C103" s="36">
        <f ca="1">IFERROR(__xludf.DUMMYFUNCTION("""COMPUTED_VALUE"""),6)</f>
        <v>6</v>
      </c>
      <c r="D103" s="36"/>
      <c r="E103" s="36" t="str">
        <f ca="1">IFERROR(__xludf.DUMMYFUNCTION("""COMPUTED_VALUE"""),"Явтушенко Вікторія")</f>
        <v>Явтушенко Вікторія</v>
      </c>
      <c r="F103" s="628">
        <f ca="1">IFERROR(__xludf.DUMMYFUNCTION("""COMPUTED_VALUE"""),5)</f>
        <v>5</v>
      </c>
      <c r="L103" s="36" t="str">
        <f ca="1">IFERROR(__xludf.DUMMYFUNCTION("""COMPUTED_VALUE"""),"Кекляк Анна")</f>
        <v>Кекляк Анна</v>
      </c>
      <c r="M103" s="628">
        <f ca="1">IFERROR(__xludf.DUMMYFUNCTION("""COMPUTED_VALUE"""),4.78571428571428)</f>
        <v>4.7857142857142803</v>
      </c>
      <c r="N103" s="36"/>
      <c r="O103" s="36"/>
      <c r="P103" s="36" t="str">
        <f ca="1">IFERROR(__xludf.DUMMYFUNCTION("""COMPUTED_VALUE"""),"Таценко Катерина")</f>
        <v>Таценко Катерина</v>
      </c>
      <c r="Q103" s="628">
        <f ca="1">IFERROR(__xludf.DUMMYFUNCTION("""COMPUTED_VALUE"""),5)</f>
        <v>5</v>
      </c>
    </row>
    <row r="104" spans="1:17">
      <c r="A104" s="36" t="str">
        <f ca="1">IFERROR(__xludf.DUMMYFUNCTION("""COMPUTED_VALUE"""),"Коник Олександр")</f>
        <v>Коник Олександр</v>
      </c>
      <c r="B104" s="628">
        <f ca="1">IFERROR(__xludf.DUMMYFUNCTION("""COMPUTED_VALUE"""),4.8)</f>
        <v>4.8</v>
      </c>
      <c r="C104" s="36">
        <f ca="1">IFERROR(__xludf.DUMMYFUNCTION("""COMPUTED_VALUE"""),5)</f>
        <v>5</v>
      </c>
      <c r="D104" s="36"/>
      <c r="E104" s="36" t="str">
        <f ca="1">IFERROR(__xludf.DUMMYFUNCTION("""COMPUTED_VALUE"""),"Яремчук Юлія")</f>
        <v>Яремчук Юлія</v>
      </c>
      <c r="F104" s="628">
        <f ca="1">IFERROR(__xludf.DUMMYFUNCTION("""COMPUTED_VALUE"""),5)</f>
        <v>5</v>
      </c>
      <c r="L104" s="36" t="str">
        <f ca="1">IFERROR(__xludf.DUMMYFUNCTION("""COMPUTED_VALUE"""),"Кириленко Дарина")</f>
        <v>Кириленко Дарина</v>
      </c>
      <c r="M104" s="628">
        <f ca="1">IFERROR(__xludf.DUMMYFUNCTION("""COMPUTED_VALUE"""),4)</f>
        <v>4</v>
      </c>
      <c r="N104" s="36"/>
      <c r="O104" s="36"/>
      <c r="P104" s="36" t="str">
        <f ca="1">IFERROR(__xludf.DUMMYFUNCTION("""COMPUTED_VALUE"""),"Тесленко Тетяна")</f>
        <v>Тесленко Тетяна</v>
      </c>
      <c r="Q104" s="628">
        <f ca="1">IFERROR(__xludf.DUMMYFUNCTION("""COMPUTED_VALUE"""),4.42857142857142)</f>
        <v>4.4285714285714199</v>
      </c>
    </row>
    <row r="105" spans="1:17">
      <c r="A105" s="36" t="str">
        <f ca="1">IFERROR(__xludf.DUMMYFUNCTION("""COMPUTED_VALUE"""),"Корнієнко Інна")</f>
        <v>Корнієнко Інна</v>
      </c>
      <c r="B105" s="628">
        <f ca="1">IFERROR(__xludf.DUMMYFUNCTION("""COMPUTED_VALUE"""),4.5)</f>
        <v>4.5</v>
      </c>
      <c r="C105" s="36">
        <f ca="1">IFERROR(__xludf.DUMMYFUNCTION("""COMPUTED_VALUE"""),2)</f>
        <v>2</v>
      </c>
      <c r="D105" s="36"/>
      <c r="E105" s="36" t="str">
        <f ca="1">IFERROR(__xludf.DUMMYFUNCTION("""COMPUTED_VALUE"""),"Итого")</f>
        <v>Итого</v>
      </c>
      <c r="F105" s="628">
        <f ca="1">IFERROR(__xludf.DUMMYFUNCTION("""COMPUTED_VALUE"""),4.81093935790725)</f>
        <v>4.8109393579072499</v>
      </c>
      <c r="L105" s="36" t="str">
        <f ca="1">IFERROR(__xludf.DUMMYFUNCTION("""COMPUTED_VALUE"""),"Кисельов Данило")</f>
        <v>Кисельов Данило</v>
      </c>
      <c r="M105" s="628">
        <f ca="1">IFERROR(__xludf.DUMMYFUNCTION("""COMPUTED_VALUE"""),5)</f>
        <v>5</v>
      </c>
      <c r="N105" s="36"/>
      <c r="O105" s="36"/>
      <c r="P105" s="36" t="str">
        <f ca="1">IFERROR(__xludf.DUMMYFUNCTION("""COMPUTED_VALUE"""),"Тимків Людмила")</f>
        <v>Тимків Людмила</v>
      </c>
      <c r="Q105" s="628">
        <f ca="1">IFERROR(__xludf.DUMMYFUNCTION("""COMPUTED_VALUE"""),5)</f>
        <v>5</v>
      </c>
    </row>
    <row r="106" spans="1:17">
      <c r="A106" s="36" t="str">
        <f ca="1">IFERROR(__xludf.DUMMYFUNCTION("""COMPUTED_VALUE"""),"Корнієнко Юлія")</f>
        <v>Корнієнко Юлія</v>
      </c>
      <c r="B106" s="628">
        <f ca="1">IFERROR(__xludf.DUMMYFUNCTION("""COMPUTED_VALUE"""),4.57142857142857)</f>
        <v>4.5714285714285703</v>
      </c>
      <c r="C106" s="36">
        <f ca="1">IFERROR(__xludf.DUMMYFUNCTION("""COMPUTED_VALUE"""),7)</f>
        <v>7</v>
      </c>
      <c r="D106" s="36"/>
      <c r="E106" s="36"/>
      <c r="F106" s="36"/>
      <c r="L106" s="36" t="str">
        <f ca="1">IFERROR(__xludf.DUMMYFUNCTION("""COMPUTED_VALUE"""),"Кисельов Іван")</f>
        <v>Кисельов Іван</v>
      </c>
      <c r="M106" s="628">
        <f ca="1">IFERROR(__xludf.DUMMYFUNCTION("""COMPUTED_VALUE"""),5)</f>
        <v>5</v>
      </c>
      <c r="N106" s="36"/>
      <c r="O106" s="36"/>
      <c r="P106" s="36" t="str">
        <f ca="1">IFERROR(__xludf.DUMMYFUNCTION("""COMPUTED_VALUE"""),"Травкіна Мар'яна")</f>
        <v>Травкіна Мар'яна</v>
      </c>
      <c r="Q106" s="628">
        <f ca="1">IFERROR(__xludf.DUMMYFUNCTION("""COMPUTED_VALUE"""),4.75)</f>
        <v>4.75</v>
      </c>
    </row>
    <row r="107" spans="1:17">
      <c r="A107" s="36" t="str">
        <f ca="1">IFERROR(__xludf.DUMMYFUNCTION("""COMPUTED_VALUE"""),"Корнійчук Олександра")</f>
        <v>Корнійчук Олександра</v>
      </c>
      <c r="B107" s="628">
        <f ca="1">IFERROR(__xludf.DUMMYFUNCTION("""COMPUTED_VALUE"""),5)</f>
        <v>5</v>
      </c>
      <c r="C107" s="36">
        <f ca="1">IFERROR(__xludf.DUMMYFUNCTION("""COMPUTED_VALUE"""),3)</f>
        <v>3</v>
      </c>
      <c r="D107" s="36"/>
      <c r="E107" s="36"/>
      <c r="F107" s="36"/>
      <c r="L107" s="36" t="str">
        <f ca="1">IFERROR(__xludf.DUMMYFUNCTION("""COMPUTED_VALUE"""),"Кіраль Христина")</f>
        <v>Кіраль Христина</v>
      </c>
      <c r="M107" s="628">
        <f ca="1">IFERROR(__xludf.DUMMYFUNCTION("""COMPUTED_VALUE"""),4)</f>
        <v>4</v>
      </c>
      <c r="N107" s="36"/>
      <c r="O107" s="36"/>
      <c r="P107" s="36" t="str">
        <f ca="1">IFERROR(__xludf.DUMMYFUNCTION("""COMPUTED_VALUE"""),"Третьяк Олександра")</f>
        <v>Третьяк Олександра</v>
      </c>
      <c r="Q107" s="628">
        <f ca="1">IFERROR(__xludf.DUMMYFUNCTION("""COMPUTED_VALUE"""),4.92307692307692)</f>
        <v>4.9230769230769198</v>
      </c>
    </row>
    <row r="108" spans="1:17">
      <c r="A108" s="36" t="str">
        <f ca="1">IFERROR(__xludf.DUMMYFUNCTION("""COMPUTED_VALUE"""),"Кравченко Юлія")</f>
        <v>Кравченко Юлія</v>
      </c>
      <c r="B108" s="628">
        <f ca="1">IFERROR(__xludf.DUMMYFUNCTION("""COMPUTED_VALUE"""),5)</f>
        <v>5</v>
      </c>
      <c r="C108" s="36">
        <f ca="1">IFERROR(__xludf.DUMMYFUNCTION("""COMPUTED_VALUE"""),3)</f>
        <v>3</v>
      </c>
      <c r="D108" s="36"/>
      <c r="E108" s="36"/>
      <c r="F108" s="36"/>
      <c r="L108" s="36" t="str">
        <f ca="1">IFERROR(__xludf.DUMMYFUNCTION("""COMPUTED_VALUE"""),"Кішечко Станіслав")</f>
        <v>Кішечко Станіслав</v>
      </c>
      <c r="M108" s="628">
        <f ca="1">IFERROR(__xludf.DUMMYFUNCTION("""COMPUTED_VALUE"""),4.5)</f>
        <v>4.5</v>
      </c>
      <c r="N108" s="36"/>
      <c r="O108" s="36"/>
      <c r="P108" s="36" t="str">
        <f ca="1">IFERROR(__xludf.DUMMYFUNCTION("""COMPUTED_VALUE"""),"Трофимова Анастасія")</f>
        <v>Трофимова Анастасія</v>
      </c>
      <c r="Q108" s="628">
        <f ca="1">IFERROR(__xludf.DUMMYFUNCTION("""COMPUTED_VALUE"""),5)</f>
        <v>5</v>
      </c>
    </row>
    <row r="109" spans="1:17">
      <c r="A109" s="36" t="str">
        <f ca="1">IFERROR(__xludf.DUMMYFUNCTION("""COMPUTED_VALUE"""),"Кривенко Михайло")</f>
        <v>Кривенко Михайло</v>
      </c>
      <c r="B109" s="628">
        <f ca="1">IFERROR(__xludf.DUMMYFUNCTION("""COMPUTED_VALUE"""),5)</f>
        <v>5</v>
      </c>
      <c r="C109" s="36">
        <f ca="1">IFERROR(__xludf.DUMMYFUNCTION("""COMPUTED_VALUE"""),1)</f>
        <v>1</v>
      </c>
      <c r="D109" s="36"/>
      <c r="E109" s="36"/>
      <c r="F109" s="36"/>
      <c r="L109" s="36" t="str">
        <f ca="1">IFERROR(__xludf.DUMMYFUNCTION("""COMPUTED_VALUE"""),"Кобильська Дар'я")</f>
        <v>Кобильська Дар'я</v>
      </c>
      <c r="M109" s="628">
        <f ca="1">IFERROR(__xludf.DUMMYFUNCTION("""COMPUTED_VALUE"""),5)</f>
        <v>5</v>
      </c>
      <c r="N109" s="36"/>
      <c r="O109" s="36"/>
      <c r="P109" s="36" t="str">
        <f ca="1">IFERROR(__xludf.DUMMYFUNCTION("""COMPUTED_VALUE"""),"Туліка Валерія")</f>
        <v>Туліка Валерія</v>
      </c>
      <c r="Q109" s="628">
        <f ca="1">IFERROR(__xludf.DUMMYFUNCTION("""COMPUTED_VALUE"""),4.85714285714285)</f>
        <v>4.8571428571428497</v>
      </c>
    </row>
    <row r="110" spans="1:17">
      <c r="A110" s="36" t="str">
        <f ca="1">IFERROR(__xludf.DUMMYFUNCTION("""COMPUTED_VALUE"""),"Кримлов Данило")</f>
        <v>Кримлов Данило</v>
      </c>
      <c r="B110" s="628">
        <f ca="1">IFERROR(__xludf.DUMMYFUNCTION("""COMPUTED_VALUE"""),5)</f>
        <v>5</v>
      </c>
      <c r="C110" s="36">
        <f ca="1">IFERROR(__xludf.DUMMYFUNCTION("""COMPUTED_VALUE"""),2)</f>
        <v>2</v>
      </c>
      <c r="D110" s="36"/>
      <c r="E110" s="36"/>
      <c r="F110" s="36"/>
      <c r="L110" s="36" t="str">
        <f ca="1">IFERROR(__xludf.DUMMYFUNCTION("""COMPUTED_VALUE"""),"Коваленко Віталій")</f>
        <v>Коваленко Віталій</v>
      </c>
      <c r="M110" s="628">
        <f ca="1">IFERROR(__xludf.DUMMYFUNCTION("""COMPUTED_VALUE"""),5)</f>
        <v>5</v>
      </c>
      <c r="N110" s="36"/>
      <c r="O110" s="36"/>
      <c r="P110" s="36" t="str">
        <f ca="1">IFERROR(__xludf.DUMMYFUNCTION("""COMPUTED_VALUE"""),"Федів Анастасія")</f>
        <v>Федів Анастасія</v>
      </c>
      <c r="Q110" s="628">
        <f ca="1">IFERROR(__xludf.DUMMYFUNCTION("""COMPUTED_VALUE"""),4.8)</f>
        <v>4.8</v>
      </c>
    </row>
    <row r="111" spans="1:17">
      <c r="A111" s="36" t="str">
        <f ca="1">IFERROR(__xludf.DUMMYFUNCTION("""COMPUTED_VALUE"""),"Кропивко Влад")</f>
        <v>Кропивко Влад</v>
      </c>
      <c r="B111" s="628">
        <f ca="1">IFERROR(__xludf.DUMMYFUNCTION("""COMPUTED_VALUE"""),5)</f>
        <v>5</v>
      </c>
      <c r="C111" s="36">
        <f ca="1">IFERROR(__xludf.DUMMYFUNCTION("""COMPUTED_VALUE"""),5)</f>
        <v>5</v>
      </c>
      <c r="D111" s="36"/>
      <c r="E111" s="36"/>
      <c r="F111" s="36"/>
      <c r="L111" s="36" t="str">
        <f ca="1">IFERROR(__xludf.DUMMYFUNCTION("""COMPUTED_VALUE"""),"Ковалюк Дмитро")</f>
        <v>Ковалюк Дмитро</v>
      </c>
      <c r="M111" s="628">
        <f ca="1">IFERROR(__xludf.DUMMYFUNCTION("""COMPUTED_VALUE"""),5)</f>
        <v>5</v>
      </c>
      <c r="N111" s="36"/>
      <c r="O111" s="36"/>
      <c r="P111" s="36" t="str">
        <f ca="1">IFERROR(__xludf.DUMMYFUNCTION("""COMPUTED_VALUE"""),"Філоненко Василь")</f>
        <v>Філоненко Василь</v>
      </c>
      <c r="Q111" s="628">
        <f ca="1">IFERROR(__xludf.DUMMYFUNCTION("""COMPUTED_VALUE"""),5)</f>
        <v>5</v>
      </c>
    </row>
    <row r="112" spans="1:17">
      <c r="A112" s="36" t="str">
        <f ca="1">IFERROR(__xludf.DUMMYFUNCTION("""COMPUTED_VALUE"""),"Крутько Дмитро")</f>
        <v>Крутько Дмитро</v>
      </c>
      <c r="B112" s="628">
        <f ca="1">IFERROR(__xludf.DUMMYFUNCTION("""COMPUTED_VALUE"""),5)</f>
        <v>5</v>
      </c>
      <c r="C112" s="36">
        <f ca="1">IFERROR(__xludf.DUMMYFUNCTION("""COMPUTED_VALUE"""),2)</f>
        <v>2</v>
      </c>
      <c r="D112" s="36"/>
      <c r="E112" s="36"/>
      <c r="F112" s="36"/>
      <c r="L112" s="36" t="str">
        <f ca="1">IFERROR(__xludf.DUMMYFUNCTION("""COMPUTED_VALUE"""),"Коврига Аліна")</f>
        <v>Коврига Аліна</v>
      </c>
      <c r="M112" s="628">
        <f ca="1">IFERROR(__xludf.DUMMYFUNCTION("""COMPUTED_VALUE"""),4.85714285714285)</f>
        <v>4.8571428571428497</v>
      </c>
      <c r="N112" s="36"/>
      <c r="O112" s="36"/>
      <c r="P112" s="36" t="str">
        <f ca="1">IFERROR(__xludf.DUMMYFUNCTION("""COMPUTED_VALUE"""),"Форостян Любава")</f>
        <v>Форостян Любава</v>
      </c>
      <c r="Q112" s="628">
        <f ca="1">IFERROR(__xludf.DUMMYFUNCTION("""COMPUTED_VALUE"""),5)</f>
        <v>5</v>
      </c>
    </row>
    <row r="113" spans="1:17">
      <c r="A113" s="36" t="str">
        <f ca="1">IFERROR(__xludf.DUMMYFUNCTION("""COMPUTED_VALUE"""),"Крючкова Юлія")</f>
        <v>Крючкова Юлія</v>
      </c>
      <c r="B113" s="628">
        <f ca="1">IFERROR(__xludf.DUMMYFUNCTION("""COMPUTED_VALUE"""),5)</f>
        <v>5</v>
      </c>
      <c r="C113" s="36">
        <f ca="1">IFERROR(__xludf.DUMMYFUNCTION("""COMPUTED_VALUE"""),2)</f>
        <v>2</v>
      </c>
      <c r="D113" s="36"/>
      <c r="E113" s="36"/>
      <c r="F113" s="36"/>
      <c r="L113" s="36" t="str">
        <f ca="1">IFERROR(__xludf.DUMMYFUNCTION("""COMPUTED_VALUE"""),"Ковтало Оксана")</f>
        <v>Ковтало Оксана</v>
      </c>
      <c r="M113" s="628">
        <f ca="1">IFERROR(__xludf.DUMMYFUNCTION("""COMPUTED_VALUE"""),5)</f>
        <v>5</v>
      </c>
      <c r="N113" s="36"/>
      <c r="O113" s="36"/>
      <c r="P113" s="36" t="str">
        <f ca="1">IFERROR(__xludf.DUMMYFUNCTION("""COMPUTED_VALUE"""),"Фромель Іванна")</f>
        <v>Фромель Іванна</v>
      </c>
      <c r="Q113" s="628">
        <f ca="1">IFERROR(__xludf.DUMMYFUNCTION("""COMPUTED_VALUE"""),4.73076923076923)</f>
        <v>4.7307692307692299</v>
      </c>
    </row>
    <row r="114" spans="1:17">
      <c r="A114" s="36" t="str">
        <f ca="1">IFERROR(__xludf.DUMMYFUNCTION("""COMPUTED_VALUE"""),"Кубанцев Сергій")</f>
        <v>Кубанцев Сергій</v>
      </c>
      <c r="B114" s="628">
        <f ca="1">IFERROR(__xludf.DUMMYFUNCTION("""COMPUTED_VALUE"""),4)</f>
        <v>4</v>
      </c>
      <c r="C114" s="36">
        <f ca="1">IFERROR(__xludf.DUMMYFUNCTION("""COMPUTED_VALUE"""),1)</f>
        <v>1</v>
      </c>
      <c r="D114" s="36"/>
      <c r="E114" s="36"/>
      <c r="F114" s="36"/>
      <c r="L114" s="36" t="str">
        <f ca="1">IFERROR(__xludf.DUMMYFUNCTION("""COMPUTED_VALUE"""),"Когутенко Мария")</f>
        <v>Когутенко Мария</v>
      </c>
      <c r="M114" s="628">
        <f ca="1">IFERROR(__xludf.DUMMYFUNCTION("""COMPUTED_VALUE"""),5)</f>
        <v>5</v>
      </c>
      <c r="N114" s="36"/>
      <c r="O114" s="36"/>
      <c r="P114" s="36" t="str">
        <f ca="1">IFERROR(__xludf.DUMMYFUNCTION("""COMPUTED_VALUE"""),"Хас Зоряна")</f>
        <v>Хас Зоряна</v>
      </c>
      <c r="Q114" s="628">
        <f ca="1">IFERROR(__xludf.DUMMYFUNCTION("""COMPUTED_VALUE"""),4.75)</f>
        <v>4.75</v>
      </c>
    </row>
    <row r="115" spans="1:17">
      <c r="A115" s="36" t="str">
        <f ca="1">IFERROR(__xludf.DUMMYFUNCTION("""COMPUTED_VALUE"""),"Кулеш Іван")</f>
        <v>Кулеш Іван</v>
      </c>
      <c r="B115" s="628">
        <f ca="1">IFERROR(__xludf.DUMMYFUNCTION("""COMPUTED_VALUE"""),5)</f>
        <v>5</v>
      </c>
      <c r="C115" s="36">
        <f ca="1">IFERROR(__xludf.DUMMYFUNCTION("""COMPUTED_VALUE"""),2)</f>
        <v>2</v>
      </c>
      <c r="D115" s="36"/>
      <c r="E115" s="36"/>
      <c r="F115" s="36"/>
      <c r="L115" s="36" t="str">
        <f ca="1">IFERROR(__xludf.DUMMYFUNCTION("""COMPUTED_VALUE"""),"Козловська Аліна")</f>
        <v>Козловська Аліна</v>
      </c>
      <c r="M115" s="628">
        <f ca="1">IFERROR(__xludf.DUMMYFUNCTION("""COMPUTED_VALUE"""),5)</f>
        <v>5</v>
      </c>
      <c r="N115" s="36"/>
      <c r="O115" s="36"/>
      <c r="P115" s="36" t="str">
        <f ca="1">IFERROR(__xludf.DUMMYFUNCTION("""COMPUTED_VALUE"""),"Царьова Юлія")</f>
        <v>Царьова Юлія</v>
      </c>
      <c r="Q115" s="628">
        <f ca="1">IFERROR(__xludf.DUMMYFUNCTION("""COMPUTED_VALUE"""),4.8)</f>
        <v>4.8</v>
      </c>
    </row>
    <row r="116" spans="1:17">
      <c r="A116" s="36" t="str">
        <f ca="1">IFERROR(__xludf.DUMMYFUNCTION("""COMPUTED_VALUE"""),"Кулєєв Владислав")</f>
        <v>Кулєєв Владислав</v>
      </c>
      <c r="B116" s="628">
        <f ca="1">IFERROR(__xludf.DUMMYFUNCTION("""COMPUTED_VALUE"""),5)</f>
        <v>5</v>
      </c>
      <c r="C116" s="36">
        <f ca="1">IFERROR(__xludf.DUMMYFUNCTION("""COMPUTED_VALUE"""),2)</f>
        <v>2</v>
      </c>
      <c r="D116" s="36"/>
      <c r="E116" s="36"/>
      <c r="F116" s="36"/>
      <c r="L116" s="36" t="str">
        <f ca="1">IFERROR(__xludf.DUMMYFUNCTION("""COMPUTED_VALUE"""),"Колеснік Дмитро")</f>
        <v>Колеснік Дмитро</v>
      </c>
      <c r="M116" s="628">
        <f ca="1">IFERROR(__xludf.DUMMYFUNCTION("""COMPUTED_VALUE"""),5)</f>
        <v>5</v>
      </c>
      <c r="N116" s="36"/>
      <c r="O116" s="36"/>
      <c r="P116" s="36" t="str">
        <f ca="1">IFERROR(__xludf.DUMMYFUNCTION("""COMPUTED_VALUE"""),"Царьова Юлія Анатоліївна")</f>
        <v>Царьова Юлія Анатоліївна</v>
      </c>
      <c r="Q116" s="628">
        <f ca="1">IFERROR(__xludf.DUMMYFUNCTION("""COMPUTED_VALUE"""),5)</f>
        <v>5</v>
      </c>
    </row>
    <row r="117" spans="1:17">
      <c r="A117" s="36" t="str">
        <f ca="1">IFERROR(__xludf.DUMMYFUNCTION("""COMPUTED_VALUE"""),"Кулібабіна Анна")</f>
        <v>Кулібабіна Анна</v>
      </c>
      <c r="B117" s="628">
        <f ca="1">IFERROR(__xludf.DUMMYFUNCTION("""COMPUTED_VALUE"""),5)</f>
        <v>5</v>
      </c>
      <c r="C117" s="36">
        <f ca="1">IFERROR(__xludf.DUMMYFUNCTION("""COMPUTED_VALUE"""),11)</f>
        <v>11</v>
      </c>
      <c r="D117" s="36"/>
      <c r="E117" s="36"/>
      <c r="F117" s="36"/>
      <c r="L117" s="36" t="str">
        <f ca="1">IFERROR(__xludf.DUMMYFUNCTION("""COMPUTED_VALUE"""),"Конасова Ольга")</f>
        <v>Конасова Ольга</v>
      </c>
      <c r="M117" s="628">
        <f ca="1">IFERROR(__xludf.DUMMYFUNCTION("""COMPUTED_VALUE"""),5)</f>
        <v>5</v>
      </c>
      <c r="N117" s="36"/>
      <c r="O117" s="36"/>
      <c r="P117" s="36" t="str">
        <f ca="1">IFERROR(__xludf.DUMMYFUNCTION("""COMPUTED_VALUE"""),"Чех Роман")</f>
        <v>Чех Роман</v>
      </c>
      <c r="Q117" s="628">
        <f ca="1">IFERROR(__xludf.DUMMYFUNCTION("""COMPUTED_VALUE"""),4.64285714285714)</f>
        <v>4.6428571428571397</v>
      </c>
    </row>
    <row r="118" spans="1:17">
      <c r="A118" s="36" t="str">
        <f ca="1">IFERROR(__xludf.DUMMYFUNCTION("""COMPUTED_VALUE"""),"Кучер Наталя")</f>
        <v>Кучер Наталя</v>
      </c>
      <c r="B118" s="628">
        <f ca="1">IFERROR(__xludf.DUMMYFUNCTION("""COMPUTED_VALUE"""),5)</f>
        <v>5</v>
      </c>
      <c r="C118" s="36">
        <f ca="1">IFERROR(__xludf.DUMMYFUNCTION("""COMPUTED_VALUE"""),6)</f>
        <v>6</v>
      </c>
      <c r="D118" s="36"/>
      <c r="E118" s="36"/>
      <c r="F118" s="36"/>
      <c r="L118" s="36" t="str">
        <f ca="1">IFERROR(__xludf.DUMMYFUNCTION("""COMPUTED_VALUE"""),"Кондратюк Богдан")</f>
        <v>Кондратюк Богдан</v>
      </c>
      <c r="M118" s="628">
        <f ca="1">IFERROR(__xludf.DUMMYFUNCTION("""COMPUTED_VALUE"""),4.2)</f>
        <v>4.2</v>
      </c>
      <c r="N118" s="36"/>
      <c r="O118" s="36"/>
      <c r="P118" s="36" t="str">
        <f ca="1">IFERROR(__xludf.DUMMYFUNCTION("""COMPUTED_VALUE"""),"Чурілов Євген")</f>
        <v>Чурілов Євген</v>
      </c>
      <c r="Q118" s="628">
        <f ca="1">IFERROR(__xludf.DUMMYFUNCTION("""COMPUTED_VALUE"""),5)</f>
        <v>5</v>
      </c>
    </row>
    <row r="119" spans="1:17">
      <c r="A119" s="36" t="str">
        <f ca="1">IFERROR(__xludf.DUMMYFUNCTION("""COMPUTED_VALUE"""),"Кучеренко Максим")</f>
        <v>Кучеренко Максим</v>
      </c>
      <c r="B119" s="628">
        <f ca="1">IFERROR(__xludf.DUMMYFUNCTION("""COMPUTED_VALUE"""),5)</f>
        <v>5</v>
      </c>
      <c r="C119" s="36">
        <f ca="1">IFERROR(__xludf.DUMMYFUNCTION("""COMPUTED_VALUE"""),4)</f>
        <v>4</v>
      </c>
      <c r="D119" s="36"/>
      <c r="E119" s="36"/>
      <c r="F119" s="36"/>
      <c r="L119" s="36" t="str">
        <f ca="1">IFERROR(__xludf.DUMMYFUNCTION("""COMPUTED_VALUE"""),"Кондюк Катерина")</f>
        <v>Кондюк Катерина</v>
      </c>
      <c r="M119" s="628">
        <f ca="1">IFERROR(__xludf.DUMMYFUNCTION("""COMPUTED_VALUE"""),5)</f>
        <v>5</v>
      </c>
      <c r="N119" s="36"/>
      <c r="O119" s="36"/>
      <c r="P119" s="36" t="str">
        <f ca="1">IFERROR(__xludf.DUMMYFUNCTION("""COMPUTED_VALUE"""),"Шевченко Світлана")</f>
        <v>Шевченко Світлана</v>
      </c>
      <c r="Q119" s="628">
        <f ca="1">IFERROR(__xludf.DUMMYFUNCTION("""COMPUTED_VALUE"""),4.75)</f>
        <v>4.75</v>
      </c>
    </row>
    <row r="120" spans="1:17">
      <c r="A120" s="36" t="str">
        <f ca="1">IFERROR(__xludf.DUMMYFUNCTION("""COMPUTED_VALUE"""),"Кучерук Ольга")</f>
        <v>Кучерук Ольга</v>
      </c>
      <c r="B120" s="628">
        <f ca="1">IFERROR(__xludf.DUMMYFUNCTION("""COMPUTED_VALUE"""),4.83333333333333)</f>
        <v>4.8333333333333304</v>
      </c>
      <c r="C120" s="36">
        <f ca="1">IFERROR(__xludf.DUMMYFUNCTION("""COMPUTED_VALUE"""),6)</f>
        <v>6</v>
      </c>
      <c r="D120" s="36"/>
      <c r="E120" s="36"/>
      <c r="F120" s="36"/>
      <c r="L120" s="36" t="str">
        <f ca="1">IFERROR(__xludf.DUMMYFUNCTION("""COMPUTED_VALUE"""),"Коник Олександр")</f>
        <v>Коник Олександр</v>
      </c>
      <c r="M120" s="628">
        <f ca="1">IFERROR(__xludf.DUMMYFUNCTION("""COMPUTED_VALUE"""),5)</f>
        <v>5</v>
      </c>
      <c r="N120" s="36"/>
      <c r="O120" s="36"/>
      <c r="P120" s="36" t="str">
        <f ca="1">IFERROR(__xludf.DUMMYFUNCTION("""COMPUTED_VALUE"""),"Шевчук Богдан")</f>
        <v>Шевчук Богдан</v>
      </c>
      <c r="Q120" s="628">
        <f ca="1">IFERROR(__xludf.DUMMYFUNCTION("""COMPUTED_VALUE"""),4.54545454545454)</f>
        <v>4.5454545454545396</v>
      </c>
    </row>
    <row r="121" spans="1:17">
      <c r="A121" s="36" t="str">
        <f ca="1">IFERROR(__xludf.DUMMYFUNCTION("""COMPUTED_VALUE"""),"Кушнір Дмитро")</f>
        <v>Кушнір Дмитро</v>
      </c>
      <c r="B121" s="628">
        <f ca="1">IFERROR(__xludf.DUMMYFUNCTION("""COMPUTED_VALUE"""),4.4)</f>
        <v>4.4000000000000004</v>
      </c>
      <c r="C121" s="36">
        <f ca="1">IFERROR(__xludf.DUMMYFUNCTION("""COMPUTED_VALUE"""),5)</f>
        <v>5</v>
      </c>
      <c r="D121" s="36"/>
      <c r="E121" s="36"/>
      <c r="F121" s="36"/>
      <c r="L121" s="36" t="str">
        <f ca="1">IFERROR(__xludf.DUMMYFUNCTION("""COMPUTED_VALUE"""),"Коркішко Ілля")</f>
        <v>Коркішко Ілля</v>
      </c>
      <c r="M121" s="628">
        <f ca="1">IFERROR(__xludf.DUMMYFUNCTION("""COMPUTED_VALUE"""),5)</f>
        <v>5</v>
      </c>
      <c r="N121" s="36"/>
      <c r="O121" s="36"/>
      <c r="P121" s="36" t="str">
        <f ca="1">IFERROR(__xludf.DUMMYFUNCTION("""COMPUTED_VALUE"""),"Шимончук Анастасія")</f>
        <v>Шимончук Анастасія</v>
      </c>
      <c r="Q121" s="628">
        <f ca="1">IFERROR(__xludf.DUMMYFUNCTION("""COMPUTED_VALUE"""),4.5)</f>
        <v>4.5</v>
      </c>
    </row>
    <row r="122" spans="1:17">
      <c r="A122" s="36" t="str">
        <f ca="1">IFERROR(__xludf.DUMMYFUNCTION("""COMPUTED_VALUE"""),"Лапченко Іван")</f>
        <v>Лапченко Іван</v>
      </c>
      <c r="B122" s="628">
        <f ca="1">IFERROR(__xludf.DUMMYFUNCTION("""COMPUTED_VALUE"""),4.81818181818181)</f>
        <v>4.8181818181818103</v>
      </c>
      <c r="C122" s="36">
        <f ca="1">IFERROR(__xludf.DUMMYFUNCTION("""COMPUTED_VALUE"""),11)</f>
        <v>11</v>
      </c>
      <c r="D122" s="36"/>
      <c r="E122" s="36"/>
      <c r="F122" s="36"/>
      <c r="L122" s="36" t="str">
        <f ca="1">IFERROR(__xludf.DUMMYFUNCTION("""COMPUTED_VALUE"""),"Корнієнко Юлія")</f>
        <v>Корнієнко Юлія</v>
      </c>
      <c r="M122" s="628">
        <f ca="1">IFERROR(__xludf.DUMMYFUNCTION("""COMPUTED_VALUE"""),4.5)</f>
        <v>4.5</v>
      </c>
      <c r="N122" s="36"/>
      <c r="O122" s="36"/>
      <c r="P122" s="36" t="str">
        <f ca="1">IFERROR(__xludf.DUMMYFUNCTION("""COMPUTED_VALUE"""),"Шпак Катерина")</f>
        <v>Шпак Катерина</v>
      </c>
      <c r="Q122" s="628">
        <f ca="1">IFERROR(__xludf.DUMMYFUNCTION("""COMPUTED_VALUE"""),5)</f>
        <v>5</v>
      </c>
    </row>
    <row r="123" spans="1:17">
      <c r="A123" s="36" t="str">
        <f ca="1">IFERROR(__xludf.DUMMYFUNCTION("""COMPUTED_VALUE"""),"Лисенко Ілля")</f>
        <v>Лисенко Ілля</v>
      </c>
      <c r="B123" s="628">
        <f ca="1">IFERROR(__xludf.DUMMYFUNCTION("""COMPUTED_VALUE"""),4.8)</f>
        <v>4.8</v>
      </c>
      <c r="C123" s="36">
        <f ca="1">IFERROR(__xludf.DUMMYFUNCTION("""COMPUTED_VALUE"""),15)</f>
        <v>15</v>
      </c>
      <c r="D123" s="36"/>
      <c r="E123" s="36"/>
      <c r="F123" s="36"/>
      <c r="L123" s="36" t="str">
        <f ca="1">IFERROR(__xludf.DUMMYFUNCTION("""COMPUTED_VALUE"""),"Корнійчук Олександра")</f>
        <v>Корнійчук Олександра</v>
      </c>
      <c r="M123" s="628">
        <f ca="1">IFERROR(__xludf.DUMMYFUNCTION("""COMPUTED_VALUE"""),4.8)</f>
        <v>4.8</v>
      </c>
      <c r="N123" s="36"/>
      <c r="O123" s="36"/>
      <c r="P123" s="36" t="str">
        <f ca="1">IFERROR(__xludf.DUMMYFUNCTION("""COMPUTED_VALUE"""),"Шулєшко Дар‘я")</f>
        <v>Шулєшко Дар‘я</v>
      </c>
      <c r="Q123" s="628">
        <f ca="1">IFERROR(__xludf.DUMMYFUNCTION("""COMPUTED_VALUE"""),5)</f>
        <v>5</v>
      </c>
    </row>
    <row r="124" spans="1:17">
      <c r="A124" s="36" t="str">
        <f ca="1">IFERROR(__xludf.DUMMYFUNCTION("""COMPUTED_VALUE"""),"Лисенко Олександра")</f>
        <v>Лисенко Олександра</v>
      </c>
      <c r="B124" s="628">
        <f ca="1">IFERROR(__xludf.DUMMYFUNCTION("""COMPUTED_VALUE"""),5)</f>
        <v>5</v>
      </c>
      <c r="C124" s="36">
        <f ca="1">IFERROR(__xludf.DUMMYFUNCTION("""COMPUTED_VALUE"""),9)</f>
        <v>9</v>
      </c>
      <c r="D124" s="36"/>
      <c r="E124" s="36"/>
      <c r="F124" s="36"/>
      <c r="L124" s="36" t="str">
        <f ca="1">IFERROR(__xludf.DUMMYFUNCTION("""COMPUTED_VALUE"""),"Кравченко Юлія")</f>
        <v>Кравченко Юлія</v>
      </c>
      <c r="M124" s="628">
        <f ca="1">IFERROR(__xludf.DUMMYFUNCTION("""COMPUTED_VALUE"""),5)</f>
        <v>5</v>
      </c>
      <c r="N124" s="36"/>
      <c r="O124" s="36"/>
      <c r="P124" s="36" t="str">
        <f ca="1">IFERROR(__xludf.DUMMYFUNCTION("""COMPUTED_VALUE"""),"Щербакова Анастасія")</f>
        <v>Щербакова Анастасія</v>
      </c>
      <c r="Q124" s="628">
        <f ca="1">IFERROR(__xludf.DUMMYFUNCTION("""COMPUTED_VALUE"""),4.6)</f>
        <v>4.5999999999999996</v>
      </c>
    </row>
    <row r="125" spans="1:17">
      <c r="A125" s="36" t="str">
        <f ca="1">IFERROR(__xludf.DUMMYFUNCTION("""COMPUTED_VALUE"""),"Ліщук Ігор")</f>
        <v>Ліщук Ігор</v>
      </c>
      <c r="B125" s="628">
        <f ca="1">IFERROR(__xludf.DUMMYFUNCTION("""COMPUTED_VALUE"""),5)</f>
        <v>5</v>
      </c>
      <c r="C125" s="36">
        <f ca="1">IFERROR(__xludf.DUMMYFUNCTION("""COMPUTED_VALUE"""),2)</f>
        <v>2</v>
      </c>
      <c r="D125" s="36"/>
      <c r="E125" s="36"/>
      <c r="F125" s="36"/>
      <c r="L125" s="36" t="str">
        <f ca="1">IFERROR(__xludf.DUMMYFUNCTION("""COMPUTED_VALUE"""),"Кривенко Михайло")</f>
        <v>Кривенко Михайло</v>
      </c>
      <c r="M125" s="628">
        <f ca="1">IFERROR(__xludf.DUMMYFUNCTION("""COMPUTED_VALUE"""),4.75)</f>
        <v>4.75</v>
      </c>
      <c r="N125" s="36"/>
      <c r="O125" s="36"/>
      <c r="P125" s="36" t="str">
        <f ca="1">IFERROR(__xludf.DUMMYFUNCTION("""COMPUTED_VALUE"""),"Юзькова Інна")</f>
        <v>Юзькова Інна</v>
      </c>
      <c r="Q125" s="628">
        <f ca="1">IFERROR(__xludf.DUMMYFUNCTION("""COMPUTED_VALUE"""),4.66666666666666)</f>
        <v>4.6666666666666599</v>
      </c>
    </row>
    <row r="126" spans="1:17">
      <c r="A126" s="36" t="str">
        <f ca="1">IFERROR(__xludf.DUMMYFUNCTION("""COMPUTED_VALUE"""),"Логвиненко Олександр")</f>
        <v>Логвиненко Олександр</v>
      </c>
      <c r="B126" s="628">
        <f ca="1">IFERROR(__xludf.DUMMYFUNCTION("""COMPUTED_VALUE"""),5)</f>
        <v>5</v>
      </c>
      <c r="C126" s="36">
        <f ca="1">IFERROR(__xludf.DUMMYFUNCTION("""COMPUTED_VALUE"""),3)</f>
        <v>3</v>
      </c>
      <c r="D126" s="36"/>
      <c r="E126" s="36"/>
      <c r="F126" s="36"/>
      <c r="L126" s="36" t="str">
        <f ca="1">IFERROR(__xludf.DUMMYFUNCTION("""COMPUTED_VALUE"""),"Кропивко Влад")</f>
        <v>Кропивко Влад</v>
      </c>
      <c r="M126" s="628">
        <f ca="1">IFERROR(__xludf.DUMMYFUNCTION("""COMPUTED_VALUE"""),5)</f>
        <v>5</v>
      </c>
      <c r="N126" s="36"/>
      <c r="O126" s="36"/>
      <c r="P126" s="36" t="str">
        <f ca="1">IFERROR(__xludf.DUMMYFUNCTION("""COMPUTED_VALUE"""),"Яремчук Юлія")</f>
        <v>Яремчук Юлія</v>
      </c>
      <c r="Q126" s="628">
        <f ca="1">IFERROR(__xludf.DUMMYFUNCTION("""COMPUTED_VALUE"""),5)</f>
        <v>5</v>
      </c>
    </row>
    <row r="127" spans="1:17">
      <c r="A127" s="36" t="str">
        <f ca="1">IFERROR(__xludf.DUMMYFUNCTION("""COMPUTED_VALUE"""),"Магар Владислав")</f>
        <v>Магар Владислав</v>
      </c>
      <c r="B127" s="628">
        <f ca="1">IFERROR(__xludf.DUMMYFUNCTION("""COMPUTED_VALUE"""),5)</f>
        <v>5</v>
      </c>
      <c r="C127" s="36">
        <f ca="1">IFERROR(__xludf.DUMMYFUNCTION("""COMPUTED_VALUE"""),1)</f>
        <v>1</v>
      </c>
      <c r="D127" s="36"/>
      <c r="E127" s="36"/>
      <c r="F127" s="36"/>
      <c r="L127" s="36" t="str">
        <f ca="1">IFERROR(__xludf.DUMMYFUNCTION("""COMPUTED_VALUE"""),"Крючкова Юлія")</f>
        <v>Крючкова Юлія</v>
      </c>
      <c r="M127" s="628">
        <f ca="1">IFERROR(__xludf.DUMMYFUNCTION("""COMPUTED_VALUE"""),4.8)</f>
        <v>4.8</v>
      </c>
      <c r="N127" s="36"/>
      <c r="O127" s="36"/>
      <c r="P127" s="36" t="str">
        <f ca="1">IFERROR(__xludf.DUMMYFUNCTION("""COMPUTED_VALUE"""),"Яценко Віктор")</f>
        <v>Яценко Віктор</v>
      </c>
      <c r="Q127" s="628">
        <f ca="1">IFERROR(__xludf.DUMMYFUNCTION("""COMPUTED_VALUE"""),4.92307692307692)</f>
        <v>4.9230769230769198</v>
      </c>
    </row>
    <row r="128" spans="1:17">
      <c r="A128" s="36" t="str">
        <f ca="1">IFERROR(__xludf.DUMMYFUNCTION("""COMPUTED_VALUE"""),"Мазурик Діана")</f>
        <v>Мазурик Діана</v>
      </c>
      <c r="B128" s="628">
        <f ca="1">IFERROR(__xludf.DUMMYFUNCTION("""COMPUTED_VALUE"""),4.86666666666666)</f>
        <v>4.86666666666666</v>
      </c>
      <c r="C128" s="36">
        <f ca="1">IFERROR(__xludf.DUMMYFUNCTION("""COMPUTED_VALUE"""),15)</f>
        <v>15</v>
      </c>
      <c r="D128" s="36"/>
      <c r="E128" s="36"/>
      <c r="F128" s="36"/>
      <c r="L128" s="36" t="str">
        <f ca="1">IFERROR(__xludf.DUMMYFUNCTION("""COMPUTED_VALUE"""),"Кубанцев Сергій")</f>
        <v>Кубанцев Сергій</v>
      </c>
      <c r="M128" s="628">
        <f ca="1">IFERROR(__xludf.DUMMYFUNCTION("""COMPUTED_VALUE"""),4)</f>
        <v>4</v>
      </c>
      <c r="N128" s="36"/>
      <c r="O128" s="36"/>
      <c r="P128" s="36" t="str">
        <f ca="1">IFERROR(__xludf.DUMMYFUNCTION("""COMPUTED_VALUE"""),"Итого")</f>
        <v>Итого</v>
      </c>
      <c r="Q128" s="628">
        <f ca="1">IFERROR(__xludf.DUMMYFUNCTION("""COMPUTED_VALUE"""),4.79216354344122)</f>
        <v>4.7921635434412204</v>
      </c>
    </row>
    <row r="129" spans="1:17">
      <c r="A129" s="36" t="str">
        <f ca="1">IFERROR(__xludf.DUMMYFUNCTION("""COMPUTED_VALUE"""),"Максименко Аліна")</f>
        <v>Максименко Аліна</v>
      </c>
      <c r="B129" s="628">
        <f ca="1">IFERROR(__xludf.DUMMYFUNCTION("""COMPUTED_VALUE"""),5)</f>
        <v>5</v>
      </c>
      <c r="C129" s="36">
        <f ca="1">IFERROR(__xludf.DUMMYFUNCTION("""COMPUTED_VALUE"""),1)</f>
        <v>1</v>
      </c>
      <c r="D129" s="36"/>
      <c r="E129" s="36"/>
      <c r="F129" s="36"/>
      <c r="L129" s="36" t="str">
        <f ca="1">IFERROR(__xludf.DUMMYFUNCTION("""COMPUTED_VALUE"""),"Кулеш Іван")</f>
        <v>Кулеш Іван</v>
      </c>
      <c r="M129" s="628">
        <f ca="1">IFERROR(__xludf.DUMMYFUNCTION("""COMPUTED_VALUE"""),4.66666666666666)</f>
        <v>4.6666666666666599</v>
      </c>
      <c r="N129" s="36"/>
      <c r="O129" s="36"/>
      <c r="P129" s="36"/>
      <c r="Q129" s="36"/>
    </row>
    <row r="130" spans="1:17">
      <c r="A130" s="36" t="str">
        <f ca="1">IFERROR(__xludf.DUMMYFUNCTION("""COMPUTED_VALUE"""),"Максимець Юлія")</f>
        <v>Максимець Юлія</v>
      </c>
      <c r="B130" s="628">
        <f ca="1">IFERROR(__xludf.DUMMYFUNCTION("""COMPUTED_VALUE"""),5)</f>
        <v>5</v>
      </c>
      <c r="C130" s="36">
        <f ca="1">IFERROR(__xludf.DUMMYFUNCTION("""COMPUTED_VALUE"""),3)</f>
        <v>3</v>
      </c>
      <c r="D130" s="36"/>
      <c r="E130" s="36"/>
      <c r="F130" s="36"/>
      <c r="L130" s="36" t="str">
        <f ca="1">IFERROR(__xludf.DUMMYFUNCTION("""COMPUTED_VALUE"""),"Кулібабіна Анна")</f>
        <v>Кулібабіна Анна</v>
      </c>
      <c r="M130" s="628">
        <f ca="1">IFERROR(__xludf.DUMMYFUNCTION("""COMPUTED_VALUE"""),5)</f>
        <v>5</v>
      </c>
      <c r="N130" s="36"/>
      <c r="O130" s="36"/>
      <c r="P130" s="36"/>
      <c r="Q130" s="36"/>
    </row>
    <row r="131" spans="1:17">
      <c r="A131" s="36" t="str">
        <f ca="1">IFERROR(__xludf.DUMMYFUNCTION("""COMPUTED_VALUE"""),"Максимів Яна")</f>
        <v>Максимів Яна</v>
      </c>
      <c r="B131" s="628">
        <f ca="1">IFERROR(__xludf.DUMMYFUNCTION("""COMPUTED_VALUE"""),4.97058823529411)</f>
        <v>4.9705882352941098</v>
      </c>
      <c r="C131" s="36">
        <f ca="1">IFERROR(__xludf.DUMMYFUNCTION("""COMPUTED_VALUE"""),34)</f>
        <v>34</v>
      </c>
      <c r="D131" s="36"/>
      <c r="E131" s="36"/>
      <c r="F131" s="36"/>
      <c r="L131" s="36" t="str">
        <f ca="1">IFERROR(__xludf.DUMMYFUNCTION("""COMPUTED_VALUE"""),"Кучер Наталя")</f>
        <v>Кучер Наталя</v>
      </c>
      <c r="M131" s="628">
        <f ca="1">IFERROR(__xludf.DUMMYFUNCTION("""COMPUTED_VALUE"""),5)</f>
        <v>5</v>
      </c>
      <c r="N131" s="36"/>
      <c r="O131" s="36"/>
      <c r="P131" s="36"/>
      <c r="Q131" s="36"/>
    </row>
    <row r="132" spans="1:17">
      <c r="A132" s="36" t="str">
        <f ca="1">IFERROR(__xludf.DUMMYFUNCTION("""COMPUTED_VALUE"""),"Маланюк Ростислав")</f>
        <v>Маланюк Ростислав</v>
      </c>
      <c r="B132" s="628">
        <f ca="1">IFERROR(__xludf.DUMMYFUNCTION("""COMPUTED_VALUE"""),4.75)</f>
        <v>4.75</v>
      </c>
      <c r="C132" s="36">
        <f ca="1">IFERROR(__xludf.DUMMYFUNCTION("""COMPUTED_VALUE"""),4)</f>
        <v>4</v>
      </c>
      <c r="D132" s="36"/>
      <c r="E132" s="36"/>
      <c r="F132" s="36"/>
      <c r="L132" s="36" t="str">
        <f ca="1">IFERROR(__xludf.DUMMYFUNCTION("""COMPUTED_VALUE"""),"Кушнір Дмитро")</f>
        <v>Кушнір Дмитро</v>
      </c>
      <c r="M132" s="628">
        <f ca="1">IFERROR(__xludf.DUMMYFUNCTION("""COMPUTED_VALUE"""),5)</f>
        <v>5</v>
      </c>
      <c r="N132" s="36"/>
      <c r="O132" s="36"/>
      <c r="P132" s="36"/>
      <c r="Q132" s="36"/>
    </row>
    <row r="133" spans="1:17">
      <c r="A133" s="36" t="str">
        <f ca="1">IFERROR(__xludf.DUMMYFUNCTION("""COMPUTED_VALUE"""),"Матвієнко Володимир")</f>
        <v>Матвієнко Володимир</v>
      </c>
      <c r="B133" s="628">
        <f ca="1">IFERROR(__xludf.DUMMYFUNCTION("""COMPUTED_VALUE"""),5)</f>
        <v>5</v>
      </c>
      <c r="C133" s="36">
        <f ca="1">IFERROR(__xludf.DUMMYFUNCTION("""COMPUTED_VALUE"""),3)</f>
        <v>3</v>
      </c>
      <c r="D133" s="36"/>
      <c r="E133" s="36"/>
      <c r="F133" s="36"/>
      <c r="L133" s="36" t="str">
        <f ca="1">IFERROR(__xludf.DUMMYFUNCTION("""COMPUTED_VALUE"""),"Лапченко Іван")</f>
        <v>Лапченко Іван</v>
      </c>
      <c r="M133" s="628">
        <f ca="1">IFERROR(__xludf.DUMMYFUNCTION("""COMPUTED_VALUE"""),4.8)</f>
        <v>4.8</v>
      </c>
      <c r="N133" s="36"/>
      <c r="O133" s="36"/>
      <c r="P133" s="36"/>
      <c r="Q133" s="36"/>
    </row>
    <row r="134" spans="1:17">
      <c r="A134" s="36" t="str">
        <f ca="1">IFERROR(__xludf.DUMMYFUNCTION("""COMPUTED_VALUE"""),"Мельничук Ірина")</f>
        <v>Мельничук Ірина</v>
      </c>
      <c r="B134" s="628">
        <f ca="1">IFERROR(__xludf.DUMMYFUNCTION("""COMPUTED_VALUE"""),5)</f>
        <v>5</v>
      </c>
      <c r="C134" s="36">
        <f ca="1">IFERROR(__xludf.DUMMYFUNCTION("""COMPUTED_VALUE"""),2)</f>
        <v>2</v>
      </c>
      <c r="D134" s="36"/>
      <c r="E134" s="36"/>
      <c r="F134" s="36"/>
      <c r="L134" s="36" t="str">
        <f ca="1">IFERROR(__xludf.DUMMYFUNCTION("""COMPUTED_VALUE"""),"Легеза Назарій")</f>
        <v>Легеза Назарій</v>
      </c>
      <c r="M134" s="628">
        <f ca="1">IFERROR(__xludf.DUMMYFUNCTION("""COMPUTED_VALUE"""),5)</f>
        <v>5</v>
      </c>
      <c r="N134" s="36"/>
      <c r="O134" s="36"/>
      <c r="P134" s="36"/>
      <c r="Q134" s="36"/>
    </row>
    <row r="135" spans="1:17">
      <c r="A135" s="36" t="str">
        <f ca="1">IFERROR(__xludf.DUMMYFUNCTION("""COMPUTED_VALUE"""),"Мисан Марія")</f>
        <v>Мисан Марія</v>
      </c>
      <c r="B135" s="628">
        <f ca="1">IFERROR(__xludf.DUMMYFUNCTION("""COMPUTED_VALUE"""),5)</f>
        <v>5</v>
      </c>
      <c r="C135" s="36">
        <f ca="1">IFERROR(__xludf.DUMMYFUNCTION("""COMPUTED_VALUE"""),2)</f>
        <v>2</v>
      </c>
      <c r="D135" s="36"/>
      <c r="E135" s="36"/>
      <c r="F135" s="36"/>
      <c r="L135" s="36" t="str">
        <f ca="1">IFERROR(__xludf.DUMMYFUNCTION("""COMPUTED_VALUE"""),"Легостинова Анна")</f>
        <v>Легостинова Анна</v>
      </c>
      <c r="M135" s="628">
        <f ca="1">IFERROR(__xludf.DUMMYFUNCTION("""COMPUTED_VALUE"""),4)</f>
        <v>4</v>
      </c>
      <c r="N135" s="36"/>
      <c r="O135" s="36"/>
      <c r="P135" s="36"/>
      <c r="Q135" s="36"/>
    </row>
    <row r="136" spans="1:17">
      <c r="A136" s="36" t="str">
        <f ca="1">IFERROR(__xludf.DUMMYFUNCTION("""COMPUTED_VALUE"""),"Миц Віталій")</f>
        <v>Миц Віталій</v>
      </c>
      <c r="B136" s="628">
        <f ca="1">IFERROR(__xludf.DUMMYFUNCTION("""COMPUTED_VALUE"""),4.71428571428571)</f>
        <v>4.71428571428571</v>
      </c>
      <c r="C136" s="36">
        <f ca="1">IFERROR(__xludf.DUMMYFUNCTION("""COMPUTED_VALUE"""),7)</f>
        <v>7</v>
      </c>
      <c r="D136" s="36"/>
      <c r="E136" s="36"/>
      <c r="F136" s="36"/>
      <c r="L136" s="36" t="str">
        <f ca="1">IFERROR(__xludf.DUMMYFUNCTION("""COMPUTED_VALUE"""),"Лисенко Ілля")</f>
        <v>Лисенко Ілля</v>
      </c>
      <c r="M136" s="628">
        <f ca="1">IFERROR(__xludf.DUMMYFUNCTION("""COMPUTED_VALUE"""),4.75)</f>
        <v>4.75</v>
      </c>
      <c r="N136" s="36"/>
      <c r="O136" s="36"/>
      <c r="P136" s="36"/>
      <c r="Q136" s="36"/>
    </row>
    <row r="137" spans="1:17">
      <c r="A137" s="36" t="str">
        <f ca="1">IFERROR(__xludf.DUMMYFUNCTION("""COMPUTED_VALUE"""),"Мількова Анастасія")</f>
        <v>Мількова Анастасія</v>
      </c>
      <c r="B137" s="628">
        <f ca="1">IFERROR(__xludf.DUMMYFUNCTION("""COMPUTED_VALUE"""),4.8)</f>
        <v>4.8</v>
      </c>
      <c r="C137" s="36">
        <f ca="1">IFERROR(__xludf.DUMMYFUNCTION("""COMPUTED_VALUE"""),5)</f>
        <v>5</v>
      </c>
      <c r="D137" s="36"/>
      <c r="E137" s="36"/>
      <c r="F137" s="36"/>
      <c r="L137" s="36" t="str">
        <f ca="1">IFERROR(__xludf.DUMMYFUNCTION("""COMPUTED_VALUE"""),"Лисенко Олександра")</f>
        <v>Лисенко Олександра</v>
      </c>
      <c r="M137" s="628">
        <f ca="1">IFERROR(__xludf.DUMMYFUNCTION("""COMPUTED_VALUE"""),5)</f>
        <v>5</v>
      </c>
      <c r="N137" s="36"/>
      <c r="O137" s="36"/>
      <c r="P137" s="36"/>
      <c r="Q137" s="36"/>
    </row>
    <row r="138" spans="1:17">
      <c r="A138" s="36" t="str">
        <f ca="1">IFERROR(__xludf.DUMMYFUNCTION("""COMPUTED_VALUE"""),"Моісеєва Тетяна")</f>
        <v>Моісеєва Тетяна</v>
      </c>
      <c r="B138" s="628">
        <f ca="1">IFERROR(__xludf.DUMMYFUNCTION("""COMPUTED_VALUE"""),5)</f>
        <v>5</v>
      </c>
      <c r="C138" s="36">
        <f ca="1">IFERROR(__xludf.DUMMYFUNCTION("""COMPUTED_VALUE"""),2)</f>
        <v>2</v>
      </c>
      <c r="D138" s="36"/>
      <c r="E138" s="36"/>
      <c r="F138" s="36"/>
      <c r="L138" s="36" t="str">
        <f ca="1">IFERROR(__xludf.DUMMYFUNCTION("""COMPUTED_VALUE"""),"Лисін Богдан")</f>
        <v>Лисін Богдан</v>
      </c>
      <c r="M138" s="628">
        <f ca="1">IFERROR(__xludf.DUMMYFUNCTION("""COMPUTED_VALUE"""),5)</f>
        <v>5</v>
      </c>
      <c r="N138" s="36"/>
      <c r="O138" s="36"/>
      <c r="P138" s="36"/>
      <c r="Q138" s="36"/>
    </row>
    <row r="139" spans="1:17">
      <c r="A139" s="36" t="str">
        <f ca="1">IFERROR(__xludf.DUMMYFUNCTION("""COMPUTED_VALUE"""),"Нечипуренко Міхаела")</f>
        <v>Нечипуренко Міхаела</v>
      </c>
      <c r="B139" s="628">
        <f ca="1">IFERROR(__xludf.DUMMYFUNCTION("""COMPUTED_VALUE"""),5)</f>
        <v>5</v>
      </c>
      <c r="C139" s="36">
        <f ca="1">IFERROR(__xludf.DUMMYFUNCTION("""COMPUTED_VALUE"""),3)</f>
        <v>3</v>
      </c>
      <c r="D139" s="36"/>
      <c r="E139" s="36"/>
      <c r="F139" s="36"/>
      <c r="L139" s="36" t="str">
        <f ca="1">IFERROR(__xludf.DUMMYFUNCTION("""COMPUTED_VALUE"""),"Лихач Віктор")</f>
        <v>Лихач Віктор</v>
      </c>
      <c r="M139" s="628">
        <f ca="1">IFERROR(__xludf.DUMMYFUNCTION("""COMPUTED_VALUE"""),5)</f>
        <v>5</v>
      </c>
      <c r="N139" s="36"/>
      <c r="O139" s="36"/>
      <c r="P139" s="36"/>
      <c r="Q139" s="36"/>
    </row>
    <row r="140" spans="1:17">
      <c r="A140" s="36" t="str">
        <f ca="1">IFERROR(__xludf.DUMMYFUNCTION("""COMPUTED_VALUE"""),"Нільга Софія")</f>
        <v>Нільга Софія</v>
      </c>
      <c r="B140" s="628">
        <f ca="1">IFERROR(__xludf.DUMMYFUNCTION("""COMPUTED_VALUE"""),5)</f>
        <v>5</v>
      </c>
      <c r="C140" s="36">
        <f ca="1">IFERROR(__xludf.DUMMYFUNCTION("""COMPUTED_VALUE"""),6)</f>
        <v>6</v>
      </c>
      <c r="D140" s="36"/>
      <c r="E140" s="36"/>
      <c r="F140" s="36"/>
      <c r="L140" s="36" t="str">
        <f ca="1">IFERROR(__xludf.DUMMYFUNCTION("""COMPUTED_VALUE"""),"Ліщук Ігор")</f>
        <v>Ліщук Ігор</v>
      </c>
      <c r="M140" s="628">
        <f ca="1">IFERROR(__xludf.DUMMYFUNCTION("""COMPUTED_VALUE"""),4.72727272727272)</f>
        <v>4.7272727272727204</v>
      </c>
      <c r="N140" s="36"/>
      <c r="O140" s="36"/>
      <c r="P140" s="36"/>
      <c r="Q140" s="36"/>
    </row>
    <row r="141" spans="1:17">
      <c r="A141" s="36" t="str">
        <f ca="1">IFERROR(__xludf.DUMMYFUNCTION("""COMPUTED_VALUE"""),"Новоженова Марина")</f>
        <v>Новоженова Марина</v>
      </c>
      <c r="B141" s="628">
        <f ca="1">IFERROR(__xludf.DUMMYFUNCTION("""COMPUTED_VALUE"""),5)</f>
        <v>5</v>
      </c>
      <c r="C141" s="36">
        <f ca="1">IFERROR(__xludf.DUMMYFUNCTION("""COMPUTED_VALUE"""),1)</f>
        <v>1</v>
      </c>
      <c r="D141" s="36"/>
      <c r="E141" s="36"/>
      <c r="F141" s="36"/>
      <c r="L141" s="36" t="str">
        <f ca="1">IFERROR(__xludf.DUMMYFUNCTION("""COMPUTED_VALUE"""),"Логвиненко Олександр")</f>
        <v>Логвиненко Олександр</v>
      </c>
      <c r="M141" s="628">
        <f ca="1">IFERROR(__xludf.DUMMYFUNCTION("""COMPUTED_VALUE"""),5)</f>
        <v>5</v>
      </c>
      <c r="N141" s="36"/>
      <c r="O141" s="36"/>
      <c r="P141" s="36"/>
      <c r="Q141" s="36"/>
    </row>
    <row r="142" spans="1:17">
      <c r="A142" s="36" t="str">
        <f ca="1">IFERROR(__xludf.DUMMYFUNCTION("""COMPUTED_VALUE"""),"Нурієва Валерія")</f>
        <v>Нурієва Валерія</v>
      </c>
      <c r="B142" s="628">
        <f ca="1">IFERROR(__xludf.DUMMYFUNCTION("""COMPUTED_VALUE"""),5)</f>
        <v>5</v>
      </c>
      <c r="C142" s="36">
        <f ca="1">IFERROR(__xludf.DUMMYFUNCTION("""COMPUTED_VALUE"""),2)</f>
        <v>2</v>
      </c>
      <c r="D142" s="36"/>
      <c r="E142" s="36"/>
      <c r="F142" s="36"/>
      <c r="L142" s="36" t="str">
        <f ca="1">IFERROR(__xludf.DUMMYFUNCTION("""COMPUTED_VALUE"""),"Лупій Анастасія")</f>
        <v>Лупій Анастасія</v>
      </c>
      <c r="M142" s="628">
        <f ca="1">IFERROR(__xludf.DUMMYFUNCTION("""COMPUTED_VALUE"""),5)</f>
        <v>5</v>
      </c>
      <c r="N142" s="36"/>
      <c r="O142" s="36"/>
      <c r="P142" s="36"/>
      <c r="Q142" s="36"/>
    </row>
    <row r="143" spans="1:17">
      <c r="A143" s="36" t="str">
        <f ca="1">IFERROR(__xludf.DUMMYFUNCTION("""COMPUTED_VALUE"""),"Обенко Олександр")</f>
        <v>Обенко Олександр</v>
      </c>
      <c r="B143" s="628">
        <f ca="1">IFERROR(__xludf.DUMMYFUNCTION("""COMPUTED_VALUE"""),4.87096774193548)</f>
        <v>4.8709677419354804</v>
      </c>
      <c r="C143" s="36">
        <f ca="1">IFERROR(__xludf.DUMMYFUNCTION("""COMPUTED_VALUE"""),31)</f>
        <v>31</v>
      </c>
      <c r="D143" s="36"/>
      <c r="E143" s="36"/>
      <c r="F143" s="36"/>
      <c r="L143" s="36" t="str">
        <f ca="1">IFERROR(__xludf.DUMMYFUNCTION("""COMPUTED_VALUE"""),"Магар Владислав")</f>
        <v>Магар Владислав</v>
      </c>
      <c r="M143" s="628">
        <f ca="1">IFERROR(__xludf.DUMMYFUNCTION("""COMPUTED_VALUE"""),5)</f>
        <v>5</v>
      </c>
      <c r="N143" s="36"/>
      <c r="O143" s="36"/>
      <c r="P143" s="36"/>
      <c r="Q143" s="36"/>
    </row>
    <row r="144" spans="1:17">
      <c r="A144" s="36" t="str">
        <f ca="1">IFERROR(__xludf.DUMMYFUNCTION("""COMPUTED_VALUE"""),"Огороднік Микола")</f>
        <v>Огороднік Микола</v>
      </c>
      <c r="B144" s="628">
        <f ca="1">IFERROR(__xludf.DUMMYFUNCTION("""COMPUTED_VALUE"""),4.71428571428571)</f>
        <v>4.71428571428571</v>
      </c>
      <c r="C144" s="36">
        <f ca="1">IFERROR(__xludf.DUMMYFUNCTION("""COMPUTED_VALUE"""),7)</f>
        <v>7</v>
      </c>
      <c r="D144" s="36"/>
      <c r="E144" s="36"/>
      <c r="F144" s="36"/>
      <c r="L144" s="36" t="str">
        <f ca="1">IFERROR(__xludf.DUMMYFUNCTION("""COMPUTED_VALUE"""),"Маєш Єлизавета")</f>
        <v>Маєш Єлизавета</v>
      </c>
      <c r="M144" s="628">
        <f ca="1">IFERROR(__xludf.DUMMYFUNCTION("""COMPUTED_VALUE"""),5)</f>
        <v>5</v>
      </c>
      <c r="N144" s="36"/>
      <c r="O144" s="36"/>
      <c r="P144" s="36"/>
      <c r="Q144" s="36"/>
    </row>
    <row r="145" spans="1:17">
      <c r="A145" s="36" t="str">
        <f ca="1">IFERROR(__xludf.DUMMYFUNCTION("""COMPUTED_VALUE"""),"Оджиковська Анна")</f>
        <v>Оджиковська Анна</v>
      </c>
      <c r="B145" s="628">
        <f ca="1">IFERROR(__xludf.DUMMYFUNCTION("""COMPUTED_VALUE"""),5)</f>
        <v>5</v>
      </c>
      <c r="C145" s="36">
        <f ca="1">IFERROR(__xludf.DUMMYFUNCTION("""COMPUTED_VALUE"""),2)</f>
        <v>2</v>
      </c>
      <c r="D145" s="36"/>
      <c r="E145" s="36"/>
      <c r="F145" s="36"/>
      <c r="L145" s="36" t="str">
        <f ca="1">IFERROR(__xludf.DUMMYFUNCTION("""COMPUTED_VALUE"""),"Мазурик Діана")</f>
        <v>Мазурик Діана</v>
      </c>
      <c r="M145" s="628">
        <f ca="1">IFERROR(__xludf.DUMMYFUNCTION("""COMPUTED_VALUE"""),5)</f>
        <v>5</v>
      </c>
      <c r="N145" s="36"/>
      <c r="O145" s="36"/>
      <c r="P145" s="36"/>
      <c r="Q145" s="36"/>
    </row>
    <row r="146" spans="1:17">
      <c r="A146" s="36" t="str">
        <f ca="1">IFERROR(__xludf.DUMMYFUNCTION("""COMPUTED_VALUE"""),"Павленко Тарас")</f>
        <v>Павленко Тарас</v>
      </c>
      <c r="B146" s="628">
        <f ca="1">IFERROR(__xludf.DUMMYFUNCTION("""COMPUTED_VALUE"""),5)</f>
        <v>5</v>
      </c>
      <c r="C146" s="36">
        <f ca="1">IFERROR(__xludf.DUMMYFUNCTION("""COMPUTED_VALUE"""),4)</f>
        <v>4</v>
      </c>
      <c r="D146" s="36"/>
      <c r="E146" s="36"/>
      <c r="F146" s="36"/>
      <c r="L146" s="36" t="str">
        <f ca="1">IFERROR(__xludf.DUMMYFUNCTION("""COMPUTED_VALUE"""),"Максимів Яна")</f>
        <v>Максимів Яна</v>
      </c>
      <c r="M146" s="628">
        <f ca="1">IFERROR(__xludf.DUMMYFUNCTION("""COMPUTED_VALUE"""),4.97916666666666)</f>
        <v>4.9791666666666599</v>
      </c>
      <c r="N146" s="36"/>
      <c r="O146" s="36"/>
      <c r="P146" s="36"/>
      <c r="Q146" s="36"/>
    </row>
    <row r="147" spans="1:17">
      <c r="A147" s="36" t="str">
        <f ca="1">IFERROR(__xludf.DUMMYFUNCTION("""COMPUTED_VALUE"""),"Палиха Марина")</f>
        <v>Палиха Марина</v>
      </c>
      <c r="B147" s="628">
        <f ca="1">IFERROR(__xludf.DUMMYFUNCTION("""COMPUTED_VALUE"""),5)</f>
        <v>5</v>
      </c>
      <c r="C147" s="36">
        <f ca="1">IFERROR(__xludf.DUMMYFUNCTION("""COMPUTED_VALUE"""),1)</f>
        <v>1</v>
      </c>
      <c r="D147" s="36"/>
      <c r="E147" s="36"/>
      <c r="F147" s="36"/>
      <c r="L147" s="36" t="str">
        <f ca="1">IFERROR(__xludf.DUMMYFUNCTION("""COMPUTED_VALUE"""),"Маланюк Ростислав")</f>
        <v>Маланюк Ростислав</v>
      </c>
      <c r="M147" s="628">
        <f ca="1">IFERROR(__xludf.DUMMYFUNCTION("""COMPUTED_VALUE"""),4)</f>
        <v>4</v>
      </c>
      <c r="N147" s="36"/>
      <c r="O147" s="36"/>
      <c r="P147" s="36"/>
      <c r="Q147" s="36"/>
    </row>
    <row r="148" spans="1:17">
      <c r="A148" s="36" t="str">
        <f ca="1">IFERROR(__xludf.DUMMYFUNCTION("""COMPUTED_VALUE"""),"Палій Андрій")</f>
        <v>Палій Андрій</v>
      </c>
      <c r="B148" s="628">
        <f ca="1">IFERROR(__xludf.DUMMYFUNCTION("""COMPUTED_VALUE"""),5)</f>
        <v>5</v>
      </c>
      <c r="C148" s="36">
        <f ca="1">IFERROR(__xludf.DUMMYFUNCTION("""COMPUTED_VALUE"""),5)</f>
        <v>5</v>
      </c>
      <c r="D148" s="36"/>
      <c r="E148" s="36"/>
      <c r="F148" s="36"/>
      <c r="L148" s="36" t="str">
        <f ca="1">IFERROR(__xludf.DUMMYFUNCTION("""COMPUTED_VALUE"""),"Матвієнко Володимир")</f>
        <v>Матвієнко Володимир</v>
      </c>
      <c r="M148" s="628">
        <f ca="1">IFERROR(__xludf.DUMMYFUNCTION("""COMPUTED_VALUE"""),5)</f>
        <v>5</v>
      </c>
      <c r="N148" s="36"/>
      <c r="O148" s="36"/>
      <c r="P148" s="36"/>
      <c r="Q148" s="36"/>
    </row>
    <row r="149" spans="1:17">
      <c r="A149" s="36" t="str">
        <f ca="1">IFERROR(__xludf.DUMMYFUNCTION("""COMPUTED_VALUE"""),"Панчишин Святослав")</f>
        <v>Панчишин Святослав</v>
      </c>
      <c r="B149" s="628">
        <f ca="1">IFERROR(__xludf.DUMMYFUNCTION("""COMPUTED_VALUE"""),5)</f>
        <v>5</v>
      </c>
      <c r="C149" s="36">
        <f ca="1">IFERROR(__xludf.DUMMYFUNCTION("""COMPUTED_VALUE"""),4)</f>
        <v>4</v>
      </c>
      <c r="D149" s="36"/>
      <c r="E149" s="36"/>
      <c r="F149" s="36"/>
      <c r="L149" s="36" t="str">
        <f ca="1">IFERROR(__xludf.DUMMYFUNCTION("""COMPUTED_VALUE"""),"Мегель Ірина")</f>
        <v>Мегель Ірина</v>
      </c>
      <c r="M149" s="628">
        <f ca="1">IFERROR(__xludf.DUMMYFUNCTION("""COMPUTED_VALUE"""),5)</f>
        <v>5</v>
      </c>
      <c r="N149" s="36"/>
      <c r="O149" s="36"/>
      <c r="P149" s="36"/>
      <c r="Q149" s="36"/>
    </row>
    <row r="150" spans="1:17">
      <c r="A150" s="36" t="str">
        <f ca="1">IFERROR(__xludf.DUMMYFUNCTION("""COMPUTED_VALUE"""),"Пелячик Юлія")</f>
        <v>Пелячик Юлія</v>
      </c>
      <c r="B150" s="628">
        <f ca="1">IFERROR(__xludf.DUMMYFUNCTION("""COMPUTED_VALUE"""),4.5)</f>
        <v>4.5</v>
      </c>
      <c r="C150" s="36">
        <f ca="1">IFERROR(__xludf.DUMMYFUNCTION("""COMPUTED_VALUE"""),2)</f>
        <v>2</v>
      </c>
      <c r="D150" s="36"/>
      <c r="E150" s="36"/>
      <c r="F150" s="36"/>
      <c r="L150" s="36" t="str">
        <f ca="1">IFERROR(__xludf.DUMMYFUNCTION("""COMPUTED_VALUE"""),"Мельниченко Марія")</f>
        <v>Мельниченко Марія</v>
      </c>
      <c r="M150" s="628">
        <f ca="1">IFERROR(__xludf.DUMMYFUNCTION("""COMPUTED_VALUE"""),5)</f>
        <v>5</v>
      </c>
      <c r="N150" s="36"/>
      <c r="O150" s="36"/>
      <c r="P150" s="36"/>
      <c r="Q150" s="36"/>
    </row>
    <row r="151" spans="1:17">
      <c r="A151" s="36" t="str">
        <f ca="1">IFERROR(__xludf.DUMMYFUNCTION("""COMPUTED_VALUE"""),"Переверзєва Діана")</f>
        <v>Переверзєва Діана</v>
      </c>
      <c r="B151" s="628">
        <f ca="1">IFERROR(__xludf.DUMMYFUNCTION("""COMPUTED_VALUE"""),5)</f>
        <v>5</v>
      </c>
      <c r="C151" s="36">
        <f ca="1">IFERROR(__xludf.DUMMYFUNCTION("""COMPUTED_VALUE"""),4)</f>
        <v>4</v>
      </c>
      <c r="D151" s="36"/>
      <c r="E151" s="36"/>
      <c r="F151" s="36"/>
      <c r="L151" s="36" t="str">
        <f ca="1">IFERROR(__xludf.DUMMYFUNCTION("""COMPUTED_VALUE"""),"Мендалюк Наталія")</f>
        <v>Мендалюк Наталія</v>
      </c>
      <c r="M151" s="628">
        <f ca="1">IFERROR(__xludf.DUMMYFUNCTION("""COMPUTED_VALUE"""),4.85714285714285)</f>
        <v>4.8571428571428497</v>
      </c>
      <c r="N151" s="36"/>
      <c r="O151" s="36"/>
      <c r="P151" s="36"/>
      <c r="Q151" s="36"/>
    </row>
    <row r="152" spans="1:17">
      <c r="A152" s="36" t="str">
        <f ca="1">IFERROR(__xludf.DUMMYFUNCTION("""COMPUTED_VALUE"""),"Перепелиця Тимур")</f>
        <v>Перепелиця Тимур</v>
      </c>
      <c r="B152" s="628">
        <f ca="1">IFERROR(__xludf.DUMMYFUNCTION("""COMPUTED_VALUE"""),5)</f>
        <v>5</v>
      </c>
      <c r="C152" s="36">
        <f ca="1">IFERROR(__xludf.DUMMYFUNCTION("""COMPUTED_VALUE"""),4)</f>
        <v>4</v>
      </c>
      <c r="D152" s="36"/>
      <c r="E152" s="36"/>
      <c r="F152" s="36"/>
      <c r="L152" s="36" t="str">
        <f ca="1">IFERROR(__xludf.DUMMYFUNCTION("""COMPUTED_VALUE"""),"Мисан Марія")</f>
        <v>Мисан Марія</v>
      </c>
      <c r="M152" s="628">
        <f ca="1">IFERROR(__xludf.DUMMYFUNCTION("""COMPUTED_VALUE"""),4.9375)</f>
        <v>4.9375</v>
      </c>
      <c r="N152" s="36"/>
      <c r="O152" s="36"/>
      <c r="P152" s="36"/>
      <c r="Q152" s="36"/>
    </row>
    <row r="153" spans="1:17">
      <c r="A153" s="36" t="str">
        <f ca="1">IFERROR(__xludf.DUMMYFUNCTION("""COMPUTED_VALUE"""),"Петік Марина")</f>
        <v>Петік Марина</v>
      </c>
      <c r="B153" s="628">
        <f ca="1">IFERROR(__xludf.DUMMYFUNCTION("""COMPUTED_VALUE"""),5)</f>
        <v>5</v>
      </c>
      <c r="C153" s="36">
        <f ca="1">IFERROR(__xludf.DUMMYFUNCTION("""COMPUTED_VALUE"""),4)</f>
        <v>4</v>
      </c>
      <c r="D153" s="36"/>
      <c r="E153" s="36"/>
      <c r="F153" s="36"/>
      <c r="L153" s="36" t="str">
        <f ca="1">IFERROR(__xludf.DUMMYFUNCTION("""COMPUTED_VALUE"""),"Миц Віталій")</f>
        <v>Миц Віталій</v>
      </c>
      <c r="M153" s="628">
        <f ca="1">IFERROR(__xludf.DUMMYFUNCTION("""COMPUTED_VALUE"""),4)</f>
        <v>4</v>
      </c>
      <c r="N153" s="36"/>
      <c r="O153" s="36"/>
      <c r="P153" s="36"/>
      <c r="Q153" s="36"/>
    </row>
    <row r="154" spans="1:17">
      <c r="A154" s="36" t="str">
        <f ca="1">IFERROR(__xludf.DUMMYFUNCTION("""COMPUTED_VALUE"""),"Петришин Оксана")</f>
        <v>Петришин Оксана</v>
      </c>
      <c r="B154" s="628">
        <f ca="1">IFERROR(__xludf.DUMMYFUNCTION("""COMPUTED_VALUE"""),5)</f>
        <v>5</v>
      </c>
      <c r="C154" s="36">
        <f ca="1">IFERROR(__xludf.DUMMYFUNCTION("""COMPUTED_VALUE"""),2)</f>
        <v>2</v>
      </c>
      <c r="D154" s="36"/>
      <c r="E154" s="36"/>
      <c r="F154" s="36"/>
      <c r="L154" s="36" t="str">
        <f ca="1">IFERROR(__xludf.DUMMYFUNCTION("""COMPUTED_VALUE"""),"Мількова Анастасія")</f>
        <v>Мількова Анастасія</v>
      </c>
      <c r="M154" s="628">
        <f ca="1">IFERROR(__xludf.DUMMYFUNCTION("""COMPUTED_VALUE"""),5)</f>
        <v>5</v>
      </c>
      <c r="N154" s="36"/>
      <c r="O154" s="36"/>
      <c r="P154" s="36"/>
      <c r="Q154" s="36"/>
    </row>
    <row r="155" spans="1:17">
      <c r="A155" s="36" t="str">
        <f ca="1">IFERROR(__xludf.DUMMYFUNCTION("""COMPUTED_VALUE"""),"Пивовар Михайло")</f>
        <v>Пивовар Михайло</v>
      </c>
      <c r="B155" s="628">
        <f ca="1">IFERROR(__xludf.DUMMYFUNCTION("""COMPUTED_VALUE"""),5)</f>
        <v>5</v>
      </c>
      <c r="C155" s="36">
        <f ca="1">IFERROR(__xludf.DUMMYFUNCTION("""COMPUTED_VALUE"""),3)</f>
        <v>3</v>
      </c>
      <c r="D155" s="36"/>
      <c r="E155" s="36"/>
      <c r="F155" s="36"/>
      <c r="L155" s="36" t="str">
        <f ca="1">IFERROR(__xludf.DUMMYFUNCTION("""COMPUTED_VALUE"""),"Моісеєва Тетяна")</f>
        <v>Моісеєва Тетяна</v>
      </c>
      <c r="M155" s="628">
        <f ca="1">IFERROR(__xludf.DUMMYFUNCTION("""COMPUTED_VALUE"""),5)</f>
        <v>5</v>
      </c>
      <c r="N155" s="36"/>
      <c r="O155" s="36"/>
      <c r="P155" s="36"/>
      <c r="Q155" s="36"/>
    </row>
    <row r="156" spans="1:17">
      <c r="A156" s="36" t="str">
        <f ca="1">IFERROR(__xludf.DUMMYFUNCTION("""COMPUTED_VALUE"""),"Писаренко Марія")</f>
        <v>Писаренко Марія</v>
      </c>
      <c r="B156" s="628">
        <f ca="1">IFERROR(__xludf.DUMMYFUNCTION("""COMPUTED_VALUE"""),5)</f>
        <v>5</v>
      </c>
      <c r="C156" s="36">
        <f ca="1">IFERROR(__xludf.DUMMYFUNCTION("""COMPUTED_VALUE"""),2)</f>
        <v>2</v>
      </c>
      <c r="D156" s="36"/>
      <c r="E156" s="36"/>
      <c r="F156" s="36"/>
      <c r="L156" s="36" t="str">
        <f ca="1">IFERROR(__xludf.DUMMYFUNCTION("""COMPUTED_VALUE"""),"Мостовий Віталій")</f>
        <v>Мостовий Віталій</v>
      </c>
      <c r="M156" s="628">
        <f ca="1">IFERROR(__xludf.DUMMYFUNCTION("""COMPUTED_VALUE"""),5)</f>
        <v>5</v>
      </c>
      <c r="N156" s="36"/>
      <c r="O156" s="36"/>
      <c r="P156" s="36"/>
      <c r="Q156" s="36"/>
    </row>
    <row r="157" spans="1:17">
      <c r="A157" s="36" t="str">
        <f ca="1">IFERROR(__xludf.DUMMYFUNCTION("""COMPUTED_VALUE"""),"Підвальна Олександра")</f>
        <v>Підвальна Олександра</v>
      </c>
      <c r="B157" s="628">
        <f ca="1">IFERROR(__xludf.DUMMYFUNCTION("""COMPUTED_VALUE"""),5)</f>
        <v>5</v>
      </c>
      <c r="C157" s="36">
        <f ca="1">IFERROR(__xludf.DUMMYFUNCTION("""COMPUTED_VALUE"""),1)</f>
        <v>1</v>
      </c>
      <c r="D157" s="36"/>
      <c r="E157" s="36"/>
      <c r="F157" s="36"/>
      <c r="L157" s="36" t="str">
        <f ca="1">IFERROR(__xludf.DUMMYFUNCTION("""COMPUTED_VALUE"""),"Мякота Ярослав")</f>
        <v>Мякота Ярослав</v>
      </c>
      <c r="M157" s="628">
        <f ca="1">IFERROR(__xludf.DUMMYFUNCTION("""COMPUTED_VALUE"""),4.5)</f>
        <v>4.5</v>
      </c>
      <c r="N157" s="36"/>
      <c r="O157" s="36"/>
      <c r="P157" s="36"/>
      <c r="Q157" s="36"/>
    </row>
    <row r="158" spans="1:17">
      <c r="A158" s="36" t="str">
        <f ca="1">IFERROR(__xludf.DUMMYFUNCTION("""COMPUTED_VALUE"""),"Піскова Юлія")</f>
        <v>Піскова Юлія</v>
      </c>
      <c r="B158" s="628">
        <f ca="1">IFERROR(__xludf.DUMMYFUNCTION("""COMPUTED_VALUE"""),4.70588235294117)</f>
        <v>4.7058823529411704</v>
      </c>
      <c r="C158" s="36">
        <f ca="1">IFERROR(__xludf.DUMMYFUNCTION("""COMPUTED_VALUE"""),17)</f>
        <v>17</v>
      </c>
      <c r="D158" s="36"/>
      <c r="E158" s="36"/>
      <c r="F158" s="36"/>
      <c r="L158" s="36" t="str">
        <f ca="1">IFERROR(__xludf.DUMMYFUNCTION("""COMPUTED_VALUE"""),"Назаренко Сергій")</f>
        <v>Назаренко Сергій</v>
      </c>
      <c r="M158" s="628">
        <f ca="1">IFERROR(__xludf.DUMMYFUNCTION("""COMPUTED_VALUE"""),3)</f>
        <v>3</v>
      </c>
      <c r="N158" s="36"/>
      <c r="O158" s="36"/>
      <c r="P158" s="36"/>
      <c r="Q158" s="36"/>
    </row>
    <row r="159" spans="1:17">
      <c r="A159" s="36" t="str">
        <f ca="1">IFERROR(__xludf.DUMMYFUNCTION("""COMPUTED_VALUE"""),"Плаксій Ярослав")</f>
        <v>Плаксій Ярослав</v>
      </c>
      <c r="B159" s="628">
        <f ca="1">IFERROR(__xludf.DUMMYFUNCTION("""COMPUTED_VALUE"""),5)</f>
        <v>5</v>
      </c>
      <c r="C159" s="36">
        <f ca="1">IFERROR(__xludf.DUMMYFUNCTION("""COMPUTED_VALUE"""),3)</f>
        <v>3</v>
      </c>
      <c r="D159" s="36"/>
      <c r="E159" s="36"/>
      <c r="F159" s="36"/>
      <c r="L159" s="36" t="str">
        <f ca="1">IFERROR(__xludf.DUMMYFUNCTION("""COMPUTED_VALUE"""),"Нечипуренко Міхаела")</f>
        <v>Нечипуренко Міхаела</v>
      </c>
      <c r="M159" s="628">
        <f ca="1">IFERROR(__xludf.DUMMYFUNCTION("""COMPUTED_VALUE"""),5)</f>
        <v>5</v>
      </c>
      <c r="N159" s="36"/>
      <c r="O159" s="36"/>
      <c r="P159" s="36"/>
      <c r="Q159" s="36"/>
    </row>
    <row r="160" spans="1:17">
      <c r="A160" s="36" t="str">
        <f ca="1">IFERROR(__xludf.DUMMYFUNCTION("""COMPUTED_VALUE"""),"Полєщук Єгор")</f>
        <v>Полєщук Єгор</v>
      </c>
      <c r="B160" s="628">
        <f ca="1">IFERROR(__xludf.DUMMYFUNCTION("""COMPUTED_VALUE"""),5)</f>
        <v>5</v>
      </c>
      <c r="C160" s="36">
        <f ca="1">IFERROR(__xludf.DUMMYFUNCTION("""COMPUTED_VALUE"""),4)</f>
        <v>4</v>
      </c>
      <c r="D160" s="36"/>
      <c r="E160" s="36"/>
      <c r="F160" s="36"/>
      <c r="L160" s="36" t="str">
        <f ca="1">IFERROR(__xludf.DUMMYFUNCTION("""COMPUTED_VALUE"""),"Ніжник Кирило")</f>
        <v>Ніжник Кирило</v>
      </c>
      <c r="M160" s="628">
        <f ca="1">IFERROR(__xludf.DUMMYFUNCTION("""COMPUTED_VALUE"""),5)</f>
        <v>5</v>
      </c>
      <c r="N160" s="36"/>
      <c r="O160" s="36"/>
      <c r="P160" s="36"/>
      <c r="Q160" s="36"/>
    </row>
    <row r="161" spans="1:17">
      <c r="A161" s="36" t="str">
        <f ca="1">IFERROR(__xludf.DUMMYFUNCTION("""COMPUTED_VALUE"""),"Поляков Михайло")</f>
        <v>Поляков Михайло</v>
      </c>
      <c r="B161" s="628">
        <f ca="1">IFERROR(__xludf.DUMMYFUNCTION("""COMPUTED_VALUE"""),5)</f>
        <v>5</v>
      </c>
      <c r="C161" s="36">
        <f ca="1">IFERROR(__xludf.DUMMYFUNCTION("""COMPUTED_VALUE"""),7)</f>
        <v>7</v>
      </c>
      <c r="D161" s="36"/>
      <c r="E161" s="36"/>
      <c r="F161" s="36"/>
      <c r="L161" s="36" t="str">
        <f ca="1">IFERROR(__xludf.DUMMYFUNCTION("""COMPUTED_VALUE"""),"Нільга Софія")</f>
        <v>Нільга Софія</v>
      </c>
      <c r="M161" s="628">
        <f ca="1">IFERROR(__xludf.DUMMYFUNCTION("""COMPUTED_VALUE"""),4.8)</f>
        <v>4.8</v>
      </c>
      <c r="N161" s="36"/>
      <c r="O161" s="36"/>
      <c r="P161" s="36"/>
      <c r="Q161" s="36"/>
    </row>
    <row r="162" spans="1:17">
      <c r="A162" s="36" t="str">
        <f ca="1">IFERROR(__xludf.DUMMYFUNCTION("""COMPUTED_VALUE"""),"Полякова Альбіна")</f>
        <v>Полякова Альбіна</v>
      </c>
      <c r="B162" s="628">
        <f ca="1">IFERROR(__xludf.DUMMYFUNCTION("""COMPUTED_VALUE"""),5)</f>
        <v>5</v>
      </c>
      <c r="C162" s="36">
        <f ca="1">IFERROR(__xludf.DUMMYFUNCTION("""COMPUTED_VALUE"""),1)</f>
        <v>1</v>
      </c>
      <c r="D162" s="36"/>
      <c r="E162" s="36"/>
      <c r="F162" s="36"/>
      <c r="L162" s="36" t="str">
        <f ca="1">IFERROR(__xludf.DUMMYFUNCTION("""COMPUTED_VALUE"""),"Новоженова Марина")</f>
        <v>Новоженова Марина</v>
      </c>
      <c r="M162" s="628">
        <f ca="1">IFERROR(__xludf.DUMMYFUNCTION("""COMPUTED_VALUE"""),5)</f>
        <v>5</v>
      </c>
      <c r="N162" s="36"/>
      <c r="O162" s="36"/>
      <c r="P162" s="36"/>
      <c r="Q162" s="36"/>
    </row>
    <row r="163" spans="1:17">
      <c r="A163" s="36" t="str">
        <f ca="1">IFERROR(__xludf.DUMMYFUNCTION("""COMPUTED_VALUE"""),"Помогаєв Костянтин")</f>
        <v>Помогаєв Костянтин</v>
      </c>
      <c r="B163" s="628">
        <f ca="1">IFERROR(__xludf.DUMMYFUNCTION("""COMPUTED_VALUE"""),5)</f>
        <v>5</v>
      </c>
      <c r="C163" s="36">
        <f ca="1">IFERROR(__xludf.DUMMYFUNCTION("""COMPUTED_VALUE"""),1)</f>
        <v>1</v>
      </c>
      <c r="D163" s="36"/>
      <c r="E163" s="36"/>
      <c r="F163" s="36"/>
      <c r="L163" s="36" t="str">
        <f ca="1">IFERROR(__xludf.DUMMYFUNCTION("""COMPUTED_VALUE"""),"Нурієва Валерія")</f>
        <v>Нурієва Валерія</v>
      </c>
      <c r="M163" s="628">
        <f ca="1">IFERROR(__xludf.DUMMYFUNCTION("""COMPUTED_VALUE"""),4)</f>
        <v>4</v>
      </c>
      <c r="N163" s="36"/>
      <c r="O163" s="36"/>
      <c r="P163" s="36"/>
      <c r="Q163" s="36"/>
    </row>
    <row r="164" spans="1:17">
      <c r="A164" s="36" t="str">
        <f ca="1">IFERROR(__xludf.DUMMYFUNCTION("""COMPUTED_VALUE"""),"Попов Олег")</f>
        <v>Попов Олег</v>
      </c>
      <c r="B164" s="628">
        <f ca="1">IFERROR(__xludf.DUMMYFUNCTION("""COMPUTED_VALUE"""),5)</f>
        <v>5</v>
      </c>
      <c r="C164" s="36">
        <f ca="1">IFERROR(__xludf.DUMMYFUNCTION("""COMPUTED_VALUE"""),4)</f>
        <v>4</v>
      </c>
      <c r="D164" s="36"/>
      <c r="E164" s="36"/>
      <c r="F164" s="36"/>
      <c r="L164" s="36" t="str">
        <f ca="1">IFERROR(__xludf.DUMMYFUNCTION("""COMPUTED_VALUE"""),"Обенко Олександр")</f>
        <v>Обенко Олександр</v>
      </c>
      <c r="M164" s="628">
        <f ca="1">IFERROR(__xludf.DUMMYFUNCTION("""COMPUTED_VALUE"""),4.9047619047619)</f>
        <v>4.9047619047618998</v>
      </c>
      <c r="N164" s="36"/>
      <c r="O164" s="36"/>
      <c r="P164" s="36"/>
      <c r="Q164" s="36"/>
    </row>
    <row r="165" spans="1:17">
      <c r="A165" s="36" t="str">
        <f ca="1">IFERROR(__xludf.DUMMYFUNCTION("""COMPUTED_VALUE"""),"Поротіков Михайло")</f>
        <v>Поротіков Михайло</v>
      </c>
      <c r="B165" s="628">
        <f ca="1">IFERROR(__xludf.DUMMYFUNCTION("""COMPUTED_VALUE"""),4.8)</f>
        <v>4.8</v>
      </c>
      <c r="C165" s="36">
        <f ca="1">IFERROR(__xludf.DUMMYFUNCTION("""COMPUTED_VALUE"""),10)</f>
        <v>10</v>
      </c>
      <c r="D165" s="36"/>
      <c r="E165" s="36"/>
      <c r="F165" s="36"/>
      <c r="L165" s="36" t="str">
        <f ca="1">IFERROR(__xludf.DUMMYFUNCTION("""COMPUTED_VALUE"""),"Обенко Олександра")</f>
        <v>Обенко Олександра</v>
      </c>
      <c r="M165" s="628">
        <f ca="1">IFERROR(__xludf.DUMMYFUNCTION("""COMPUTED_VALUE"""),4.75)</f>
        <v>4.75</v>
      </c>
      <c r="N165" s="36"/>
      <c r="O165" s="36"/>
      <c r="P165" s="36"/>
      <c r="Q165" s="36"/>
    </row>
    <row r="166" spans="1:17">
      <c r="A166" s="36" t="str">
        <f ca="1">IFERROR(__xludf.DUMMYFUNCTION("""COMPUTED_VALUE"""),"Посацький Роман")</f>
        <v>Посацький Роман</v>
      </c>
      <c r="B166" s="628">
        <f ca="1">IFERROR(__xludf.DUMMYFUNCTION("""COMPUTED_VALUE"""),4.75)</f>
        <v>4.75</v>
      </c>
      <c r="C166" s="36">
        <f ca="1">IFERROR(__xludf.DUMMYFUNCTION("""COMPUTED_VALUE"""),4)</f>
        <v>4</v>
      </c>
      <c r="D166" s="36"/>
      <c r="E166" s="36"/>
      <c r="F166" s="36"/>
      <c r="L166" s="36" t="str">
        <f ca="1">IFERROR(__xludf.DUMMYFUNCTION("""COMPUTED_VALUE"""),"Образцова Богдана")</f>
        <v>Образцова Богдана</v>
      </c>
      <c r="M166" s="628">
        <f ca="1">IFERROR(__xludf.DUMMYFUNCTION("""COMPUTED_VALUE"""),5)</f>
        <v>5</v>
      </c>
      <c r="N166" s="36"/>
      <c r="O166" s="36"/>
      <c r="P166" s="36"/>
      <c r="Q166" s="36"/>
    </row>
    <row r="167" spans="1:17">
      <c r="A167" s="36" t="str">
        <f ca="1">IFERROR(__xludf.DUMMYFUNCTION("""COMPUTED_VALUE"""),"Привалов Станіслав")</f>
        <v>Привалов Станіслав</v>
      </c>
      <c r="B167" s="628">
        <f ca="1">IFERROR(__xludf.DUMMYFUNCTION("""COMPUTED_VALUE"""),5)</f>
        <v>5</v>
      </c>
      <c r="C167" s="36">
        <f ca="1">IFERROR(__xludf.DUMMYFUNCTION("""COMPUTED_VALUE"""),1)</f>
        <v>1</v>
      </c>
      <c r="D167" s="36"/>
      <c r="E167" s="36"/>
      <c r="F167" s="36"/>
      <c r="L167" s="36" t="str">
        <f ca="1">IFERROR(__xludf.DUMMYFUNCTION("""COMPUTED_VALUE"""),"Овечко Анастасія")</f>
        <v>Овечко Анастасія</v>
      </c>
      <c r="M167" s="628">
        <f ca="1">IFERROR(__xludf.DUMMYFUNCTION("""COMPUTED_VALUE"""),4.5)</f>
        <v>4.5</v>
      </c>
      <c r="N167" s="36"/>
      <c r="O167" s="36"/>
      <c r="P167" s="36"/>
      <c r="Q167" s="36"/>
    </row>
    <row r="168" spans="1:17">
      <c r="A168" s="36" t="str">
        <f ca="1">IFERROR(__xludf.DUMMYFUNCTION("""COMPUTED_VALUE"""),"Прокопенко Валентин")</f>
        <v>Прокопенко Валентин</v>
      </c>
      <c r="B168" s="628">
        <f ca="1">IFERROR(__xludf.DUMMYFUNCTION("""COMPUTED_VALUE"""),5)</f>
        <v>5</v>
      </c>
      <c r="C168" s="36">
        <f ca="1">IFERROR(__xludf.DUMMYFUNCTION("""COMPUTED_VALUE"""),1)</f>
        <v>1</v>
      </c>
      <c r="D168" s="36"/>
      <c r="E168" s="36"/>
      <c r="F168" s="36"/>
      <c r="L168" s="36" t="str">
        <f ca="1">IFERROR(__xludf.DUMMYFUNCTION("""COMPUTED_VALUE"""),"Огороднік Микола")</f>
        <v>Огороднік Микола</v>
      </c>
      <c r="M168" s="628">
        <f ca="1">IFERROR(__xludf.DUMMYFUNCTION("""COMPUTED_VALUE"""),4.5)</f>
        <v>4.5</v>
      </c>
      <c r="N168" s="36"/>
      <c r="O168" s="36"/>
      <c r="P168" s="36"/>
      <c r="Q168" s="36"/>
    </row>
    <row r="169" spans="1:17">
      <c r="A169" s="36" t="str">
        <f ca="1">IFERROR(__xludf.DUMMYFUNCTION("""COMPUTED_VALUE"""),"Прокопчук Олександр")</f>
        <v>Прокопчук Олександр</v>
      </c>
      <c r="B169" s="628">
        <f ca="1">IFERROR(__xludf.DUMMYFUNCTION("""COMPUTED_VALUE"""),5)</f>
        <v>5</v>
      </c>
      <c r="C169" s="36">
        <f ca="1">IFERROR(__xludf.DUMMYFUNCTION("""COMPUTED_VALUE"""),9)</f>
        <v>9</v>
      </c>
      <c r="D169" s="36"/>
      <c r="E169" s="36"/>
      <c r="F169" s="36"/>
      <c r="L169" s="36" t="str">
        <f ca="1">IFERROR(__xludf.DUMMYFUNCTION("""COMPUTED_VALUE"""),"Оспанова Віта")</f>
        <v>Оспанова Віта</v>
      </c>
      <c r="M169" s="628">
        <f ca="1">IFERROR(__xludf.DUMMYFUNCTION("""COMPUTED_VALUE"""),5)</f>
        <v>5</v>
      </c>
      <c r="N169" s="36"/>
      <c r="O169" s="36"/>
      <c r="P169" s="36"/>
      <c r="Q169" s="36"/>
    </row>
    <row r="170" spans="1:17">
      <c r="A170" s="36" t="str">
        <f ca="1">IFERROR(__xludf.DUMMYFUNCTION("""COMPUTED_VALUE"""),"Пташинський Ярослав")</f>
        <v>Пташинський Ярослав</v>
      </c>
      <c r="B170" s="628">
        <f ca="1">IFERROR(__xludf.DUMMYFUNCTION("""COMPUTED_VALUE"""),5)</f>
        <v>5</v>
      </c>
      <c r="C170" s="36">
        <f ca="1">IFERROR(__xludf.DUMMYFUNCTION("""COMPUTED_VALUE"""),1)</f>
        <v>1</v>
      </c>
      <c r="D170" s="36"/>
      <c r="E170" s="36"/>
      <c r="F170" s="36"/>
      <c r="L170" s="36" t="str">
        <f ca="1">IFERROR(__xludf.DUMMYFUNCTION("""COMPUTED_VALUE"""),"Павленко Тарас")</f>
        <v>Павленко Тарас</v>
      </c>
      <c r="M170" s="628">
        <f ca="1">IFERROR(__xludf.DUMMYFUNCTION("""COMPUTED_VALUE"""),4.8)</f>
        <v>4.8</v>
      </c>
      <c r="N170" s="36"/>
      <c r="O170" s="36"/>
      <c r="P170" s="36"/>
      <c r="Q170" s="36"/>
    </row>
    <row r="171" spans="1:17">
      <c r="A171" s="36" t="str">
        <f ca="1">IFERROR(__xludf.DUMMYFUNCTION("""COMPUTED_VALUE"""),"Рамський Ігор")</f>
        <v>Рамський Ігор</v>
      </c>
      <c r="B171" s="628">
        <f ca="1">IFERROR(__xludf.DUMMYFUNCTION("""COMPUTED_VALUE"""),5)</f>
        <v>5</v>
      </c>
      <c r="C171" s="36">
        <f ca="1">IFERROR(__xludf.DUMMYFUNCTION("""COMPUTED_VALUE"""),2)</f>
        <v>2</v>
      </c>
      <c r="D171" s="36"/>
      <c r="E171" s="36"/>
      <c r="F171" s="36"/>
      <c r="L171" s="36" t="str">
        <f ca="1">IFERROR(__xludf.DUMMYFUNCTION("""COMPUTED_VALUE"""),"Палиха Марина")</f>
        <v>Палиха Марина</v>
      </c>
      <c r="M171" s="628">
        <f ca="1">IFERROR(__xludf.DUMMYFUNCTION("""COMPUTED_VALUE"""),5)</f>
        <v>5</v>
      </c>
      <c r="N171" s="36"/>
      <c r="O171" s="36"/>
      <c r="P171" s="36"/>
      <c r="Q171" s="36"/>
    </row>
    <row r="172" spans="1:17">
      <c r="A172" s="36" t="str">
        <f ca="1">IFERROR(__xludf.DUMMYFUNCTION("""COMPUTED_VALUE"""),"Раскіна Анастасія")</f>
        <v>Раскіна Анастасія</v>
      </c>
      <c r="B172" s="628">
        <f ca="1">IFERROR(__xludf.DUMMYFUNCTION("""COMPUTED_VALUE"""),5)</f>
        <v>5</v>
      </c>
      <c r="C172" s="36">
        <f ca="1">IFERROR(__xludf.DUMMYFUNCTION("""COMPUTED_VALUE"""),3)</f>
        <v>3</v>
      </c>
      <c r="D172" s="36"/>
      <c r="E172" s="36"/>
      <c r="F172" s="36"/>
      <c r="L172" s="36" t="str">
        <f ca="1">IFERROR(__xludf.DUMMYFUNCTION("""COMPUTED_VALUE"""),"Палій Андрій")</f>
        <v>Палій Андрій</v>
      </c>
      <c r="M172" s="628">
        <f ca="1">IFERROR(__xludf.DUMMYFUNCTION("""COMPUTED_VALUE"""),5)</f>
        <v>5</v>
      </c>
      <c r="N172" s="36"/>
      <c r="O172" s="36"/>
      <c r="P172" s="36"/>
      <c r="Q172" s="36"/>
    </row>
    <row r="173" spans="1:17">
      <c r="A173" s="36" t="str">
        <f ca="1">IFERROR(__xludf.DUMMYFUNCTION("""COMPUTED_VALUE"""),"Рибінський Валентин")</f>
        <v>Рибінський Валентин</v>
      </c>
      <c r="B173" s="628">
        <f ca="1">IFERROR(__xludf.DUMMYFUNCTION("""COMPUTED_VALUE"""),4.83333333333333)</f>
        <v>4.8333333333333304</v>
      </c>
      <c r="C173" s="36">
        <f ca="1">IFERROR(__xludf.DUMMYFUNCTION("""COMPUTED_VALUE"""),6)</f>
        <v>6</v>
      </c>
      <c r="D173" s="36"/>
      <c r="E173" s="36"/>
      <c r="F173" s="36"/>
      <c r="L173" s="36" t="str">
        <f ca="1">IFERROR(__xludf.DUMMYFUNCTION("""COMPUTED_VALUE"""),"Панчишин Данило")</f>
        <v>Панчишин Данило</v>
      </c>
      <c r="M173" s="628">
        <f ca="1">IFERROR(__xludf.DUMMYFUNCTION("""COMPUTED_VALUE"""),5)</f>
        <v>5</v>
      </c>
      <c r="N173" s="36"/>
      <c r="O173" s="36"/>
      <c r="P173" s="36"/>
      <c r="Q173" s="36"/>
    </row>
    <row r="174" spans="1:17">
      <c r="A174" s="36" t="str">
        <f ca="1">IFERROR(__xludf.DUMMYFUNCTION("""COMPUTED_VALUE"""),"Рихтик Даніель")</f>
        <v>Рихтик Даніель</v>
      </c>
      <c r="B174" s="628">
        <f ca="1">IFERROR(__xludf.DUMMYFUNCTION("""COMPUTED_VALUE"""),4.33333333333333)</f>
        <v>4.3333333333333304</v>
      </c>
      <c r="C174" s="36">
        <f ca="1">IFERROR(__xludf.DUMMYFUNCTION("""COMPUTED_VALUE"""),6)</f>
        <v>6</v>
      </c>
      <c r="D174" s="36"/>
      <c r="E174" s="36"/>
      <c r="F174" s="36"/>
      <c r="L174" s="36" t="str">
        <f ca="1">IFERROR(__xludf.DUMMYFUNCTION("""COMPUTED_VALUE"""),"Панчишин Святослав")</f>
        <v>Панчишин Святослав</v>
      </c>
      <c r="M174" s="628">
        <f ca="1">IFERROR(__xludf.DUMMYFUNCTION("""COMPUTED_VALUE"""),4.85714285714285)</f>
        <v>4.8571428571428497</v>
      </c>
      <c r="N174" s="36"/>
      <c r="O174" s="36"/>
      <c r="P174" s="36"/>
      <c r="Q174" s="36"/>
    </row>
    <row r="175" spans="1:17">
      <c r="A175" s="36" t="str">
        <f ca="1">IFERROR(__xludf.DUMMYFUNCTION("""COMPUTED_VALUE"""),"Ромащук Анастасія")</f>
        <v>Ромащук Анастасія</v>
      </c>
      <c r="B175" s="628">
        <f ca="1">IFERROR(__xludf.DUMMYFUNCTION("""COMPUTED_VALUE"""),4.85714285714285)</f>
        <v>4.8571428571428497</v>
      </c>
      <c r="C175" s="36">
        <f ca="1">IFERROR(__xludf.DUMMYFUNCTION("""COMPUTED_VALUE"""),7)</f>
        <v>7</v>
      </c>
      <c r="D175" s="36"/>
      <c r="E175" s="36"/>
      <c r="F175" s="36"/>
      <c r="L175" s="36" t="str">
        <f ca="1">IFERROR(__xludf.DUMMYFUNCTION("""COMPUTED_VALUE"""),"Пелячик Юлія")</f>
        <v>Пелячик Юлія</v>
      </c>
      <c r="M175" s="628">
        <f ca="1">IFERROR(__xludf.DUMMYFUNCTION("""COMPUTED_VALUE"""),4.88888888888888)</f>
        <v>4.8888888888888804</v>
      </c>
      <c r="N175" s="36"/>
      <c r="O175" s="36"/>
      <c r="P175" s="36"/>
      <c r="Q175" s="36"/>
    </row>
    <row r="176" spans="1:17">
      <c r="A176" s="36" t="str">
        <f ca="1">IFERROR(__xludf.DUMMYFUNCTION("""COMPUTED_VALUE"""),"Рубінський Ілля")</f>
        <v>Рубінський Ілля</v>
      </c>
      <c r="B176" s="628">
        <f ca="1">IFERROR(__xludf.DUMMYFUNCTION("""COMPUTED_VALUE"""),5)</f>
        <v>5</v>
      </c>
      <c r="C176" s="36">
        <f ca="1">IFERROR(__xludf.DUMMYFUNCTION("""COMPUTED_VALUE"""),5)</f>
        <v>5</v>
      </c>
      <c r="D176" s="36"/>
      <c r="E176" s="36"/>
      <c r="F176" s="36"/>
      <c r="L176" s="36" t="str">
        <f ca="1">IFERROR(__xludf.DUMMYFUNCTION("""COMPUTED_VALUE"""),"Переверзєва Діана")</f>
        <v>Переверзєва Діана</v>
      </c>
      <c r="M176" s="628">
        <f ca="1">IFERROR(__xludf.DUMMYFUNCTION("""COMPUTED_VALUE"""),5)</f>
        <v>5</v>
      </c>
      <c r="N176" s="36"/>
      <c r="O176" s="36"/>
      <c r="P176" s="36"/>
      <c r="Q176" s="36"/>
    </row>
    <row r="177" spans="1:17">
      <c r="A177" s="36" t="str">
        <f ca="1">IFERROR(__xludf.DUMMYFUNCTION("""COMPUTED_VALUE"""),"Ружицький Роман")</f>
        <v>Ружицький Роман</v>
      </c>
      <c r="B177" s="628">
        <f ca="1">IFERROR(__xludf.DUMMYFUNCTION("""COMPUTED_VALUE"""),4.55555555555555)</f>
        <v>4.55555555555555</v>
      </c>
      <c r="C177" s="36">
        <f ca="1">IFERROR(__xludf.DUMMYFUNCTION("""COMPUTED_VALUE"""),9)</f>
        <v>9</v>
      </c>
      <c r="D177" s="36"/>
      <c r="E177" s="36"/>
      <c r="F177" s="36"/>
      <c r="L177" s="36" t="str">
        <f ca="1">IFERROR(__xludf.DUMMYFUNCTION("""COMPUTED_VALUE"""),"Перекрест Станіслав")</f>
        <v>Перекрест Станіслав</v>
      </c>
      <c r="M177" s="628">
        <f ca="1">IFERROR(__xludf.DUMMYFUNCTION("""COMPUTED_VALUE"""),4.6)</f>
        <v>4.5999999999999996</v>
      </c>
      <c r="N177" s="36"/>
      <c r="O177" s="36"/>
      <c r="P177" s="36"/>
      <c r="Q177" s="36"/>
    </row>
    <row r="178" spans="1:17">
      <c r="A178" s="36" t="str">
        <f ca="1">IFERROR(__xludf.DUMMYFUNCTION("""COMPUTED_VALUE"""),"Савченко Олександра")</f>
        <v>Савченко Олександра</v>
      </c>
      <c r="B178" s="628">
        <f ca="1">IFERROR(__xludf.DUMMYFUNCTION("""COMPUTED_VALUE"""),5)</f>
        <v>5</v>
      </c>
      <c r="C178" s="36">
        <f ca="1">IFERROR(__xludf.DUMMYFUNCTION("""COMPUTED_VALUE"""),2)</f>
        <v>2</v>
      </c>
      <c r="D178" s="36"/>
      <c r="E178" s="36"/>
      <c r="F178" s="36"/>
      <c r="L178" s="36" t="str">
        <f ca="1">IFERROR(__xludf.DUMMYFUNCTION("""COMPUTED_VALUE"""),"Перепелиця Тимур")</f>
        <v>Перепелиця Тимур</v>
      </c>
      <c r="M178" s="628">
        <f ca="1">IFERROR(__xludf.DUMMYFUNCTION("""COMPUTED_VALUE"""),4.83333333333333)</f>
        <v>4.8333333333333304</v>
      </c>
      <c r="N178" s="36"/>
      <c r="O178" s="36"/>
      <c r="P178" s="36"/>
      <c r="Q178" s="36"/>
    </row>
    <row r="179" spans="1:17">
      <c r="A179" s="36" t="str">
        <f ca="1">IFERROR(__xludf.DUMMYFUNCTION("""COMPUTED_VALUE"""),"Савчук Валерія")</f>
        <v>Савчук Валерія</v>
      </c>
      <c r="B179" s="628">
        <f ca="1">IFERROR(__xludf.DUMMYFUNCTION("""COMPUTED_VALUE"""),4.88888888888888)</f>
        <v>4.8888888888888804</v>
      </c>
      <c r="C179" s="36">
        <f ca="1">IFERROR(__xludf.DUMMYFUNCTION("""COMPUTED_VALUE"""),9)</f>
        <v>9</v>
      </c>
      <c r="D179" s="36"/>
      <c r="E179" s="36"/>
      <c r="F179" s="36"/>
      <c r="L179" s="36" t="str">
        <f ca="1">IFERROR(__xludf.DUMMYFUNCTION("""COMPUTED_VALUE"""),"Перловська Анна")</f>
        <v>Перловська Анна</v>
      </c>
      <c r="M179" s="628">
        <f ca="1">IFERROR(__xludf.DUMMYFUNCTION("""COMPUTED_VALUE"""),4.83333333333333)</f>
        <v>4.8333333333333304</v>
      </c>
      <c r="N179" s="36"/>
      <c r="O179" s="36"/>
      <c r="P179" s="36"/>
      <c r="Q179" s="36"/>
    </row>
    <row r="180" spans="1:17">
      <c r="A180" s="36" t="str">
        <f ca="1">IFERROR(__xludf.DUMMYFUNCTION("""COMPUTED_VALUE"""),"Савчук Тетяна")</f>
        <v>Савчук Тетяна</v>
      </c>
      <c r="B180" s="628">
        <f ca="1">IFERROR(__xludf.DUMMYFUNCTION("""COMPUTED_VALUE"""),4.75)</f>
        <v>4.75</v>
      </c>
      <c r="C180" s="36">
        <f ca="1">IFERROR(__xludf.DUMMYFUNCTION("""COMPUTED_VALUE"""),4)</f>
        <v>4</v>
      </c>
      <c r="D180" s="36"/>
      <c r="E180" s="36"/>
      <c r="F180" s="36"/>
      <c r="L180" s="36" t="str">
        <f ca="1">IFERROR(__xludf.DUMMYFUNCTION("""COMPUTED_VALUE"""),"Петік Марина")</f>
        <v>Петік Марина</v>
      </c>
      <c r="M180" s="628">
        <f ca="1">IFERROR(__xludf.DUMMYFUNCTION("""COMPUTED_VALUE"""),5)</f>
        <v>5</v>
      </c>
      <c r="N180" s="36"/>
      <c r="O180" s="36"/>
      <c r="P180" s="36"/>
      <c r="Q180" s="36"/>
    </row>
    <row r="181" spans="1:17">
      <c r="A181" s="36" t="str">
        <f ca="1">IFERROR(__xludf.DUMMYFUNCTION("""COMPUTED_VALUE"""),"Сало Ольга")</f>
        <v>Сало Ольга</v>
      </c>
      <c r="B181" s="628">
        <f ca="1">IFERROR(__xludf.DUMMYFUNCTION("""COMPUTED_VALUE"""),5)</f>
        <v>5</v>
      </c>
      <c r="C181" s="36">
        <f ca="1">IFERROR(__xludf.DUMMYFUNCTION("""COMPUTED_VALUE"""),2)</f>
        <v>2</v>
      </c>
      <c r="D181" s="36"/>
      <c r="E181" s="36"/>
      <c r="F181" s="36"/>
      <c r="L181" s="36" t="str">
        <f ca="1">IFERROR(__xludf.DUMMYFUNCTION("""COMPUTED_VALUE"""),"Петришин Оксана")</f>
        <v>Петришин Оксана</v>
      </c>
      <c r="M181" s="628">
        <f ca="1">IFERROR(__xludf.DUMMYFUNCTION("""COMPUTED_VALUE"""),5)</f>
        <v>5</v>
      </c>
      <c r="N181" s="36"/>
      <c r="O181" s="36"/>
      <c r="P181" s="36"/>
      <c r="Q181" s="36"/>
    </row>
    <row r="182" spans="1:17">
      <c r="A182" s="36" t="str">
        <f ca="1">IFERROR(__xludf.DUMMYFUNCTION("""COMPUTED_VALUE"""),"Самарська Софія")</f>
        <v>Самарська Софія</v>
      </c>
      <c r="B182" s="628">
        <f ca="1">IFERROR(__xludf.DUMMYFUNCTION("""COMPUTED_VALUE"""),5)</f>
        <v>5</v>
      </c>
      <c r="C182" s="36">
        <f ca="1">IFERROR(__xludf.DUMMYFUNCTION("""COMPUTED_VALUE"""),4)</f>
        <v>4</v>
      </c>
      <c r="D182" s="36"/>
      <c r="E182" s="36"/>
      <c r="F182" s="36"/>
      <c r="L182" s="36" t="str">
        <f ca="1">IFERROR(__xludf.DUMMYFUNCTION("""COMPUTED_VALUE"""),"Пирогова Анастасія")</f>
        <v>Пирогова Анастасія</v>
      </c>
      <c r="M182" s="628">
        <f ca="1">IFERROR(__xludf.DUMMYFUNCTION("""COMPUTED_VALUE"""),5)</f>
        <v>5</v>
      </c>
      <c r="N182" s="36"/>
      <c r="O182" s="36"/>
      <c r="P182" s="36"/>
      <c r="Q182" s="36"/>
    </row>
    <row r="183" spans="1:17">
      <c r="A183" s="36" t="str">
        <f ca="1">IFERROR(__xludf.DUMMYFUNCTION("""COMPUTED_VALUE"""),"Свід Ірина")</f>
        <v>Свід Ірина</v>
      </c>
      <c r="B183" s="628">
        <f ca="1">IFERROR(__xludf.DUMMYFUNCTION("""COMPUTED_VALUE"""),5)</f>
        <v>5</v>
      </c>
      <c r="C183" s="36">
        <f ca="1">IFERROR(__xludf.DUMMYFUNCTION("""COMPUTED_VALUE"""),1)</f>
        <v>1</v>
      </c>
      <c r="D183" s="36"/>
      <c r="E183" s="36"/>
      <c r="F183" s="36"/>
      <c r="L183" s="36" t="str">
        <f ca="1">IFERROR(__xludf.DUMMYFUNCTION("""COMPUTED_VALUE"""),"Писаренко Марія")</f>
        <v>Писаренко Марія</v>
      </c>
      <c r="M183" s="628">
        <f ca="1">IFERROR(__xludf.DUMMYFUNCTION("""COMPUTED_VALUE"""),5)</f>
        <v>5</v>
      </c>
      <c r="N183" s="36"/>
      <c r="O183" s="36"/>
      <c r="P183" s="36"/>
      <c r="Q183" s="36"/>
    </row>
    <row r="184" spans="1:17">
      <c r="A184" s="36" t="str">
        <f ca="1">IFERROR(__xludf.DUMMYFUNCTION("""COMPUTED_VALUE"""),"Свідерський Кирил")</f>
        <v>Свідерський Кирил</v>
      </c>
      <c r="B184" s="628">
        <f ca="1">IFERROR(__xludf.DUMMYFUNCTION("""COMPUTED_VALUE"""),4.91666666666666)</f>
        <v>4.9166666666666599</v>
      </c>
      <c r="C184" s="36">
        <f ca="1">IFERROR(__xludf.DUMMYFUNCTION("""COMPUTED_VALUE"""),12)</f>
        <v>12</v>
      </c>
      <c r="D184" s="36"/>
      <c r="E184" s="36"/>
      <c r="F184" s="36"/>
      <c r="L184" s="36" t="str">
        <f ca="1">IFERROR(__xludf.DUMMYFUNCTION("""COMPUTED_VALUE"""),"Підвальна Олександра")</f>
        <v>Підвальна Олександра</v>
      </c>
      <c r="M184" s="628">
        <f ca="1">IFERROR(__xludf.DUMMYFUNCTION("""COMPUTED_VALUE"""),4.9090909090909)</f>
        <v>4.9090909090909003</v>
      </c>
      <c r="N184" s="36"/>
      <c r="O184" s="36"/>
      <c r="P184" s="36"/>
      <c r="Q184" s="36"/>
    </row>
    <row r="185" spans="1:17">
      <c r="A185" s="36" t="str">
        <f ca="1">IFERROR(__xludf.DUMMYFUNCTION("""COMPUTED_VALUE"""),"Севрук Антон")</f>
        <v>Севрук Антон</v>
      </c>
      <c r="B185" s="628">
        <f ca="1">IFERROR(__xludf.DUMMYFUNCTION("""COMPUTED_VALUE"""),4.66666666666666)</f>
        <v>4.6666666666666599</v>
      </c>
      <c r="C185" s="36">
        <f ca="1">IFERROR(__xludf.DUMMYFUNCTION("""COMPUTED_VALUE"""),6)</f>
        <v>6</v>
      </c>
      <c r="D185" s="36"/>
      <c r="E185" s="36"/>
      <c r="F185" s="36"/>
      <c r="L185" s="36" t="str">
        <f ca="1">IFERROR(__xludf.DUMMYFUNCTION("""COMPUTED_VALUE"""),"Піскова Юлія")</f>
        <v>Піскова Юлія</v>
      </c>
      <c r="M185" s="628">
        <f ca="1">IFERROR(__xludf.DUMMYFUNCTION("""COMPUTED_VALUE"""),4.7)</f>
        <v>4.7</v>
      </c>
      <c r="N185" s="36"/>
      <c r="O185" s="36"/>
      <c r="P185" s="36"/>
      <c r="Q185" s="36"/>
    </row>
    <row r="186" spans="1:17">
      <c r="A186" s="36" t="str">
        <f ca="1">IFERROR(__xludf.DUMMYFUNCTION("""COMPUTED_VALUE"""),"Севрук Ірина")</f>
        <v>Севрук Ірина</v>
      </c>
      <c r="B186" s="628">
        <f ca="1">IFERROR(__xludf.DUMMYFUNCTION("""COMPUTED_VALUE"""),5)</f>
        <v>5</v>
      </c>
      <c r="C186" s="36">
        <f ca="1">IFERROR(__xludf.DUMMYFUNCTION("""COMPUTED_VALUE"""),4)</f>
        <v>4</v>
      </c>
      <c r="D186" s="36"/>
      <c r="E186" s="36"/>
      <c r="F186" s="36"/>
      <c r="L186" s="36" t="str">
        <f ca="1">IFERROR(__xludf.DUMMYFUNCTION("""COMPUTED_VALUE"""),"Плаксій Ярослав")</f>
        <v>Плаксій Ярослав</v>
      </c>
      <c r="M186" s="628">
        <f ca="1">IFERROR(__xludf.DUMMYFUNCTION("""COMPUTED_VALUE"""),4.75)</f>
        <v>4.75</v>
      </c>
      <c r="N186" s="36"/>
      <c r="O186" s="36"/>
      <c r="P186" s="36"/>
      <c r="Q186" s="36"/>
    </row>
    <row r="187" spans="1:17">
      <c r="A187" s="36" t="str">
        <f ca="1">IFERROR(__xludf.DUMMYFUNCTION("""COMPUTED_VALUE"""),"Семченко Анастасія")</f>
        <v>Семченко Анастасія</v>
      </c>
      <c r="B187" s="628">
        <f ca="1">IFERROR(__xludf.DUMMYFUNCTION("""COMPUTED_VALUE"""),5)</f>
        <v>5</v>
      </c>
      <c r="C187" s="36">
        <f ca="1">IFERROR(__xludf.DUMMYFUNCTION("""COMPUTED_VALUE"""),1)</f>
        <v>1</v>
      </c>
      <c r="D187" s="36"/>
      <c r="E187" s="36"/>
      <c r="F187" s="36"/>
      <c r="L187" s="36" t="str">
        <f ca="1">IFERROR(__xludf.DUMMYFUNCTION("""COMPUTED_VALUE"""),"Полєщук Єгор")</f>
        <v>Полєщук Єгор</v>
      </c>
      <c r="M187" s="628">
        <f ca="1">IFERROR(__xludf.DUMMYFUNCTION("""COMPUTED_VALUE"""),5)</f>
        <v>5</v>
      </c>
      <c r="N187" s="36"/>
      <c r="O187" s="36"/>
      <c r="P187" s="36"/>
      <c r="Q187" s="36"/>
    </row>
    <row r="188" spans="1:17">
      <c r="A188" s="36" t="str">
        <f ca="1">IFERROR(__xludf.DUMMYFUNCTION("""COMPUTED_VALUE"""),"Сенчило Андрій")</f>
        <v>Сенчило Андрій</v>
      </c>
      <c r="B188" s="628">
        <f ca="1">IFERROR(__xludf.DUMMYFUNCTION("""COMPUTED_VALUE"""),5)</f>
        <v>5</v>
      </c>
      <c r="C188" s="36">
        <f ca="1">IFERROR(__xludf.DUMMYFUNCTION("""COMPUTED_VALUE"""),4)</f>
        <v>4</v>
      </c>
      <c r="D188" s="36"/>
      <c r="E188" s="36"/>
      <c r="F188" s="36"/>
      <c r="L188" s="36" t="str">
        <f ca="1">IFERROR(__xludf.DUMMYFUNCTION("""COMPUTED_VALUE"""),"Поліщук Остап")</f>
        <v>Поліщук Остап</v>
      </c>
      <c r="M188" s="628">
        <f ca="1">IFERROR(__xludf.DUMMYFUNCTION("""COMPUTED_VALUE"""),5)</f>
        <v>5</v>
      </c>
      <c r="N188" s="36"/>
      <c r="O188" s="36"/>
      <c r="P188" s="36"/>
      <c r="Q188" s="36"/>
    </row>
    <row r="189" spans="1:17">
      <c r="A189" s="36" t="str">
        <f ca="1">IFERROR(__xludf.DUMMYFUNCTION("""COMPUTED_VALUE"""),"Сербін Олександр")</f>
        <v>Сербін Олександр</v>
      </c>
      <c r="B189" s="628">
        <f ca="1">IFERROR(__xludf.DUMMYFUNCTION("""COMPUTED_VALUE"""),5)</f>
        <v>5</v>
      </c>
      <c r="C189" s="36">
        <f ca="1">IFERROR(__xludf.DUMMYFUNCTION("""COMPUTED_VALUE"""),2)</f>
        <v>2</v>
      </c>
      <c r="D189" s="36"/>
      <c r="E189" s="36"/>
      <c r="F189" s="36"/>
      <c r="L189" s="36" t="str">
        <f ca="1">IFERROR(__xludf.DUMMYFUNCTION("""COMPUTED_VALUE"""),"Поляков Михайло")</f>
        <v>Поляков Михайло</v>
      </c>
      <c r="M189" s="628">
        <f ca="1">IFERROR(__xludf.DUMMYFUNCTION("""COMPUTED_VALUE"""),5)</f>
        <v>5</v>
      </c>
      <c r="N189" s="36"/>
      <c r="O189" s="36"/>
      <c r="P189" s="36"/>
      <c r="Q189" s="36"/>
    </row>
    <row r="190" spans="1:17">
      <c r="A190" s="36" t="str">
        <f ca="1">IFERROR(__xludf.DUMMYFUNCTION("""COMPUTED_VALUE"""),"Середа Тетяна")</f>
        <v>Середа Тетяна</v>
      </c>
      <c r="B190" s="628">
        <f ca="1">IFERROR(__xludf.DUMMYFUNCTION("""COMPUTED_VALUE"""),4.75)</f>
        <v>4.75</v>
      </c>
      <c r="C190" s="36">
        <f ca="1">IFERROR(__xludf.DUMMYFUNCTION("""COMPUTED_VALUE"""),4)</f>
        <v>4</v>
      </c>
      <c r="D190" s="36"/>
      <c r="E190" s="36"/>
      <c r="F190" s="36"/>
      <c r="L190" s="36" t="str">
        <f ca="1">IFERROR(__xludf.DUMMYFUNCTION("""COMPUTED_VALUE"""),"Полякова Альбіна")</f>
        <v>Полякова Альбіна</v>
      </c>
      <c r="M190" s="628">
        <f ca="1">IFERROR(__xludf.DUMMYFUNCTION("""COMPUTED_VALUE"""),5)</f>
        <v>5</v>
      </c>
      <c r="N190" s="36"/>
      <c r="O190" s="36"/>
      <c r="P190" s="36"/>
      <c r="Q190" s="36"/>
    </row>
    <row r="191" spans="1:17">
      <c r="A191" s="36" t="str">
        <f ca="1">IFERROR(__xludf.DUMMYFUNCTION("""COMPUTED_VALUE"""),"Середняк Катерина")</f>
        <v>Середняк Катерина</v>
      </c>
      <c r="B191" s="628">
        <f ca="1">IFERROR(__xludf.DUMMYFUNCTION("""COMPUTED_VALUE"""),5)</f>
        <v>5</v>
      </c>
      <c r="C191" s="36">
        <f ca="1">IFERROR(__xludf.DUMMYFUNCTION("""COMPUTED_VALUE"""),4)</f>
        <v>4</v>
      </c>
      <c r="D191" s="36"/>
      <c r="E191" s="36"/>
      <c r="F191" s="36"/>
      <c r="L191" s="36" t="str">
        <f ca="1">IFERROR(__xludf.DUMMYFUNCTION("""COMPUTED_VALUE"""),"Помогаєв Костянтин")</f>
        <v>Помогаєв Костянтин</v>
      </c>
      <c r="M191" s="628">
        <f ca="1">IFERROR(__xludf.DUMMYFUNCTION("""COMPUTED_VALUE"""),5)</f>
        <v>5</v>
      </c>
      <c r="N191" s="36"/>
      <c r="O191" s="36"/>
      <c r="P191" s="36"/>
      <c r="Q191" s="36"/>
    </row>
    <row r="192" spans="1:17">
      <c r="A192" s="36" t="str">
        <f ca="1">IFERROR(__xludf.DUMMYFUNCTION("""COMPUTED_VALUE"""),"Сітко Віта")</f>
        <v>Сітко Віта</v>
      </c>
      <c r="B192" s="628">
        <f ca="1">IFERROR(__xludf.DUMMYFUNCTION("""COMPUTED_VALUE"""),5)</f>
        <v>5</v>
      </c>
      <c r="C192" s="36">
        <f ca="1">IFERROR(__xludf.DUMMYFUNCTION("""COMPUTED_VALUE"""),3)</f>
        <v>3</v>
      </c>
      <c r="D192" s="36"/>
      <c r="E192" s="36"/>
      <c r="F192" s="36"/>
      <c r="L192" s="36" t="str">
        <f ca="1">IFERROR(__xludf.DUMMYFUNCTION("""COMPUTED_VALUE"""),"Поротіков Михайло")</f>
        <v>Поротіков Михайло</v>
      </c>
      <c r="M192" s="628">
        <f ca="1">IFERROR(__xludf.DUMMYFUNCTION("""COMPUTED_VALUE"""),4.88888888888888)</f>
        <v>4.8888888888888804</v>
      </c>
      <c r="N192" s="36"/>
      <c r="O192" s="36"/>
      <c r="P192" s="36"/>
      <c r="Q192" s="36"/>
    </row>
    <row r="193" spans="1:17">
      <c r="A193" s="36" t="str">
        <f ca="1">IFERROR(__xludf.DUMMYFUNCTION("""COMPUTED_VALUE"""),"Скрипник Дар'я")</f>
        <v>Скрипник Дар'я</v>
      </c>
      <c r="B193" s="628">
        <f ca="1">IFERROR(__xludf.DUMMYFUNCTION("""COMPUTED_VALUE"""),5)</f>
        <v>5</v>
      </c>
      <c r="C193" s="36">
        <f ca="1">IFERROR(__xludf.DUMMYFUNCTION("""COMPUTED_VALUE"""),1)</f>
        <v>1</v>
      </c>
      <c r="D193" s="36"/>
      <c r="E193" s="36"/>
      <c r="F193" s="36"/>
      <c r="L193" s="36" t="str">
        <f ca="1">IFERROR(__xludf.DUMMYFUNCTION("""COMPUTED_VALUE"""),"Посацький Роман")</f>
        <v>Посацький Роман</v>
      </c>
      <c r="M193" s="628">
        <f ca="1">IFERROR(__xludf.DUMMYFUNCTION("""COMPUTED_VALUE"""),4.85714285714285)</f>
        <v>4.8571428571428497</v>
      </c>
      <c r="N193" s="36"/>
      <c r="O193" s="36"/>
      <c r="P193" s="36"/>
      <c r="Q193" s="36"/>
    </row>
    <row r="194" spans="1:17">
      <c r="A194" s="36" t="str">
        <f ca="1">IFERROR(__xludf.DUMMYFUNCTION("""COMPUTED_VALUE"""),"Соколова Ірина")</f>
        <v>Соколова Ірина</v>
      </c>
      <c r="B194" s="628">
        <f ca="1">IFERROR(__xludf.DUMMYFUNCTION("""COMPUTED_VALUE"""),5)</f>
        <v>5</v>
      </c>
      <c r="C194" s="36">
        <f ca="1">IFERROR(__xludf.DUMMYFUNCTION("""COMPUTED_VALUE"""),4)</f>
        <v>4</v>
      </c>
      <c r="D194" s="36"/>
      <c r="E194" s="36"/>
      <c r="F194" s="36"/>
      <c r="L194" s="36" t="str">
        <f ca="1">IFERROR(__xludf.DUMMYFUNCTION("""COMPUTED_VALUE"""),"Прокопенко Валентин")</f>
        <v>Прокопенко Валентин</v>
      </c>
      <c r="M194" s="628">
        <f ca="1">IFERROR(__xludf.DUMMYFUNCTION("""COMPUTED_VALUE"""),4.4)</f>
        <v>4.4000000000000004</v>
      </c>
      <c r="N194" s="36"/>
      <c r="O194" s="36"/>
      <c r="P194" s="36"/>
      <c r="Q194" s="36"/>
    </row>
    <row r="195" spans="1:17">
      <c r="A195" s="36" t="str">
        <f ca="1">IFERROR(__xludf.DUMMYFUNCTION("""COMPUTED_VALUE"""),"Солонинка Андрій")</f>
        <v>Солонинка Андрій</v>
      </c>
      <c r="B195" s="628">
        <f ca="1">IFERROR(__xludf.DUMMYFUNCTION("""COMPUTED_VALUE"""),4.66666666666666)</f>
        <v>4.6666666666666599</v>
      </c>
      <c r="C195" s="36">
        <f ca="1">IFERROR(__xludf.DUMMYFUNCTION("""COMPUTED_VALUE"""),3)</f>
        <v>3</v>
      </c>
      <c r="D195" s="36"/>
      <c r="E195" s="36"/>
      <c r="F195" s="36"/>
      <c r="L195" s="36" t="str">
        <f ca="1">IFERROR(__xludf.DUMMYFUNCTION("""COMPUTED_VALUE"""),"Прокопчук Олександр")</f>
        <v>Прокопчук Олександр</v>
      </c>
      <c r="M195" s="628">
        <f ca="1">IFERROR(__xludf.DUMMYFUNCTION("""COMPUTED_VALUE"""),5)</f>
        <v>5</v>
      </c>
      <c r="N195" s="36"/>
      <c r="O195" s="36"/>
      <c r="P195" s="36"/>
      <c r="Q195" s="36"/>
    </row>
    <row r="196" spans="1:17">
      <c r="A196" s="36" t="str">
        <f ca="1">IFERROR(__xludf.DUMMYFUNCTION("""COMPUTED_VALUE"""),"Старокожев Святослав")</f>
        <v>Старокожев Святослав</v>
      </c>
      <c r="B196" s="628">
        <f ca="1">IFERROR(__xludf.DUMMYFUNCTION("""COMPUTED_VALUE"""),5)</f>
        <v>5</v>
      </c>
      <c r="C196" s="36">
        <f ca="1">IFERROR(__xludf.DUMMYFUNCTION("""COMPUTED_VALUE"""),1)</f>
        <v>1</v>
      </c>
      <c r="D196" s="36"/>
      <c r="E196" s="36"/>
      <c r="F196" s="36"/>
      <c r="L196" s="36" t="str">
        <f ca="1">IFERROR(__xludf.DUMMYFUNCTION("""COMPUTED_VALUE"""),"Рибінський Валентин")</f>
        <v>Рибінський Валентин</v>
      </c>
      <c r="M196" s="628">
        <f ca="1">IFERROR(__xludf.DUMMYFUNCTION("""COMPUTED_VALUE"""),5)</f>
        <v>5</v>
      </c>
      <c r="N196" s="36"/>
      <c r="O196" s="36"/>
      <c r="P196" s="36"/>
      <c r="Q196" s="36"/>
    </row>
    <row r="197" spans="1:17">
      <c r="A197" s="36" t="str">
        <f ca="1">IFERROR(__xludf.DUMMYFUNCTION("""COMPUTED_VALUE"""),"Старушок Валентин")</f>
        <v>Старушок Валентин</v>
      </c>
      <c r="B197" s="628">
        <f ca="1">IFERROR(__xludf.DUMMYFUNCTION("""COMPUTED_VALUE"""),5)</f>
        <v>5</v>
      </c>
      <c r="C197" s="36">
        <f ca="1">IFERROR(__xludf.DUMMYFUNCTION("""COMPUTED_VALUE"""),5)</f>
        <v>5</v>
      </c>
      <c r="D197" s="36"/>
      <c r="E197" s="36"/>
      <c r="F197" s="36"/>
      <c r="L197" s="36" t="str">
        <f ca="1">IFERROR(__xludf.DUMMYFUNCTION("""COMPUTED_VALUE"""),"Рибкіна Олена")</f>
        <v>Рибкіна Олена</v>
      </c>
      <c r="M197" s="628">
        <f ca="1">IFERROR(__xludf.DUMMYFUNCTION("""COMPUTED_VALUE"""),5)</f>
        <v>5</v>
      </c>
      <c r="N197" s="36"/>
      <c r="O197" s="36"/>
      <c r="P197" s="36"/>
      <c r="Q197" s="36"/>
    </row>
    <row r="198" spans="1:17">
      <c r="A198" s="36" t="str">
        <f ca="1">IFERROR(__xludf.DUMMYFUNCTION("""COMPUTED_VALUE"""),"Стасюк Роман")</f>
        <v>Стасюк Роман</v>
      </c>
      <c r="B198" s="628">
        <f ca="1">IFERROR(__xludf.DUMMYFUNCTION("""COMPUTED_VALUE"""),5)</f>
        <v>5</v>
      </c>
      <c r="C198" s="36">
        <f ca="1">IFERROR(__xludf.DUMMYFUNCTION("""COMPUTED_VALUE"""),1)</f>
        <v>1</v>
      </c>
      <c r="D198" s="36"/>
      <c r="E198" s="36"/>
      <c r="F198" s="36"/>
      <c r="L198" s="36" t="str">
        <f ca="1">IFERROR(__xludf.DUMMYFUNCTION("""COMPUTED_VALUE"""),"Ромащук Анастасія")</f>
        <v>Ромащук Анастасія</v>
      </c>
      <c r="M198" s="628">
        <f ca="1">IFERROR(__xludf.DUMMYFUNCTION("""COMPUTED_VALUE"""),5)</f>
        <v>5</v>
      </c>
      <c r="N198" s="36"/>
      <c r="O198" s="36"/>
      <c r="P198" s="36"/>
      <c r="Q198" s="36"/>
    </row>
    <row r="199" spans="1:17">
      <c r="A199" s="36" t="str">
        <f ca="1">IFERROR(__xludf.DUMMYFUNCTION("""COMPUTED_VALUE"""),"Стецюк Валерія")</f>
        <v>Стецюк Валерія</v>
      </c>
      <c r="B199" s="628">
        <f ca="1">IFERROR(__xludf.DUMMYFUNCTION("""COMPUTED_VALUE"""),5)</f>
        <v>5</v>
      </c>
      <c r="C199" s="36">
        <f ca="1">IFERROR(__xludf.DUMMYFUNCTION("""COMPUTED_VALUE"""),1)</f>
        <v>1</v>
      </c>
      <c r="D199" s="36"/>
      <c r="E199" s="36"/>
      <c r="F199" s="36"/>
      <c r="L199" s="36" t="str">
        <f ca="1">IFERROR(__xludf.DUMMYFUNCTION("""COMPUTED_VALUE"""),"Рубінський Ілля")</f>
        <v>Рубінський Ілля</v>
      </c>
      <c r="M199" s="628">
        <f ca="1">IFERROR(__xludf.DUMMYFUNCTION("""COMPUTED_VALUE"""),4.86666666666666)</f>
        <v>4.86666666666666</v>
      </c>
      <c r="N199" s="36"/>
      <c r="O199" s="36"/>
      <c r="P199" s="36"/>
      <c r="Q199" s="36"/>
    </row>
    <row r="200" spans="1:17">
      <c r="A200" s="36" t="str">
        <f ca="1">IFERROR(__xludf.DUMMYFUNCTION("""COMPUTED_VALUE"""),"Стойка Філіп")</f>
        <v>Стойка Філіп</v>
      </c>
      <c r="B200" s="628">
        <f ca="1">IFERROR(__xludf.DUMMYFUNCTION("""COMPUTED_VALUE"""),4)</f>
        <v>4</v>
      </c>
      <c r="C200" s="36">
        <f ca="1">IFERROR(__xludf.DUMMYFUNCTION("""COMPUTED_VALUE"""),2)</f>
        <v>2</v>
      </c>
      <c r="D200" s="36"/>
      <c r="E200" s="36"/>
      <c r="F200" s="36"/>
      <c r="L200" s="36" t="str">
        <f ca="1">IFERROR(__xludf.DUMMYFUNCTION("""COMPUTED_VALUE"""),"Ружицький Роман")</f>
        <v>Ружицький Роман</v>
      </c>
      <c r="M200" s="628">
        <f ca="1">IFERROR(__xludf.DUMMYFUNCTION("""COMPUTED_VALUE"""),4.42857142857142)</f>
        <v>4.4285714285714199</v>
      </c>
      <c r="N200" s="36"/>
      <c r="O200" s="36"/>
      <c r="P200" s="36"/>
      <c r="Q200" s="36"/>
    </row>
    <row r="201" spans="1:17">
      <c r="A201" s="36" t="str">
        <f ca="1">IFERROR(__xludf.DUMMYFUNCTION("""COMPUTED_VALUE"""),"Страшок Яна")</f>
        <v>Страшок Яна</v>
      </c>
      <c r="B201" s="628">
        <f ca="1">IFERROR(__xludf.DUMMYFUNCTION("""COMPUTED_VALUE"""),5)</f>
        <v>5</v>
      </c>
      <c r="C201" s="36">
        <f ca="1">IFERROR(__xludf.DUMMYFUNCTION("""COMPUTED_VALUE"""),1)</f>
        <v>1</v>
      </c>
      <c r="D201" s="36"/>
      <c r="E201" s="36"/>
      <c r="F201" s="36"/>
      <c r="L201" s="36" t="str">
        <f ca="1">IFERROR(__xludf.DUMMYFUNCTION("""COMPUTED_VALUE"""),"Савченко Олександра")</f>
        <v>Савченко Олександра</v>
      </c>
      <c r="M201" s="628">
        <f ca="1">IFERROR(__xludf.DUMMYFUNCTION("""COMPUTED_VALUE"""),5)</f>
        <v>5</v>
      </c>
      <c r="N201" s="36"/>
      <c r="O201" s="36"/>
      <c r="P201" s="36"/>
      <c r="Q201" s="36"/>
    </row>
    <row r="202" spans="1:17">
      <c r="A202" s="36" t="str">
        <f ca="1">IFERROR(__xludf.DUMMYFUNCTION("""COMPUTED_VALUE"""),"Стрельникова Кристина")</f>
        <v>Стрельникова Кристина</v>
      </c>
      <c r="B202" s="628">
        <f ca="1">IFERROR(__xludf.DUMMYFUNCTION("""COMPUTED_VALUE"""),5)</f>
        <v>5</v>
      </c>
      <c r="C202" s="36">
        <f ca="1">IFERROR(__xludf.DUMMYFUNCTION("""COMPUTED_VALUE"""),1)</f>
        <v>1</v>
      </c>
      <c r="D202" s="36"/>
      <c r="E202" s="36"/>
      <c r="F202" s="36"/>
      <c r="L202" s="36" t="str">
        <f ca="1">IFERROR(__xludf.DUMMYFUNCTION("""COMPUTED_VALUE"""),"Савчук Валерія")</f>
        <v>Савчук Валерія</v>
      </c>
      <c r="M202" s="628">
        <f ca="1">IFERROR(__xludf.DUMMYFUNCTION("""COMPUTED_VALUE"""),4.71428571428571)</f>
        <v>4.71428571428571</v>
      </c>
      <c r="N202" s="36"/>
      <c r="O202" s="36"/>
      <c r="P202" s="36"/>
      <c r="Q202" s="36"/>
    </row>
    <row r="203" spans="1:17">
      <c r="A203" s="36" t="str">
        <f ca="1">IFERROR(__xludf.DUMMYFUNCTION("""COMPUTED_VALUE"""),"Стулень Олексій")</f>
        <v>Стулень Олексій</v>
      </c>
      <c r="B203" s="628">
        <f ca="1">IFERROR(__xludf.DUMMYFUNCTION("""COMPUTED_VALUE"""),5)</f>
        <v>5</v>
      </c>
      <c r="C203" s="36">
        <f ca="1">IFERROR(__xludf.DUMMYFUNCTION("""COMPUTED_VALUE"""),4)</f>
        <v>4</v>
      </c>
      <c r="D203" s="36"/>
      <c r="E203" s="36"/>
      <c r="F203" s="36"/>
      <c r="L203" s="36" t="str">
        <f ca="1">IFERROR(__xludf.DUMMYFUNCTION("""COMPUTED_VALUE"""),"Савчук Тетяна")</f>
        <v>Савчук Тетяна</v>
      </c>
      <c r="M203" s="628">
        <f ca="1">IFERROR(__xludf.DUMMYFUNCTION("""COMPUTED_VALUE"""),4.33333333333333)</f>
        <v>4.3333333333333304</v>
      </c>
      <c r="N203" s="36"/>
      <c r="O203" s="36"/>
      <c r="P203" s="36"/>
      <c r="Q203" s="36"/>
    </row>
    <row r="204" spans="1:17">
      <c r="A204" s="36" t="str">
        <f ca="1">IFERROR(__xludf.DUMMYFUNCTION("""COMPUTED_VALUE"""),"Супчан Катерина")</f>
        <v>Супчан Катерина</v>
      </c>
      <c r="B204" s="628">
        <f ca="1">IFERROR(__xludf.DUMMYFUNCTION("""COMPUTED_VALUE"""),5)</f>
        <v>5</v>
      </c>
      <c r="C204" s="36">
        <f ca="1">IFERROR(__xludf.DUMMYFUNCTION("""COMPUTED_VALUE"""),4)</f>
        <v>4</v>
      </c>
      <c r="D204" s="36"/>
      <c r="E204" s="36"/>
      <c r="F204" s="36"/>
      <c r="L204" s="36" t="str">
        <f ca="1">IFERROR(__xludf.DUMMYFUNCTION("""COMPUTED_VALUE"""),"Сало Ольга")</f>
        <v>Сало Ольга</v>
      </c>
      <c r="M204" s="628">
        <f ca="1">IFERROR(__xludf.DUMMYFUNCTION("""COMPUTED_VALUE"""),5)</f>
        <v>5</v>
      </c>
      <c r="N204" s="36"/>
      <c r="O204" s="36"/>
      <c r="P204" s="36"/>
      <c r="Q204" s="36"/>
    </row>
    <row r="205" spans="1:17">
      <c r="A205" s="36" t="str">
        <f ca="1">IFERROR(__xludf.DUMMYFUNCTION("""COMPUTED_VALUE"""),"Тарасович Тетяна")</f>
        <v>Тарасович Тетяна</v>
      </c>
      <c r="B205" s="628">
        <f ca="1">IFERROR(__xludf.DUMMYFUNCTION("""COMPUTED_VALUE"""),4.93333333333333)</f>
        <v>4.93333333333333</v>
      </c>
      <c r="C205" s="36">
        <f ca="1">IFERROR(__xludf.DUMMYFUNCTION("""COMPUTED_VALUE"""),15)</f>
        <v>15</v>
      </c>
      <c r="D205" s="36"/>
      <c r="E205" s="36"/>
      <c r="F205" s="36"/>
      <c r="L205" s="36" t="str">
        <f ca="1">IFERROR(__xludf.DUMMYFUNCTION("""COMPUTED_VALUE"""),"Самарська Софія")</f>
        <v>Самарська Софія</v>
      </c>
      <c r="M205" s="628">
        <f ca="1">IFERROR(__xludf.DUMMYFUNCTION("""COMPUTED_VALUE"""),5)</f>
        <v>5</v>
      </c>
      <c r="N205" s="36"/>
      <c r="O205" s="36"/>
      <c r="P205" s="36"/>
      <c r="Q205" s="36"/>
    </row>
    <row r="206" spans="1:17">
      <c r="A206" s="36" t="str">
        <f ca="1">IFERROR(__xludf.DUMMYFUNCTION("""COMPUTED_VALUE"""),"Терентьєва Влада")</f>
        <v>Терентьєва Влада</v>
      </c>
      <c r="B206" s="628">
        <f ca="1">IFERROR(__xludf.DUMMYFUNCTION("""COMPUTED_VALUE"""),5)</f>
        <v>5</v>
      </c>
      <c r="C206" s="36">
        <f ca="1">IFERROR(__xludf.DUMMYFUNCTION("""COMPUTED_VALUE"""),5)</f>
        <v>5</v>
      </c>
      <c r="D206" s="36"/>
      <c r="E206" s="36"/>
      <c r="F206" s="36"/>
      <c r="L206" s="36" t="str">
        <f ca="1">IFERROR(__xludf.DUMMYFUNCTION("""COMPUTED_VALUE"""),"Свириденко Володимир")</f>
        <v>Свириденко Володимир</v>
      </c>
      <c r="M206" s="628">
        <f ca="1">IFERROR(__xludf.DUMMYFUNCTION("""COMPUTED_VALUE"""),4)</f>
        <v>4</v>
      </c>
      <c r="N206" s="36"/>
      <c r="O206" s="36"/>
      <c r="P206" s="36"/>
      <c r="Q206" s="36"/>
    </row>
    <row r="207" spans="1:17">
      <c r="A207" s="36" t="str">
        <f ca="1">IFERROR(__xludf.DUMMYFUNCTION("""COMPUTED_VALUE"""),"Титаренко Маргарита")</f>
        <v>Титаренко Маргарита</v>
      </c>
      <c r="B207" s="628">
        <f ca="1">IFERROR(__xludf.DUMMYFUNCTION("""COMPUTED_VALUE"""),4.2)</f>
        <v>4.2</v>
      </c>
      <c r="C207" s="36">
        <f ca="1">IFERROR(__xludf.DUMMYFUNCTION("""COMPUTED_VALUE"""),5)</f>
        <v>5</v>
      </c>
      <c r="D207" s="36"/>
      <c r="E207" s="36"/>
      <c r="F207" s="36"/>
      <c r="L207" s="36" t="str">
        <f ca="1">IFERROR(__xludf.DUMMYFUNCTION("""COMPUTED_VALUE"""),"Свід Ірина")</f>
        <v>Свід Ірина</v>
      </c>
      <c r="M207" s="628">
        <f ca="1">IFERROR(__xludf.DUMMYFUNCTION("""COMPUTED_VALUE"""),5)</f>
        <v>5</v>
      </c>
      <c r="N207" s="36"/>
      <c r="O207" s="36"/>
      <c r="P207" s="36"/>
      <c r="Q207" s="36"/>
    </row>
    <row r="208" spans="1:17">
      <c r="A208" s="36" t="str">
        <f ca="1">IFERROR(__xludf.DUMMYFUNCTION("""COMPUTED_VALUE"""),"Тищенко Сергій")</f>
        <v>Тищенко Сергій</v>
      </c>
      <c r="B208" s="628">
        <f ca="1">IFERROR(__xludf.DUMMYFUNCTION("""COMPUTED_VALUE"""),4.75)</f>
        <v>4.75</v>
      </c>
      <c r="C208" s="36">
        <f ca="1">IFERROR(__xludf.DUMMYFUNCTION("""COMPUTED_VALUE"""),4)</f>
        <v>4</v>
      </c>
      <c r="D208" s="36"/>
      <c r="E208" s="36"/>
      <c r="F208" s="36"/>
      <c r="L208" s="36" t="str">
        <f ca="1">IFERROR(__xludf.DUMMYFUNCTION("""COMPUTED_VALUE"""),"Свідерський Кирил")</f>
        <v>Свідерський Кирил</v>
      </c>
      <c r="M208" s="628">
        <f ca="1">IFERROR(__xludf.DUMMYFUNCTION("""COMPUTED_VALUE"""),4.75)</f>
        <v>4.75</v>
      </c>
      <c r="N208" s="36"/>
      <c r="O208" s="36"/>
      <c r="P208" s="36"/>
      <c r="Q208" s="36"/>
    </row>
    <row r="209" spans="1:17">
      <c r="A209" s="36" t="str">
        <f ca="1">IFERROR(__xludf.DUMMYFUNCTION("""COMPUTED_VALUE"""),"Томчук Наталя")</f>
        <v>Томчук Наталя</v>
      </c>
      <c r="B209" s="628">
        <f ca="1">IFERROR(__xludf.DUMMYFUNCTION("""COMPUTED_VALUE"""),5)</f>
        <v>5</v>
      </c>
      <c r="C209" s="36">
        <f ca="1">IFERROR(__xludf.DUMMYFUNCTION("""COMPUTED_VALUE"""),1)</f>
        <v>1</v>
      </c>
      <c r="D209" s="36"/>
      <c r="E209" s="36"/>
      <c r="F209" s="36"/>
      <c r="L209" s="36" t="str">
        <f ca="1">IFERROR(__xludf.DUMMYFUNCTION("""COMPUTED_VALUE"""),"Севрук Антон")</f>
        <v>Севрук Антон</v>
      </c>
      <c r="M209" s="628">
        <f ca="1">IFERROR(__xludf.DUMMYFUNCTION("""COMPUTED_VALUE"""),4.8)</f>
        <v>4.8</v>
      </c>
      <c r="N209" s="36"/>
      <c r="O209" s="36"/>
      <c r="P209" s="36"/>
      <c r="Q209" s="36"/>
    </row>
    <row r="210" spans="1:17">
      <c r="A210" s="36" t="str">
        <f ca="1">IFERROR(__xludf.DUMMYFUNCTION("""COMPUTED_VALUE"""),"Торговець Лесь")</f>
        <v>Торговець Лесь</v>
      </c>
      <c r="B210" s="628">
        <f ca="1">IFERROR(__xludf.DUMMYFUNCTION("""COMPUTED_VALUE"""),5)</f>
        <v>5</v>
      </c>
      <c r="C210" s="36">
        <f ca="1">IFERROR(__xludf.DUMMYFUNCTION("""COMPUTED_VALUE"""),1)</f>
        <v>1</v>
      </c>
      <c r="D210" s="36"/>
      <c r="E210" s="36"/>
      <c r="F210" s="36"/>
      <c r="L210" s="36" t="str">
        <f ca="1">IFERROR(__xludf.DUMMYFUNCTION("""COMPUTED_VALUE"""),"Севрук Ірина")</f>
        <v>Севрук Ірина</v>
      </c>
      <c r="M210" s="628">
        <f ca="1">IFERROR(__xludf.DUMMYFUNCTION("""COMPUTED_VALUE"""),4.71428571428571)</f>
        <v>4.71428571428571</v>
      </c>
      <c r="N210" s="36"/>
      <c r="O210" s="36"/>
      <c r="P210" s="36"/>
      <c r="Q210" s="36"/>
    </row>
    <row r="211" spans="1:17">
      <c r="A211" s="36" t="str">
        <f ca="1">IFERROR(__xludf.DUMMYFUNCTION("""COMPUTED_VALUE"""),"Торенко Ілля")</f>
        <v>Торенко Ілля</v>
      </c>
      <c r="B211" s="628">
        <f ca="1">IFERROR(__xludf.DUMMYFUNCTION("""COMPUTED_VALUE"""),5)</f>
        <v>5</v>
      </c>
      <c r="C211" s="36">
        <f ca="1">IFERROR(__xludf.DUMMYFUNCTION("""COMPUTED_VALUE"""),1)</f>
        <v>1</v>
      </c>
      <c r="D211" s="36"/>
      <c r="E211" s="36"/>
      <c r="F211" s="36"/>
      <c r="L211" s="36" t="str">
        <f ca="1">IFERROR(__xludf.DUMMYFUNCTION("""COMPUTED_VALUE"""),"Семенов Артем")</f>
        <v>Семенов Артем</v>
      </c>
      <c r="M211" s="628">
        <f ca="1">IFERROR(__xludf.DUMMYFUNCTION("""COMPUTED_VALUE"""),4.33333333333333)</f>
        <v>4.3333333333333304</v>
      </c>
      <c r="N211" s="36"/>
      <c r="O211" s="36"/>
      <c r="P211" s="36"/>
      <c r="Q211" s="36"/>
    </row>
    <row r="212" spans="1:17">
      <c r="A212" s="36" t="str">
        <f ca="1">IFERROR(__xludf.DUMMYFUNCTION("""COMPUTED_VALUE"""),"Угленко Олена")</f>
        <v>Угленко Олена</v>
      </c>
      <c r="B212" s="628">
        <f ca="1">IFERROR(__xludf.DUMMYFUNCTION("""COMPUTED_VALUE"""),5)</f>
        <v>5</v>
      </c>
      <c r="C212" s="36">
        <f ca="1">IFERROR(__xludf.DUMMYFUNCTION("""COMPUTED_VALUE"""),5)</f>
        <v>5</v>
      </c>
      <c r="D212" s="36"/>
      <c r="E212" s="36"/>
      <c r="F212" s="36"/>
      <c r="L212" s="36" t="str">
        <f ca="1">IFERROR(__xludf.DUMMYFUNCTION("""COMPUTED_VALUE"""),"Семченко Анастасія")</f>
        <v>Семченко Анастасія</v>
      </c>
      <c r="M212" s="628">
        <f ca="1">IFERROR(__xludf.DUMMYFUNCTION("""COMPUTED_VALUE"""),5)</f>
        <v>5</v>
      </c>
      <c r="N212" s="36"/>
      <c r="O212" s="36"/>
      <c r="P212" s="36"/>
      <c r="Q212" s="36"/>
    </row>
    <row r="213" spans="1:17">
      <c r="A213" s="36" t="str">
        <f ca="1">IFERROR(__xludf.DUMMYFUNCTION("""COMPUTED_VALUE"""),"Усенко Уляна")</f>
        <v>Усенко Уляна</v>
      </c>
      <c r="B213" s="628">
        <f ca="1">IFERROR(__xludf.DUMMYFUNCTION("""COMPUTED_VALUE"""),4.92857142857142)</f>
        <v>4.9285714285714199</v>
      </c>
      <c r="C213" s="36">
        <f ca="1">IFERROR(__xludf.DUMMYFUNCTION("""COMPUTED_VALUE"""),14)</f>
        <v>14</v>
      </c>
      <c r="D213" s="36"/>
      <c r="E213" s="36"/>
      <c r="F213" s="36"/>
      <c r="L213" s="36" t="str">
        <f ca="1">IFERROR(__xludf.DUMMYFUNCTION("""COMPUTED_VALUE"""),"Сенечин Анатолій")</f>
        <v>Сенечин Анатолій</v>
      </c>
      <c r="M213" s="628">
        <f ca="1">IFERROR(__xludf.DUMMYFUNCTION("""COMPUTED_VALUE"""),5)</f>
        <v>5</v>
      </c>
      <c r="N213" s="36"/>
      <c r="O213" s="36"/>
      <c r="P213" s="36"/>
      <c r="Q213" s="36"/>
    </row>
    <row r="214" spans="1:17">
      <c r="A214" s="36" t="str">
        <f ca="1">IFERROR(__xludf.DUMMYFUNCTION("""COMPUTED_VALUE"""),"Файдюк Тарас")</f>
        <v>Файдюк Тарас</v>
      </c>
      <c r="B214" s="628">
        <f ca="1">IFERROR(__xludf.DUMMYFUNCTION("""COMPUTED_VALUE"""),5)</f>
        <v>5</v>
      </c>
      <c r="C214" s="36">
        <f ca="1">IFERROR(__xludf.DUMMYFUNCTION("""COMPUTED_VALUE"""),1)</f>
        <v>1</v>
      </c>
      <c r="D214" s="36"/>
      <c r="E214" s="36"/>
      <c r="F214" s="36"/>
      <c r="L214" s="36" t="str">
        <f ca="1">IFERROR(__xludf.DUMMYFUNCTION("""COMPUTED_VALUE"""),"Сенчило Андрій")</f>
        <v>Сенчило Андрій</v>
      </c>
      <c r="M214" s="628">
        <f ca="1">IFERROR(__xludf.DUMMYFUNCTION("""COMPUTED_VALUE"""),5)</f>
        <v>5</v>
      </c>
      <c r="N214" s="36"/>
      <c r="O214" s="36"/>
      <c r="P214" s="36"/>
      <c r="Q214" s="36"/>
    </row>
    <row r="215" spans="1:17">
      <c r="A215" s="36" t="str">
        <f ca="1">IFERROR(__xludf.DUMMYFUNCTION("""COMPUTED_VALUE"""),"Фараонова Альона")</f>
        <v>Фараонова Альона</v>
      </c>
      <c r="B215" s="628">
        <f ca="1">IFERROR(__xludf.DUMMYFUNCTION("""COMPUTED_VALUE"""),5)</f>
        <v>5</v>
      </c>
      <c r="C215" s="36">
        <f ca="1">IFERROR(__xludf.DUMMYFUNCTION("""COMPUTED_VALUE"""),3)</f>
        <v>3</v>
      </c>
      <c r="D215" s="36"/>
      <c r="E215" s="36"/>
      <c r="F215" s="36"/>
      <c r="L215" s="36" t="str">
        <f ca="1">IFERROR(__xludf.DUMMYFUNCTION("""COMPUTED_VALUE"""),"Сербін Олександр")</f>
        <v>Сербін Олександр</v>
      </c>
      <c r="M215" s="628">
        <f ca="1">IFERROR(__xludf.DUMMYFUNCTION("""COMPUTED_VALUE"""),5)</f>
        <v>5</v>
      </c>
      <c r="N215" s="36"/>
      <c r="O215" s="36"/>
      <c r="P215" s="36"/>
      <c r="Q215" s="36"/>
    </row>
    <row r="216" spans="1:17">
      <c r="A216" s="36" t="str">
        <f ca="1">IFERROR(__xludf.DUMMYFUNCTION("""COMPUTED_VALUE"""),"Фауст Артем")</f>
        <v>Фауст Артем</v>
      </c>
      <c r="B216" s="628">
        <f ca="1">IFERROR(__xludf.DUMMYFUNCTION("""COMPUTED_VALUE"""),5)</f>
        <v>5</v>
      </c>
      <c r="C216" s="36">
        <f ca="1">IFERROR(__xludf.DUMMYFUNCTION("""COMPUTED_VALUE"""),16)</f>
        <v>16</v>
      </c>
      <c r="D216" s="36"/>
      <c r="E216" s="36"/>
      <c r="F216" s="36"/>
      <c r="L216" s="36" t="str">
        <f ca="1">IFERROR(__xludf.DUMMYFUNCTION("""COMPUTED_VALUE"""),"Сергєєв Василь")</f>
        <v>Сергєєв Василь</v>
      </c>
      <c r="M216" s="628">
        <f ca="1">IFERROR(__xludf.DUMMYFUNCTION("""COMPUTED_VALUE"""),4.6)</f>
        <v>4.5999999999999996</v>
      </c>
      <c r="N216" s="36"/>
      <c r="O216" s="36"/>
      <c r="P216" s="36"/>
      <c r="Q216" s="36"/>
    </row>
    <row r="217" spans="1:17">
      <c r="A217" s="36" t="str">
        <f ca="1">IFERROR(__xludf.DUMMYFUNCTION("""COMPUTED_VALUE"""),"Харуца Олександр")</f>
        <v>Харуца Олександр</v>
      </c>
      <c r="B217" s="628">
        <f ca="1">IFERROR(__xludf.DUMMYFUNCTION("""COMPUTED_VALUE"""),5)</f>
        <v>5</v>
      </c>
      <c r="C217" s="36">
        <f ca="1">IFERROR(__xludf.DUMMYFUNCTION("""COMPUTED_VALUE"""),3)</f>
        <v>3</v>
      </c>
      <c r="D217" s="36"/>
      <c r="E217" s="36"/>
      <c r="F217" s="36"/>
      <c r="L217" s="36" t="str">
        <f ca="1">IFERROR(__xludf.DUMMYFUNCTION("""COMPUTED_VALUE"""),"Середа Тетяна")</f>
        <v>Середа Тетяна</v>
      </c>
      <c r="M217" s="628">
        <f ca="1">IFERROR(__xludf.DUMMYFUNCTION("""COMPUTED_VALUE"""),5)</f>
        <v>5</v>
      </c>
      <c r="N217" s="36"/>
      <c r="O217" s="36"/>
      <c r="P217" s="36"/>
      <c r="Q217" s="36"/>
    </row>
    <row r="218" spans="1:17">
      <c r="A218" s="36" t="str">
        <f ca="1">IFERROR(__xludf.DUMMYFUNCTION("""COMPUTED_VALUE"""),"Хлусов Євген")</f>
        <v>Хлусов Євген</v>
      </c>
      <c r="B218" s="628">
        <f ca="1">IFERROR(__xludf.DUMMYFUNCTION("""COMPUTED_VALUE"""),5)</f>
        <v>5</v>
      </c>
      <c r="C218" s="36">
        <f ca="1">IFERROR(__xludf.DUMMYFUNCTION("""COMPUTED_VALUE"""),2)</f>
        <v>2</v>
      </c>
      <c r="D218" s="36"/>
      <c r="E218" s="36"/>
      <c r="F218" s="36"/>
      <c r="L218" s="36" t="str">
        <f ca="1">IFERROR(__xludf.DUMMYFUNCTION("""COMPUTED_VALUE"""),"Середенко Євгенія")</f>
        <v>Середенко Євгенія</v>
      </c>
      <c r="M218" s="628">
        <f ca="1">IFERROR(__xludf.DUMMYFUNCTION("""COMPUTED_VALUE"""),5)</f>
        <v>5</v>
      </c>
      <c r="N218" s="36"/>
      <c r="O218" s="36"/>
      <c r="P218" s="36"/>
      <c r="Q218" s="36"/>
    </row>
    <row r="219" spans="1:17">
      <c r="A219" s="36" t="str">
        <f ca="1">IFERROR(__xludf.DUMMYFUNCTION("""COMPUTED_VALUE"""),"Чмелюк Карина")</f>
        <v>Чмелюк Карина</v>
      </c>
      <c r="B219" s="628">
        <f ca="1">IFERROR(__xludf.DUMMYFUNCTION("""COMPUTED_VALUE"""),4)</f>
        <v>4</v>
      </c>
      <c r="C219" s="36">
        <f ca="1">IFERROR(__xludf.DUMMYFUNCTION("""COMPUTED_VALUE"""),1)</f>
        <v>1</v>
      </c>
      <c r="D219" s="36"/>
      <c r="E219" s="36"/>
      <c r="F219" s="36"/>
      <c r="L219" s="36" t="str">
        <f ca="1">IFERROR(__xludf.DUMMYFUNCTION("""COMPUTED_VALUE"""),"Середняк Катерина")</f>
        <v>Середняк Катерина</v>
      </c>
      <c r="M219" s="628">
        <f ca="1">IFERROR(__xludf.DUMMYFUNCTION("""COMPUTED_VALUE"""),4.66666666666666)</f>
        <v>4.6666666666666599</v>
      </c>
      <c r="N219" s="36"/>
      <c r="O219" s="36"/>
      <c r="P219" s="36"/>
      <c r="Q219" s="36"/>
    </row>
    <row r="220" spans="1:17">
      <c r="A220" s="36" t="str">
        <f ca="1">IFERROR(__xludf.DUMMYFUNCTION("""COMPUTED_VALUE"""),"Чорнолуцька Світлана")</f>
        <v>Чорнолуцька Світлана</v>
      </c>
      <c r="B220" s="628">
        <f ca="1">IFERROR(__xludf.DUMMYFUNCTION("""COMPUTED_VALUE"""),5)</f>
        <v>5</v>
      </c>
      <c r="C220" s="36">
        <f ca="1">IFERROR(__xludf.DUMMYFUNCTION("""COMPUTED_VALUE"""),2)</f>
        <v>2</v>
      </c>
      <c r="D220" s="36"/>
      <c r="E220" s="36"/>
      <c r="F220" s="36"/>
      <c r="L220" s="36" t="str">
        <f ca="1">IFERROR(__xludf.DUMMYFUNCTION("""COMPUTED_VALUE"""),"Сітко Віта")</f>
        <v>Сітко Віта</v>
      </c>
      <c r="M220" s="628">
        <f ca="1">IFERROR(__xludf.DUMMYFUNCTION("""COMPUTED_VALUE"""),5)</f>
        <v>5</v>
      </c>
      <c r="N220" s="36"/>
      <c r="O220" s="36"/>
      <c r="P220" s="36"/>
      <c r="Q220" s="36"/>
    </row>
    <row r="221" spans="1:17">
      <c r="A221" s="36" t="str">
        <f ca="1">IFERROR(__xludf.DUMMYFUNCTION("""COMPUTED_VALUE"""),"Шарко Максим")</f>
        <v>Шарко Максим</v>
      </c>
      <c r="B221" s="628">
        <f ca="1">IFERROR(__xludf.DUMMYFUNCTION("""COMPUTED_VALUE"""),4.63636363636363)</f>
        <v>4.6363636363636296</v>
      </c>
      <c r="C221" s="36">
        <f ca="1">IFERROR(__xludf.DUMMYFUNCTION("""COMPUTED_VALUE"""),11)</f>
        <v>11</v>
      </c>
      <c r="D221" s="36"/>
      <c r="E221" s="36"/>
      <c r="F221" s="36"/>
      <c r="L221" s="36" t="str">
        <f ca="1">IFERROR(__xludf.DUMMYFUNCTION("""COMPUTED_VALUE"""),"Скрипник Дар'я")</f>
        <v>Скрипник Дар'я</v>
      </c>
      <c r="M221" s="628">
        <f ca="1">IFERROR(__xludf.DUMMYFUNCTION("""COMPUTED_VALUE"""),5)</f>
        <v>5</v>
      </c>
      <c r="N221" s="36"/>
      <c r="O221" s="36"/>
      <c r="P221" s="36"/>
      <c r="Q221" s="36"/>
    </row>
    <row r="222" spans="1:17">
      <c r="A222" s="36" t="str">
        <f ca="1">IFERROR(__xludf.DUMMYFUNCTION("""COMPUTED_VALUE"""),"Швед Назарій")</f>
        <v>Швед Назарій</v>
      </c>
      <c r="B222" s="628">
        <f ca="1">IFERROR(__xludf.DUMMYFUNCTION("""COMPUTED_VALUE"""),4)</f>
        <v>4</v>
      </c>
      <c r="C222" s="36">
        <f ca="1">IFERROR(__xludf.DUMMYFUNCTION("""COMPUTED_VALUE"""),4)</f>
        <v>4</v>
      </c>
      <c r="D222" s="36"/>
      <c r="E222" s="36"/>
      <c r="F222" s="36"/>
      <c r="L222" s="36" t="str">
        <f ca="1">IFERROR(__xludf.DUMMYFUNCTION("""COMPUTED_VALUE"""),"Смолінський Андрій")</f>
        <v>Смолінський Андрій</v>
      </c>
      <c r="M222" s="628">
        <f ca="1">IFERROR(__xludf.DUMMYFUNCTION("""COMPUTED_VALUE"""),5)</f>
        <v>5</v>
      </c>
      <c r="N222" s="36"/>
      <c r="O222" s="36"/>
      <c r="P222" s="36"/>
      <c r="Q222" s="36"/>
    </row>
    <row r="223" spans="1:17">
      <c r="A223" s="36" t="str">
        <f ca="1">IFERROR(__xludf.DUMMYFUNCTION("""COMPUTED_VALUE"""),"Шевченко Віталій")</f>
        <v>Шевченко Віталій</v>
      </c>
      <c r="B223" s="628">
        <f ca="1">IFERROR(__xludf.DUMMYFUNCTION("""COMPUTED_VALUE"""),5)</f>
        <v>5</v>
      </c>
      <c r="C223" s="36">
        <f ca="1">IFERROR(__xludf.DUMMYFUNCTION("""COMPUTED_VALUE"""),2)</f>
        <v>2</v>
      </c>
      <c r="D223" s="36"/>
      <c r="E223" s="36"/>
      <c r="F223" s="36"/>
      <c r="L223" s="36" t="str">
        <f ca="1">IFERROR(__xludf.DUMMYFUNCTION("""COMPUTED_VALUE"""),"Соколова Ірина")</f>
        <v>Соколова Ірина</v>
      </c>
      <c r="M223" s="628">
        <f ca="1">IFERROR(__xludf.DUMMYFUNCTION("""COMPUTED_VALUE"""),5)</f>
        <v>5</v>
      </c>
      <c r="N223" s="36"/>
      <c r="O223" s="36"/>
      <c r="P223" s="36"/>
      <c r="Q223" s="36"/>
    </row>
    <row r="224" spans="1:17">
      <c r="A224" s="36" t="str">
        <f ca="1">IFERROR(__xludf.DUMMYFUNCTION("""COMPUTED_VALUE"""),"Шийка Олена")</f>
        <v>Шийка Олена</v>
      </c>
      <c r="B224" s="628">
        <f ca="1">IFERROR(__xludf.DUMMYFUNCTION("""COMPUTED_VALUE"""),5)</f>
        <v>5</v>
      </c>
      <c r="C224" s="36">
        <f ca="1">IFERROR(__xludf.DUMMYFUNCTION("""COMPUTED_VALUE"""),4)</f>
        <v>4</v>
      </c>
      <c r="D224" s="36"/>
      <c r="E224" s="36"/>
      <c r="F224" s="36"/>
      <c r="L224" s="36" t="str">
        <f ca="1">IFERROR(__xludf.DUMMYFUNCTION("""COMPUTED_VALUE"""),"Солод Тетяна")</f>
        <v>Солод Тетяна</v>
      </c>
      <c r="M224" s="628">
        <f ca="1">IFERROR(__xludf.DUMMYFUNCTION("""COMPUTED_VALUE"""),5)</f>
        <v>5</v>
      </c>
      <c r="N224" s="36"/>
      <c r="O224" s="36"/>
      <c r="P224" s="36"/>
      <c r="Q224" s="36"/>
    </row>
    <row r="225" spans="1:17">
      <c r="A225" s="36" t="str">
        <f ca="1">IFERROR(__xludf.DUMMYFUNCTION("""COMPUTED_VALUE"""),"Ширяєва Єлизавета")</f>
        <v>Ширяєва Єлизавета</v>
      </c>
      <c r="B225" s="628">
        <f ca="1">IFERROR(__xludf.DUMMYFUNCTION("""COMPUTED_VALUE"""),4)</f>
        <v>4</v>
      </c>
      <c r="C225" s="36">
        <f ca="1">IFERROR(__xludf.DUMMYFUNCTION("""COMPUTED_VALUE"""),1)</f>
        <v>1</v>
      </c>
      <c r="D225" s="36"/>
      <c r="E225" s="36"/>
      <c r="F225" s="36"/>
      <c r="L225" s="36" t="str">
        <f ca="1">IFERROR(__xludf.DUMMYFUNCTION("""COMPUTED_VALUE"""),"Старокожев Святослав")</f>
        <v>Старокожев Святослав</v>
      </c>
      <c r="M225" s="628">
        <f ca="1">IFERROR(__xludf.DUMMYFUNCTION("""COMPUTED_VALUE"""),4.5)</f>
        <v>4.5</v>
      </c>
      <c r="N225" s="36"/>
      <c r="O225" s="36"/>
      <c r="P225" s="36"/>
      <c r="Q225" s="36"/>
    </row>
    <row r="226" spans="1:17">
      <c r="A226" s="36" t="str">
        <f ca="1">IFERROR(__xludf.DUMMYFUNCTION("""COMPUTED_VALUE"""),"Шкумбатюк Богдана")</f>
        <v>Шкумбатюк Богдана</v>
      </c>
      <c r="B226" s="628">
        <f ca="1">IFERROR(__xludf.DUMMYFUNCTION("""COMPUTED_VALUE"""),4.66666666666666)</f>
        <v>4.6666666666666599</v>
      </c>
      <c r="C226" s="36">
        <f ca="1">IFERROR(__xludf.DUMMYFUNCTION("""COMPUTED_VALUE"""),3)</f>
        <v>3</v>
      </c>
      <c r="D226" s="36"/>
      <c r="E226" s="36"/>
      <c r="F226" s="36"/>
      <c r="L226" s="36" t="str">
        <f ca="1">IFERROR(__xludf.DUMMYFUNCTION("""COMPUTED_VALUE"""),"Старушок Валентин")</f>
        <v>Старушок Валентин</v>
      </c>
      <c r="M226" s="628">
        <f ca="1">IFERROR(__xludf.DUMMYFUNCTION("""COMPUTED_VALUE"""),5)</f>
        <v>5</v>
      </c>
      <c r="N226" s="36"/>
      <c r="O226" s="36"/>
      <c r="P226" s="36"/>
      <c r="Q226" s="36"/>
    </row>
    <row r="227" spans="1:17">
      <c r="A227" s="36" t="str">
        <f ca="1">IFERROR(__xludf.DUMMYFUNCTION("""COMPUTED_VALUE"""),"Шульга Дмитро")</f>
        <v>Шульга Дмитро</v>
      </c>
      <c r="B227" s="628">
        <f ca="1">IFERROR(__xludf.DUMMYFUNCTION("""COMPUTED_VALUE"""),4.625)</f>
        <v>4.625</v>
      </c>
      <c r="C227" s="36">
        <f ca="1">IFERROR(__xludf.DUMMYFUNCTION("""COMPUTED_VALUE"""),8)</f>
        <v>8</v>
      </c>
      <c r="D227" s="36"/>
      <c r="E227" s="36"/>
      <c r="F227" s="36"/>
      <c r="L227" s="36" t="str">
        <f ca="1">IFERROR(__xludf.DUMMYFUNCTION("""COMPUTED_VALUE"""),"Стасюк Роман")</f>
        <v>Стасюк Роман</v>
      </c>
      <c r="M227" s="628">
        <f ca="1">IFERROR(__xludf.DUMMYFUNCTION("""COMPUTED_VALUE"""),5)</f>
        <v>5</v>
      </c>
      <c r="N227" s="36"/>
      <c r="O227" s="36"/>
      <c r="P227" s="36"/>
      <c r="Q227" s="36"/>
    </row>
    <row r="228" spans="1:17">
      <c r="A228" s="36" t="str">
        <f ca="1">IFERROR(__xludf.DUMMYFUNCTION("""COMPUTED_VALUE"""),"Яремчук Юлія")</f>
        <v>Яремчук Юлія</v>
      </c>
      <c r="B228" s="628">
        <f ca="1">IFERROR(__xludf.DUMMYFUNCTION("""COMPUTED_VALUE"""),5)</f>
        <v>5</v>
      </c>
      <c r="C228" s="36">
        <f ca="1">IFERROR(__xludf.DUMMYFUNCTION("""COMPUTED_VALUE"""),1)</f>
        <v>1</v>
      </c>
      <c r="D228" s="36"/>
      <c r="E228" s="36"/>
      <c r="F228" s="36"/>
      <c r="L228" s="36" t="str">
        <f ca="1">IFERROR(__xludf.DUMMYFUNCTION("""COMPUTED_VALUE"""),"Страшок Яна")</f>
        <v>Страшок Яна</v>
      </c>
      <c r="M228" s="628">
        <f ca="1">IFERROR(__xludf.DUMMYFUNCTION("""COMPUTED_VALUE"""),5)</f>
        <v>5</v>
      </c>
      <c r="N228" s="36"/>
      <c r="O228" s="36"/>
      <c r="P228" s="36"/>
      <c r="Q228" s="36"/>
    </row>
    <row r="229" spans="1:17">
      <c r="A229" s="36" t="str">
        <f ca="1">IFERROR(__xludf.DUMMYFUNCTION("""COMPUTED_VALUE"""),"Яцура Микита")</f>
        <v>Яцура Микита</v>
      </c>
      <c r="B229" s="628">
        <f ca="1">IFERROR(__xludf.DUMMYFUNCTION("""COMPUTED_VALUE"""),3)</f>
        <v>3</v>
      </c>
      <c r="C229" s="36">
        <f ca="1">IFERROR(__xludf.DUMMYFUNCTION("""COMPUTED_VALUE"""),1)</f>
        <v>1</v>
      </c>
      <c r="D229" s="36"/>
      <c r="E229" s="36"/>
      <c r="F229" s="36"/>
      <c r="L229" s="36" t="str">
        <f ca="1">IFERROR(__xludf.DUMMYFUNCTION("""COMPUTED_VALUE"""),"Стрельникова Кристина")</f>
        <v>Стрельникова Кристина</v>
      </c>
      <c r="M229" s="628">
        <f ca="1">IFERROR(__xludf.DUMMYFUNCTION("""COMPUTED_VALUE"""),4.5)</f>
        <v>4.5</v>
      </c>
      <c r="N229" s="36"/>
      <c r="O229" s="36"/>
      <c r="P229" s="36"/>
      <c r="Q229" s="36"/>
    </row>
    <row r="230" spans="1:17">
      <c r="A230" s="36" t="str">
        <f ca="1">IFERROR(__xludf.DUMMYFUNCTION("""COMPUTED_VALUE"""),"Итого")</f>
        <v>Итого</v>
      </c>
      <c r="B230" s="628">
        <f ca="1">IFERROR(__xludf.DUMMYFUNCTION("""COMPUTED_VALUE"""),4.85870646766169)</f>
        <v>4.8587064676616896</v>
      </c>
      <c r="C230" s="36">
        <f ca="1">IFERROR(__xludf.DUMMYFUNCTION("""COMPUTED_VALUE"""),1005)</f>
        <v>1005</v>
      </c>
      <c r="D230" s="36"/>
      <c r="E230" s="36"/>
      <c r="F230" s="36"/>
      <c r="L230" s="36" t="str">
        <f ca="1">IFERROR(__xludf.DUMMYFUNCTION("""COMPUTED_VALUE"""),"Стулень Олексій")</f>
        <v>Стулень Олексій</v>
      </c>
      <c r="M230" s="628">
        <f ca="1">IFERROR(__xludf.DUMMYFUNCTION("""COMPUTED_VALUE"""),5)</f>
        <v>5</v>
      </c>
      <c r="N230" s="36"/>
      <c r="O230" s="36"/>
      <c r="P230" s="36"/>
      <c r="Q230" s="36"/>
    </row>
    <row r="231" spans="1:17">
      <c r="A231" s="36"/>
      <c r="B231" s="36"/>
      <c r="C231" s="36"/>
      <c r="D231" s="36"/>
      <c r="E231" s="36"/>
      <c r="F231" s="36"/>
      <c r="L231" s="36" t="str">
        <f ca="1">IFERROR(__xludf.DUMMYFUNCTION("""COMPUTED_VALUE"""),"Супчан Катерина")</f>
        <v>Супчан Катерина</v>
      </c>
      <c r="M231" s="628">
        <f ca="1">IFERROR(__xludf.DUMMYFUNCTION("""COMPUTED_VALUE"""),4.9090909090909)</f>
        <v>4.9090909090909003</v>
      </c>
      <c r="N231" s="36"/>
      <c r="O231" s="36"/>
      <c r="P231" s="36"/>
      <c r="Q231" s="36"/>
    </row>
    <row r="232" spans="1:17">
      <c r="A232" s="36"/>
      <c r="B232" s="36"/>
      <c r="C232" s="36"/>
      <c r="D232" s="36"/>
      <c r="E232" s="36"/>
      <c r="F232" s="36"/>
      <c r="L232" s="36" t="str">
        <f ca="1">IFERROR(__xludf.DUMMYFUNCTION("""COMPUTED_VALUE"""),"Суханова Валерія")</f>
        <v>Суханова Валерія</v>
      </c>
      <c r="M232" s="628">
        <f ca="1">IFERROR(__xludf.DUMMYFUNCTION("""COMPUTED_VALUE"""),5)</f>
        <v>5</v>
      </c>
      <c r="N232" s="36"/>
      <c r="O232" s="36"/>
      <c r="P232" s="36"/>
      <c r="Q232" s="36"/>
    </row>
    <row r="233" spans="1:17">
      <c r="A233" s="36"/>
      <c r="B233" s="36"/>
      <c r="C233" s="36"/>
      <c r="D233" s="36"/>
      <c r="E233" s="36"/>
      <c r="F233" s="36"/>
      <c r="L233" s="36" t="str">
        <f ca="1">IFERROR(__xludf.DUMMYFUNCTION("""COMPUTED_VALUE"""),"Тарасович Тетяна")</f>
        <v>Тарасович Тетяна</v>
      </c>
      <c r="M233" s="628">
        <f ca="1">IFERROR(__xludf.DUMMYFUNCTION("""COMPUTED_VALUE"""),4.91304347826086)</f>
        <v>4.9130434782608603</v>
      </c>
      <c r="N233" s="36"/>
      <c r="O233" s="36"/>
      <c r="P233" s="36"/>
      <c r="Q233" s="36"/>
    </row>
    <row r="234" spans="1:17">
      <c r="A234" s="36"/>
      <c r="B234" s="36"/>
      <c r="C234" s="36"/>
      <c r="D234" s="36"/>
      <c r="E234" s="36"/>
      <c r="F234" s="36"/>
      <c r="L234" s="36" t="str">
        <f ca="1">IFERROR(__xludf.DUMMYFUNCTION("""COMPUTED_VALUE"""),"Терентьєва Влада")</f>
        <v>Терентьєва Влада</v>
      </c>
      <c r="M234" s="628">
        <f ca="1">IFERROR(__xludf.DUMMYFUNCTION("""COMPUTED_VALUE"""),5)</f>
        <v>5</v>
      </c>
      <c r="N234" s="36"/>
      <c r="O234" s="36"/>
      <c r="P234" s="36"/>
      <c r="Q234" s="36"/>
    </row>
    <row r="235" spans="1:17">
      <c r="A235" s="36"/>
      <c r="B235" s="36"/>
      <c r="C235" s="36"/>
      <c r="D235" s="36"/>
      <c r="E235" s="36"/>
      <c r="F235" s="36"/>
      <c r="L235" s="36" t="str">
        <f ca="1">IFERROR(__xludf.DUMMYFUNCTION("""COMPUTED_VALUE"""),"Титаренко Маргарита")</f>
        <v>Титаренко Маргарита</v>
      </c>
      <c r="M235" s="628">
        <f ca="1">IFERROR(__xludf.DUMMYFUNCTION("""COMPUTED_VALUE"""),4.66666666666666)</f>
        <v>4.6666666666666599</v>
      </c>
      <c r="N235" s="36"/>
      <c r="O235" s="36"/>
      <c r="P235" s="36"/>
      <c r="Q235" s="36"/>
    </row>
    <row r="236" spans="1:17">
      <c r="A236" s="36"/>
      <c r="B236" s="36"/>
      <c r="C236" s="36"/>
      <c r="D236" s="36"/>
      <c r="E236" s="36"/>
      <c r="F236" s="36"/>
      <c r="L236" s="36" t="str">
        <f ca="1">IFERROR(__xludf.DUMMYFUNCTION("""COMPUTED_VALUE"""),"Титаренко Милослава")</f>
        <v>Титаренко Милослава</v>
      </c>
      <c r="M236" s="628">
        <f ca="1">IFERROR(__xludf.DUMMYFUNCTION("""COMPUTED_VALUE"""),4.75)</f>
        <v>4.75</v>
      </c>
      <c r="N236" s="36"/>
      <c r="O236" s="36"/>
      <c r="P236" s="36"/>
      <c r="Q236" s="36"/>
    </row>
    <row r="237" spans="1:17">
      <c r="A237" s="36"/>
      <c r="B237" s="36"/>
      <c r="C237" s="36"/>
      <c r="D237" s="36"/>
      <c r="E237" s="36"/>
      <c r="F237" s="36"/>
      <c r="L237" s="36" t="str">
        <f ca="1">IFERROR(__xludf.DUMMYFUNCTION("""COMPUTED_VALUE"""),"Тищенко Сергій")</f>
        <v>Тищенко Сергій</v>
      </c>
      <c r="M237" s="628">
        <f ca="1">IFERROR(__xludf.DUMMYFUNCTION("""COMPUTED_VALUE"""),4.5)</f>
        <v>4.5</v>
      </c>
      <c r="N237" s="36"/>
      <c r="O237" s="36"/>
      <c r="P237" s="36"/>
      <c r="Q237" s="36"/>
    </row>
    <row r="238" spans="1:17">
      <c r="A238" s="36"/>
      <c r="B238" s="36"/>
      <c r="C238" s="36"/>
      <c r="D238" s="36"/>
      <c r="E238" s="36"/>
      <c r="F238" s="36"/>
      <c r="L238" s="36" t="str">
        <f ca="1">IFERROR(__xludf.DUMMYFUNCTION("""COMPUTED_VALUE"""),"Угриновська Оксана")</f>
        <v>Угриновська Оксана</v>
      </c>
      <c r="M238" s="628">
        <f ca="1">IFERROR(__xludf.DUMMYFUNCTION("""COMPUTED_VALUE"""),5)</f>
        <v>5</v>
      </c>
      <c r="N238" s="36"/>
      <c r="O238" s="36"/>
      <c r="P238" s="36"/>
      <c r="Q238" s="36"/>
    </row>
    <row r="239" spans="1:17">
      <c r="A239" s="36"/>
      <c r="B239" s="36"/>
      <c r="C239" s="36"/>
      <c r="D239" s="36"/>
      <c r="E239" s="36"/>
      <c r="F239" s="36"/>
      <c r="L239" s="36" t="str">
        <f ca="1">IFERROR(__xludf.DUMMYFUNCTION("""COMPUTED_VALUE"""),"Усенко Уляна")</f>
        <v>Усенко Уляна</v>
      </c>
      <c r="M239" s="628">
        <f ca="1">IFERROR(__xludf.DUMMYFUNCTION("""COMPUTED_VALUE"""),5)</f>
        <v>5</v>
      </c>
      <c r="N239" s="36"/>
      <c r="O239" s="36"/>
      <c r="P239" s="36"/>
      <c r="Q239" s="36"/>
    </row>
    <row r="240" spans="1:17">
      <c r="A240" s="36"/>
      <c r="B240" s="36"/>
      <c r="C240" s="36"/>
      <c r="D240" s="36"/>
      <c r="E240" s="36"/>
      <c r="F240" s="36"/>
      <c r="L240" s="36" t="str">
        <f ca="1">IFERROR(__xludf.DUMMYFUNCTION("""COMPUTED_VALUE"""),"Файдюк Тарас")</f>
        <v>Файдюк Тарас</v>
      </c>
      <c r="M240" s="628">
        <f ca="1">IFERROR(__xludf.DUMMYFUNCTION("""COMPUTED_VALUE"""),4.88888888888888)</f>
        <v>4.8888888888888804</v>
      </c>
      <c r="N240" s="36"/>
      <c r="O240" s="36"/>
      <c r="P240" s="36"/>
      <c r="Q240" s="36"/>
    </row>
    <row r="241" spans="1:17">
      <c r="A241" s="36"/>
      <c r="B241" s="36"/>
      <c r="C241" s="36"/>
      <c r="D241" s="36"/>
      <c r="E241" s="36"/>
      <c r="F241" s="36"/>
      <c r="L241" s="36" t="str">
        <f ca="1">IFERROR(__xludf.DUMMYFUNCTION("""COMPUTED_VALUE"""),"Фараонова Альона")</f>
        <v>Фараонова Альона</v>
      </c>
      <c r="M241" s="628">
        <f ca="1">IFERROR(__xludf.DUMMYFUNCTION("""COMPUTED_VALUE"""),4.33333333333333)</f>
        <v>4.3333333333333304</v>
      </c>
      <c r="N241" s="36"/>
      <c r="O241" s="36"/>
      <c r="P241" s="36"/>
      <c r="Q241" s="36"/>
    </row>
    <row r="242" spans="1:17">
      <c r="A242" s="36"/>
      <c r="B242" s="36"/>
      <c r="C242" s="36"/>
      <c r="D242" s="36"/>
      <c r="E242" s="36"/>
      <c r="F242" s="36"/>
      <c r="L242" s="36" t="str">
        <f ca="1">IFERROR(__xludf.DUMMYFUNCTION("""COMPUTED_VALUE"""),"Фауст Артем")</f>
        <v>Фауст Артем</v>
      </c>
      <c r="M242" s="628">
        <f ca="1">IFERROR(__xludf.DUMMYFUNCTION("""COMPUTED_VALUE"""),4.8)</f>
        <v>4.8</v>
      </c>
      <c r="N242" s="36"/>
      <c r="O242" s="36"/>
      <c r="P242" s="36"/>
      <c r="Q242" s="36"/>
    </row>
    <row r="243" spans="1:17">
      <c r="A243" s="36"/>
      <c r="B243" s="36"/>
      <c r="C243" s="36"/>
      <c r="D243" s="36"/>
      <c r="E243" s="36"/>
      <c r="F243" s="36"/>
      <c r="L243" s="36" t="str">
        <f ca="1">IFERROR(__xludf.DUMMYFUNCTION("""COMPUTED_VALUE"""),"Федорук Олеся")</f>
        <v>Федорук Олеся</v>
      </c>
      <c r="M243" s="628">
        <f ca="1">IFERROR(__xludf.DUMMYFUNCTION("""COMPUTED_VALUE"""),5)</f>
        <v>5</v>
      </c>
      <c r="N243" s="36"/>
      <c r="O243" s="36"/>
      <c r="P243" s="36"/>
      <c r="Q243" s="36"/>
    </row>
    <row r="244" spans="1:17">
      <c r="A244" s="36"/>
      <c r="B244" s="36"/>
      <c r="C244" s="36"/>
      <c r="D244" s="36"/>
      <c r="E244" s="36"/>
      <c r="F244" s="36"/>
      <c r="L244" s="36" t="str">
        <f ca="1">IFERROR(__xludf.DUMMYFUNCTION("""COMPUTED_VALUE"""),"Харуца Олександр")</f>
        <v>Харуца Олександр</v>
      </c>
      <c r="M244" s="628">
        <f ca="1">IFERROR(__xludf.DUMMYFUNCTION("""COMPUTED_VALUE"""),4.66666666666666)</f>
        <v>4.6666666666666599</v>
      </c>
      <c r="N244" s="36"/>
      <c r="O244" s="36"/>
      <c r="P244" s="36"/>
      <c r="Q244" s="36"/>
    </row>
    <row r="245" spans="1:17">
      <c r="A245" s="36"/>
      <c r="B245" s="36"/>
      <c r="C245" s="36"/>
      <c r="D245" s="36"/>
      <c r="E245" s="36"/>
      <c r="F245" s="36"/>
      <c r="L245" s="36" t="str">
        <f ca="1">IFERROR(__xludf.DUMMYFUNCTION("""COMPUTED_VALUE"""),"Ходіс Анна")</f>
        <v>Ходіс Анна</v>
      </c>
      <c r="M245" s="628">
        <f ca="1">IFERROR(__xludf.DUMMYFUNCTION("""COMPUTED_VALUE"""),5)</f>
        <v>5</v>
      </c>
      <c r="N245" s="36"/>
      <c r="O245" s="36"/>
      <c r="P245" s="36"/>
      <c r="Q245" s="36"/>
    </row>
    <row r="246" spans="1:17">
      <c r="A246" s="36"/>
      <c r="B246" s="36"/>
      <c r="C246" s="36"/>
      <c r="D246" s="36"/>
      <c r="E246" s="36"/>
      <c r="F246" s="36"/>
      <c r="L246" s="36" t="str">
        <f ca="1">IFERROR(__xludf.DUMMYFUNCTION("""COMPUTED_VALUE"""),"Чайковський Віталій")</f>
        <v>Чайковський Віталій</v>
      </c>
      <c r="M246" s="628">
        <f ca="1">IFERROR(__xludf.DUMMYFUNCTION("""COMPUTED_VALUE"""),5)</f>
        <v>5</v>
      </c>
      <c r="N246" s="36"/>
      <c r="O246" s="36"/>
      <c r="P246" s="36"/>
      <c r="Q246" s="36"/>
    </row>
    <row r="247" spans="1:17">
      <c r="A247" s="36"/>
      <c r="B247" s="36"/>
      <c r="C247" s="36"/>
      <c r="D247" s="36"/>
      <c r="E247" s="36"/>
      <c r="F247" s="36"/>
      <c r="L247" s="36" t="str">
        <f ca="1">IFERROR(__xludf.DUMMYFUNCTION("""COMPUTED_VALUE"""),"Чернолуцька Світлана")</f>
        <v>Чернолуцька Світлана</v>
      </c>
      <c r="M247" s="628">
        <f ca="1">IFERROR(__xludf.DUMMYFUNCTION("""COMPUTED_VALUE"""),5)</f>
        <v>5</v>
      </c>
      <c r="N247" s="36"/>
      <c r="O247" s="36"/>
      <c r="P247" s="36"/>
      <c r="Q247" s="36"/>
    </row>
    <row r="248" spans="1:17">
      <c r="A248" s="36"/>
      <c r="B248" s="36"/>
      <c r="C248" s="36"/>
      <c r="D248" s="36"/>
      <c r="E248" s="36"/>
      <c r="F248" s="36"/>
      <c r="L248" s="36" t="str">
        <f ca="1">IFERROR(__xludf.DUMMYFUNCTION("""COMPUTED_VALUE"""),"Чмелюк Карина")</f>
        <v>Чмелюк Карина</v>
      </c>
      <c r="M248" s="628">
        <f ca="1">IFERROR(__xludf.DUMMYFUNCTION("""COMPUTED_VALUE"""),4.75)</f>
        <v>4.75</v>
      </c>
      <c r="N248" s="36"/>
      <c r="O248" s="36"/>
      <c r="P248" s="36"/>
      <c r="Q248" s="36"/>
    </row>
    <row r="249" spans="1:17">
      <c r="A249" s="36"/>
      <c r="B249" s="36"/>
      <c r="C249" s="36"/>
      <c r="D249" s="36"/>
      <c r="E249" s="36"/>
      <c r="F249" s="36"/>
      <c r="L249" s="36" t="str">
        <f ca="1">IFERROR(__xludf.DUMMYFUNCTION("""COMPUTED_VALUE"""),"Чорноус Юлія")</f>
        <v>Чорноус Юлія</v>
      </c>
      <c r="M249" s="628">
        <f ca="1">IFERROR(__xludf.DUMMYFUNCTION("""COMPUTED_VALUE"""),4.75)</f>
        <v>4.75</v>
      </c>
      <c r="N249" s="36"/>
      <c r="O249" s="36"/>
      <c r="P249" s="36"/>
      <c r="Q249" s="36"/>
    </row>
    <row r="250" spans="1:17">
      <c r="A250" s="36"/>
      <c r="B250" s="36"/>
      <c r="C250" s="36"/>
      <c r="D250" s="36"/>
      <c r="E250" s="36"/>
      <c r="F250" s="36"/>
      <c r="L250" s="36" t="str">
        <f ca="1">IFERROR(__xludf.DUMMYFUNCTION("""COMPUTED_VALUE"""),"Шарко Максим")</f>
        <v>Шарко Максим</v>
      </c>
      <c r="M250" s="628">
        <f ca="1">IFERROR(__xludf.DUMMYFUNCTION("""COMPUTED_VALUE"""),5)</f>
        <v>5</v>
      </c>
      <c r="N250" s="36"/>
      <c r="O250" s="36"/>
      <c r="P250" s="36"/>
      <c r="Q250" s="36"/>
    </row>
    <row r="251" spans="1:17">
      <c r="A251" s="36"/>
      <c r="B251" s="36"/>
      <c r="C251" s="36"/>
      <c r="D251" s="36"/>
      <c r="E251" s="36"/>
      <c r="F251" s="36"/>
      <c r="L251" s="36" t="str">
        <f ca="1">IFERROR(__xludf.DUMMYFUNCTION("""COMPUTED_VALUE"""),"Швадченко Альона")</f>
        <v>Швадченко Альона</v>
      </c>
      <c r="M251" s="628">
        <f ca="1">IFERROR(__xludf.DUMMYFUNCTION("""COMPUTED_VALUE"""),5)</f>
        <v>5</v>
      </c>
      <c r="N251" s="36"/>
      <c r="O251" s="36"/>
      <c r="P251" s="36"/>
      <c r="Q251" s="36"/>
    </row>
    <row r="252" spans="1:17">
      <c r="A252" s="36"/>
      <c r="B252" s="36"/>
      <c r="C252" s="36"/>
      <c r="D252" s="36"/>
      <c r="E252" s="36"/>
      <c r="F252" s="36"/>
      <c r="L252" s="36" t="str">
        <f ca="1">IFERROR(__xludf.DUMMYFUNCTION("""COMPUTED_VALUE"""),"Швед Назарій")</f>
        <v>Швед Назарій</v>
      </c>
      <c r="M252" s="628">
        <f ca="1">IFERROR(__xludf.DUMMYFUNCTION("""COMPUTED_VALUE"""),4.66666666666666)</f>
        <v>4.6666666666666599</v>
      </c>
      <c r="N252" s="36"/>
      <c r="O252" s="36"/>
      <c r="P252" s="36"/>
      <c r="Q252" s="36"/>
    </row>
    <row r="253" spans="1:17">
      <c r="A253" s="36"/>
      <c r="B253" s="36"/>
      <c r="C253" s="36"/>
      <c r="D253" s="36"/>
      <c r="E253" s="36"/>
      <c r="F253" s="36"/>
      <c r="L253" s="36" t="str">
        <f ca="1">IFERROR(__xludf.DUMMYFUNCTION("""COMPUTED_VALUE"""),"Шевченко Ілля")</f>
        <v>Шевченко Ілля</v>
      </c>
      <c r="M253" s="628">
        <f ca="1">IFERROR(__xludf.DUMMYFUNCTION("""COMPUTED_VALUE"""),4.33333333333333)</f>
        <v>4.3333333333333304</v>
      </c>
      <c r="N253" s="36"/>
      <c r="O253" s="36"/>
      <c r="P253" s="36"/>
      <c r="Q253" s="36"/>
    </row>
    <row r="254" spans="1:17">
      <c r="A254" s="36"/>
      <c r="B254" s="36"/>
      <c r="C254" s="36"/>
      <c r="D254" s="36"/>
      <c r="E254" s="36"/>
      <c r="F254" s="36"/>
      <c r="L254" s="36" t="str">
        <f ca="1">IFERROR(__xludf.DUMMYFUNCTION("""COMPUTED_VALUE"""),"Шийка Олена")</f>
        <v>Шийка Олена</v>
      </c>
      <c r="M254" s="628">
        <f ca="1">IFERROR(__xludf.DUMMYFUNCTION("""COMPUTED_VALUE"""),5)</f>
        <v>5</v>
      </c>
      <c r="N254" s="36"/>
      <c r="O254" s="36"/>
      <c r="P254" s="36"/>
      <c r="Q254" s="36"/>
    </row>
    <row r="255" spans="1:17">
      <c r="A255" s="36"/>
      <c r="B255" s="36"/>
      <c r="C255" s="36"/>
      <c r="D255" s="36"/>
      <c r="E255" s="36"/>
      <c r="F255" s="36"/>
      <c r="L255" s="36" t="str">
        <f ca="1">IFERROR(__xludf.DUMMYFUNCTION("""COMPUTED_VALUE"""),"Ширій-Ярема Вероніка")</f>
        <v>Ширій-Ярема Вероніка</v>
      </c>
      <c r="M255" s="628">
        <f ca="1">IFERROR(__xludf.DUMMYFUNCTION("""COMPUTED_VALUE"""),4.66666666666666)</f>
        <v>4.6666666666666599</v>
      </c>
      <c r="N255" s="36"/>
      <c r="O255" s="36"/>
      <c r="P255" s="36"/>
      <c r="Q255" s="36"/>
    </row>
    <row r="256" spans="1:17">
      <c r="A256" s="36"/>
      <c r="B256" s="36"/>
      <c r="C256" s="36"/>
      <c r="D256" s="36"/>
      <c r="E256" s="36"/>
      <c r="F256" s="36"/>
      <c r="L256" s="36" t="str">
        <f ca="1">IFERROR(__xludf.DUMMYFUNCTION("""COMPUTED_VALUE"""),"Ширяєв Микита")</f>
        <v>Ширяєв Микита</v>
      </c>
      <c r="M256" s="628">
        <f ca="1">IFERROR(__xludf.DUMMYFUNCTION("""COMPUTED_VALUE"""),5)</f>
        <v>5</v>
      </c>
      <c r="N256" s="36"/>
      <c r="O256" s="36"/>
      <c r="P256" s="36"/>
      <c r="Q256" s="36"/>
    </row>
    <row r="257" spans="1:17">
      <c r="A257" s="36"/>
      <c r="B257" s="36"/>
      <c r="C257" s="36"/>
      <c r="D257" s="36"/>
      <c r="E257" s="36"/>
      <c r="F257" s="36"/>
      <c r="L257" s="36" t="str">
        <f ca="1">IFERROR(__xludf.DUMMYFUNCTION("""COMPUTED_VALUE"""),"Шкумбатюк Богдана")</f>
        <v>Шкумбатюк Богдана</v>
      </c>
      <c r="M257" s="628">
        <f ca="1">IFERROR(__xludf.DUMMYFUNCTION("""COMPUTED_VALUE"""),4.94117647058823)</f>
        <v>4.9411764705882302</v>
      </c>
      <c r="N257" s="36"/>
      <c r="O257" s="36"/>
      <c r="P257" s="36"/>
      <c r="Q257" s="36"/>
    </row>
    <row r="258" spans="1:17">
      <c r="A258" s="36"/>
      <c r="B258" s="36"/>
      <c r="C258" s="36"/>
      <c r="D258" s="36"/>
      <c r="E258" s="36"/>
      <c r="F258" s="36"/>
      <c r="L258" s="36" t="str">
        <f ca="1">IFERROR(__xludf.DUMMYFUNCTION("""COMPUTED_VALUE"""),"Шульга Дмитро")</f>
        <v>Шульга Дмитро</v>
      </c>
      <c r="M258" s="628">
        <f ca="1">IFERROR(__xludf.DUMMYFUNCTION("""COMPUTED_VALUE"""),4.61538461538461)</f>
        <v>4.6153846153846096</v>
      </c>
      <c r="N258" s="36"/>
      <c r="O258" s="36"/>
      <c r="P258" s="36"/>
      <c r="Q258" s="36"/>
    </row>
    <row r="259" spans="1:17">
      <c r="A259" s="36"/>
      <c r="B259" s="36"/>
      <c r="C259" s="36"/>
      <c r="D259" s="36"/>
      <c r="E259" s="36"/>
      <c r="F259" s="36"/>
      <c r="L259" s="36" t="str">
        <f ca="1">IFERROR(__xludf.DUMMYFUNCTION("""COMPUTED_VALUE"""),"Щегорцов Максим")</f>
        <v>Щегорцов Максим</v>
      </c>
      <c r="M259" s="628">
        <f ca="1">IFERROR(__xludf.DUMMYFUNCTION("""COMPUTED_VALUE"""),4)</f>
        <v>4</v>
      </c>
      <c r="N259" s="36"/>
      <c r="O259" s="36"/>
      <c r="P259" s="36"/>
      <c r="Q259" s="36"/>
    </row>
    <row r="260" spans="1:17">
      <c r="A260" s="36"/>
      <c r="B260" s="36"/>
      <c r="C260" s="36"/>
      <c r="D260" s="36"/>
      <c r="E260" s="36"/>
      <c r="F260" s="36"/>
      <c r="L260" s="36" t="str">
        <f ca="1">IFERROR(__xludf.DUMMYFUNCTION("""COMPUTED_VALUE"""),"Яремчук Юлія")</f>
        <v>Яремчук Юлія</v>
      </c>
      <c r="M260" s="628">
        <f ca="1">IFERROR(__xludf.DUMMYFUNCTION("""COMPUTED_VALUE"""),5)</f>
        <v>5</v>
      </c>
      <c r="N260" s="36"/>
      <c r="O260" s="36"/>
      <c r="P260" s="36"/>
      <c r="Q260" s="36"/>
    </row>
    <row r="261" spans="1:17">
      <c r="A261" s="36"/>
      <c r="B261" s="36"/>
      <c r="C261" s="36"/>
      <c r="D261" s="36"/>
      <c r="E261" s="36"/>
      <c r="F261" s="36"/>
      <c r="L261" s="36" t="str">
        <f ca="1">IFERROR(__xludf.DUMMYFUNCTION("""COMPUTED_VALUE"""),"Итого")</f>
        <v>Итого</v>
      </c>
      <c r="M261" s="628">
        <f ca="1">IFERROR(__xludf.DUMMYFUNCTION("""COMPUTED_VALUE"""),4.82501807664497)</f>
        <v>4.8250180766449704</v>
      </c>
      <c r="N261" s="36"/>
      <c r="O261" s="36"/>
      <c r="P261" s="36"/>
      <c r="Q261" s="36"/>
    </row>
    <row r="262" spans="1:17">
      <c r="A262" s="36"/>
      <c r="B262" s="36"/>
      <c r="C262" s="36"/>
      <c r="D262" s="36"/>
      <c r="E262" s="36"/>
      <c r="F262" s="36"/>
      <c r="L262" s="36"/>
      <c r="M262" s="36"/>
      <c r="N262" s="36"/>
      <c r="O262" s="36"/>
      <c r="P262" s="36"/>
      <c r="Q262" s="36"/>
    </row>
    <row r="263" spans="1:17">
      <c r="A263" s="36"/>
      <c r="B263" s="36"/>
      <c r="C263" s="36"/>
      <c r="D263" s="36"/>
      <c r="E263" s="36"/>
      <c r="F263" s="36"/>
      <c r="L263" s="36"/>
      <c r="M263" s="36"/>
      <c r="N263" s="36"/>
      <c r="O263" s="36"/>
      <c r="P263" s="36"/>
      <c r="Q263" s="36"/>
    </row>
    <row r="264" spans="1:17">
      <c r="A264" s="36"/>
      <c r="B264" s="36"/>
      <c r="C264" s="36"/>
      <c r="D264" s="36"/>
      <c r="E264" s="36"/>
      <c r="F264" s="36"/>
      <c r="L264" s="36"/>
      <c r="M264" s="36"/>
      <c r="N264" s="36"/>
      <c r="O264" s="36"/>
      <c r="P264" s="36"/>
      <c r="Q264" s="36"/>
    </row>
    <row r="265" spans="1:17">
      <c r="A265" s="36"/>
      <c r="B265" s="36"/>
      <c r="C265" s="36"/>
      <c r="D265" s="36"/>
      <c r="E265" s="36"/>
      <c r="F265" s="36"/>
      <c r="L265" s="36"/>
      <c r="M265" s="36"/>
      <c r="N265" s="36"/>
      <c r="O265" s="36"/>
      <c r="P265" s="36"/>
      <c r="Q265" s="36"/>
    </row>
    <row r="266" spans="1:17">
      <c r="A266" s="36"/>
      <c r="B266" s="36"/>
      <c r="C266" s="36"/>
      <c r="D266" s="36"/>
      <c r="E266" s="36"/>
      <c r="F266" s="36"/>
      <c r="L266" s="36"/>
      <c r="M266" s="36"/>
      <c r="N266" s="36"/>
      <c r="O266" s="36"/>
      <c r="P266" s="36"/>
      <c r="Q266" s="36"/>
    </row>
    <row r="267" spans="1:17">
      <c r="A267" s="36"/>
      <c r="B267" s="36"/>
      <c r="C267" s="36"/>
      <c r="D267" s="36"/>
      <c r="E267" s="36"/>
      <c r="F267" s="36"/>
      <c r="L267" s="36"/>
      <c r="M267" s="36"/>
      <c r="N267" s="36"/>
      <c r="O267" s="36"/>
      <c r="P267" s="36"/>
      <c r="Q267" s="36"/>
    </row>
    <row r="268" spans="1:17">
      <c r="A268" s="36"/>
      <c r="B268" s="36"/>
      <c r="C268" s="36"/>
      <c r="D268" s="36"/>
      <c r="E268" s="36"/>
      <c r="F268" s="36"/>
      <c r="L268" s="36"/>
      <c r="M268" s="36"/>
      <c r="N268" s="36"/>
      <c r="O268" s="36"/>
      <c r="P268" s="36"/>
      <c r="Q268" s="36"/>
    </row>
    <row r="269" spans="1:17">
      <c r="A269" s="36"/>
      <c r="B269" s="36"/>
      <c r="C269" s="36"/>
      <c r="D269" s="36"/>
      <c r="E269" s="36"/>
      <c r="F269" s="36"/>
      <c r="L269" s="36"/>
      <c r="M269" s="36"/>
      <c r="N269" s="36"/>
      <c r="O269" s="36"/>
      <c r="P269" s="36"/>
      <c r="Q269" s="36"/>
    </row>
    <row r="270" spans="1:17">
      <c r="A270" s="36"/>
      <c r="B270" s="36"/>
      <c r="C270" s="36"/>
      <c r="D270" s="36"/>
      <c r="E270" s="36"/>
      <c r="F270" s="36"/>
      <c r="L270" s="36"/>
      <c r="M270" s="36"/>
      <c r="N270" s="36"/>
      <c r="O270" s="36"/>
      <c r="P270" s="36"/>
      <c r="Q270" s="36"/>
    </row>
    <row r="271" spans="1:17">
      <c r="A271" s="36"/>
      <c r="B271" s="36"/>
      <c r="C271" s="36"/>
      <c r="D271" s="36"/>
      <c r="E271" s="36"/>
      <c r="F271" s="36"/>
      <c r="L271" s="36"/>
      <c r="M271" s="36"/>
      <c r="N271" s="36"/>
      <c r="O271" s="36"/>
      <c r="P271" s="36"/>
      <c r="Q271" s="36"/>
    </row>
    <row r="272" spans="1:17">
      <c r="A272" s="36"/>
      <c r="B272" s="36"/>
      <c r="C272" s="36"/>
      <c r="D272" s="36"/>
      <c r="E272" s="36"/>
      <c r="F272" s="36"/>
      <c r="L272" s="36"/>
      <c r="M272" s="36"/>
      <c r="N272" s="36"/>
      <c r="O272" s="36"/>
      <c r="P272" s="36"/>
      <c r="Q272" s="36"/>
    </row>
    <row r="273" spans="1:17">
      <c r="A273" s="36"/>
      <c r="B273" s="36"/>
      <c r="C273" s="36"/>
      <c r="D273" s="36"/>
      <c r="E273" s="36"/>
      <c r="F273" s="36"/>
      <c r="L273" s="36"/>
      <c r="M273" s="36"/>
      <c r="N273" s="36"/>
      <c r="O273" s="36"/>
      <c r="P273" s="36"/>
      <c r="Q273" s="36"/>
    </row>
    <row r="274" spans="1:17">
      <c r="A274" s="36"/>
      <c r="B274" s="36"/>
      <c r="C274" s="36"/>
      <c r="D274" s="36"/>
      <c r="E274" s="36"/>
      <c r="F274" s="36"/>
      <c r="L274" s="36"/>
      <c r="M274" s="36"/>
      <c r="N274" s="36"/>
      <c r="O274" s="36"/>
      <c r="P274" s="36"/>
      <c r="Q274" s="36"/>
    </row>
    <row r="275" spans="1:17">
      <c r="A275" s="36"/>
      <c r="B275" s="36"/>
      <c r="C275" s="36"/>
      <c r="D275" s="36"/>
      <c r="E275" s="36"/>
      <c r="F275" s="36"/>
      <c r="L275" s="36"/>
      <c r="M275" s="36"/>
      <c r="N275" s="36"/>
      <c r="O275" s="36"/>
      <c r="P275" s="36"/>
      <c r="Q275" s="36"/>
    </row>
    <row r="276" spans="1:17">
      <c r="A276" s="36"/>
      <c r="B276" s="36"/>
      <c r="C276" s="36"/>
      <c r="D276" s="36"/>
      <c r="E276" s="36"/>
      <c r="F276" s="36"/>
      <c r="L276" s="36"/>
      <c r="M276" s="36"/>
      <c r="N276" s="36"/>
      <c r="O276" s="36"/>
      <c r="P276" s="36"/>
      <c r="Q276" s="36"/>
    </row>
    <row r="277" spans="1:17">
      <c r="A277" s="36"/>
      <c r="B277" s="36"/>
      <c r="C277" s="36"/>
      <c r="D277" s="36"/>
      <c r="E277" s="36"/>
      <c r="F277" s="36"/>
      <c r="L277" s="36"/>
      <c r="M277" s="36"/>
      <c r="N277" s="36"/>
      <c r="O277" s="36"/>
      <c r="P277" s="36"/>
      <c r="Q277" s="36"/>
    </row>
    <row r="278" spans="1:17">
      <c r="A278" s="36"/>
      <c r="B278" s="36"/>
      <c r="C278" s="36"/>
      <c r="D278" s="36"/>
      <c r="E278" s="36"/>
      <c r="F278" s="36"/>
      <c r="L278" s="36"/>
      <c r="M278" s="36"/>
      <c r="N278" s="36"/>
      <c r="O278" s="36"/>
      <c r="P278" s="36"/>
      <c r="Q278" s="36"/>
    </row>
    <row r="279" spans="1:17">
      <c r="A279" s="36"/>
      <c r="B279" s="36"/>
      <c r="C279" s="36"/>
      <c r="D279" s="36"/>
      <c r="E279" s="36"/>
      <c r="F279" s="36"/>
      <c r="L279" s="36"/>
      <c r="M279" s="36"/>
      <c r="N279" s="36"/>
      <c r="O279" s="36"/>
      <c r="P279" s="36"/>
      <c r="Q279" s="36"/>
    </row>
    <row r="280" spans="1:17">
      <c r="A280" s="36"/>
      <c r="B280" s="36"/>
      <c r="C280" s="36"/>
      <c r="D280" s="36"/>
      <c r="E280" s="36"/>
      <c r="F280" s="36"/>
      <c r="L280" s="36"/>
      <c r="M280" s="36"/>
      <c r="N280" s="36"/>
      <c r="O280" s="36"/>
      <c r="P280" s="36"/>
      <c r="Q280" s="36"/>
    </row>
    <row r="281" spans="1:17">
      <c r="A281" s="36"/>
      <c r="B281" s="36"/>
      <c r="C281" s="36"/>
      <c r="D281" s="36"/>
      <c r="E281" s="36"/>
      <c r="F281" s="36"/>
      <c r="L281" s="36"/>
      <c r="M281" s="36"/>
      <c r="N281" s="36"/>
      <c r="O281" s="36"/>
      <c r="P281" s="36"/>
      <c r="Q281" s="36"/>
    </row>
    <row r="282" spans="1:17">
      <c r="A282" s="36"/>
      <c r="B282" s="36"/>
      <c r="C282" s="36"/>
      <c r="D282" s="36"/>
      <c r="E282" s="36"/>
      <c r="F282" s="36"/>
      <c r="L282" s="36"/>
      <c r="M282" s="36"/>
      <c r="N282" s="36"/>
      <c r="O282" s="36"/>
      <c r="P282" s="36"/>
      <c r="Q282" s="36"/>
    </row>
    <row r="283" spans="1:17">
      <c r="A283" s="36"/>
      <c r="B283" s="36"/>
      <c r="C283" s="36"/>
      <c r="D283" s="36"/>
      <c r="E283" s="36"/>
      <c r="F283" s="36"/>
      <c r="L283" s="36"/>
      <c r="M283" s="36"/>
      <c r="N283" s="36"/>
      <c r="O283" s="36"/>
      <c r="P283" s="36"/>
      <c r="Q283" s="36"/>
    </row>
    <row r="284" spans="1:17">
      <c r="A284" s="36"/>
      <c r="B284" s="36"/>
      <c r="C284" s="36"/>
      <c r="D284" s="36"/>
      <c r="E284" s="36"/>
      <c r="F284" s="36"/>
      <c r="L284" s="36"/>
      <c r="M284" s="36"/>
      <c r="N284" s="36"/>
      <c r="O284" s="36"/>
      <c r="P284" s="36"/>
      <c r="Q284" s="36"/>
    </row>
    <row r="285" spans="1:17">
      <c r="A285" s="36"/>
      <c r="B285" s="36"/>
      <c r="C285" s="36"/>
      <c r="D285" s="36"/>
      <c r="E285" s="36"/>
      <c r="F285" s="36"/>
      <c r="L285" s="36"/>
      <c r="M285" s="36"/>
      <c r="N285" s="36"/>
      <c r="O285" s="36"/>
      <c r="P285" s="36"/>
      <c r="Q285" s="36"/>
    </row>
    <row r="286" spans="1:17">
      <c r="A286" s="36"/>
      <c r="B286" s="36"/>
      <c r="C286" s="36"/>
      <c r="D286" s="36"/>
      <c r="E286" s="36"/>
      <c r="F286" s="36"/>
      <c r="L286" s="36"/>
      <c r="M286" s="36"/>
      <c r="N286" s="36"/>
      <c r="O286" s="36"/>
      <c r="P286" s="36"/>
      <c r="Q286" s="36"/>
    </row>
    <row r="287" spans="1:17">
      <c r="A287" s="36"/>
      <c r="B287" s="36"/>
      <c r="C287" s="36"/>
      <c r="D287" s="36"/>
      <c r="E287" s="36"/>
      <c r="F287" s="36"/>
      <c r="L287" s="36"/>
      <c r="M287" s="36"/>
      <c r="N287" s="36"/>
      <c r="O287" s="36"/>
      <c r="P287" s="36"/>
      <c r="Q287" s="36"/>
    </row>
    <row r="288" spans="1:17">
      <c r="A288" s="36"/>
      <c r="B288" s="36"/>
      <c r="C288" s="36"/>
      <c r="D288" s="36"/>
      <c r="E288" s="36"/>
      <c r="F288" s="36"/>
      <c r="L288" s="36"/>
      <c r="M288" s="36"/>
      <c r="N288" s="36"/>
      <c r="O288" s="36"/>
      <c r="P288" s="36"/>
      <c r="Q288" s="36"/>
    </row>
    <row r="289" spans="1:17">
      <c r="A289" s="36"/>
      <c r="B289" s="36"/>
      <c r="C289" s="36"/>
      <c r="D289" s="36"/>
      <c r="E289" s="36"/>
      <c r="F289" s="36"/>
      <c r="L289" s="36"/>
      <c r="M289" s="36"/>
      <c r="N289" s="36"/>
      <c r="O289" s="36"/>
      <c r="P289" s="36"/>
      <c r="Q289" s="36"/>
    </row>
    <row r="290" spans="1:17">
      <c r="A290" s="36"/>
      <c r="B290" s="36"/>
      <c r="C290" s="36"/>
      <c r="D290" s="36"/>
      <c r="E290" s="36"/>
      <c r="F290" s="36"/>
      <c r="L290" s="36"/>
      <c r="M290" s="36"/>
      <c r="N290" s="36"/>
      <c r="O290" s="36"/>
      <c r="P290" s="36"/>
      <c r="Q290" s="36"/>
    </row>
    <row r="291" spans="1:17">
      <c r="A291" s="36"/>
      <c r="B291" s="36"/>
      <c r="C291" s="36"/>
      <c r="D291" s="36"/>
      <c r="E291" s="36"/>
      <c r="F291" s="36"/>
      <c r="L291" s="36"/>
      <c r="M291" s="36"/>
      <c r="N291" s="36"/>
      <c r="O291" s="36"/>
      <c r="P291" s="36"/>
      <c r="Q291" s="36"/>
    </row>
    <row r="292" spans="1:17">
      <c r="A292" s="36"/>
      <c r="B292" s="36"/>
      <c r="C292" s="36"/>
      <c r="D292" s="36"/>
      <c r="E292" s="36"/>
      <c r="F292" s="36"/>
      <c r="L292" s="36"/>
      <c r="M292" s="36"/>
      <c r="N292" s="36"/>
      <c r="O292" s="36"/>
      <c r="P292" s="36"/>
      <c r="Q292" s="36"/>
    </row>
    <row r="293" spans="1:17">
      <c r="A293" s="36"/>
      <c r="B293" s="36"/>
      <c r="C293" s="36"/>
      <c r="D293" s="36"/>
      <c r="E293" s="36"/>
      <c r="F293" s="36"/>
      <c r="L293" s="36"/>
      <c r="M293" s="36"/>
      <c r="N293" s="36"/>
      <c r="O293" s="36"/>
      <c r="P293" s="36"/>
      <c r="Q293" s="36"/>
    </row>
    <row r="294" spans="1:17">
      <c r="A294" s="36"/>
      <c r="B294" s="36"/>
      <c r="C294" s="36"/>
      <c r="D294" s="36"/>
      <c r="E294" s="36"/>
      <c r="F294" s="36"/>
      <c r="L294" s="36"/>
      <c r="M294" s="36"/>
      <c r="N294" s="36"/>
      <c r="O294" s="36"/>
      <c r="P294" s="36"/>
      <c r="Q294" s="36"/>
    </row>
    <row r="295" spans="1:17">
      <c r="A295" s="36"/>
      <c r="B295" s="36"/>
      <c r="C295" s="36"/>
      <c r="D295" s="36"/>
      <c r="E295" s="36"/>
      <c r="F295" s="36"/>
      <c r="L295" s="36"/>
      <c r="M295" s="36"/>
      <c r="N295" s="36"/>
      <c r="O295" s="36"/>
      <c r="P295" s="36"/>
      <c r="Q295" s="36"/>
    </row>
    <row r="296" spans="1:17">
      <c r="A296" s="36"/>
      <c r="B296" s="36"/>
      <c r="C296" s="36"/>
      <c r="D296" s="36"/>
      <c r="E296" s="36"/>
      <c r="F296" s="36"/>
      <c r="L296" s="36"/>
      <c r="M296" s="36"/>
      <c r="N296" s="36"/>
      <c r="O296" s="36"/>
      <c r="P296" s="36"/>
      <c r="Q296" s="36"/>
    </row>
    <row r="297" spans="1:17">
      <c r="A297" s="36"/>
      <c r="B297" s="36"/>
      <c r="C297" s="36"/>
      <c r="D297" s="36"/>
      <c r="E297" s="36"/>
      <c r="F297" s="36"/>
      <c r="L297" s="36"/>
      <c r="M297" s="36"/>
      <c r="N297" s="36"/>
      <c r="O297" s="36"/>
      <c r="P297" s="36"/>
      <c r="Q297" s="36"/>
    </row>
    <row r="298" spans="1:17">
      <c r="A298" s="36"/>
      <c r="B298" s="36"/>
      <c r="C298" s="36"/>
      <c r="D298" s="36"/>
      <c r="E298" s="36"/>
      <c r="F298" s="36"/>
      <c r="L298" s="36"/>
      <c r="M298" s="36"/>
      <c r="N298" s="36"/>
      <c r="O298" s="36"/>
      <c r="P298" s="36"/>
      <c r="Q298" s="36"/>
    </row>
    <row r="299" spans="1:17">
      <c r="A299" s="36"/>
      <c r="B299" s="36"/>
      <c r="C299" s="36"/>
      <c r="D299" s="36"/>
      <c r="E299" s="36"/>
      <c r="F299" s="36"/>
      <c r="L299" s="36"/>
      <c r="M299" s="36"/>
      <c r="N299" s="36"/>
      <c r="O299" s="36"/>
      <c r="P299" s="36"/>
      <c r="Q299" s="36"/>
    </row>
    <row r="300" spans="1:17">
      <c r="A300" s="36"/>
      <c r="B300" s="36"/>
      <c r="C300" s="36"/>
      <c r="D300" s="36"/>
      <c r="E300" s="36"/>
      <c r="F300" s="36"/>
      <c r="L300" s="36"/>
      <c r="M300" s="36"/>
      <c r="N300" s="36"/>
      <c r="O300" s="36"/>
      <c r="P300" s="36"/>
      <c r="Q300" s="36"/>
    </row>
    <row r="301" spans="1:17">
      <c r="A301" s="36"/>
      <c r="B301" s="36"/>
      <c r="C301" s="36"/>
      <c r="D301" s="36"/>
      <c r="E301" s="36"/>
      <c r="F301" s="36"/>
      <c r="L301" s="36"/>
      <c r="M301" s="36"/>
      <c r="N301" s="36"/>
      <c r="O301" s="36"/>
      <c r="P301" s="36"/>
      <c r="Q301" s="36"/>
    </row>
    <row r="302" spans="1:17">
      <c r="A302" s="36"/>
      <c r="B302" s="36"/>
      <c r="C302" s="36"/>
      <c r="D302" s="36"/>
      <c r="E302" s="36"/>
      <c r="F302" s="36"/>
      <c r="L302" s="36"/>
      <c r="M302" s="36"/>
      <c r="N302" s="36"/>
      <c r="O302" s="36"/>
      <c r="P302" s="36"/>
      <c r="Q302" s="36"/>
    </row>
    <row r="303" spans="1:17">
      <c r="A303" s="36"/>
      <c r="B303" s="36"/>
      <c r="C303" s="36"/>
      <c r="D303" s="36"/>
      <c r="E303" s="36"/>
      <c r="F303" s="36"/>
      <c r="L303" s="36"/>
      <c r="M303" s="36"/>
      <c r="N303" s="36"/>
      <c r="O303" s="36"/>
      <c r="P303" s="36"/>
      <c r="Q303" s="36"/>
    </row>
    <row r="304" spans="1:17">
      <c r="A304" s="36"/>
      <c r="B304" s="36"/>
      <c r="C304" s="36"/>
      <c r="D304" s="36"/>
      <c r="E304" s="36"/>
      <c r="F304" s="36"/>
      <c r="L304" s="36"/>
      <c r="M304" s="36"/>
      <c r="N304" s="36"/>
      <c r="O304" s="36"/>
      <c r="P304" s="36"/>
      <c r="Q304" s="36"/>
    </row>
    <row r="305" spans="1:17">
      <c r="A305" s="36"/>
      <c r="B305" s="36"/>
      <c r="C305" s="36"/>
      <c r="D305" s="36"/>
      <c r="E305" s="36"/>
      <c r="F305" s="36"/>
      <c r="L305" s="36"/>
      <c r="M305" s="36"/>
      <c r="N305" s="36"/>
      <c r="O305" s="36"/>
      <c r="P305" s="36"/>
      <c r="Q305" s="36"/>
    </row>
    <row r="306" spans="1:17">
      <c r="A306" s="36"/>
      <c r="B306" s="36"/>
      <c r="C306" s="36"/>
      <c r="D306" s="36"/>
      <c r="E306" s="36"/>
      <c r="F306" s="36"/>
      <c r="L306" s="36"/>
      <c r="M306" s="36"/>
      <c r="N306" s="36"/>
      <c r="O306" s="36"/>
      <c r="P306" s="36"/>
      <c r="Q306" s="36"/>
    </row>
    <row r="307" spans="1:17">
      <c r="A307" s="36"/>
      <c r="B307" s="36"/>
      <c r="C307" s="36"/>
      <c r="D307" s="36"/>
      <c r="E307" s="36"/>
      <c r="F307" s="36"/>
      <c r="L307" s="36"/>
      <c r="M307" s="36"/>
      <c r="N307" s="36"/>
      <c r="O307" s="36"/>
      <c r="P307" s="36"/>
      <c r="Q307" s="36"/>
    </row>
    <row r="308" spans="1:17">
      <c r="A308" s="36"/>
      <c r="B308" s="36"/>
      <c r="C308" s="36"/>
      <c r="D308" s="36"/>
      <c r="E308" s="36"/>
      <c r="F308" s="36"/>
      <c r="L308" s="36"/>
      <c r="M308" s="36"/>
      <c r="N308" s="36"/>
      <c r="O308" s="36"/>
      <c r="P308" s="36"/>
      <c r="Q308" s="36"/>
    </row>
    <row r="309" spans="1:17">
      <c r="A309" s="36"/>
      <c r="B309" s="36"/>
      <c r="C309" s="36"/>
      <c r="D309" s="36"/>
      <c r="E309" s="36"/>
      <c r="F309" s="36"/>
      <c r="L309" s="36"/>
      <c r="M309" s="36"/>
      <c r="N309" s="36"/>
      <c r="O309" s="36"/>
      <c r="P309" s="36"/>
      <c r="Q309" s="36"/>
    </row>
    <row r="310" spans="1:17">
      <c r="A310" s="36"/>
      <c r="B310" s="36"/>
      <c r="C310" s="36"/>
      <c r="D310" s="36"/>
      <c r="E310" s="36"/>
      <c r="F310" s="36"/>
      <c r="L310" s="36"/>
      <c r="M310" s="36"/>
      <c r="N310" s="36"/>
      <c r="O310" s="36"/>
      <c r="P310" s="36"/>
      <c r="Q310" s="36"/>
    </row>
    <row r="311" spans="1:17">
      <c r="A311" s="36"/>
      <c r="B311" s="36"/>
      <c r="C311" s="36"/>
      <c r="D311" s="36"/>
      <c r="E311" s="36"/>
      <c r="F311" s="36"/>
      <c r="L311" s="36"/>
      <c r="M311" s="36"/>
      <c r="N311" s="36"/>
      <c r="O311" s="36"/>
      <c r="P311" s="36"/>
      <c r="Q311" s="36"/>
    </row>
    <row r="312" spans="1:17">
      <c r="A312" s="36"/>
      <c r="B312" s="36"/>
      <c r="C312" s="36"/>
      <c r="D312" s="36"/>
      <c r="E312" s="36"/>
      <c r="F312" s="36"/>
      <c r="L312" s="36"/>
      <c r="M312" s="36"/>
      <c r="N312" s="36"/>
      <c r="O312" s="36"/>
      <c r="P312" s="36"/>
      <c r="Q312" s="36"/>
    </row>
    <row r="313" spans="1:17">
      <c r="A313" s="36"/>
      <c r="B313" s="36"/>
      <c r="C313" s="36"/>
      <c r="D313" s="36"/>
      <c r="E313" s="36"/>
      <c r="F313" s="36"/>
      <c r="L313" s="36"/>
      <c r="M313" s="36"/>
      <c r="N313" s="36"/>
      <c r="O313" s="36"/>
      <c r="P313" s="36"/>
      <c r="Q313" s="36"/>
    </row>
    <row r="314" spans="1:17">
      <c r="A314" s="36"/>
      <c r="B314" s="36"/>
      <c r="C314" s="36"/>
      <c r="D314" s="36"/>
      <c r="E314" s="36"/>
      <c r="F314" s="36"/>
      <c r="L314" s="36"/>
      <c r="M314" s="36"/>
      <c r="N314" s="36"/>
      <c r="O314" s="36"/>
      <c r="P314" s="36"/>
      <c r="Q314" s="36"/>
    </row>
    <row r="315" spans="1:17">
      <c r="A315" s="36"/>
      <c r="B315" s="36"/>
      <c r="C315" s="36"/>
      <c r="D315" s="36"/>
      <c r="E315" s="36"/>
      <c r="F315" s="36"/>
      <c r="L315" s="36"/>
      <c r="M315" s="36"/>
      <c r="N315" s="36"/>
      <c r="O315" s="36"/>
      <c r="P315" s="36"/>
      <c r="Q315" s="36"/>
    </row>
    <row r="316" spans="1:17">
      <c r="A316" s="36"/>
      <c r="B316" s="36"/>
      <c r="C316" s="36"/>
      <c r="D316" s="36"/>
      <c r="E316" s="36"/>
      <c r="F316" s="36"/>
      <c r="L316" s="36"/>
      <c r="M316" s="36"/>
      <c r="N316" s="36"/>
      <c r="O316" s="36"/>
      <c r="P316" s="36"/>
      <c r="Q316" s="36"/>
    </row>
    <row r="317" spans="1:17">
      <c r="A317" s="36"/>
      <c r="B317" s="36"/>
      <c r="C317" s="36"/>
      <c r="D317" s="36"/>
      <c r="E317" s="36"/>
      <c r="F317" s="36"/>
      <c r="L317" s="36"/>
      <c r="M317" s="36"/>
      <c r="N317" s="36"/>
      <c r="O317" s="36"/>
      <c r="P317" s="36"/>
      <c r="Q317" s="36"/>
    </row>
    <row r="318" spans="1:17">
      <c r="A318" s="36"/>
      <c r="B318" s="36"/>
      <c r="C318" s="36"/>
      <c r="D318" s="36"/>
      <c r="E318" s="36"/>
      <c r="F318" s="36"/>
      <c r="L318" s="36"/>
      <c r="M318" s="36"/>
      <c r="N318" s="36"/>
      <c r="O318" s="36"/>
      <c r="P318" s="36"/>
      <c r="Q318" s="36"/>
    </row>
    <row r="319" spans="1:17">
      <c r="A319" s="36"/>
      <c r="B319" s="36"/>
      <c r="C319" s="36"/>
      <c r="D319" s="36"/>
      <c r="E319" s="36"/>
      <c r="F319" s="36"/>
      <c r="L319" s="36"/>
      <c r="M319" s="36"/>
      <c r="N319" s="36"/>
      <c r="O319" s="36"/>
      <c r="P319" s="36"/>
      <c r="Q319" s="36"/>
    </row>
    <row r="320" spans="1:17">
      <c r="A320" s="36"/>
      <c r="B320" s="36"/>
      <c r="C320" s="36"/>
      <c r="D320" s="36"/>
      <c r="E320" s="36"/>
      <c r="F320" s="36"/>
      <c r="L320" s="36"/>
      <c r="M320" s="36"/>
      <c r="N320" s="36"/>
      <c r="O320" s="36"/>
      <c r="P320" s="36"/>
      <c r="Q320" s="36"/>
    </row>
    <row r="321" spans="1:17">
      <c r="A321" s="36"/>
      <c r="B321" s="36"/>
      <c r="C321" s="36"/>
      <c r="D321" s="36"/>
      <c r="E321" s="36"/>
      <c r="F321" s="36"/>
      <c r="L321" s="36"/>
      <c r="M321" s="36"/>
      <c r="N321" s="36"/>
      <c r="O321" s="36"/>
      <c r="P321" s="36"/>
      <c r="Q321" s="36"/>
    </row>
    <row r="322" spans="1:17">
      <c r="A322" s="36"/>
      <c r="B322" s="36"/>
      <c r="C322" s="36"/>
      <c r="D322" s="36"/>
      <c r="E322" s="36"/>
      <c r="F322" s="36"/>
      <c r="L322" s="36"/>
      <c r="M322" s="36"/>
      <c r="N322" s="36"/>
      <c r="O322" s="36"/>
      <c r="P322" s="36"/>
      <c r="Q322" s="36"/>
    </row>
    <row r="323" spans="1:17">
      <c r="A323" s="36"/>
      <c r="B323" s="36"/>
      <c r="C323" s="36"/>
      <c r="D323" s="36"/>
      <c r="E323" s="36"/>
      <c r="F323" s="36"/>
      <c r="L323" s="36"/>
      <c r="M323" s="36"/>
      <c r="N323" s="36"/>
      <c r="O323" s="36"/>
      <c r="P323" s="36"/>
      <c r="Q323" s="36"/>
    </row>
    <row r="324" spans="1:17">
      <c r="A324" s="36"/>
      <c r="B324" s="36"/>
      <c r="C324" s="36"/>
      <c r="D324" s="36"/>
      <c r="E324" s="36"/>
      <c r="F324" s="36"/>
      <c r="L324" s="36"/>
      <c r="M324" s="36"/>
      <c r="N324" s="36"/>
      <c r="O324" s="36"/>
      <c r="P324" s="36"/>
      <c r="Q324" s="36"/>
    </row>
    <row r="325" spans="1:17">
      <c r="A325" s="36"/>
      <c r="B325" s="36"/>
      <c r="C325" s="36"/>
      <c r="D325" s="36"/>
      <c r="E325" s="36"/>
      <c r="F325" s="36"/>
      <c r="L325" s="36"/>
      <c r="M325" s="36"/>
      <c r="N325" s="36"/>
      <c r="O325" s="36"/>
      <c r="P325" s="36"/>
      <c r="Q325" s="36"/>
    </row>
    <row r="326" spans="1:17">
      <c r="A326" s="36"/>
      <c r="B326" s="36"/>
      <c r="C326" s="36"/>
      <c r="D326" s="36"/>
      <c r="E326" s="36"/>
      <c r="F326" s="36"/>
      <c r="L326" s="36"/>
      <c r="M326" s="36"/>
      <c r="N326" s="36"/>
      <c r="O326" s="36"/>
      <c r="P326" s="36"/>
      <c r="Q326" s="36"/>
    </row>
    <row r="327" spans="1:17">
      <c r="A327" s="36"/>
      <c r="B327" s="36"/>
      <c r="C327" s="36"/>
      <c r="D327" s="36"/>
      <c r="E327" s="36"/>
      <c r="F327" s="36"/>
      <c r="L327" s="36"/>
      <c r="M327" s="36"/>
      <c r="N327" s="36"/>
      <c r="O327" s="36"/>
      <c r="P327" s="36"/>
      <c r="Q327" s="36"/>
    </row>
    <row r="328" spans="1:17">
      <c r="A328" s="36"/>
      <c r="B328" s="36"/>
      <c r="C328" s="36"/>
      <c r="D328" s="36"/>
      <c r="E328" s="36"/>
      <c r="F328" s="36"/>
      <c r="L328" s="36"/>
      <c r="M328" s="36"/>
      <c r="N328" s="36"/>
      <c r="O328" s="36"/>
      <c r="P328" s="36"/>
      <c r="Q328" s="36"/>
    </row>
    <row r="329" spans="1:17">
      <c r="A329" s="36"/>
      <c r="B329" s="36"/>
      <c r="C329" s="36"/>
      <c r="D329" s="36"/>
      <c r="E329" s="36"/>
      <c r="F329" s="36"/>
      <c r="L329" s="36"/>
      <c r="M329" s="36"/>
      <c r="N329" s="36"/>
      <c r="O329" s="36"/>
      <c r="P329" s="36"/>
      <c r="Q329" s="36"/>
    </row>
    <row r="330" spans="1:17">
      <c r="A330" s="36"/>
      <c r="B330" s="36"/>
      <c r="C330" s="36"/>
      <c r="D330" s="36"/>
      <c r="E330" s="36"/>
      <c r="F330" s="36"/>
      <c r="L330" s="36"/>
      <c r="M330" s="36"/>
      <c r="N330" s="36"/>
      <c r="O330" s="36"/>
      <c r="P330" s="36"/>
      <c r="Q330" s="36"/>
    </row>
    <row r="331" spans="1:17">
      <c r="A331" s="36"/>
      <c r="B331" s="36"/>
      <c r="C331" s="36"/>
      <c r="D331" s="36"/>
      <c r="E331" s="36"/>
      <c r="F331" s="36"/>
      <c r="L331" s="36"/>
      <c r="M331" s="36"/>
      <c r="N331" s="36"/>
      <c r="O331" s="36"/>
      <c r="P331" s="36"/>
      <c r="Q331" s="36"/>
    </row>
    <row r="332" spans="1:17">
      <c r="A332" s="36"/>
      <c r="B332" s="36"/>
      <c r="C332" s="36"/>
      <c r="D332" s="36"/>
      <c r="E332" s="36"/>
      <c r="F332" s="36"/>
      <c r="L332" s="36"/>
      <c r="M332" s="36"/>
      <c r="N332" s="36"/>
      <c r="O332" s="36"/>
      <c r="P332" s="36"/>
      <c r="Q332" s="36"/>
    </row>
    <row r="333" spans="1:17">
      <c r="A333" s="36"/>
      <c r="B333" s="36"/>
      <c r="C333" s="36"/>
      <c r="D333" s="36"/>
      <c r="E333" s="36"/>
      <c r="F333" s="36"/>
      <c r="L333" s="36"/>
      <c r="M333" s="36"/>
      <c r="N333" s="36"/>
      <c r="O333" s="36"/>
      <c r="P333" s="36"/>
      <c r="Q333" s="36"/>
    </row>
    <row r="334" spans="1:17">
      <c r="A334" s="36"/>
      <c r="B334" s="36"/>
      <c r="C334" s="36"/>
      <c r="D334" s="36"/>
      <c r="E334" s="36"/>
      <c r="F334" s="36"/>
      <c r="L334" s="36"/>
      <c r="M334" s="36"/>
      <c r="N334" s="36"/>
      <c r="O334" s="36"/>
      <c r="P334" s="36"/>
      <c r="Q334" s="36"/>
    </row>
    <row r="335" spans="1:17">
      <c r="A335" s="36"/>
      <c r="B335" s="36"/>
      <c r="C335" s="36"/>
      <c r="D335" s="36"/>
      <c r="E335" s="36"/>
      <c r="F335" s="36"/>
      <c r="L335" s="36"/>
      <c r="M335" s="36"/>
      <c r="N335" s="36"/>
      <c r="O335" s="36"/>
      <c r="P335" s="36"/>
      <c r="Q335" s="36"/>
    </row>
    <row r="336" spans="1:17">
      <c r="A336" s="36"/>
      <c r="B336" s="36"/>
      <c r="C336" s="36"/>
      <c r="D336" s="36"/>
      <c r="E336" s="36"/>
      <c r="F336" s="36"/>
      <c r="L336" s="36"/>
      <c r="M336" s="36"/>
      <c r="N336" s="36"/>
      <c r="O336" s="36"/>
      <c r="P336" s="36"/>
      <c r="Q336" s="36"/>
    </row>
    <row r="337" spans="1:17">
      <c r="A337" s="36"/>
      <c r="B337" s="36"/>
      <c r="C337" s="36"/>
      <c r="D337" s="36"/>
      <c r="E337" s="36"/>
      <c r="F337" s="36"/>
      <c r="L337" s="36"/>
      <c r="M337" s="36"/>
      <c r="N337" s="36"/>
      <c r="O337" s="36"/>
      <c r="P337" s="36"/>
      <c r="Q337" s="36"/>
    </row>
    <row r="338" spans="1:17">
      <c r="A338" s="36"/>
      <c r="B338" s="36"/>
      <c r="C338" s="36"/>
      <c r="D338" s="36"/>
      <c r="E338" s="36"/>
      <c r="F338" s="36"/>
      <c r="L338" s="36"/>
      <c r="M338" s="36"/>
      <c r="N338" s="36"/>
      <c r="O338" s="36"/>
      <c r="P338" s="36"/>
      <c r="Q338" s="36"/>
    </row>
    <row r="339" spans="1:17">
      <c r="A339" s="36"/>
      <c r="B339" s="36"/>
      <c r="C339" s="36"/>
      <c r="D339" s="36"/>
      <c r="E339" s="36"/>
      <c r="F339" s="36"/>
      <c r="L339" s="36"/>
      <c r="M339" s="36"/>
      <c r="N339" s="36"/>
      <c r="O339" s="36"/>
      <c r="P339" s="36"/>
      <c r="Q339" s="36"/>
    </row>
    <row r="340" spans="1:17">
      <c r="A340" s="36"/>
      <c r="B340" s="36"/>
      <c r="C340" s="36"/>
      <c r="D340" s="36"/>
      <c r="E340" s="36"/>
      <c r="F340" s="36"/>
      <c r="L340" s="36"/>
      <c r="M340" s="36"/>
      <c r="N340" s="36"/>
      <c r="O340" s="36"/>
      <c r="P340" s="36"/>
      <c r="Q340" s="36"/>
    </row>
    <row r="341" spans="1:17">
      <c r="A341" s="36"/>
      <c r="B341" s="36"/>
      <c r="C341" s="36"/>
      <c r="D341" s="36"/>
      <c r="E341" s="36"/>
      <c r="F341" s="36"/>
      <c r="L341" s="36"/>
      <c r="M341" s="36"/>
      <c r="N341" s="36"/>
      <c r="O341" s="36"/>
      <c r="P341" s="36"/>
      <c r="Q341" s="36"/>
    </row>
    <row r="342" spans="1:17">
      <c r="A342" s="36"/>
      <c r="B342" s="36"/>
      <c r="C342" s="36"/>
      <c r="D342" s="36"/>
      <c r="E342" s="36"/>
      <c r="F342" s="36"/>
      <c r="L342" s="36"/>
      <c r="M342" s="36"/>
      <c r="N342" s="36"/>
      <c r="O342" s="36"/>
      <c r="P342" s="36"/>
      <c r="Q342" s="36"/>
    </row>
    <row r="343" spans="1:17">
      <c r="A343" s="36"/>
      <c r="B343" s="36"/>
      <c r="C343" s="36"/>
      <c r="D343" s="36"/>
      <c r="E343" s="36"/>
      <c r="F343" s="36"/>
      <c r="L343" s="36"/>
      <c r="M343" s="36"/>
      <c r="N343" s="36"/>
      <c r="O343" s="36"/>
      <c r="P343" s="36"/>
      <c r="Q343" s="36"/>
    </row>
    <row r="344" spans="1:17">
      <c r="A344" s="36"/>
      <c r="B344" s="36"/>
      <c r="C344" s="36"/>
      <c r="D344" s="36"/>
      <c r="E344" s="36"/>
      <c r="F344" s="36"/>
      <c r="L344" s="36"/>
      <c r="M344" s="36"/>
      <c r="N344" s="36"/>
      <c r="O344" s="36"/>
      <c r="P344" s="36"/>
      <c r="Q344" s="36"/>
    </row>
    <row r="345" spans="1:17">
      <c r="A345" s="36"/>
      <c r="B345" s="36"/>
      <c r="C345" s="36"/>
      <c r="D345" s="36"/>
      <c r="E345" s="36"/>
      <c r="F345" s="36"/>
      <c r="L345" s="36"/>
      <c r="M345" s="36"/>
      <c r="N345" s="36"/>
      <c r="O345" s="36"/>
      <c r="P345" s="36"/>
      <c r="Q345" s="36"/>
    </row>
    <row r="346" spans="1:17">
      <c r="A346" s="36"/>
      <c r="B346" s="36"/>
      <c r="C346" s="36"/>
      <c r="D346" s="36"/>
      <c r="E346" s="36"/>
      <c r="F346" s="36"/>
      <c r="L346" s="36"/>
      <c r="M346" s="36"/>
      <c r="N346" s="36"/>
      <c r="O346" s="36"/>
      <c r="P346" s="36"/>
      <c r="Q346" s="36"/>
    </row>
    <row r="347" spans="1:17">
      <c r="A347" s="36"/>
      <c r="B347" s="36"/>
      <c r="C347" s="36"/>
      <c r="D347" s="36"/>
      <c r="E347" s="36"/>
      <c r="F347" s="36"/>
      <c r="L347" s="36"/>
      <c r="M347" s="36"/>
      <c r="N347" s="36"/>
      <c r="O347" s="36"/>
      <c r="P347" s="36"/>
      <c r="Q347" s="36"/>
    </row>
    <row r="348" spans="1:17">
      <c r="A348" s="36"/>
      <c r="B348" s="36"/>
      <c r="C348" s="36"/>
      <c r="D348" s="36"/>
      <c r="E348" s="36"/>
      <c r="F348" s="36"/>
      <c r="L348" s="36"/>
      <c r="M348" s="36"/>
      <c r="N348" s="36"/>
      <c r="O348" s="36"/>
      <c r="P348" s="36"/>
      <c r="Q348" s="36"/>
    </row>
    <row r="349" spans="1:17">
      <c r="A349" s="36"/>
      <c r="B349" s="36"/>
      <c r="C349" s="36"/>
      <c r="D349" s="36"/>
      <c r="E349" s="36"/>
      <c r="F349" s="36"/>
      <c r="L349" s="36"/>
      <c r="M349" s="36"/>
      <c r="N349" s="36"/>
      <c r="O349" s="36"/>
      <c r="P349" s="36"/>
      <c r="Q349" s="36"/>
    </row>
    <row r="350" spans="1:17">
      <c r="A350" s="36"/>
      <c r="B350" s="36"/>
      <c r="C350" s="36"/>
      <c r="D350" s="36"/>
      <c r="E350" s="36"/>
      <c r="F350" s="36"/>
      <c r="L350" s="36"/>
      <c r="M350" s="36"/>
      <c r="N350" s="36"/>
      <c r="O350" s="36"/>
      <c r="P350" s="36"/>
      <c r="Q350" s="36"/>
    </row>
    <row r="351" spans="1:17">
      <c r="A351" s="36"/>
      <c r="B351" s="36"/>
      <c r="C351" s="36"/>
      <c r="D351" s="36"/>
      <c r="E351" s="36"/>
      <c r="F351" s="36"/>
      <c r="L351" s="36"/>
      <c r="M351" s="36"/>
      <c r="N351" s="36"/>
      <c r="O351" s="36"/>
      <c r="P351" s="36"/>
      <c r="Q351" s="36"/>
    </row>
    <row r="352" spans="1:17">
      <c r="A352" s="36"/>
      <c r="B352" s="36"/>
      <c r="C352" s="36"/>
      <c r="D352" s="36"/>
      <c r="E352" s="36"/>
      <c r="F352" s="36"/>
      <c r="L352" s="36"/>
      <c r="M352" s="36"/>
      <c r="N352" s="36"/>
      <c r="O352" s="36"/>
      <c r="P352" s="36"/>
      <c r="Q352" s="36"/>
    </row>
    <row r="353" spans="1:17">
      <c r="A353" s="36"/>
      <c r="B353" s="36"/>
      <c r="C353" s="36"/>
      <c r="D353" s="36"/>
      <c r="E353" s="36"/>
      <c r="F353" s="36"/>
      <c r="L353" s="36"/>
      <c r="M353" s="36"/>
      <c r="N353" s="36"/>
      <c r="O353" s="36"/>
      <c r="P353" s="36"/>
      <c r="Q353" s="36"/>
    </row>
    <row r="354" spans="1:17">
      <c r="A354" s="36"/>
      <c r="B354" s="36"/>
      <c r="C354" s="36"/>
      <c r="D354" s="36"/>
      <c r="E354" s="36"/>
      <c r="F354" s="36"/>
      <c r="L354" s="36"/>
      <c r="M354" s="36"/>
      <c r="N354" s="36"/>
      <c r="O354" s="36"/>
      <c r="P354" s="36"/>
      <c r="Q354" s="36"/>
    </row>
    <row r="355" spans="1:17">
      <c r="A355" s="36"/>
      <c r="B355" s="36"/>
      <c r="C355" s="36"/>
      <c r="D355" s="36"/>
      <c r="E355" s="36"/>
      <c r="F355" s="36"/>
      <c r="L355" s="36"/>
      <c r="M355" s="36"/>
      <c r="N355" s="36"/>
      <c r="O355" s="36"/>
      <c r="P355" s="36"/>
      <c r="Q355" s="36"/>
    </row>
    <row r="356" spans="1:17">
      <c r="A356" s="36"/>
      <c r="B356" s="36"/>
      <c r="C356" s="36"/>
      <c r="D356" s="36"/>
      <c r="E356" s="36"/>
      <c r="F356" s="36"/>
      <c r="L356" s="36"/>
      <c r="M356" s="36"/>
      <c r="N356" s="36"/>
      <c r="O356" s="36"/>
      <c r="P356" s="36"/>
      <c r="Q356" s="36"/>
    </row>
    <row r="357" spans="1:17">
      <c r="A357" s="36"/>
      <c r="B357" s="36"/>
      <c r="C357" s="36"/>
      <c r="D357" s="36"/>
      <c r="E357" s="36"/>
      <c r="F357" s="36"/>
      <c r="L357" s="36"/>
      <c r="M357" s="36"/>
      <c r="N357" s="36"/>
      <c r="O357" s="36"/>
      <c r="P357" s="36"/>
      <c r="Q357" s="36"/>
    </row>
    <row r="358" spans="1:17">
      <c r="A358" s="36"/>
      <c r="B358" s="36"/>
      <c r="C358" s="36"/>
      <c r="D358" s="36"/>
      <c r="E358" s="36"/>
      <c r="F358" s="36"/>
      <c r="L358" s="36"/>
      <c r="M358" s="36"/>
      <c r="N358" s="36"/>
      <c r="O358" s="36"/>
      <c r="P358" s="36"/>
      <c r="Q358" s="36"/>
    </row>
    <row r="359" spans="1:17">
      <c r="A359" s="36"/>
      <c r="B359" s="36"/>
      <c r="C359" s="36"/>
      <c r="D359" s="36"/>
      <c r="E359" s="36"/>
      <c r="F359" s="36"/>
      <c r="L359" s="36"/>
      <c r="M359" s="36"/>
      <c r="N359" s="36"/>
      <c r="O359" s="36"/>
      <c r="P359" s="36"/>
      <c r="Q359" s="36"/>
    </row>
    <row r="360" spans="1:17">
      <c r="A360" s="36"/>
      <c r="B360" s="36"/>
      <c r="C360" s="36"/>
      <c r="D360" s="36"/>
      <c r="E360" s="36"/>
      <c r="F360" s="36"/>
      <c r="L360" s="36"/>
      <c r="M360" s="36"/>
      <c r="N360" s="36"/>
      <c r="O360" s="36"/>
      <c r="P360" s="36"/>
      <c r="Q360" s="36"/>
    </row>
    <row r="361" spans="1:17">
      <c r="A361" s="36"/>
      <c r="B361" s="36"/>
      <c r="C361" s="36"/>
      <c r="D361" s="36"/>
      <c r="E361" s="36"/>
      <c r="F361" s="36"/>
      <c r="L361" s="36"/>
      <c r="M361" s="36"/>
      <c r="N361" s="36"/>
      <c r="O361" s="36"/>
      <c r="P361" s="36"/>
      <c r="Q361" s="36"/>
    </row>
    <row r="362" spans="1:17">
      <c r="A362" s="36"/>
      <c r="B362" s="36"/>
      <c r="C362" s="36"/>
      <c r="D362" s="36"/>
      <c r="E362" s="36"/>
      <c r="F362" s="36"/>
      <c r="L362" s="36"/>
      <c r="M362" s="36"/>
      <c r="N362" s="36"/>
      <c r="O362" s="36"/>
      <c r="P362" s="36"/>
      <c r="Q362" s="36"/>
    </row>
    <row r="363" spans="1:17">
      <c r="A363" s="36"/>
      <c r="B363" s="36"/>
      <c r="C363" s="36"/>
      <c r="D363" s="36"/>
      <c r="E363" s="36"/>
      <c r="F363" s="36"/>
      <c r="L363" s="36"/>
      <c r="M363" s="36"/>
      <c r="N363" s="36"/>
      <c r="O363" s="36"/>
      <c r="P363" s="36"/>
      <c r="Q363" s="36"/>
    </row>
    <row r="364" spans="1:17">
      <c r="A364" s="36"/>
      <c r="B364" s="36"/>
      <c r="C364" s="36"/>
      <c r="D364" s="36"/>
      <c r="E364" s="36"/>
      <c r="F364" s="36"/>
      <c r="L364" s="36"/>
      <c r="M364" s="36"/>
      <c r="N364" s="36"/>
      <c r="O364" s="36"/>
      <c r="P364" s="36"/>
      <c r="Q364" s="36"/>
    </row>
    <row r="365" spans="1:17">
      <c r="A365" s="36"/>
      <c r="B365" s="36"/>
      <c r="C365" s="36"/>
      <c r="D365" s="36"/>
      <c r="E365" s="36"/>
      <c r="F365" s="36"/>
      <c r="L365" s="36"/>
      <c r="M365" s="36"/>
      <c r="N365" s="36"/>
      <c r="O365" s="36"/>
      <c r="P365" s="36"/>
      <c r="Q365" s="36"/>
    </row>
    <row r="366" spans="1:17">
      <c r="A366" s="36"/>
      <c r="B366" s="36"/>
      <c r="C366" s="36"/>
      <c r="D366" s="36"/>
      <c r="E366" s="36"/>
      <c r="F366" s="36"/>
      <c r="L366" s="36"/>
      <c r="M366" s="36"/>
      <c r="N366" s="36"/>
      <c r="O366" s="36"/>
      <c r="P366" s="36"/>
      <c r="Q366" s="36"/>
    </row>
    <row r="367" spans="1:17">
      <c r="A367" s="36"/>
      <c r="B367" s="36"/>
      <c r="C367" s="36"/>
      <c r="D367" s="36"/>
      <c r="E367" s="36"/>
      <c r="F367" s="36"/>
      <c r="L367" s="36"/>
      <c r="M367" s="36"/>
      <c r="N367" s="36"/>
      <c r="O367" s="36"/>
      <c r="P367" s="36"/>
      <c r="Q367" s="36"/>
    </row>
    <row r="368" spans="1:17">
      <c r="A368" s="36"/>
      <c r="B368" s="36"/>
      <c r="C368" s="36"/>
      <c r="D368" s="36"/>
      <c r="E368" s="36"/>
      <c r="F368" s="36"/>
      <c r="L368" s="36"/>
      <c r="M368" s="36"/>
      <c r="N368" s="36"/>
      <c r="O368" s="36"/>
      <c r="P368" s="36"/>
      <c r="Q368" s="36"/>
    </row>
    <row r="369" spans="1:17">
      <c r="A369" s="36"/>
      <c r="B369" s="36"/>
      <c r="C369" s="36"/>
      <c r="D369" s="36"/>
      <c r="E369" s="36"/>
      <c r="F369" s="36"/>
      <c r="L369" s="36"/>
      <c r="M369" s="36"/>
      <c r="N369" s="36"/>
      <c r="O369" s="36"/>
      <c r="P369" s="36"/>
      <c r="Q369" s="36"/>
    </row>
    <row r="370" spans="1:17">
      <c r="A370" s="36"/>
      <c r="B370" s="36"/>
      <c r="C370" s="36"/>
      <c r="D370" s="36"/>
      <c r="E370" s="36"/>
      <c r="F370" s="36"/>
      <c r="L370" s="36"/>
      <c r="M370" s="36"/>
      <c r="N370" s="36"/>
      <c r="O370" s="36"/>
      <c r="P370" s="36"/>
      <c r="Q370" s="36"/>
    </row>
    <row r="371" spans="1:17">
      <c r="A371" s="36"/>
      <c r="B371" s="36"/>
      <c r="C371" s="36"/>
      <c r="D371" s="36"/>
      <c r="E371" s="36"/>
      <c r="F371" s="36"/>
      <c r="L371" s="36"/>
      <c r="M371" s="36"/>
      <c r="N371" s="36"/>
      <c r="O371" s="36"/>
      <c r="P371" s="36"/>
      <c r="Q371" s="36"/>
    </row>
    <row r="372" spans="1:17">
      <c r="A372" s="36"/>
      <c r="B372" s="36"/>
      <c r="C372" s="36"/>
      <c r="D372" s="36"/>
      <c r="E372" s="36"/>
      <c r="F372" s="36"/>
      <c r="L372" s="36"/>
      <c r="M372" s="36"/>
      <c r="N372" s="36"/>
      <c r="O372" s="36"/>
      <c r="P372" s="36"/>
      <c r="Q372" s="36"/>
    </row>
    <row r="373" spans="1:17">
      <c r="A373" s="36"/>
      <c r="B373" s="36"/>
      <c r="C373" s="36"/>
      <c r="D373" s="36"/>
      <c r="E373" s="36"/>
      <c r="F373" s="36"/>
      <c r="L373" s="36"/>
      <c r="M373" s="36"/>
      <c r="N373" s="36"/>
      <c r="O373" s="36"/>
      <c r="P373" s="36"/>
      <c r="Q373" s="36"/>
    </row>
    <row r="374" spans="1:17">
      <c r="A374" s="36"/>
      <c r="B374" s="36"/>
      <c r="C374" s="36"/>
      <c r="D374" s="36"/>
      <c r="E374" s="36"/>
      <c r="F374" s="36"/>
      <c r="L374" s="36"/>
      <c r="M374" s="36"/>
      <c r="N374" s="36"/>
      <c r="O374" s="36"/>
      <c r="P374" s="36"/>
      <c r="Q374" s="36"/>
    </row>
    <row r="375" spans="1:17">
      <c r="A375" s="36"/>
      <c r="B375" s="36"/>
      <c r="C375" s="36"/>
      <c r="D375" s="36"/>
      <c r="E375" s="36"/>
      <c r="F375" s="36"/>
      <c r="L375" s="36"/>
      <c r="M375" s="36"/>
      <c r="N375" s="36"/>
      <c r="O375" s="36"/>
      <c r="P375" s="36"/>
      <c r="Q375" s="36"/>
    </row>
    <row r="376" spans="1:17">
      <c r="A376" s="36"/>
      <c r="B376" s="36"/>
      <c r="C376" s="36"/>
      <c r="D376" s="36"/>
      <c r="E376" s="36"/>
      <c r="F376" s="36"/>
      <c r="L376" s="36"/>
      <c r="M376" s="36"/>
      <c r="N376" s="36"/>
      <c r="O376" s="36"/>
      <c r="P376" s="36"/>
      <c r="Q376" s="36"/>
    </row>
    <row r="377" spans="1:17">
      <c r="A377" s="36"/>
      <c r="B377" s="36"/>
      <c r="C377" s="36"/>
      <c r="D377" s="36"/>
      <c r="E377" s="36"/>
      <c r="F377" s="36"/>
      <c r="L377" s="36"/>
      <c r="M377" s="36"/>
      <c r="N377" s="36"/>
      <c r="O377" s="36"/>
      <c r="P377" s="36"/>
      <c r="Q377" s="36"/>
    </row>
    <row r="378" spans="1:17">
      <c r="A378" s="36"/>
      <c r="B378" s="36"/>
      <c r="C378" s="36"/>
      <c r="D378" s="36"/>
      <c r="E378" s="36"/>
      <c r="F378" s="36"/>
      <c r="L378" s="36"/>
      <c r="M378" s="36"/>
      <c r="N378" s="36"/>
      <c r="O378" s="36"/>
      <c r="P378" s="36"/>
      <c r="Q378" s="36"/>
    </row>
    <row r="379" spans="1:17">
      <c r="A379" s="36"/>
      <c r="B379" s="36"/>
      <c r="C379" s="36"/>
      <c r="D379" s="36"/>
      <c r="E379" s="36"/>
      <c r="F379" s="36"/>
      <c r="L379" s="36"/>
      <c r="M379" s="36"/>
      <c r="N379" s="36"/>
      <c r="O379" s="36"/>
      <c r="P379" s="36"/>
      <c r="Q379" s="36"/>
    </row>
    <row r="380" spans="1:17">
      <c r="A380" s="36"/>
      <c r="B380" s="36"/>
      <c r="C380" s="36"/>
      <c r="D380" s="36"/>
      <c r="E380" s="36"/>
      <c r="F380" s="36"/>
      <c r="L380" s="36"/>
      <c r="M380" s="36"/>
      <c r="N380" s="36"/>
      <c r="O380" s="36"/>
      <c r="P380" s="36"/>
      <c r="Q380" s="36"/>
    </row>
    <row r="381" spans="1:17">
      <c r="A381" s="36"/>
      <c r="B381" s="36"/>
      <c r="C381" s="36"/>
      <c r="D381" s="36"/>
      <c r="E381" s="36"/>
      <c r="F381" s="36"/>
      <c r="L381" s="36"/>
      <c r="M381" s="36"/>
      <c r="N381" s="36"/>
      <c r="O381" s="36"/>
      <c r="P381" s="36"/>
      <c r="Q381" s="36"/>
    </row>
    <row r="382" spans="1:17">
      <c r="A382" s="36"/>
      <c r="B382" s="36"/>
      <c r="C382" s="36"/>
      <c r="D382" s="36"/>
      <c r="E382" s="36"/>
      <c r="F382" s="36"/>
      <c r="L382" s="36"/>
      <c r="M382" s="36"/>
      <c r="N382" s="36"/>
      <c r="O382" s="36"/>
      <c r="P382" s="36"/>
      <c r="Q382" s="36"/>
    </row>
    <row r="383" spans="1:17">
      <c r="A383" s="36"/>
      <c r="B383" s="36"/>
      <c r="C383" s="36"/>
      <c r="D383" s="36"/>
      <c r="E383" s="36"/>
      <c r="F383" s="36"/>
      <c r="L383" s="36"/>
      <c r="M383" s="36"/>
      <c r="N383" s="36"/>
      <c r="O383" s="36"/>
      <c r="P383" s="36"/>
      <c r="Q383" s="36"/>
    </row>
    <row r="384" spans="1:17">
      <c r="A384" s="36"/>
      <c r="B384" s="36"/>
      <c r="C384" s="36"/>
      <c r="D384" s="36"/>
      <c r="E384" s="36"/>
      <c r="F384" s="36"/>
      <c r="L384" s="36"/>
      <c r="M384" s="36"/>
      <c r="N384" s="36"/>
      <c r="O384" s="36"/>
      <c r="P384" s="36"/>
      <c r="Q384" s="36"/>
    </row>
    <row r="385" spans="1:17">
      <c r="A385" s="36"/>
      <c r="B385" s="36"/>
      <c r="C385" s="36"/>
      <c r="D385" s="36"/>
      <c r="E385" s="36"/>
      <c r="F385" s="36"/>
      <c r="L385" s="36"/>
      <c r="M385" s="36"/>
      <c r="N385" s="36"/>
      <c r="O385" s="36"/>
      <c r="P385" s="36"/>
      <c r="Q385" s="36"/>
    </row>
    <row r="386" spans="1:17">
      <c r="A386" s="36"/>
      <c r="B386" s="36"/>
      <c r="C386" s="36"/>
      <c r="D386" s="36"/>
      <c r="E386" s="36"/>
      <c r="F386" s="36"/>
      <c r="L386" s="36"/>
      <c r="M386" s="36"/>
      <c r="N386" s="36"/>
      <c r="O386" s="36"/>
      <c r="P386" s="36"/>
      <c r="Q386" s="36"/>
    </row>
    <row r="387" spans="1:17">
      <c r="A387" s="36"/>
      <c r="B387" s="36"/>
      <c r="C387" s="36"/>
      <c r="D387" s="36"/>
      <c r="E387" s="36"/>
      <c r="F387" s="36"/>
      <c r="L387" s="36"/>
      <c r="M387" s="36"/>
      <c r="N387" s="36"/>
      <c r="O387" s="36"/>
      <c r="P387" s="36"/>
      <c r="Q387" s="36"/>
    </row>
    <row r="388" spans="1:17">
      <c r="A388" s="36"/>
      <c r="B388" s="36"/>
      <c r="C388" s="36"/>
      <c r="D388" s="36"/>
      <c r="E388" s="36"/>
      <c r="F388" s="36"/>
      <c r="L388" s="36"/>
      <c r="M388" s="36"/>
      <c r="N388" s="36"/>
      <c r="O388" s="36"/>
      <c r="P388" s="36"/>
      <c r="Q388" s="36"/>
    </row>
    <row r="389" spans="1:17">
      <c r="A389" s="36"/>
      <c r="B389" s="36"/>
      <c r="C389" s="36"/>
      <c r="D389" s="36"/>
      <c r="E389" s="36"/>
      <c r="F389" s="36"/>
      <c r="L389" s="36"/>
      <c r="M389" s="36"/>
      <c r="N389" s="36"/>
      <c r="O389" s="36"/>
      <c r="P389" s="36"/>
      <c r="Q389" s="36"/>
    </row>
    <row r="390" spans="1:17">
      <c r="A390" s="36"/>
      <c r="B390" s="36"/>
      <c r="C390" s="36"/>
      <c r="D390" s="36"/>
      <c r="E390" s="36"/>
      <c r="F390" s="36"/>
      <c r="L390" s="36"/>
      <c r="M390" s="36"/>
      <c r="N390" s="36"/>
      <c r="O390" s="36"/>
      <c r="P390" s="36"/>
      <c r="Q390" s="36"/>
    </row>
    <row r="391" spans="1:17">
      <c r="A391" s="36"/>
      <c r="B391" s="36"/>
      <c r="C391" s="36"/>
      <c r="D391" s="36"/>
      <c r="E391" s="36"/>
      <c r="F391" s="36"/>
      <c r="L391" s="36"/>
      <c r="M391" s="36"/>
      <c r="N391" s="36"/>
      <c r="O391" s="36"/>
      <c r="P391" s="36"/>
      <c r="Q391" s="36"/>
    </row>
    <row r="392" spans="1:17">
      <c r="A392" s="36"/>
      <c r="B392" s="36"/>
      <c r="C392" s="36"/>
      <c r="D392" s="36"/>
      <c r="E392" s="36"/>
      <c r="F392" s="36"/>
      <c r="L392" s="36"/>
      <c r="M392" s="36"/>
      <c r="N392" s="36"/>
      <c r="O392" s="36"/>
      <c r="P392" s="36"/>
      <c r="Q392" s="36"/>
    </row>
    <row r="393" spans="1:17">
      <c r="A393" s="36"/>
      <c r="B393" s="36"/>
      <c r="C393" s="36"/>
      <c r="D393" s="36"/>
      <c r="E393" s="36"/>
      <c r="F393" s="36"/>
      <c r="L393" s="36"/>
      <c r="M393" s="36"/>
      <c r="N393" s="36"/>
      <c r="O393" s="36"/>
      <c r="P393" s="36"/>
      <c r="Q393" s="36"/>
    </row>
    <row r="394" spans="1:17">
      <c r="A394" s="36"/>
      <c r="B394" s="36"/>
      <c r="C394" s="36"/>
      <c r="D394" s="36"/>
      <c r="E394" s="36"/>
      <c r="F394" s="36"/>
      <c r="L394" s="36"/>
      <c r="M394" s="36"/>
      <c r="N394" s="36"/>
      <c r="O394" s="36"/>
      <c r="P394" s="36"/>
      <c r="Q394" s="36"/>
    </row>
    <row r="395" spans="1:17">
      <c r="A395" s="36"/>
      <c r="B395" s="36"/>
      <c r="C395" s="36"/>
      <c r="D395" s="36"/>
      <c r="E395" s="36"/>
      <c r="F395" s="36"/>
      <c r="L395" s="36"/>
      <c r="M395" s="36"/>
      <c r="N395" s="36"/>
      <c r="O395" s="36"/>
      <c r="P395" s="36"/>
      <c r="Q395" s="36"/>
    </row>
    <row r="396" spans="1:17">
      <c r="A396" s="36"/>
      <c r="B396" s="36"/>
      <c r="C396" s="36"/>
      <c r="D396" s="36"/>
      <c r="E396" s="36"/>
      <c r="F396" s="36"/>
      <c r="L396" s="36"/>
      <c r="M396" s="36"/>
      <c r="N396" s="36"/>
      <c r="O396" s="36"/>
      <c r="P396" s="36"/>
      <c r="Q396" s="36"/>
    </row>
    <row r="397" spans="1:17">
      <c r="A397" s="36"/>
      <c r="B397" s="36"/>
      <c r="C397" s="36"/>
      <c r="D397" s="36"/>
      <c r="E397" s="36"/>
      <c r="F397" s="36"/>
      <c r="L397" s="36"/>
      <c r="M397" s="36"/>
      <c r="N397" s="36"/>
      <c r="O397" s="36"/>
      <c r="P397" s="36"/>
      <c r="Q397" s="36"/>
    </row>
    <row r="398" spans="1:17">
      <c r="A398" s="36"/>
      <c r="B398" s="36"/>
      <c r="C398" s="36"/>
      <c r="D398" s="36"/>
      <c r="E398" s="36"/>
      <c r="F398" s="36"/>
      <c r="L398" s="36"/>
      <c r="M398" s="36"/>
      <c r="N398" s="36"/>
      <c r="O398" s="36"/>
      <c r="P398" s="36"/>
      <c r="Q398" s="36"/>
    </row>
    <row r="399" spans="1:17">
      <c r="A399" s="36"/>
      <c r="B399" s="36"/>
      <c r="C399" s="36"/>
      <c r="D399" s="36"/>
      <c r="E399" s="36"/>
      <c r="F399" s="36"/>
      <c r="L399" s="36"/>
      <c r="M399" s="36"/>
      <c r="N399" s="36"/>
      <c r="O399" s="36"/>
      <c r="P399" s="36"/>
      <c r="Q399" s="36"/>
    </row>
    <row r="400" spans="1:17">
      <c r="A400" s="36"/>
      <c r="B400" s="36"/>
      <c r="C400" s="36"/>
      <c r="D400" s="36"/>
      <c r="E400" s="36"/>
      <c r="F400" s="36"/>
      <c r="L400" s="36"/>
      <c r="M400" s="36"/>
      <c r="N400" s="36"/>
      <c r="O400" s="36"/>
      <c r="P400" s="36"/>
      <c r="Q400" s="36"/>
    </row>
    <row r="401" spans="1:17">
      <c r="A401" s="36"/>
      <c r="B401" s="36"/>
      <c r="C401" s="36"/>
      <c r="D401" s="36"/>
      <c r="E401" s="36"/>
      <c r="F401" s="36"/>
      <c r="L401" s="36"/>
      <c r="M401" s="36"/>
      <c r="N401" s="36"/>
      <c r="O401" s="36"/>
      <c r="P401" s="36"/>
      <c r="Q401" s="36"/>
    </row>
    <row r="402" spans="1:17">
      <c r="A402" s="36"/>
      <c r="B402" s="36"/>
      <c r="C402" s="36"/>
      <c r="D402" s="36"/>
      <c r="E402" s="36"/>
      <c r="F402" s="36"/>
      <c r="L402" s="36"/>
      <c r="M402" s="36"/>
      <c r="N402" s="36"/>
      <c r="O402" s="36"/>
      <c r="P402" s="36"/>
      <c r="Q402" s="36"/>
    </row>
    <row r="403" spans="1:17">
      <c r="A403" s="36"/>
      <c r="B403" s="36"/>
      <c r="C403" s="36"/>
      <c r="D403" s="36"/>
      <c r="E403" s="36"/>
      <c r="F403" s="36"/>
      <c r="L403" s="36"/>
      <c r="M403" s="36"/>
      <c r="N403" s="36"/>
      <c r="O403" s="36"/>
      <c r="P403" s="36"/>
      <c r="Q403" s="36"/>
    </row>
    <row r="404" spans="1:17">
      <c r="A404" s="36"/>
      <c r="B404" s="36"/>
      <c r="C404" s="36"/>
      <c r="D404" s="36"/>
      <c r="E404" s="36"/>
      <c r="F404" s="36"/>
      <c r="L404" s="36"/>
      <c r="M404" s="36"/>
      <c r="N404" s="36"/>
      <c r="O404" s="36"/>
      <c r="P404" s="36"/>
      <c r="Q404" s="36"/>
    </row>
    <row r="405" spans="1:17">
      <c r="A405" s="36"/>
      <c r="B405" s="36"/>
      <c r="C405" s="36"/>
      <c r="D405" s="36"/>
      <c r="E405" s="36"/>
      <c r="F405" s="36"/>
      <c r="L405" s="36"/>
      <c r="M405" s="36"/>
      <c r="N405" s="36"/>
      <c r="O405" s="36"/>
      <c r="P405" s="36"/>
      <c r="Q405" s="36"/>
    </row>
    <row r="406" spans="1:17">
      <c r="A406" s="36"/>
      <c r="B406" s="36"/>
      <c r="C406" s="36"/>
      <c r="D406" s="36"/>
      <c r="E406" s="36"/>
      <c r="F406" s="36"/>
      <c r="L406" s="36"/>
      <c r="M406" s="36"/>
      <c r="N406" s="36"/>
      <c r="O406" s="36"/>
      <c r="P406" s="36"/>
      <c r="Q406" s="36"/>
    </row>
    <row r="407" spans="1:17">
      <c r="A407" s="36"/>
      <c r="B407" s="36"/>
      <c r="C407" s="36"/>
      <c r="D407" s="36"/>
      <c r="E407" s="36"/>
      <c r="F407" s="36"/>
      <c r="L407" s="36"/>
      <c r="M407" s="36"/>
      <c r="N407" s="36"/>
      <c r="O407" s="36"/>
      <c r="P407" s="36"/>
      <c r="Q407" s="36"/>
    </row>
    <row r="408" spans="1:17">
      <c r="A408" s="36"/>
      <c r="B408" s="36"/>
      <c r="C408" s="36"/>
      <c r="D408" s="36"/>
      <c r="E408" s="36"/>
      <c r="F408" s="36"/>
      <c r="L408" s="36"/>
      <c r="M408" s="36"/>
      <c r="N408" s="36"/>
      <c r="O408" s="36"/>
      <c r="P408" s="36"/>
      <c r="Q408" s="36"/>
    </row>
    <row r="409" spans="1:17">
      <c r="A409" s="36"/>
      <c r="B409" s="36"/>
      <c r="C409" s="36"/>
      <c r="D409" s="36"/>
      <c r="E409" s="36"/>
      <c r="F409" s="36"/>
      <c r="L409" s="36"/>
      <c r="M409" s="36"/>
      <c r="N409" s="36"/>
      <c r="O409" s="36"/>
      <c r="P409" s="36"/>
      <c r="Q409" s="36"/>
    </row>
    <row r="410" spans="1:17">
      <c r="A410" s="36"/>
      <c r="B410" s="36"/>
      <c r="C410" s="36"/>
      <c r="D410" s="36"/>
      <c r="E410" s="36"/>
      <c r="F410" s="36"/>
      <c r="L410" s="36"/>
      <c r="M410" s="36"/>
      <c r="N410" s="36"/>
      <c r="O410" s="36"/>
      <c r="P410" s="36"/>
      <c r="Q410" s="36"/>
    </row>
    <row r="411" spans="1:17">
      <c r="A411" s="36"/>
      <c r="B411" s="36"/>
      <c r="C411" s="36"/>
      <c r="D411" s="36"/>
      <c r="E411" s="36"/>
      <c r="F411" s="36"/>
      <c r="L411" s="36"/>
      <c r="M411" s="36"/>
      <c r="N411" s="36"/>
      <c r="O411" s="36"/>
      <c r="P411" s="36"/>
      <c r="Q411" s="36"/>
    </row>
    <row r="412" spans="1:17">
      <c r="A412" s="36"/>
      <c r="B412" s="36"/>
      <c r="C412" s="36"/>
      <c r="D412" s="36"/>
      <c r="E412" s="36"/>
      <c r="F412" s="36"/>
      <c r="L412" s="36"/>
      <c r="M412" s="36"/>
      <c r="N412" s="36"/>
      <c r="O412" s="36"/>
      <c r="P412" s="36"/>
      <c r="Q412" s="36"/>
    </row>
    <row r="413" spans="1:17">
      <c r="A413" s="36"/>
      <c r="B413" s="36"/>
      <c r="C413" s="36"/>
      <c r="D413" s="36"/>
      <c r="E413" s="36"/>
      <c r="F413" s="36"/>
      <c r="L413" s="36"/>
      <c r="M413" s="36"/>
      <c r="N413" s="36"/>
      <c r="O413" s="36"/>
      <c r="P413" s="36"/>
      <c r="Q413" s="36"/>
    </row>
    <row r="414" spans="1:17">
      <c r="A414" s="36"/>
      <c r="B414" s="36"/>
      <c r="C414" s="36"/>
      <c r="D414" s="36"/>
      <c r="E414" s="36"/>
      <c r="F414" s="36"/>
      <c r="L414" s="36"/>
      <c r="M414" s="36"/>
      <c r="N414" s="36"/>
      <c r="O414" s="36"/>
      <c r="P414" s="36"/>
      <c r="Q414" s="36"/>
    </row>
    <row r="415" spans="1:17">
      <c r="A415" s="36"/>
      <c r="B415" s="36"/>
      <c r="C415" s="36"/>
      <c r="D415" s="36"/>
      <c r="E415" s="36"/>
      <c r="F415" s="36"/>
      <c r="L415" s="36"/>
      <c r="M415" s="36"/>
      <c r="N415" s="36"/>
      <c r="O415" s="36"/>
      <c r="P415" s="36"/>
      <c r="Q415" s="36"/>
    </row>
    <row r="416" spans="1:17">
      <c r="A416" s="36"/>
      <c r="B416" s="36"/>
      <c r="C416" s="36"/>
      <c r="D416" s="36"/>
      <c r="E416" s="36"/>
      <c r="F416" s="36"/>
      <c r="L416" s="36"/>
      <c r="M416" s="36"/>
      <c r="N416" s="36"/>
      <c r="O416" s="36"/>
      <c r="P416" s="36"/>
      <c r="Q416" s="36"/>
    </row>
    <row r="417" spans="1:17">
      <c r="A417" s="36"/>
      <c r="B417" s="36"/>
      <c r="C417" s="36"/>
      <c r="D417" s="36"/>
      <c r="E417" s="36"/>
      <c r="F417" s="36"/>
      <c r="L417" s="36"/>
      <c r="M417" s="36"/>
      <c r="N417" s="36"/>
      <c r="O417" s="36"/>
      <c r="P417" s="36"/>
      <c r="Q417" s="36"/>
    </row>
    <row r="418" spans="1:17">
      <c r="A418" s="36"/>
      <c r="B418" s="36"/>
      <c r="C418" s="36"/>
      <c r="D418" s="36"/>
      <c r="E418" s="36"/>
      <c r="F418" s="36"/>
      <c r="L418" s="36"/>
      <c r="M418" s="36"/>
      <c r="N418" s="36"/>
      <c r="O418" s="36"/>
      <c r="P418" s="36"/>
      <c r="Q418" s="36"/>
    </row>
    <row r="419" spans="1:17">
      <c r="A419" s="36"/>
      <c r="B419" s="36"/>
      <c r="C419" s="36"/>
      <c r="D419" s="36"/>
      <c r="E419" s="36"/>
      <c r="F419" s="36"/>
      <c r="L419" s="36"/>
      <c r="M419" s="36"/>
      <c r="N419" s="36"/>
      <c r="O419" s="36"/>
      <c r="P419" s="36"/>
      <c r="Q419" s="36"/>
    </row>
    <row r="420" spans="1:17">
      <c r="A420" s="36"/>
      <c r="B420" s="36"/>
      <c r="C420" s="36"/>
      <c r="D420" s="36"/>
      <c r="E420" s="36"/>
      <c r="F420" s="36"/>
      <c r="L420" s="36"/>
      <c r="M420" s="36"/>
      <c r="N420" s="36"/>
      <c r="O420" s="36"/>
      <c r="P420" s="36"/>
      <c r="Q420" s="36"/>
    </row>
    <row r="421" spans="1:17">
      <c r="A421" s="36"/>
      <c r="B421" s="36"/>
      <c r="C421" s="36"/>
      <c r="D421" s="36"/>
      <c r="E421" s="36"/>
      <c r="F421" s="36"/>
      <c r="L421" s="36"/>
      <c r="M421" s="36"/>
      <c r="N421" s="36"/>
      <c r="O421" s="36"/>
      <c r="P421" s="36"/>
      <c r="Q421" s="36"/>
    </row>
    <row r="422" spans="1:17">
      <c r="A422" s="36"/>
      <c r="B422" s="36"/>
      <c r="C422" s="36"/>
      <c r="D422" s="36"/>
      <c r="E422" s="36"/>
      <c r="F422" s="36"/>
      <c r="L422" s="36"/>
      <c r="M422" s="36"/>
      <c r="N422" s="36"/>
      <c r="O422" s="36"/>
      <c r="P422" s="36"/>
      <c r="Q422" s="36"/>
    </row>
    <row r="423" spans="1:17">
      <c r="A423" s="36"/>
      <c r="B423" s="36"/>
      <c r="C423" s="36"/>
      <c r="D423" s="36"/>
      <c r="E423" s="36"/>
      <c r="F423" s="36"/>
      <c r="L423" s="36"/>
      <c r="M423" s="36"/>
      <c r="N423" s="36"/>
      <c r="O423" s="36"/>
      <c r="P423" s="36"/>
      <c r="Q423" s="36"/>
    </row>
    <row r="424" spans="1:17">
      <c r="A424" s="36"/>
      <c r="B424" s="36"/>
      <c r="C424" s="36"/>
      <c r="D424" s="36"/>
      <c r="E424" s="36"/>
      <c r="F424" s="36"/>
      <c r="L424" s="36"/>
      <c r="M424" s="36"/>
      <c r="N424" s="36"/>
      <c r="O424" s="36"/>
      <c r="P424" s="36"/>
      <c r="Q424" s="36"/>
    </row>
    <row r="425" spans="1:17">
      <c r="A425" s="36"/>
      <c r="B425" s="36"/>
      <c r="C425" s="36"/>
      <c r="D425" s="36"/>
      <c r="E425" s="36"/>
      <c r="F425" s="36"/>
      <c r="L425" s="36"/>
      <c r="M425" s="36"/>
      <c r="N425" s="36"/>
      <c r="O425" s="36"/>
      <c r="P425" s="36"/>
      <c r="Q425" s="36"/>
    </row>
    <row r="426" spans="1:17">
      <c r="A426" s="36"/>
      <c r="B426" s="36"/>
      <c r="C426" s="36"/>
      <c r="D426" s="36"/>
      <c r="E426" s="36"/>
      <c r="F426" s="36"/>
      <c r="L426" s="36"/>
      <c r="M426" s="36"/>
      <c r="N426" s="36"/>
      <c r="O426" s="36"/>
      <c r="P426" s="36"/>
      <c r="Q426" s="36"/>
    </row>
    <row r="427" spans="1:17">
      <c r="A427" s="36"/>
      <c r="B427" s="36"/>
      <c r="C427" s="36"/>
      <c r="D427" s="36"/>
      <c r="E427" s="36"/>
      <c r="F427" s="36"/>
      <c r="L427" s="36"/>
      <c r="M427" s="36"/>
      <c r="N427" s="36"/>
      <c r="O427" s="36"/>
      <c r="P427" s="36"/>
      <c r="Q427" s="36"/>
    </row>
    <row r="428" spans="1:17">
      <c r="A428" s="36"/>
      <c r="B428" s="36"/>
      <c r="C428" s="36"/>
      <c r="D428" s="36"/>
      <c r="E428" s="36"/>
      <c r="F428" s="36"/>
      <c r="L428" s="36"/>
      <c r="M428" s="36"/>
      <c r="N428" s="36"/>
      <c r="O428" s="36"/>
      <c r="P428" s="36"/>
      <c r="Q428" s="36"/>
    </row>
    <row r="429" spans="1:17">
      <c r="A429" s="36"/>
      <c r="B429" s="36"/>
      <c r="C429" s="36"/>
      <c r="D429" s="36"/>
      <c r="E429" s="36"/>
      <c r="F429" s="36"/>
      <c r="L429" s="36"/>
      <c r="M429" s="36"/>
      <c r="N429" s="36"/>
      <c r="O429" s="36"/>
      <c r="P429" s="36"/>
      <c r="Q429" s="36"/>
    </row>
    <row r="430" spans="1:17">
      <c r="A430" s="36"/>
      <c r="B430" s="36"/>
      <c r="C430" s="36"/>
      <c r="D430" s="36"/>
      <c r="E430" s="36"/>
      <c r="F430" s="36"/>
      <c r="L430" s="36"/>
      <c r="M430" s="36"/>
      <c r="N430" s="36"/>
      <c r="O430" s="36"/>
      <c r="P430" s="36"/>
      <c r="Q430" s="36"/>
    </row>
    <row r="431" spans="1:17">
      <c r="A431" s="36"/>
      <c r="B431" s="36"/>
      <c r="C431" s="36"/>
      <c r="D431" s="36"/>
      <c r="E431" s="36"/>
      <c r="F431" s="36"/>
      <c r="L431" s="36"/>
      <c r="M431" s="36"/>
      <c r="N431" s="36"/>
      <c r="O431" s="36"/>
      <c r="P431" s="36"/>
      <c r="Q431" s="36"/>
    </row>
    <row r="432" spans="1:17">
      <c r="A432" s="36"/>
      <c r="B432" s="36"/>
      <c r="C432" s="36"/>
      <c r="D432" s="36"/>
      <c r="E432" s="36"/>
      <c r="F432" s="36"/>
      <c r="L432" s="36"/>
      <c r="M432" s="36"/>
      <c r="N432" s="36"/>
      <c r="O432" s="36"/>
      <c r="P432" s="36"/>
      <c r="Q432" s="36"/>
    </row>
    <row r="433" spans="1:17">
      <c r="A433" s="36"/>
      <c r="B433" s="36"/>
      <c r="C433" s="36"/>
      <c r="D433" s="36"/>
      <c r="E433" s="36"/>
      <c r="F433" s="36"/>
      <c r="L433" s="36"/>
      <c r="M433" s="36"/>
      <c r="N433" s="36"/>
      <c r="O433" s="36"/>
      <c r="P433" s="36"/>
      <c r="Q433" s="36"/>
    </row>
    <row r="434" spans="1:17">
      <c r="A434" s="36"/>
      <c r="B434" s="36"/>
      <c r="C434" s="36"/>
      <c r="D434" s="36"/>
      <c r="E434" s="36"/>
      <c r="F434" s="36"/>
      <c r="L434" s="36"/>
      <c r="M434" s="36"/>
      <c r="N434" s="36"/>
      <c r="O434" s="36"/>
      <c r="P434" s="36"/>
      <c r="Q434" s="36"/>
    </row>
    <row r="435" spans="1:17">
      <c r="A435" s="36"/>
      <c r="B435" s="36"/>
      <c r="C435" s="36"/>
      <c r="D435" s="36"/>
      <c r="E435" s="36"/>
      <c r="F435" s="36"/>
      <c r="L435" s="36"/>
      <c r="M435" s="36"/>
      <c r="N435" s="36"/>
      <c r="O435" s="36"/>
      <c r="P435" s="36"/>
      <c r="Q435" s="36"/>
    </row>
    <row r="436" spans="1:17">
      <c r="A436" s="36"/>
      <c r="B436" s="36"/>
      <c r="C436" s="36"/>
      <c r="D436" s="36"/>
      <c r="E436" s="36"/>
      <c r="F436" s="36"/>
      <c r="L436" s="36"/>
      <c r="M436" s="36"/>
      <c r="N436" s="36"/>
      <c r="O436" s="36"/>
      <c r="P436" s="36"/>
      <c r="Q436" s="36"/>
    </row>
    <row r="437" spans="1:17">
      <c r="A437" s="36"/>
      <c r="B437" s="36"/>
      <c r="C437" s="36"/>
      <c r="D437" s="36"/>
      <c r="E437" s="36"/>
      <c r="F437" s="36"/>
      <c r="L437" s="36"/>
      <c r="M437" s="36"/>
      <c r="N437" s="36"/>
      <c r="O437" s="36"/>
      <c r="P437" s="36"/>
      <c r="Q437" s="36"/>
    </row>
    <row r="438" spans="1:17">
      <c r="A438" s="36"/>
      <c r="B438" s="36"/>
      <c r="C438" s="36"/>
      <c r="D438" s="36"/>
      <c r="E438" s="36"/>
      <c r="F438" s="36"/>
      <c r="L438" s="36"/>
      <c r="M438" s="36"/>
      <c r="N438" s="36"/>
      <c r="O438" s="36"/>
      <c r="P438" s="36"/>
      <c r="Q438" s="36"/>
    </row>
    <row r="439" spans="1:17">
      <c r="A439" s="36"/>
      <c r="B439" s="36"/>
      <c r="C439" s="36"/>
      <c r="D439" s="36"/>
      <c r="E439" s="36"/>
      <c r="F439" s="36"/>
      <c r="L439" s="36"/>
      <c r="M439" s="36"/>
      <c r="N439" s="36"/>
      <c r="O439" s="36"/>
      <c r="P439" s="36"/>
      <c r="Q439" s="36"/>
    </row>
    <row r="440" spans="1:17">
      <c r="A440" s="36"/>
      <c r="B440" s="36"/>
      <c r="C440" s="36"/>
      <c r="D440" s="36"/>
      <c r="E440" s="36"/>
      <c r="F440" s="36"/>
      <c r="L440" s="36"/>
      <c r="M440" s="36"/>
      <c r="N440" s="36"/>
      <c r="O440" s="36"/>
      <c r="P440" s="36"/>
      <c r="Q440" s="36"/>
    </row>
    <row r="441" spans="1:17">
      <c r="A441" s="36"/>
      <c r="B441" s="36"/>
      <c r="C441" s="36"/>
      <c r="D441" s="36"/>
      <c r="E441" s="36"/>
      <c r="F441" s="36"/>
      <c r="L441" s="36"/>
      <c r="M441" s="36"/>
      <c r="N441" s="36"/>
      <c r="O441" s="36"/>
      <c r="P441" s="36"/>
      <c r="Q441" s="36"/>
    </row>
    <row r="442" spans="1:17">
      <c r="A442" s="36"/>
      <c r="B442" s="36"/>
      <c r="C442" s="36"/>
      <c r="D442" s="36"/>
      <c r="E442" s="36"/>
      <c r="F442" s="36"/>
      <c r="L442" s="36"/>
      <c r="M442" s="36"/>
      <c r="N442" s="36"/>
      <c r="O442" s="36"/>
      <c r="P442" s="36"/>
      <c r="Q442" s="36"/>
    </row>
    <row r="443" spans="1:17">
      <c r="A443" s="36"/>
      <c r="B443" s="36"/>
      <c r="C443" s="36"/>
      <c r="D443" s="36"/>
      <c r="E443" s="36"/>
      <c r="F443" s="36"/>
      <c r="L443" s="36"/>
      <c r="M443" s="36"/>
      <c r="N443" s="36"/>
      <c r="O443" s="36"/>
      <c r="P443" s="36"/>
      <c r="Q443" s="36"/>
    </row>
    <row r="444" spans="1:17">
      <c r="A444" s="36"/>
      <c r="B444" s="36"/>
      <c r="C444" s="36"/>
      <c r="D444" s="36"/>
      <c r="E444" s="36"/>
      <c r="F444" s="36"/>
      <c r="L444" s="36"/>
      <c r="M444" s="36"/>
      <c r="N444" s="36"/>
      <c r="O444" s="36"/>
      <c r="P444" s="36"/>
      <c r="Q444" s="36"/>
    </row>
    <row r="445" spans="1:17">
      <c r="A445" s="36"/>
      <c r="B445" s="36"/>
      <c r="C445" s="36"/>
      <c r="D445" s="36"/>
      <c r="E445" s="36"/>
      <c r="F445" s="36"/>
      <c r="L445" s="36"/>
      <c r="M445" s="36"/>
      <c r="N445" s="36"/>
      <c r="O445" s="36"/>
      <c r="P445" s="36"/>
      <c r="Q445" s="36"/>
    </row>
    <row r="446" spans="1:17">
      <c r="A446" s="36"/>
      <c r="B446" s="36"/>
      <c r="C446" s="36"/>
      <c r="D446" s="36"/>
      <c r="E446" s="36"/>
      <c r="F446" s="36"/>
      <c r="L446" s="36"/>
      <c r="M446" s="36"/>
      <c r="N446" s="36"/>
      <c r="O446" s="36"/>
      <c r="P446" s="36"/>
      <c r="Q446" s="36"/>
    </row>
    <row r="447" spans="1:17">
      <c r="A447" s="36"/>
      <c r="B447" s="36"/>
      <c r="C447" s="36"/>
      <c r="D447" s="36"/>
      <c r="E447" s="36"/>
      <c r="F447" s="36"/>
      <c r="L447" s="36"/>
      <c r="M447" s="36"/>
      <c r="N447" s="36"/>
      <c r="O447" s="36"/>
      <c r="P447" s="36"/>
      <c r="Q447" s="36"/>
    </row>
    <row r="448" spans="1:17">
      <c r="A448" s="36"/>
      <c r="B448" s="36"/>
      <c r="C448" s="36"/>
      <c r="D448" s="36"/>
      <c r="E448" s="36"/>
      <c r="F448" s="36"/>
      <c r="L448" s="36"/>
      <c r="M448" s="36"/>
      <c r="N448" s="36"/>
      <c r="O448" s="36"/>
      <c r="P448" s="36"/>
      <c r="Q448" s="36"/>
    </row>
    <row r="449" spans="1:17">
      <c r="A449" s="36"/>
      <c r="B449" s="36"/>
      <c r="C449" s="36"/>
      <c r="D449" s="36"/>
      <c r="E449" s="36"/>
      <c r="F449" s="36"/>
      <c r="L449" s="36"/>
      <c r="M449" s="36"/>
      <c r="N449" s="36"/>
      <c r="O449" s="36"/>
      <c r="P449" s="36"/>
      <c r="Q449" s="36"/>
    </row>
    <row r="450" spans="1:17">
      <c r="A450" s="36"/>
      <c r="B450" s="36"/>
      <c r="C450" s="36"/>
      <c r="D450" s="36"/>
      <c r="E450" s="36"/>
      <c r="F450" s="36"/>
      <c r="L450" s="36"/>
      <c r="M450" s="36"/>
      <c r="N450" s="36"/>
      <c r="O450" s="36"/>
      <c r="P450" s="36"/>
      <c r="Q450" s="36"/>
    </row>
    <row r="451" spans="1:17">
      <c r="A451" s="36"/>
      <c r="B451" s="36"/>
      <c r="C451" s="36"/>
      <c r="D451" s="36"/>
      <c r="E451" s="36"/>
      <c r="F451" s="36"/>
      <c r="L451" s="36"/>
      <c r="M451" s="36"/>
      <c r="N451" s="36"/>
      <c r="O451" s="36"/>
      <c r="P451" s="36"/>
      <c r="Q451" s="36"/>
    </row>
    <row r="452" spans="1:17">
      <c r="A452" s="36"/>
      <c r="B452" s="36"/>
      <c r="C452" s="36"/>
      <c r="D452" s="36"/>
      <c r="E452" s="36"/>
      <c r="F452" s="36"/>
      <c r="L452" s="36"/>
      <c r="M452" s="36"/>
      <c r="N452" s="36"/>
      <c r="O452" s="36"/>
      <c r="P452" s="36"/>
      <c r="Q452" s="36"/>
    </row>
    <row r="453" spans="1:17">
      <c r="A453" s="36"/>
      <c r="B453" s="36"/>
      <c r="C453" s="36"/>
      <c r="D453" s="36"/>
      <c r="E453" s="36"/>
      <c r="F453" s="36"/>
      <c r="L453" s="36"/>
      <c r="M453" s="36"/>
      <c r="N453" s="36"/>
      <c r="O453" s="36"/>
      <c r="P453" s="36"/>
      <c r="Q453" s="36"/>
    </row>
    <row r="454" spans="1:17">
      <c r="A454" s="36"/>
      <c r="B454" s="36"/>
      <c r="C454" s="36"/>
      <c r="D454" s="36"/>
      <c r="E454" s="36"/>
      <c r="F454" s="36"/>
      <c r="L454" s="36"/>
      <c r="M454" s="36"/>
      <c r="N454" s="36"/>
      <c r="O454" s="36"/>
      <c r="P454" s="36"/>
      <c r="Q454" s="36"/>
    </row>
    <row r="455" spans="1:17">
      <c r="A455" s="36"/>
      <c r="B455" s="36"/>
      <c r="C455" s="36"/>
      <c r="D455" s="36"/>
      <c r="E455" s="36"/>
      <c r="F455" s="36"/>
      <c r="L455" s="36"/>
      <c r="M455" s="36"/>
      <c r="N455" s="36"/>
      <c r="O455" s="36"/>
      <c r="P455" s="36"/>
      <c r="Q455" s="36"/>
    </row>
    <row r="456" spans="1:17">
      <c r="A456" s="36"/>
      <c r="B456" s="36"/>
      <c r="C456" s="36"/>
      <c r="D456" s="36"/>
      <c r="E456" s="36"/>
      <c r="F456" s="36"/>
      <c r="L456" s="36"/>
      <c r="M456" s="36"/>
      <c r="N456" s="36"/>
      <c r="O456" s="36"/>
      <c r="P456" s="36"/>
      <c r="Q456" s="36"/>
    </row>
    <row r="457" spans="1:17">
      <c r="A457" s="36"/>
      <c r="B457" s="36"/>
      <c r="C457" s="36"/>
      <c r="D457" s="36"/>
      <c r="E457" s="36"/>
      <c r="F457" s="36"/>
      <c r="L457" s="36"/>
      <c r="M457" s="36"/>
      <c r="N457" s="36"/>
      <c r="O457" s="36"/>
      <c r="P457" s="36"/>
      <c r="Q457" s="36"/>
    </row>
    <row r="458" spans="1:17">
      <c r="A458" s="36"/>
      <c r="B458" s="36"/>
      <c r="C458" s="36"/>
      <c r="D458" s="36"/>
      <c r="E458" s="36"/>
      <c r="F458" s="36"/>
      <c r="L458" s="36"/>
      <c r="M458" s="36"/>
      <c r="N458" s="36"/>
      <c r="O458" s="36"/>
      <c r="P458" s="36"/>
      <c r="Q458" s="36"/>
    </row>
    <row r="459" spans="1:17">
      <c r="A459" s="36"/>
      <c r="B459" s="36"/>
      <c r="C459" s="36"/>
      <c r="D459" s="36"/>
      <c r="E459" s="36"/>
      <c r="F459" s="36"/>
      <c r="L459" s="36"/>
      <c r="M459" s="36"/>
      <c r="N459" s="36"/>
      <c r="O459" s="36"/>
      <c r="P459" s="36"/>
      <c r="Q459" s="36"/>
    </row>
    <row r="460" spans="1:17">
      <c r="A460" s="36"/>
      <c r="B460" s="36"/>
      <c r="C460" s="36"/>
      <c r="D460" s="36"/>
      <c r="E460" s="36"/>
      <c r="F460" s="36"/>
      <c r="L460" s="36"/>
      <c r="M460" s="36"/>
      <c r="N460" s="36"/>
      <c r="O460" s="36"/>
      <c r="P460" s="36"/>
      <c r="Q460" s="36"/>
    </row>
    <row r="461" spans="1:17">
      <c r="A461" s="36"/>
      <c r="B461" s="36"/>
      <c r="C461" s="36"/>
      <c r="D461" s="36"/>
      <c r="E461" s="36"/>
      <c r="F461" s="36"/>
      <c r="L461" s="36"/>
      <c r="M461" s="36"/>
      <c r="N461" s="36"/>
      <c r="O461" s="36"/>
      <c r="P461" s="36"/>
      <c r="Q461" s="36"/>
    </row>
    <row r="462" spans="1:17">
      <c r="A462" s="36"/>
      <c r="B462" s="36"/>
      <c r="C462" s="36"/>
      <c r="D462" s="36"/>
      <c r="E462" s="36"/>
      <c r="F462" s="36"/>
      <c r="L462" s="36"/>
      <c r="M462" s="36"/>
      <c r="N462" s="36"/>
      <c r="O462" s="36"/>
      <c r="P462" s="36"/>
      <c r="Q462" s="36"/>
    </row>
    <row r="463" spans="1:17">
      <c r="A463" s="36"/>
      <c r="B463" s="36"/>
      <c r="C463" s="36"/>
      <c r="D463" s="36"/>
      <c r="E463" s="36"/>
      <c r="F463" s="36"/>
      <c r="L463" s="36"/>
      <c r="M463" s="36"/>
      <c r="N463" s="36"/>
      <c r="O463" s="36"/>
      <c r="P463" s="36"/>
      <c r="Q463" s="36"/>
    </row>
    <row r="464" spans="1:17">
      <c r="A464" s="36"/>
      <c r="B464" s="36"/>
      <c r="C464" s="36"/>
      <c r="D464" s="36"/>
      <c r="E464" s="36"/>
      <c r="F464" s="36"/>
      <c r="L464" s="36"/>
      <c r="M464" s="36"/>
      <c r="N464" s="36"/>
      <c r="O464" s="36"/>
      <c r="P464" s="36"/>
      <c r="Q464" s="36"/>
    </row>
    <row r="465" spans="1:17">
      <c r="A465" s="36"/>
      <c r="B465" s="36"/>
      <c r="C465" s="36"/>
      <c r="D465" s="36"/>
      <c r="E465" s="36"/>
      <c r="F465" s="36"/>
      <c r="L465" s="36"/>
      <c r="M465" s="36"/>
      <c r="N465" s="36"/>
      <c r="O465" s="36"/>
      <c r="P465" s="36"/>
      <c r="Q465" s="36"/>
    </row>
    <row r="466" spans="1:17">
      <c r="A466" s="36"/>
      <c r="B466" s="36"/>
      <c r="C466" s="36"/>
      <c r="D466" s="36"/>
      <c r="E466" s="36"/>
      <c r="F466" s="36"/>
      <c r="L466" s="36"/>
      <c r="M466" s="36"/>
      <c r="N466" s="36"/>
      <c r="O466" s="36"/>
      <c r="P466" s="36"/>
      <c r="Q466" s="36"/>
    </row>
    <row r="467" spans="1:17">
      <c r="A467" s="36"/>
      <c r="B467" s="36"/>
      <c r="C467" s="36"/>
      <c r="D467" s="36"/>
      <c r="E467" s="36"/>
      <c r="F467" s="36"/>
      <c r="L467" s="36"/>
      <c r="M467" s="36"/>
      <c r="N467" s="36"/>
      <c r="O467" s="36"/>
      <c r="P467" s="36"/>
      <c r="Q467" s="36"/>
    </row>
    <row r="468" spans="1:17">
      <c r="A468" s="36"/>
      <c r="B468" s="36"/>
      <c r="C468" s="36"/>
      <c r="D468" s="36"/>
      <c r="E468" s="36"/>
      <c r="F468" s="36"/>
      <c r="L468" s="36"/>
      <c r="M468" s="36"/>
      <c r="N468" s="36"/>
      <c r="O468" s="36"/>
      <c r="P468" s="36"/>
      <c r="Q468" s="36"/>
    </row>
    <row r="469" spans="1:17">
      <c r="A469" s="36"/>
      <c r="B469" s="36"/>
      <c r="C469" s="36"/>
      <c r="D469" s="36"/>
      <c r="E469" s="36"/>
      <c r="F469" s="36"/>
      <c r="L469" s="36"/>
      <c r="M469" s="36"/>
      <c r="N469" s="36"/>
      <c r="O469" s="36"/>
      <c r="P469" s="36"/>
      <c r="Q469" s="36"/>
    </row>
    <row r="470" spans="1:17">
      <c r="A470" s="36"/>
      <c r="B470" s="36"/>
      <c r="C470" s="36"/>
      <c r="D470" s="36"/>
      <c r="E470" s="36"/>
      <c r="F470" s="36"/>
      <c r="L470" s="36"/>
      <c r="M470" s="36"/>
      <c r="N470" s="36"/>
      <c r="O470" s="36"/>
      <c r="P470" s="36"/>
      <c r="Q470" s="36"/>
    </row>
    <row r="471" spans="1:17">
      <c r="A471" s="36"/>
      <c r="B471" s="36"/>
      <c r="C471" s="36"/>
      <c r="D471" s="36"/>
      <c r="E471" s="36"/>
      <c r="F471" s="36"/>
      <c r="L471" s="36"/>
      <c r="M471" s="36"/>
      <c r="N471" s="36"/>
      <c r="O471" s="36"/>
      <c r="P471" s="36"/>
      <c r="Q471" s="36"/>
    </row>
    <row r="472" spans="1:17">
      <c r="A472" s="36"/>
      <c r="B472" s="36"/>
      <c r="C472" s="36"/>
      <c r="D472" s="36"/>
      <c r="E472" s="36"/>
      <c r="F472" s="36"/>
      <c r="L472" s="36"/>
      <c r="M472" s="36"/>
      <c r="N472" s="36"/>
      <c r="O472" s="36"/>
      <c r="P472" s="36"/>
      <c r="Q472" s="36"/>
    </row>
    <row r="473" spans="1:17">
      <c r="A473" s="36"/>
      <c r="B473" s="36"/>
      <c r="C473" s="36"/>
      <c r="D473" s="36"/>
      <c r="E473" s="36"/>
      <c r="F473" s="36"/>
      <c r="L473" s="36"/>
      <c r="M473" s="36"/>
      <c r="N473" s="36"/>
      <c r="O473" s="36"/>
      <c r="P473" s="36"/>
      <c r="Q473" s="36"/>
    </row>
    <row r="474" spans="1:17">
      <c r="A474" s="36"/>
      <c r="B474" s="36"/>
      <c r="C474" s="36"/>
      <c r="D474" s="36"/>
      <c r="E474" s="36"/>
      <c r="F474" s="36"/>
      <c r="L474" s="36"/>
      <c r="M474" s="36"/>
      <c r="N474" s="36"/>
      <c r="O474" s="36"/>
      <c r="P474" s="36"/>
      <c r="Q474" s="36"/>
    </row>
    <row r="475" spans="1:17">
      <c r="A475" s="36"/>
      <c r="B475" s="36"/>
      <c r="C475" s="36"/>
      <c r="D475" s="36"/>
      <c r="E475" s="36"/>
      <c r="F475" s="36"/>
      <c r="L475" s="36"/>
      <c r="M475" s="36"/>
      <c r="N475" s="36"/>
      <c r="O475" s="36"/>
      <c r="P475" s="36"/>
      <c r="Q475" s="36"/>
    </row>
    <row r="476" spans="1:17">
      <c r="A476" s="36"/>
      <c r="B476" s="36"/>
      <c r="C476" s="36"/>
      <c r="D476" s="36"/>
      <c r="E476" s="36"/>
      <c r="F476" s="36"/>
      <c r="L476" s="36"/>
      <c r="M476" s="36"/>
      <c r="N476" s="36"/>
      <c r="O476" s="36"/>
      <c r="P476" s="36"/>
      <c r="Q476" s="36"/>
    </row>
    <row r="477" spans="1:17">
      <c r="A477" s="36"/>
      <c r="B477" s="36"/>
      <c r="C477" s="36"/>
      <c r="D477" s="36"/>
      <c r="E477" s="36"/>
      <c r="F477" s="36"/>
      <c r="L477" s="36"/>
      <c r="M477" s="36"/>
      <c r="N477" s="36"/>
      <c r="O477" s="36"/>
      <c r="P477" s="36"/>
      <c r="Q477" s="36"/>
    </row>
    <row r="478" spans="1:17">
      <c r="A478" s="36"/>
      <c r="B478" s="36"/>
      <c r="C478" s="36"/>
      <c r="D478" s="36"/>
      <c r="E478" s="36"/>
      <c r="F478" s="36"/>
      <c r="L478" s="36"/>
      <c r="M478" s="36"/>
      <c r="N478" s="36"/>
      <c r="O478" s="36"/>
      <c r="P478" s="36"/>
      <c r="Q478" s="36"/>
    </row>
    <row r="479" spans="1:17">
      <c r="A479" s="36"/>
      <c r="B479" s="36"/>
      <c r="C479" s="36"/>
      <c r="D479" s="36"/>
      <c r="E479" s="36"/>
      <c r="F479" s="36"/>
      <c r="L479" s="36"/>
      <c r="M479" s="36"/>
      <c r="N479" s="36"/>
      <c r="O479" s="36"/>
      <c r="P479" s="36"/>
      <c r="Q479" s="36"/>
    </row>
    <row r="480" spans="1:17">
      <c r="A480" s="36"/>
      <c r="B480" s="36"/>
      <c r="C480" s="36"/>
      <c r="D480" s="36"/>
      <c r="E480" s="36"/>
      <c r="F480" s="36"/>
      <c r="L480" s="36"/>
      <c r="M480" s="36"/>
      <c r="N480" s="36"/>
      <c r="O480" s="36"/>
      <c r="P480" s="36"/>
      <c r="Q480" s="36"/>
    </row>
    <row r="481" spans="1:17">
      <c r="A481" s="36"/>
      <c r="B481" s="36"/>
      <c r="C481" s="36"/>
      <c r="D481" s="36"/>
      <c r="E481" s="36"/>
      <c r="F481" s="36"/>
      <c r="L481" s="36"/>
      <c r="M481" s="36"/>
      <c r="N481" s="36"/>
      <c r="O481" s="36"/>
      <c r="P481" s="36"/>
      <c r="Q481" s="36"/>
    </row>
    <row r="482" spans="1:17">
      <c r="A482" s="36"/>
      <c r="B482" s="36"/>
      <c r="C482" s="36"/>
      <c r="D482" s="36"/>
      <c r="E482" s="36"/>
      <c r="F482" s="36"/>
      <c r="L482" s="36"/>
      <c r="M482" s="36"/>
      <c r="N482" s="36"/>
      <c r="O482" s="36"/>
      <c r="P482" s="36"/>
      <c r="Q482" s="36"/>
    </row>
    <row r="483" spans="1:17">
      <c r="A483" s="36"/>
      <c r="B483" s="36"/>
      <c r="C483" s="36"/>
      <c r="D483" s="36"/>
      <c r="E483" s="36"/>
      <c r="F483" s="36"/>
      <c r="L483" s="36"/>
      <c r="M483" s="36"/>
      <c r="N483" s="36"/>
      <c r="O483" s="36"/>
      <c r="P483" s="36"/>
      <c r="Q483" s="36"/>
    </row>
    <row r="484" spans="1:17">
      <c r="A484" s="36"/>
      <c r="B484" s="36"/>
      <c r="C484" s="36"/>
      <c r="D484" s="36"/>
      <c r="E484" s="36"/>
      <c r="F484" s="36"/>
      <c r="L484" s="36"/>
      <c r="M484" s="36"/>
      <c r="N484" s="36"/>
      <c r="O484" s="36"/>
      <c r="P484" s="36"/>
      <c r="Q484" s="36"/>
    </row>
    <row r="485" spans="1:17">
      <c r="A485" s="36"/>
      <c r="B485" s="36"/>
      <c r="C485" s="36"/>
      <c r="D485" s="36"/>
      <c r="E485" s="36"/>
      <c r="F485" s="36"/>
      <c r="L485" s="36"/>
      <c r="M485" s="36"/>
      <c r="N485" s="36"/>
      <c r="O485" s="36"/>
      <c r="P485" s="36"/>
      <c r="Q485" s="36"/>
    </row>
    <row r="486" spans="1:17">
      <c r="A486" s="36"/>
      <c r="B486" s="36"/>
      <c r="C486" s="36"/>
      <c r="D486" s="36"/>
      <c r="E486" s="36"/>
      <c r="F486" s="36"/>
      <c r="L486" s="36"/>
      <c r="M486" s="36"/>
      <c r="N486" s="36"/>
      <c r="O486" s="36"/>
      <c r="P486" s="36"/>
      <c r="Q486" s="36"/>
    </row>
    <row r="487" spans="1:17">
      <c r="A487" s="36"/>
      <c r="B487" s="36"/>
      <c r="C487" s="36"/>
      <c r="D487" s="36"/>
      <c r="E487" s="36"/>
      <c r="F487" s="36"/>
      <c r="L487" s="36"/>
      <c r="M487" s="36"/>
      <c r="N487" s="36"/>
      <c r="O487" s="36"/>
      <c r="P487" s="36"/>
      <c r="Q487" s="36"/>
    </row>
    <row r="488" spans="1:17">
      <c r="A488" s="36"/>
      <c r="B488" s="36"/>
      <c r="C488" s="36"/>
      <c r="D488" s="36"/>
      <c r="E488" s="36"/>
      <c r="F488" s="36"/>
      <c r="L488" s="36"/>
      <c r="M488" s="36"/>
      <c r="N488" s="36"/>
      <c r="O488" s="36"/>
      <c r="P488" s="36"/>
      <c r="Q488" s="36"/>
    </row>
    <row r="489" spans="1:17">
      <c r="A489" s="36"/>
      <c r="B489" s="36"/>
      <c r="C489" s="36"/>
      <c r="D489" s="36"/>
      <c r="E489" s="36"/>
      <c r="F489" s="36"/>
      <c r="L489" s="36"/>
      <c r="M489" s="36"/>
      <c r="N489" s="36"/>
      <c r="O489" s="36"/>
      <c r="P489" s="36"/>
      <c r="Q489" s="36"/>
    </row>
    <row r="490" spans="1:17">
      <c r="A490" s="36"/>
      <c r="B490" s="36"/>
      <c r="C490" s="36"/>
      <c r="D490" s="36"/>
      <c r="E490" s="36"/>
      <c r="F490" s="36"/>
      <c r="L490" s="36"/>
      <c r="M490" s="36"/>
      <c r="N490" s="36"/>
      <c r="O490" s="36"/>
      <c r="P490" s="36"/>
      <c r="Q490" s="36"/>
    </row>
    <row r="491" spans="1:17">
      <c r="A491" s="36"/>
      <c r="B491" s="36"/>
      <c r="C491" s="36"/>
      <c r="D491" s="36"/>
      <c r="E491" s="36"/>
      <c r="F491" s="36"/>
      <c r="L491" s="36"/>
      <c r="M491" s="36"/>
      <c r="N491" s="36"/>
      <c r="O491" s="36"/>
      <c r="P491" s="36"/>
      <c r="Q491" s="36"/>
    </row>
    <row r="492" spans="1:17">
      <c r="A492" s="36"/>
      <c r="B492" s="36"/>
      <c r="C492" s="36"/>
      <c r="D492" s="36"/>
      <c r="E492" s="36"/>
      <c r="F492" s="36"/>
      <c r="L492" s="36"/>
      <c r="M492" s="36"/>
      <c r="N492" s="36"/>
      <c r="O492" s="36"/>
      <c r="P492" s="36"/>
      <c r="Q492" s="36"/>
    </row>
    <row r="493" spans="1:17">
      <c r="A493" s="36"/>
      <c r="B493" s="36"/>
      <c r="C493" s="36"/>
      <c r="D493" s="36"/>
      <c r="E493" s="36"/>
      <c r="F493" s="36"/>
      <c r="L493" s="36"/>
      <c r="M493" s="36"/>
      <c r="N493" s="36"/>
      <c r="O493" s="36"/>
      <c r="P493" s="36"/>
      <c r="Q493" s="36"/>
    </row>
    <row r="494" spans="1:17">
      <c r="A494" s="36"/>
      <c r="B494" s="36"/>
      <c r="C494" s="36"/>
      <c r="D494" s="36"/>
      <c r="E494" s="36"/>
      <c r="F494" s="36"/>
      <c r="L494" s="36"/>
      <c r="M494" s="36"/>
      <c r="N494" s="36"/>
      <c r="O494" s="36"/>
      <c r="P494" s="36"/>
      <c r="Q494" s="36"/>
    </row>
    <row r="495" spans="1:17">
      <c r="A495" s="36"/>
      <c r="B495" s="36"/>
      <c r="C495" s="36"/>
      <c r="D495" s="36"/>
      <c r="E495" s="36"/>
      <c r="F495" s="36"/>
      <c r="L495" s="36"/>
      <c r="M495" s="36"/>
      <c r="N495" s="36"/>
      <c r="O495" s="36"/>
      <c r="P495" s="36"/>
      <c r="Q495" s="36"/>
    </row>
    <row r="496" spans="1:17">
      <c r="A496" s="36"/>
      <c r="B496" s="36"/>
      <c r="C496" s="36"/>
      <c r="D496" s="36"/>
      <c r="E496" s="36"/>
      <c r="F496" s="36"/>
      <c r="L496" s="36"/>
      <c r="M496" s="36"/>
      <c r="N496" s="36"/>
      <c r="O496" s="36"/>
      <c r="P496" s="36"/>
      <c r="Q496" s="36"/>
    </row>
    <row r="497" spans="1:17">
      <c r="A497" s="36"/>
      <c r="B497" s="36"/>
      <c r="C497" s="36"/>
      <c r="D497" s="36"/>
      <c r="E497" s="36"/>
      <c r="F497" s="36"/>
      <c r="L497" s="36"/>
      <c r="M497" s="36"/>
      <c r="N497" s="36"/>
      <c r="O497" s="36"/>
      <c r="P497" s="36"/>
      <c r="Q497" s="36"/>
    </row>
    <row r="498" spans="1:17">
      <c r="A498" s="36"/>
      <c r="B498" s="36"/>
      <c r="C498" s="36"/>
      <c r="D498" s="36"/>
      <c r="E498" s="36"/>
      <c r="F498" s="36"/>
      <c r="L498" s="36"/>
      <c r="M498" s="36"/>
      <c r="N498" s="36"/>
      <c r="O498" s="36"/>
      <c r="P498" s="36"/>
      <c r="Q498" s="36"/>
    </row>
    <row r="499" spans="1:17">
      <c r="A499" s="36"/>
      <c r="B499" s="36"/>
      <c r="C499" s="36"/>
      <c r="D499" s="36"/>
      <c r="E499" s="36"/>
      <c r="F499" s="36"/>
      <c r="L499" s="36"/>
      <c r="M499" s="36"/>
      <c r="N499" s="36"/>
      <c r="O499" s="36"/>
      <c r="P499" s="36"/>
      <c r="Q499" s="36"/>
    </row>
    <row r="500" spans="1:17">
      <c r="A500" s="36"/>
      <c r="B500" s="36"/>
      <c r="C500" s="36"/>
      <c r="D500" s="36"/>
      <c r="E500" s="36"/>
      <c r="F500" s="36"/>
      <c r="L500" s="36"/>
      <c r="M500" s="36"/>
      <c r="N500" s="36"/>
      <c r="O500" s="36"/>
      <c r="P500" s="36"/>
      <c r="Q500" s="36"/>
    </row>
    <row r="501" spans="1:17">
      <c r="A501" s="36"/>
      <c r="B501" s="36"/>
      <c r="C501" s="36"/>
      <c r="D501" s="36"/>
      <c r="E501" s="36"/>
      <c r="F501" s="36"/>
      <c r="L501" s="36"/>
      <c r="M501" s="36"/>
      <c r="N501" s="36"/>
      <c r="O501" s="36"/>
      <c r="P501" s="36"/>
      <c r="Q501" s="36"/>
    </row>
    <row r="502" spans="1:17">
      <c r="A502" s="36"/>
      <c r="B502" s="36"/>
      <c r="C502" s="36"/>
      <c r="D502" s="36"/>
      <c r="E502" s="36"/>
      <c r="F502" s="36"/>
      <c r="L502" s="36"/>
      <c r="M502" s="36"/>
      <c r="N502" s="36"/>
      <c r="O502" s="36"/>
      <c r="P502" s="36"/>
      <c r="Q502" s="36"/>
    </row>
    <row r="503" spans="1:17">
      <c r="A503" s="36"/>
      <c r="B503" s="36"/>
      <c r="C503" s="36"/>
      <c r="D503" s="36"/>
      <c r="E503" s="36"/>
      <c r="F503" s="36"/>
      <c r="L503" s="36"/>
      <c r="M503" s="36"/>
      <c r="N503" s="36"/>
      <c r="O503" s="36"/>
      <c r="P503" s="36"/>
      <c r="Q503" s="36"/>
    </row>
    <row r="504" spans="1:17">
      <c r="A504" s="36"/>
      <c r="B504" s="36"/>
      <c r="C504" s="36"/>
      <c r="D504" s="36"/>
      <c r="E504" s="36"/>
      <c r="F504" s="36"/>
      <c r="L504" s="36"/>
      <c r="M504" s="36"/>
      <c r="N504" s="36"/>
      <c r="O504" s="36"/>
      <c r="P504" s="36"/>
      <c r="Q504" s="36"/>
    </row>
    <row r="505" spans="1:17">
      <c r="A505" s="36"/>
      <c r="B505" s="36"/>
      <c r="C505" s="36"/>
      <c r="D505" s="36"/>
      <c r="E505" s="36"/>
      <c r="F505" s="36"/>
      <c r="L505" s="36"/>
      <c r="M505" s="36"/>
      <c r="N505" s="36"/>
      <c r="O505" s="36"/>
      <c r="P505" s="36"/>
      <c r="Q505" s="36"/>
    </row>
    <row r="506" spans="1:17">
      <c r="A506" s="36"/>
      <c r="B506" s="36"/>
      <c r="C506" s="36"/>
      <c r="D506" s="36"/>
      <c r="E506" s="36"/>
      <c r="F506" s="36"/>
      <c r="L506" s="36"/>
      <c r="M506" s="36"/>
      <c r="N506" s="36"/>
      <c r="O506" s="36"/>
      <c r="P506" s="36"/>
      <c r="Q506" s="36"/>
    </row>
    <row r="507" spans="1:17">
      <c r="A507" s="36"/>
      <c r="B507" s="36"/>
      <c r="C507" s="36"/>
      <c r="D507" s="36"/>
      <c r="E507" s="36"/>
      <c r="F507" s="36"/>
      <c r="L507" s="36"/>
      <c r="M507" s="36"/>
      <c r="N507" s="36"/>
      <c r="O507" s="36"/>
      <c r="P507" s="36"/>
      <c r="Q507" s="36"/>
    </row>
    <row r="508" spans="1:17">
      <c r="A508" s="36"/>
      <c r="B508" s="36"/>
      <c r="C508" s="36"/>
      <c r="D508" s="36"/>
      <c r="E508" s="36"/>
      <c r="F508" s="36"/>
      <c r="L508" s="36"/>
      <c r="M508" s="36"/>
      <c r="N508" s="36"/>
      <c r="O508" s="36"/>
      <c r="P508" s="36"/>
      <c r="Q508" s="36"/>
    </row>
    <row r="509" spans="1:17">
      <c r="A509" s="36"/>
      <c r="B509" s="36"/>
      <c r="C509" s="36"/>
      <c r="D509" s="36"/>
      <c r="E509" s="36"/>
      <c r="F509" s="36"/>
      <c r="L509" s="36"/>
      <c r="M509" s="36"/>
      <c r="N509" s="36"/>
      <c r="O509" s="36"/>
      <c r="P509" s="36"/>
      <c r="Q509" s="36"/>
    </row>
    <row r="510" spans="1:17">
      <c r="A510" s="36"/>
      <c r="B510" s="36"/>
      <c r="C510" s="36"/>
      <c r="D510" s="36"/>
      <c r="E510" s="36"/>
      <c r="F510" s="36"/>
      <c r="L510" s="36"/>
      <c r="M510" s="36"/>
      <c r="N510" s="36"/>
      <c r="O510" s="36"/>
      <c r="P510" s="36"/>
      <c r="Q510" s="36"/>
    </row>
    <row r="511" spans="1:17">
      <c r="A511" s="36"/>
      <c r="B511" s="36"/>
      <c r="C511" s="36"/>
      <c r="D511" s="36"/>
      <c r="E511" s="36"/>
      <c r="F511" s="36"/>
      <c r="L511" s="36"/>
      <c r="M511" s="36"/>
      <c r="N511" s="36"/>
      <c r="O511" s="36"/>
      <c r="P511" s="36"/>
      <c r="Q511" s="36"/>
    </row>
    <row r="512" spans="1:17">
      <c r="A512" s="36"/>
      <c r="B512" s="36"/>
      <c r="C512" s="36"/>
      <c r="D512" s="36"/>
      <c r="E512" s="36"/>
      <c r="F512" s="36"/>
      <c r="L512" s="36"/>
      <c r="M512" s="36"/>
      <c r="N512" s="36"/>
      <c r="O512" s="36"/>
      <c r="P512" s="36"/>
      <c r="Q512" s="36"/>
    </row>
    <row r="513" spans="1:17">
      <c r="A513" s="36"/>
      <c r="B513" s="36"/>
      <c r="C513" s="36"/>
      <c r="D513" s="36"/>
      <c r="E513" s="36"/>
      <c r="F513" s="36"/>
      <c r="L513" s="36"/>
      <c r="M513" s="36"/>
      <c r="N513" s="36"/>
      <c r="O513" s="36"/>
      <c r="P513" s="36"/>
      <c r="Q513" s="36"/>
    </row>
    <row r="514" spans="1:17">
      <c r="A514" s="36"/>
      <c r="B514" s="36"/>
      <c r="C514" s="36"/>
      <c r="D514" s="36"/>
      <c r="E514" s="36"/>
      <c r="F514" s="36"/>
      <c r="L514" s="36"/>
      <c r="M514" s="36"/>
      <c r="N514" s="36"/>
      <c r="O514" s="36"/>
      <c r="P514" s="36"/>
      <c r="Q514" s="36"/>
    </row>
    <row r="515" spans="1:17">
      <c r="A515" s="36"/>
      <c r="B515" s="36"/>
      <c r="C515" s="36"/>
      <c r="D515" s="36"/>
      <c r="E515" s="36"/>
      <c r="F515" s="36"/>
      <c r="L515" s="36"/>
      <c r="M515" s="36"/>
      <c r="N515" s="36"/>
      <c r="O515" s="36"/>
      <c r="P515" s="36"/>
      <c r="Q515" s="36"/>
    </row>
    <row r="516" spans="1:17">
      <c r="A516" s="36"/>
      <c r="B516" s="36"/>
      <c r="C516" s="36"/>
      <c r="D516" s="36"/>
      <c r="E516" s="36"/>
      <c r="F516" s="36"/>
      <c r="L516" s="36"/>
      <c r="M516" s="36"/>
      <c r="N516" s="36"/>
      <c r="O516" s="36"/>
      <c r="P516" s="36"/>
      <c r="Q516" s="36"/>
    </row>
    <row r="517" spans="1:17">
      <c r="A517" s="36"/>
      <c r="B517" s="36"/>
      <c r="C517" s="36"/>
      <c r="D517" s="36"/>
      <c r="E517" s="36"/>
      <c r="F517" s="36"/>
      <c r="L517" s="36"/>
      <c r="M517" s="36"/>
      <c r="N517" s="36"/>
      <c r="O517" s="36"/>
      <c r="P517" s="36"/>
      <c r="Q517" s="36"/>
    </row>
    <row r="518" spans="1:17">
      <c r="A518" s="36"/>
      <c r="B518" s="36"/>
      <c r="C518" s="36"/>
      <c r="D518" s="36"/>
      <c r="E518" s="36"/>
      <c r="F518" s="36"/>
      <c r="L518" s="36"/>
      <c r="M518" s="36"/>
      <c r="N518" s="36"/>
      <c r="O518" s="36"/>
      <c r="P518" s="36"/>
      <c r="Q518" s="36"/>
    </row>
    <row r="519" spans="1:17">
      <c r="A519" s="36"/>
      <c r="B519" s="36"/>
      <c r="C519" s="36"/>
      <c r="D519" s="36"/>
      <c r="E519" s="36"/>
      <c r="F519" s="36"/>
      <c r="L519" s="36"/>
      <c r="M519" s="36"/>
      <c r="N519" s="36"/>
      <c r="O519" s="36"/>
      <c r="P519" s="36"/>
      <c r="Q519" s="36"/>
    </row>
    <row r="520" spans="1:17">
      <c r="A520" s="36"/>
      <c r="B520" s="36"/>
      <c r="C520" s="36"/>
      <c r="D520" s="36"/>
      <c r="E520" s="36"/>
      <c r="F520" s="36"/>
      <c r="L520" s="36"/>
      <c r="M520" s="36"/>
      <c r="N520" s="36"/>
      <c r="O520" s="36"/>
      <c r="P520" s="36"/>
      <c r="Q520" s="36"/>
    </row>
    <row r="521" spans="1:17">
      <c r="A521" s="36"/>
      <c r="B521" s="36"/>
      <c r="C521" s="36"/>
      <c r="D521" s="36"/>
      <c r="E521" s="36"/>
      <c r="F521" s="36"/>
      <c r="L521" s="36"/>
      <c r="M521" s="36"/>
      <c r="N521" s="36"/>
      <c r="O521" s="36"/>
      <c r="P521" s="36"/>
      <c r="Q521" s="36"/>
    </row>
    <row r="522" spans="1:17">
      <c r="A522" s="36"/>
      <c r="B522" s="36"/>
      <c r="C522" s="36"/>
      <c r="D522" s="36"/>
      <c r="E522" s="36"/>
      <c r="F522" s="36"/>
      <c r="L522" s="36"/>
      <c r="M522" s="36"/>
      <c r="N522" s="36"/>
      <c r="O522" s="36"/>
      <c r="P522" s="36"/>
      <c r="Q522" s="36"/>
    </row>
    <row r="523" spans="1:17">
      <c r="A523" s="36"/>
      <c r="B523" s="36"/>
      <c r="C523" s="36"/>
      <c r="D523" s="36"/>
      <c r="E523" s="36"/>
      <c r="F523" s="36"/>
      <c r="L523" s="36"/>
      <c r="M523" s="36"/>
      <c r="N523" s="36"/>
      <c r="O523" s="36"/>
      <c r="P523" s="36"/>
      <c r="Q523" s="36"/>
    </row>
    <row r="524" spans="1:17">
      <c r="A524" s="36"/>
      <c r="B524" s="36"/>
      <c r="C524" s="36"/>
      <c r="D524" s="36"/>
      <c r="E524" s="36"/>
      <c r="F524" s="36"/>
      <c r="L524" s="36"/>
      <c r="M524" s="36"/>
      <c r="N524" s="36"/>
      <c r="O524" s="36"/>
      <c r="P524" s="36"/>
      <c r="Q524" s="36"/>
    </row>
    <row r="525" spans="1:17">
      <c r="A525" s="36"/>
      <c r="B525" s="36"/>
      <c r="C525" s="36"/>
      <c r="D525" s="36"/>
      <c r="E525" s="36"/>
      <c r="F525" s="36"/>
      <c r="L525" s="36"/>
      <c r="M525" s="36"/>
      <c r="N525" s="36"/>
      <c r="O525" s="36"/>
      <c r="P525" s="36"/>
      <c r="Q525" s="36"/>
    </row>
    <row r="526" spans="1:17">
      <c r="A526" s="36"/>
      <c r="B526" s="36"/>
      <c r="C526" s="36"/>
      <c r="D526" s="36"/>
      <c r="E526" s="36"/>
      <c r="F526" s="36"/>
      <c r="L526" s="36"/>
      <c r="M526" s="36"/>
      <c r="N526" s="36"/>
      <c r="O526" s="36"/>
      <c r="P526" s="36"/>
      <c r="Q526" s="36"/>
    </row>
    <row r="527" spans="1:17">
      <c r="A527" s="36"/>
      <c r="B527" s="36"/>
      <c r="C527" s="36"/>
      <c r="D527" s="36"/>
      <c r="E527" s="36"/>
      <c r="F527" s="36"/>
      <c r="L527" s="36"/>
      <c r="M527" s="36"/>
      <c r="N527" s="36"/>
      <c r="O527" s="36"/>
      <c r="P527" s="36"/>
      <c r="Q527" s="36"/>
    </row>
    <row r="528" spans="1:17">
      <c r="A528" s="36"/>
      <c r="B528" s="36"/>
      <c r="C528" s="36"/>
      <c r="D528" s="36"/>
      <c r="E528" s="36"/>
      <c r="F528" s="36"/>
      <c r="L528" s="36"/>
      <c r="M528" s="36"/>
      <c r="N528" s="36"/>
      <c r="O528" s="36"/>
      <c r="P528" s="36"/>
      <c r="Q528" s="36"/>
    </row>
    <row r="529" spans="1:17">
      <c r="A529" s="36"/>
      <c r="B529" s="36"/>
      <c r="C529" s="36"/>
      <c r="D529" s="36"/>
      <c r="E529" s="36"/>
      <c r="F529" s="36"/>
      <c r="L529" s="36"/>
      <c r="M529" s="36"/>
      <c r="N529" s="36"/>
      <c r="O529" s="36"/>
      <c r="P529" s="36"/>
      <c r="Q529" s="36"/>
    </row>
    <row r="530" spans="1:17">
      <c r="A530" s="36"/>
      <c r="B530" s="36"/>
      <c r="C530" s="36"/>
      <c r="D530" s="36"/>
      <c r="E530" s="36"/>
      <c r="F530" s="36"/>
      <c r="L530" s="36"/>
      <c r="M530" s="36"/>
      <c r="N530" s="36"/>
      <c r="O530" s="36"/>
      <c r="P530" s="36"/>
      <c r="Q530" s="36"/>
    </row>
    <row r="531" spans="1:17">
      <c r="A531" s="36"/>
      <c r="B531" s="36"/>
      <c r="C531" s="36"/>
      <c r="D531" s="36"/>
      <c r="E531" s="36"/>
      <c r="F531" s="36"/>
      <c r="L531" s="36"/>
      <c r="M531" s="36"/>
      <c r="N531" s="36"/>
      <c r="O531" s="36"/>
      <c r="P531" s="36"/>
      <c r="Q531" s="36"/>
    </row>
    <row r="532" spans="1:17">
      <c r="A532" s="36"/>
      <c r="B532" s="36"/>
      <c r="C532" s="36"/>
      <c r="D532" s="36"/>
      <c r="E532" s="36"/>
      <c r="F532" s="36"/>
      <c r="L532" s="36"/>
      <c r="M532" s="36"/>
      <c r="N532" s="36"/>
      <c r="O532" s="36"/>
      <c r="P532" s="36"/>
      <c r="Q532" s="36"/>
    </row>
    <row r="533" spans="1:17">
      <c r="A533" s="36"/>
      <c r="B533" s="36"/>
      <c r="C533" s="36"/>
      <c r="D533" s="36"/>
      <c r="E533" s="36"/>
      <c r="F533" s="36"/>
      <c r="L533" s="36"/>
      <c r="M533" s="36"/>
      <c r="N533" s="36"/>
      <c r="O533" s="36"/>
      <c r="P533" s="36"/>
      <c r="Q533" s="36"/>
    </row>
    <row r="534" spans="1:17">
      <c r="A534" s="36"/>
      <c r="B534" s="36"/>
      <c r="C534" s="36"/>
      <c r="D534" s="36"/>
      <c r="E534" s="36"/>
      <c r="F534" s="36"/>
      <c r="L534" s="36"/>
      <c r="M534" s="36"/>
      <c r="N534" s="36"/>
      <c r="O534" s="36"/>
      <c r="P534" s="36"/>
      <c r="Q534" s="36"/>
    </row>
    <row r="535" spans="1:17">
      <c r="A535" s="36"/>
      <c r="B535" s="36"/>
      <c r="C535" s="36"/>
      <c r="D535" s="36"/>
      <c r="E535" s="36"/>
      <c r="F535" s="36"/>
      <c r="L535" s="36"/>
      <c r="M535" s="36"/>
      <c r="N535" s="36"/>
      <c r="O535" s="36"/>
      <c r="P535" s="36"/>
      <c r="Q535" s="36"/>
    </row>
    <row r="536" spans="1:17">
      <c r="A536" s="36"/>
      <c r="B536" s="36"/>
      <c r="C536" s="36"/>
      <c r="D536" s="36"/>
      <c r="E536" s="36"/>
      <c r="F536" s="36"/>
      <c r="L536" s="36"/>
      <c r="M536" s="36"/>
      <c r="N536" s="36"/>
      <c r="O536" s="36"/>
      <c r="P536" s="36"/>
      <c r="Q536" s="36"/>
    </row>
    <row r="537" spans="1:17">
      <c r="A537" s="36"/>
      <c r="B537" s="36"/>
      <c r="C537" s="36"/>
      <c r="D537" s="36"/>
      <c r="E537" s="36"/>
      <c r="F537" s="36"/>
      <c r="L537" s="36"/>
      <c r="M537" s="36"/>
      <c r="N537" s="36"/>
      <c r="O537" s="36"/>
      <c r="P537" s="36"/>
      <c r="Q537" s="36"/>
    </row>
    <row r="538" spans="1:17">
      <c r="A538" s="36"/>
      <c r="B538" s="36"/>
      <c r="C538" s="36"/>
      <c r="D538" s="36"/>
      <c r="E538" s="36"/>
      <c r="F538" s="36"/>
      <c r="L538" s="36"/>
      <c r="M538" s="36"/>
      <c r="N538" s="36"/>
      <c r="O538" s="36"/>
      <c r="P538" s="36"/>
      <c r="Q538" s="36"/>
    </row>
    <row r="539" spans="1:17">
      <c r="A539" s="36"/>
      <c r="B539" s="36"/>
      <c r="C539" s="36"/>
      <c r="D539" s="36"/>
      <c r="E539" s="36"/>
      <c r="F539" s="36"/>
      <c r="L539" s="36"/>
      <c r="M539" s="36"/>
      <c r="N539" s="36"/>
      <c r="O539" s="36"/>
      <c r="P539" s="36"/>
      <c r="Q539" s="36"/>
    </row>
    <row r="540" spans="1:17">
      <c r="A540" s="36"/>
      <c r="B540" s="36"/>
      <c r="C540" s="36"/>
      <c r="D540" s="36"/>
      <c r="E540" s="36"/>
      <c r="F540" s="36"/>
      <c r="L540" s="36"/>
      <c r="M540" s="36"/>
      <c r="N540" s="36"/>
      <c r="O540" s="36"/>
      <c r="P540" s="36"/>
      <c r="Q540" s="36"/>
    </row>
    <row r="541" spans="1:17">
      <c r="A541" s="36"/>
      <c r="B541" s="36"/>
      <c r="C541" s="36"/>
      <c r="D541" s="36"/>
      <c r="E541" s="36"/>
      <c r="F541" s="36"/>
      <c r="L541" s="36"/>
      <c r="M541" s="36"/>
      <c r="N541" s="36"/>
      <c r="O541" s="36"/>
      <c r="P541" s="36"/>
      <c r="Q541" s="36"/>
    </row>
    <row r="542" spans="1:17">
      <c r="A542" s="36"/>
      <c r="B542" s="36"/>
      <c r="C542" s="36"/>
      <c r="D542" s="36"/>
      <c r="E542" s="36"/>
      <c r="F542" s="36"/>
      <c r="L542" s="36"/>
      <c r="M542" s="36"/>
      <c r="N542" s="36"/>
      <c r="O542" s="36"/>
      <c r="P542" s="36"/>
      <c r="Q542" s="36"/>
    </row>
    <row r="543" spans="1:17">
      <c r="A543" s="36"/>
      <c r="B543" s="36"/>
      <c r="C543" s="36"/>
      <c r="D543" s="36"/>
      <c r="E543" s="36"/>
      <c r="F543" s="36"/>
      <c r="L543" s="36"/>
      <c r="M543" s="36"/>
      <c r="N543" s="36"/>
      <c r="O543" s="36"/>
      <c r="P543" s="36"/>
      <c r="Q543" s="36"/>
    </row>
    <row r="544" spans="1:17">
      <c r="A544" s="36"/>
      <c r="B544" s="36"/>
      <c r="C544" s="36"/>
      <c r="D544" s="36"/>
      <c r="E544" s="36"/>
      <c r="F544" s="36"/>
      <c r="L544" s="36"/>
      <c r="M544" s="36"/>
      <c r="N544" s="36"/>
      <c r="O544" s="36"/>
      <c r="P544" s="36"/>
      <c r="Q544" s="36"/>
    </row>
    <row r="545" spans="1:17">
      <c r="A545" s="36"/>
      <c r="B545" s="36"/>
      <c r="C545" s="36"/>
      <c r="D545" s="36"/>
      <c r="E545" s="36"/>
      <c r="F545" s="36"/>
      <c r="L545" s="36"/>
      <c r="M545" s="36"/>
      <c r="N545" s="36"/>
      <c r="O545" s="36"/>
      <c r="P545" s="36"/>
      <c r="Q545" s="36"/>
    </row>
    <row r="546" spans="1:17">
      <c r="A546" s="36"/>
      <c r="B546" s="36"/>
      <c r="C546" s="36"/>
      <c r="D546" s="36"/>
      <c r="E546" s="36"/>
      <c r="F546" s="36"/>
      <c r="L546" s="36"/>
      <c r="M546" s="36"/>
      <c r="N546" s="36"/>
      <c r="O546" s="36"/>
      <c r="P546" s="36"/>
      <c r="Q546" s="36"/>
    </row>
    <row r="547" spans="1:17">
      <c r="A547" s="36"/>
      <c r="B547" s="36"/>
      <c r="C547" s="36"/>
      <c r="D547" s="36"/>
      <c r="E547" s="36"/>
      <c r="F547" s="36"/>
      <c r="L547" s="36"/>
      <c r="M547" s="36"/>
      <c r="N547" s="36"/>
      <c r="O547" s="36"/>
      <c r="P547" s="36"/>
      <c r="Q547" s="36"/>
    </row>
    <row r="548" spans="1:17">
      <c r="A548" s="36"/>
      <c r="B548" s="36"/>
      <c r="C548" s="36"/>
      <c r="D548" s="36"/>
      <c r="E548" s="36"/>
      <c r="F548" s="36"/>
      <c r="L548" s="36"/>
      <c r="M548" s="36"/>
      <c r="N548" s="36"/>
      <c r="O548" s="36"/>
      <c r="P548" s="36"/>
      <c r="Q548" s="36"/>
    </row>
    <row r="549" spans="1:17">
      <c r="A549" s="36"/>
      <c r="B549" s="36"/>
      <c r="C549" s="36"/>
      <c r="D549" s="36"/>
      <c r="E549" s="36"/>
      <c r="F549" s="36"/>
      <c r="L549" s="36"/>
      <c r="M549" s="36"/>
      <c r="N549" s="36"/>
      <c r="O549" s="36"/>
      <c r="P549" s="36"/>
      <c r="Q549" s="36"/>
    </row>
    <row r="550" spans="1:17">
      <c r="A550" s="36"/>
      <c r="B550" s="36"/>
      <c r="C550" s="36"/>
      <c r="D550" s="36"/>
      <c r="E550" s="36"/>
      <c r="F550" s="36"/>
      <c r="L550" s="36"/>
      <c r="M550" s="36"/>
      <c r="N550" s="36"/>
      <c r="O550" s="36"/>
      <c r="P550" s="36"/>
      <c r="Q550" s="36"/>
    </row>
    <row r="551" spans="1:17">
      <c r="A551" s="36"/>
      <c r="B551" s="36"/>
      <c r="C551" s="36"/>
      <c r="D551" s="36"/>
      <c r="E551" s="36"/>
      <c r="F551" s="36"/>
      <c r="L551" s="36"/>
      <c r="M551" s="36"/>
      <c r="N551" s="36"/>
      <c r="O551" s="36"/>
      <c r="P551" s="36"/>
      <c r="Q551" s="36"/>
    </row>
    <row r="552" spans="1:17">
      <c r="A552" s="36"/>
      <c r="B552" s="36"/>
      <c r="C552" s="36"/>
      <c r="D552" s="36"/>
      <c r="E552" s="36"/>
      <c r="F552" s="36"/>
      <c r="L552" s="36"/>
      <c r="M552" s="36"/>
      <c r="N552" s="36"/>
      <c r="O552" s="36"/>
      <c r="P552" s="36"/>
      <c r="Q552" s="36"/>
    </row>
    <row r="553" spans="1:17">
      <c r="A553" s="36"/>
      <c r="B553" s="36"/>
      <c r="C553" s="36"/>
      <c r="D553" s="36"/>
      <c r="E553" s="36"/>
      <c r="F553" s="36"/>
      <c r="L553" s="36"/>
      <c r="M553" s="36"/>
      <c r="N553" s="36"/>
      <c r="O553" s="36"/>
      <c r="P553" s="36"/>
      <c r="Q553" s="36"/>
    </row>
    <row r="554" spans="1:17">
      <c r="A554" s="36"/>
      <c r="B554" s="36"/>
      <c r="C554" s="36"/>
      <c r="D554" s="36"/>
      <c r="E554" s="36"/>
      <c r="F554" s="36"/>
      <c r="L554" s="36"/>
      <c r="M554" s="36"/>
      <c r="N554" s="36"/>
      <c r="O554" s="36"/>
      <c r="P554" s="36"/>
      <c r="Q554" s="36"/>
    </row>
    <row r="555" spans="1:17">
      <c r="A555" s="36"/>
      <c r="B555" s="36"/>
      <c r="C555" s="36"/>
      <c r="D555" s="36"/>
      <c r="E555" s="36"/>
      <c r="F555" s="36"/>
      <c r="L555" s="36"/>
      <c r="M555" s="36"/>
      <c r="N555" s="36"/>
      <c r="O555" s="36"/>
      <c r="P555" s="36"/>
      <c r="Q555" s="36"/>
    </row>
    <row r="556" spans="1:17">
      <c r="A556" s="36"/>
      <c r="B556" s="36"/>
      <c r="C556" s="36"/>
      <c r="D556" s="36"/>
      <c r="E556" s="36"/>
      <c r="F556" s="36"/>
      <c r="L556" s="36"/>
      <c r="M556" s="36"/>
      <c r="N556" s="36"/>
      <c r="O556" s="36"/>
      <c r="P556" s="36"/>
      <c r="Q556" s="36"/>
    </row>
    <row r="557" spans="1:17">
      <c r="A557" s="36"/>
      <c r="B557" s="36"/>
      <c r="C557" s="36"/>
      <c r="D557" s="36"/>
      <c r="E557" s="36"/>
      <c r="F557" s="36"/>
      <c r="L557" s="36"/>
      <c r="M557" s="36"/>
      <c r="N557" s="36"/>
      <c r="O557" s="36"/>
      <c r="P557" s="36"/>
      <c r="Q557" s="36"/>
    </row>
    <row r="558" spans="1:17">
      <c r="A558" s="36"/>
      <c r="B558" s="36"/>
      <c r="C558" s="36"/>
      <c r="D558" s="36"/>
      <c r="E558" s="36"/>
      <c r="F558" s="36"/>
      <c r="L558" s="36"/>
      <c r="M558" s="36"/>
      <c r="N558" s="36"/>
      <c r="O558" s="36"/>
      <c r="P558" s="36"/>
      <c r="Q558" s="36"/>
    </row>
    <row r="559" spans="1:17">
      <c r="A559" s="36"/>
      <c r="B559" s="36"/>
      <c r="C559" s="36"/>
      <c r="D559" s="36"/>
      <c r="E559" s="36"/>
      <c r="F559" s="36"/>
      <c r="L559" s="36"/>
      <c r="M559" s="36"/>
      <c r="N559" s="36"/>
      <c r="O559" s="36"/>
      <c r="P559" s="36"/>
      <c r="Q559" s="36"/>
    </row>
    <row r="560" spans="1:17">
      <c r="A560" s="36"/>
      <c r="B560" s="36"/>
      <c r="C560" s="36"/>
      <c r="D560" s="36"/>
      <c r="E560" s="36"/>
      <c r="F560" s="36"/>
      <c r="L560" s="36"/>
      <c r="M560" s="36"/>
      <c r="N560" s="36"/>
      <c r="O560" s="36"/>
      <c r="P560" s="36"/>
      <c r="Q560" s="36"/>
    </row>
    <row r="561" spans="1:17">
      <c r="A561" s="36"/>
      <c r="B561" s="36"/>
      <c r="C561" s="36"/>
      <c r="D561" s="36"/>
      <c r="E561" s="36"/>
      <c r="F561" s="36"/>
      <c r="L561" s="36"/>
      <c r="M561" s="36"/>
      <c r="N561" s="36"/>
      <c r="O561" s="36"/>
      <c r="P561" s="36"/>
      <c r="Q561" s="36"/>
    </row>
    <row r="562" spans="1:17">
      <c r="A562" s="36"/>
      <c r="B562" s="36"/>
      <c r="C562" s="36"/>
      <c r="D562" s="36"/>
      <c r="E562" s="36"/>
      <c r="F562" s="36"/>
      <c r="L562" s="36"/>
      <c r="M562" s="36"/>
      <c r="N562" s="36"/>
      <c r="O562" s="36"/>
      <c r="P562" s="36"/>
      <c r="Q562" s="36"/>
    </row>
    <row r="563" spans="1:17">
      <c r="A563" s="36"/>
      <c r="B563" s="36"/>
      <c r="C563" s="36"/>
      <c r="D563" s="36"/>
      <c r="E563" s="36"/>
      <c r="F563" s="36"/>
      <c r="L563" s="36"/>
      <c r="M563" s="36"/>
      <c r="N563" s="36"/>
      <c r="O563" s="36"/>
      <c r="P563" s="36"/>
      <c r="Q563" s="36"/>
    </row>
    <row r="564" spans="1:17">
      <c r="A564" s="36"/>
      <c r="B564" s="36"/>
      <c r="C564" s="36"/>
      <c r="D564" s="36"/>
      <c r="E564" s="36"/>
      <c r="F564" s="36"/>
      <c r="L564" s="36"/>
      <c r="M564" s="36"/>
      <c r="N564" s="36"/>
      <c r="O564" s="36"/>
      <c r="P564" s="36"/>
      <c r="Q564" s="36"/>
    </row>
    <row r="565" spans="1:17">
      <c r="A565" s="36"/>
      <c r="B565" s="36"/>
      <c r="C565" s="36"/>
      <c r="D565" s="36"/>
      <c r="E565" s="36"/>
      <c r="F565" s="36"/>
      <c r="L565" s="36"/>
      <c r="M565" s="36"/>
      <c r="N565" s="36"/>
      <c r="O565" s="36"/>
      <c r="P565" s="36"/>
      <c r="Q565" s="36"/>
    </row>
    <row r="566" spans="1:17">
      <c r="A566" s="36"/>
      <c r="B566" s="36"/>
      <c r="C566" s="36"/>
      <c r="D566" s="36"/>
      <c r="E566" s="36"/>
      <c r="F566" s="36"/>
      <c r="L566" s="36"/>
      <c r="M566" s="36"/>
      <c r="N566" s="36"/>
      <c r="O566" s="36"/>
      <c r="P566" s="36"/>
      <c r="Q566" s="36"/>
    </row>
    <row r="567" spans="1:17">
      <c r="A567" s="36"/>
      <c r="B567" s="36"/>
      <c r="C567" s="36"/>
      <c r="D567" s="36"/>
      <c r="E567" s="36"/>
      <c r="F567" s="36"/>
      <c r="L567" s="36"/>
      <c r="M567" s="36"/>
      <c r="N567" s="36"/>
      <c r="O567" s="36"/>
      <c r="P567" s="36"/>
      <c r="Q567" s="36"/>
    </row>
    <row r="568" spans="1:17">
      <c r="A568" s="36"/>
      <c r="B568" s="36"/>
      <c r="C568" s="36"/>
      <c r="D568" s="36"/>
      <c r="E568" s="36"/>
      <c r="F568" s="36"/>
      <c r="L568" s="36"/>
      <c r="M568" s="36"/>
      <c r="N568" s="36"/>
      <c r="O568" s="36"/>
      <c r="P568" s="36"/>
      <c r="Q568" s="36"/>
    </row>
    <row r="569" spans="1:17">
      <c r="A569" s="36"/>
      <c r="B569" s="36"/>
      <c r="C569" s="36"/>
      <c r="D569" s="36"/>
      <c r="E569" s="36"/>
      <c r="F569" s="36"/>
      <c r="L569" s="36"/>
      <c r="M569" s="36"/>
      <c r="N569" s="36"/>
      <c r="O569" s="36"/>
      <c r="P569" s="36"/>
      <c r="Q569" s="36"/>
    </row>
    <row r="570" spans="1:17">
      <c r="A570" s="36"/>
      <c r="B570" s="36"/>
      <c r="C570" s="36"/>
      <c r="D570" s="36"/>
      <c r="E570" s="36"/>
      <c r="F570" s="36"/>
      <c r="L570" s="36"/>
      <c r="M570" s="36"/>
      <c r="N570" s="36"/>
      <c r="O570" s="36"/>
      <c r="P570" s="36"/>
      <c r="Q570" s="36"/>
    </row>
    <row r="571" spans="1:17">
      <c r="A571" s="36"/>
      <c r="B571" s="36"/>
      <c r="C571" s="36"/>
      <c r="D571" s="36"/>
      <c r="E571" s="36"/>
      <c r="F571" s="36"/>
      <c r="L571" s="36"/>
      <c r="M571" s="36"/>
      <c r="N571" s="36"/>
      <c r="O571" s="36"/>
      <c r="P571" s="36"/>
      <c r="Q571" s="36"/>
    </row>
    <row r="572" spans="1:17">
      <c r="A572" s="36"/>
      <c r="B572" s="36"/>
      <c r="C572" s="36"/>
      <c r="D572" s="36"/>
      <c r="E572" s="36"/>
      <c r="F572" s="36"/>
      <c r="L572" s="36"/>
      <c r="M572" s="36"/>
      <c r="N572" s="36"/>
      <c r="O572" s="36"/>
      <c r="P572" s="36"/>
      <c r="Q572" s="36"/>
    </row>
    <row r="573" spans="1:17">
      <c r="A573" s="36"/>
      <c r="B573" s="36"/>
      <c r="C573" s="36"/>
      <c r="D573" s="36"/>
      <c r="E573" s="36"/>
      <c r="F573" s="36"/>
      <c r="L573" s="36"/>
      <c r="M573" s="36"/>
      <c r="N573" s="36"/>
      <c r="O573" s="36"/>
      <c r="P573" s="36"/>
      <c r="Q573" s="36"/>
    </row>
    <row r="574" spans="1:17">
      <c r="A574" s="36"/>
      <c r="B574" s="36"/>
      <c r="C574" s="36"/>
      <c r="D574" s="36"/>
      <c r="E574" s="36"/>
      <c r="F574" s="36"/>
      <c r="L574" s="36"/>
      <c r="M574" s="36"/>
      <c r="N574" s="36"/>
      <c r="O574" s="36"/>
      <c r="P574" s="36"/>
      <c r="Q574" s="36"/>
    </row>
    <row r="575" spans="1:17">
      <c r="A575" s="36"/>
      <c r="B575" s="36"/>
      <c r="C575" s="36"/>
      <c r="D575" s="36"/>
      <c r="E575" s="36"/>
      <c r="F575" s="36"/>
      <c r="L575" s="36"/>
      <c r="M575" s="36"/>
      <c r="N575" s="36"/>
      <c r="O575" s="36"/>
      <c r="P575" s="36"/>
      <c r="Q575" s="36"/>
    </row>
    <row r="576" spans="1:17">
      <c r="A576" s="36"/>
      <c r="B576" s="36"/>
      <c r="C576" s="36"/>
      <c r="D576" s="36"/>
      <c r="E576" s="36"/>
      <c r="F576" s="36"/>
      <c r="L576" s="36"/>
      <c r="M576" s="36"/>
      <c r="N576" s="36"/>
      <c r="O576" s="36"/>
      <c r="P576" s="36"/>
      <c r="Q576" s="36"/>
    </row>
    <row r="577" spans="1:17">
      <c r="A577" s="36"/>
      <c r="B577" s="36"/>
      <c r="C577" s="36"/>
      <c r="D577" s="36"/>
      <c r="E577" s="36"/>
      <c r="F577" s="36"/>
      <c r="L577" s="36"/>
      <c r="M577" s="36"/>
      <c r="N577" s="36"/>
      <c r="O577" s="36"/>
      <c r="P577" s="36"/>
      <c r="Q577" s="36"/>
    </row>
    <row r="578" spans="1:17">
      <c r="A578" s="36"/>
      <c r="B578" s="36"/>
      <c r="C578" s="36"/>
      <c r="D578" s="36"/>
      <c r="E578" s="36"/>
      <c r="F578" s="36"/>
      <c r="L578" s="36"/>
      <c r="M578" s="36"/>
      <c r="N578" s="36"/>
      <c r="O578" s="36"/>
      <c r="P578" s="36"/>
      <c r="Q578" s="36"/>
    </row>
    <row r="579" spans="1:17">
      <c r="A579" s="36"/>
      <c r="B579" s="36"/>
      <c r="C579" s="36"/>
      <c r="D579" s="36"/>
      <c r="E579" s="36"/>
      <c r="F579" s="36"/>
      <c r="L579" s="36"/>
      <c r="M579" s="36"/>
      <c r="N579" s="36"/>
      <c r="O579" s="36"/>
      <c r="P579" s="36"/>
      <c r="Q579" s="36"/>
    </row>
    <row r="580" spans="1:17">
      <c r="A580" s="36"/>
      <c r="B580" s="36"/>
      <c r="C580" s="36"/>
      <c r="D580" s="36"/>
      <c r="E580" s="36"/>
      <c r="F580" s="36"/>
      <c r="L580" s="36"/>
      <c r="M580" s="36"/>
      <c r="N580" s="36"/>
      <c r="O580" s="36"/>
      <c r="P580" s="36"/>
      <c r="Q580" s="36"/>
    </row>
    <row r="581" spans="1:17">
      <c r="A581" s="36"/>
      <c r="B581" s="36"/>
      <c r="C581" s="36"/>
      <c r="D581" s="36"/>
      <c r="E581" s="36"/>
      <c r="F581" s="36"/>
      <c r="L581" s="36"/>
      <c r="M581" s="36"/>
      <c r="N581" s="36"/>
      <c r="O581" s="36"/>
      <c r="P581" s="36"/>
      <c r="Q581" s="36"/>
    </row>
    <row r="582" spans="1:17">
      <c r="A582" s="36"/>
      <c r="B582" s="36"/>
      <c r="C582" s="36"/>
      <c r="D582" s="36"/>
      <c r="E582" s="36"/>
      <c r="F582" s="36"/>
      <c r="L582" s="36"/>
      <c r="M582" s="36"/>
      <c r="N582" s="36"/>
      <c r="O582" s="36"/>
      <c r="P582" s="36"/>
      <c r="Q582" s="36"/>
    </row>
    <row r="583" spans="1:17">
      <c r="A583" s="36"/>
      <c r="B583" s="36"/>
      <c r="C583" s="36"/>
      <c r="D583" s="36"/>
      <c r="E583" s="36"/>
      <c r="F583" s="36"/>
      <c r="L583" s="36"/>
      <c r="M583" s="36"/>
      <c r="N583" s="36"/>
      <c r="O583" s="36"/>
      <c r="P583" s="36"/>
      <c r="Q583" s="36"/>
    </row>
    <row r="584" spans="1:17">
      <c r="A584" s="36"/>
      <c r="B584" s="36"/>
      <c r="C584" s="36"/>
      <c r="D584" s="36"/>
      <c r="E584" s="36"/>
      <c r="F584" s="36"/>
      <c r="L584" s="36"/>
      <c r="M584" s="36"/>
      <c r="N584" s="36"/>
      <c r="O584" s="36"/>
      <c r="P584" s="36"/>
      <c r="Q584" s="36"/>
    </row>
    <row r="585" spans="1:17">
      <c r="A585" s="36"/>
      <c r="B585" s="36"/>
      <c r="C585" s="36"/>
      <c r="D585" s="36"/>
      <c r="E585" s="36"/>
      <c r="F585" s="36"/>
      <c r="L585" s="36"/>
      <c r="M585" s="36"/>
      <c r="N585" s="36"/>
      <c r="O585" s="36"/>
      <c r="P585" s="36"/>
      <c r="Q585" s="36"/>
    </row>
    <row r="586" spans="1:17">
      <c r="A586" s="36"/>
      <c r="B586" s="36"/>
      <c r="C586" s="36"/>
      <c r="D586" s="36"/>
      <c r="E586" s="36"/>
      <c r="F586" s="36"/>
      <c r="L586" s="36"/>
      <c r="M586" s="36"/>
      <c r="N586" s="36"/>
      <c r="O586" s="36"/>
      <c r="P586" s="36"/>
      <c r="Q586" s="36"/>
    </row>
    <row r="587" spans="1:17">
      <c r="A587" s="36"/>
      <c r="B587" s="36"/>
      <c r="C587" s="36"/>
      <c r="D587" s="36"/>
      <c r="E587" s="36"/>
      <c r="F587" s="36"/>
      <c r="L587" s="36"/>
      <c r="M587" s="36"/>
      <c r="N587" s="36"/>
      <c r="O587" s="36"/>
      <c r="P587" s="36"/>
      <c r="Q587" s="36"/>
    </row>
    <row r="588" spans="1:17">
      <c r="A588" s="36"/>
      <c r="B588" s="36"/>
      <c r="C588" s="36"/>
      <c r="D588" s="36"/>
      <c r="E588" s="36"/>
      <c r="F588" s="36"/>
      <c r="L588" s="36"/>
      <c r="M588" s="36"/>
      <c r="N588" s="36"/>
      <c r="O588" s="36"/>
      <c r="P588" s="36"/>
      <c r="Q588" s="36"/>
    </row>
    <row r="589" spans="1:17">
      <c r="A589" s="36"/>
      <c r="B589" s="36"/>
      <c r="C589" s="36"/>
      <c r="D589" s="36"/>
      <c r="E589" s="36"/>
      <c r="F589" s="36"/>
      <c r="L589" s="36"/>
      <c r="M589" s="36"/>
      <c r="N589" s="36"/>
      <c r="O589" s="36"/>
      <c r="P589" s="36"/>
      <c r="Q589" s="36"/>
    </row>
    <row r="590" spans="1:17">
      <c r="A590" s="36"/>
      <c r="B590" s="36"/>
      <c r="C590" s="36"/>
      <c r="D590" s="36"/>
      <c r="E590" s="36"/>
      <c r="F590" s="36"/>
      <c r="L590" s="36"/>
      <c r="M590" s="36"/>
      <c r="N590" s="36"/>
      <c r="O590" s="36"/>
      <c r="P590" s="36"/>
      <c r="Q590" s="36"/>
    </row>
    <row r="591" spans="1:17">
      <c r="A591" s="36"/>
      <c r="B591" s="36"/>
      <c r="C591" s="36"/>
      <c r="D591" s="36"/>
      <c r="E591" s="36"/>
      <c r="F591" s="36"/>
      <c r="L591" s="36"/>
      <c r="M591" s="36"/>
      <c r="N591" s="36"/>
      <c r="O591" s="36"/>
      <c r="P591" s="36"/>
      <c r="Q591" s="36"/>
    </row>
    <row r="592" spans="1:17">
      <c r="A592" s="36"/>
      <c r="B592" s="36"/>
      <c r="C592" s="36"/>
      <c r="D592" s="36"/>
      <c r="E592" s="36"/>
      <c r="F592" s="36"/>
      <c r="L592" s="36"/>
      <c r="M592" s="36"/>
      <c r="N592" s="36"/>
      <c r="O592" s="36"/>
      <c r="P592" s="36"/>
      <c r="Q592" s="36"/>
    </row>
    <row r="593" spans="1:17">
      <c r="A593" s="36"/>
      <c r="B593" s="36"/>
      <c r="C593" s="36"/>
      <c r="D593" s="36"/>
      <c r="E593" s="36"/>
      <c r="F593" s="36"/>
      <c r="L593" s="36"/>
      <c r="M593" s="36"/>
      <c r="N593" s="36"/>
      <c r="O593" s="36"/>
      <c r="P593" s="36"/>
      <c r="Q593" s="36"/>
    </row>
    <row r="594" spans="1:17">
      <c r="A594" s="36"/>
      <c r="B594" s="36"/>
      <c r="C594" s="36"/>
      <c r="D594" s="36"/>
      <c r="E594" s="36"/>
      <c r="F594" s="36"/>
      <c r="L594" s="36"/>
      <c r="M594" s="36"/>
      <c r="N594" s="36"/>
      <c r="O594" s="36"/>
      <c r="P594" s="36"/>
      <c r="Q594" s="36"/>
    </row>
    <row r="595" spans="1:17">
      <c r="A595" s="36"/>
      <c r="B595" s="36"/>
      <c r="C595" s="36"/>
      <c r="D595" s="36"/>
      <c r="E595" s="36"/>
      <c r="F595" s="36"/>
      <c r="L595" s="36"/>
      <c r="M595" s="36"/>
      <c r="N595" s="36"/>
      <c r="O595" s="36"/>
      <c r="P595" s="36"/>
      <c r="Q595" s="36"/>
    </row>
    <row r="596" spans="1:17">
      <c r="A596" s="36"/>
      <c r="B596" s="36"/>
      <c r="C596" s="36"/>
      <c r="D596" s="36"/>
      <c r="E596" s="36"/>
      <c r="F596" s="36"/>
      <c r="L596" s="36"/>
      <c r="M596" s="36"/>
      <c r="N596" s="36"/>
      <c r="O596" s="36"/>
      <c r="P596" s="36"/>
      <c r="Q596" s="36"/>
    </row>
    <row r="597" spans="1:17">
      <c r="A597" s="36"/>
      <c r="B597" s="36"/>
      <c r="C597" s="36"/>
      <c r="D597" s="36"/>
      <c r="E597" s="36"/>
      <c r="F597" s="36"/>
      <c r="L597" s="36"/>
      <c r="M597" s="36"/>
      <c r="N597" s="36"/>
      <c r="O597" s="36"/>
      <c r="P597" s="36"/>
      <c r="Q597" s="36"/>
    </row>
    <row r="598" spans="1:17">
      <c r="A598" s="36"/>
      <c r="B598" s="36"/>
      <c r="C598" s="36"/>
      <c r="D598" s="36"/>
      <c r="E598" s="36"/>
      <c r="F598" s="36"/>
      <c r="L598" s="36"/>
      <c r="M598" s="36"/>
      <c r="N598" s="36"/>
      <c r="O598" s="36"/>
      <c r="P598" s="36"/>
      <c r="Q598" s="36"/>
    </row>
    <row r="599" spans="1:17">
      <c r="A599" s="36"/>
      <c r="B599" s="36"/>
      <c r="C599" s="36"/>
      <c r="D599" s="36"/>
      <c r="E599" s="36"/>
      <c r="F599" s="36"/>
      <c r="L599" s="36"/>
      <c r="M599" s="36"/>
      <c r="N599" s="36"/>
      <c r="O599" s="36"/>
      <c r="P599" s="36"/>
      <c r="Q599" s="36"/>
    </row>
    <row r="600" spans="1:17">
      <c r="A600" s="36"/>
      <c r="B600" s="36"/>
      <c r="C600" s="36"/>
      <c r="D600" s="36"/>
      <c r="E600" s="36"/>
      <c r="F600" s="36"/>
      <c r="L600" s="36"/>
      <c r="M600" s="36"/>
      <c r="N600" s="36"/>
      <c r="O600" s="36"/>
      <c r="P600" s="36"/>
      <c r="Q600" s="36"/>
    </row>
    <row r="601" spans="1:17">
      <c r="A601" s="36"/>
      <c r="B601" s="36"/>
      <c r="C601" s="36"/>
      <c r="D601" s="36"/>
      <c r="E601" s="36"/>
      <c r="F601" s="36"/>
      <c r="L601" s="36"/>
      <c r="M601" s="36"/>
      <c r="N601" s="36"/>
      <c r="O601" s="36"/>
      <c r="P601" s="36"/>
      <c r="Q601" s="36"/>
    </row>
    <row r="602" spans="1:17">
      <c r="A602" s="36"/>
      <c r="B602" s="36"/>
      <c r="C602" s="36"/>
      <c r="D602" s="36"/>
      <c r="E602" s="36"/>
      <c r="F602" s="36"/>
      <c r="L602" s="36"/>
      <c r="M602" s="36"/>
      <c r="N602" s="36"/>
      <c r="O602" s="36"/>
      <c r="P602" s="36"/>
      <c r="Q602" s="36"/>
    </row>
    <row r="603" spans="1:17">
      <c r="A603" s="36"/>
      <c r="B603" s="36"/>
      <c r="C603" s="36"/>
      <c r="D603" s="36"/>
      <c r="E603" s="36"/>
      <c r="F603" s="36"/>
      <c r="L603" s="36"/>
      <c r="M603" s="36"/>
      <c r="N603" s="36"/>
      <c r="O603" s="36"/>
      <c r="P603" s="36"/>
      <c r="Q603" s="36"/>
    </row>
    <row r="604" spans="1:17">
      <c r="A604" s="36"/>
      <c r="B604" s="36"/>
      <c r="C604" s="36"/>
      <c r="D604" s="36"/>
      <c r="E604" s="36"/>
      <c r="F604" s="36"/>
      <c r="L604" s="36"/>
      <c r="M604" s="36"/>
      <c r="N604" s="36"/>
      <c r="O604" s="36"/>
      <c r="P604" s="36"/>
      <c r="Q604" s="36"/>
    </row>
    <row r="605" spans="1:17">
      <c r="A605" s="36"/>
      <c r="B605" s="36"/>
      <c r="C605" s="36"/>
      <c r="D605" s="36"/>
      <c r="E605" s="36"/>
      <c r="F605" s="36"/>
      <c r="L605" s="36"/>
      <c r="M605" s="36"/>
      <c r="N605" s="36"/>
      <c r="O605" s="36"/>
      <c r="P605" s="36"/>
      <c r="Q605" s="36"/>
    </row>
    <row r="606" spans="1:17">
      <c r="A606" s="36"/>
      <c r="B606" s="36"/>
      <c r="C606" s="36"/>
      <c r="D606" s="36"/>
      <c r="E606" s="36"/>
      <c r="F606" s="36"/>
      <c r="L606" s="36"/>
      <c r="M606" s="36"/>
      <c r="N606" s="36"/>
      <c r="O606" s="36"/>
      <c r="P606" s="36"/>
      <c r="Q606" s="36"/>
    </row>
    <row r="607" spans="1:17">
      <c r="A607" s="36"/>
      <c r="B607" s="36"/>
      <c r="C607" s="36"/>
      <c r="D607" s="36"/>
      <c r="E607" s="36"/>
      <c r="F607" s="36"/>
      <c r="L607" s="36"/>
      <c r="M607" s="36"/>
      <c r="N607" s="36"/>
      <c r="O607" s="36"/>
      <c r="P607" s="36"/>
      <c r="Q607" s="36"/>
    </row>
    <row r="608" spans="1:17">
      <c r="A608" s="36"/>
      <c r="B608" s="36"/>
      <c r="C608" s="36"/>
      <c r="D608" s="36"/>
      <c r="E608" s="36"/>
      <c r="F608" s="36"/>
      <c r="L608" s="36"/>
      <c r="M608" s="36"/>
      <c r="N608" s="36"/>
      <c r="O608" s="36"/>
      <c r="P608" s="36"/>
      <c r="Q608" s="36"/>
    </row>
    <row r="609" spans="1:17">
      <c r="A609" s="36"/>
      <c r="B609" s="36"/>
      <c r="C609" s="36"/>
      <c r="D609" s="36"/>
      <c r="E609" s="36"/>
      <c r="F609" s="36"/>
      <c r="L609" s="36"/>
      <c r="M609" s="36"/>
      <c r="N609" s="36"/>
      <c r="O609" s="36"/>
      <c r="P609" s="36"/>
      <c r="Q609" s="36"/>
    </row>
    <row r="610" spans="1:17">
      <c r="A610" s="36"/>
      <c r="B610" s="36"/>
      <c r="C610" s="36"/>
      <c r="D610" s="36"/>
      <c r="E610" s="36"/>
      <c r="F610" s="36"/>
      <c r="L610" s="36"/>
      <c r="M610" s="36"/>
      <c r="N610" s="36"/>
      <c r="O610" s="36"/>
      <c r="P610" s="36"/>
      <c r="Q610" s="36"/>
    </row>
    <row r="611" spans="1:17">
      <c r="A611" s="36"/>
      <c r="B611" s="36"/>
      <c r="C611" s="36"/>
      <c r="D611" s="36"/>
      <c r="E611" s="36"/>
      <c r="F611" s="36"/>
      <c r="L611" s="36"/>
      <c r="M611" s="36"/>
      <c r="N611" s="36"/>
      <c r="O611" s="36"/>
      <c r="P611" s="36"/>
      <c r="Q611" s="36"/>
    </row>
    <row r="612" spans="1:17">
      <c r="A612" s="36"/>
      <c r="B612" s="36"/>
      <c r="C612" s="36"/>
      <c r="D612" s="36"/>
      <c r="E612" s="36"/>
      <c r="F612" s="36"/>
      <c r="L612" s="36"/>
      <c r="M612" s="36"/>
      <c r="N612" s="36"/>
      <c r="O612" s="36"/>
      <c r="P612" s="36"/>
      <c r="Q612" s="36"/>
    </row>
    <row r="613" spans="1:17">
      <c r="A613" s="36"/>
      <c r="B613" s="36"/>
      <c r="C613" s="36"/>
      <c r="D613" s="36"/>
      <c r="E613" s="36"/>
      <c r="F613" s="36"/>
      <c r="L613" s="36"/>
      <c r="M613" s="36"/>
      <c r="N613" s="36"/>
      <c r="O613" s="36"/>
      <c r="P613" s="36"/>
      <c r="Q613" s="36"/>
    </row>
    <row r="614" spans="1:17">
      <c r="A614" s="36"/>
      <c r="B614" s="36"/>
      <c r="C614" s="36"/>
      <c r="D614" s="36"/>
      <c r="E614" s="36"/>
      <c r="F614" s="36"/>
      <c r="L614" s="36"/>
      <c r="M614" s="36"/>
      <c r="N614" s="36"/>
      <c r="O614" s="36"/>
      <c r="P614" s="36"/>
      <c r="Q614" s="36"/>
    </row>
    <row r="615" spans="1:17">
      <c r="A615" s="36"/>
      <c r="B615" s="36"/>
      <c r="C615" s="36"/>
      <c r="D615" s="36"/>
      <c r="E615" s="36"/>
      <c r="F615" s="36"/>
      <c r="L615" s="36"/>
      <c r="M615" s="36"/>
      <c r="N615" s="36"/>
      <c r="O615" s="36"/>
      <c r="P615" s="36"/>
      <c r="Q615" s="36"/>
    </row>
    <row r="616" spans="1:17">
      <c r="A616" s="36"/>
      <c r="B616" s="36"/>
      <c r="C616" s="36"/>
      <c r="D616" s="36"/>
      <c r="E616" s="36"/>
      <c r="F616" s="36"/>
      <c r="L616" s="36"/>
      <c r="M616" s="36"/>
      <c r="N616" s="36"/>
      <c r="O616" s="36"/>
      <c r="P616" s="36"/>
      <c r="Q616" s="36"/>
    </row>
    <row r="617" spans="1:17">
      <c r="A617" s="36"/>
      <c r="B617" s="36"/>
      <c r="C617" s="36"/>
      <c r="D617" s="36"/>
      <c r="E617" s="36"/>
      <c r="F617" s="36"/>
      <c r="L617" s="36"/>
      <c r="M617" s="36"/>
      <c r="N617" s="36"/>
      <c r="O617" s="36"/>
      <c r="P617" s="36"/>
      <c r="Q617" s="36"/>
    </row>
    <row r="618" spans="1:17">
      <c r="A618" s="36"/>
      <c r="B618" s="36"/>
      <c r="C618" s="36"/>
      <c r="D618" s="36"/>
      <c r="E618" s="36"/>
      <c r="F618" s="36"/>
      <c r="L618" s="36"/>
      <c r="M618" s="36"/>
      <c r="N618" s="36"/>
      <c r="O618" s="36"/>
      <c r="P618" s="36"/>
      <c r="Q618" s="36"/>
    </row>
    <row r="619" spans="1:17">
      <c r="A619" s="36"/>
      <c r="B619" s="36"/>
      <c r="C619" s="36"/>
      <c r="D619" s="36"/>
      <c r="E619" s="36"/>
      <c r="F619" s="36"/>
      <c r="L619" s="36"/>
      <c r="M619" s="36"/>
      <c r="N619" s="36"/>
      <c r="O619" s="36"/>
      <c r="P619" s="36"/>
      <c r="Q619" s="36"/>
    </row>
    <row r="620" spans="1:17">
      <c r="A620" s="36"/>
      <c r="B620" s="36"/>
      <c r="C620" s="36"/>
      <c r="D620" s="36"/>
      <c r="E620" s="36"/>
      <c r="F620" s="36"/>
      <c r="L620" s="36"/>
      <c r="M620" s="36"/>
      <c r="N620" s="36"/>
      <c r="O620" s="36"/>
      <c r="P620" s="36"/>
      <c r="Q620" s="36"/>
    </row>
    <row r="621" spans="1:17">
      <c r="A621" s="36"/>
      <c r="B621" s="36"/>
      <c r="C621" s="36"/>
      <c r="D621" s="36"/>
      <c r="E621" s="36"/>
      <c r="F621" s="36"/>
      <c r="L621" s="36"/>
      <c r="M621" s="36"/>
      <c r="N621" s="36"/>
      <c r="O621" s="36"/>
      <c r="P621" s="36"/>
      <c r="Q621" s="36"/>
    </row>
    <row r="622" spans="1:17">
      <c r="A622" s="36"/>
      <c r="B622" s="36"/>
      <c r="C622" s="36"/>
      <c r="D622" s="36"/>
      <c r="E622" s="36"/>
      <c r="F622" s="36"/>
      <c r="L622" s="36"/>
      <c r="M622" s="36"/>
      <c r="N622" s="36"/>
      <c r="O622" s="36"/>
      <c r="P622" s="36"/>
      <c r="Q622" s="36"/>
    </row>
    <row r="623" spans="1:17">
      <c r="A623" s="36"/>
      <c r="B623" s="36"/>
      <c r="C623" s="36"/>
      <c r="D623" s="36"/>
      <c r="E623" s="36"/>
      <c r="F623" s="36"/>
      <c r="L623" s="36"/>
      <c r="M623" s="36"/>
      <c r="N623" s="36"/>
      <c r="O623" s="36"/>
      <c r="P623" s="36"/>
      <c r="Q623" s="36"/>
    </row>
    <row r="624" spans="1:17">
      <c r="A624" s="36"/>
      <c r="B624" s="36"/>
      <c r="C624" s="36"/>
      <c r="D624" s="36"/>
      <c r="E624" s="36"/>
      <c r="F624" s="36"/>
      <c r="L624" s="36"/>
      <c r="M624" s="36"/>
      <c r="N624" s="36"/>
      <c r="O624" s="36"/>
      <c r="P624" s="36"/>
      <c r="Q624" s="36"/>
    </row>
    <row r="625" spans="1:17">
      <c r="A625" s="36"/>
      <c r="B625" s="36"/>
      <c r="C625" s="36"/>
      <c r="D625" s="36"/>
      <c r="E625" s="36"/>
      <c r="F625" s="36"/>
      <c r="L625" s="36"/>
      <c r="M625" s="36"/>
      <c r="N625" s="36"/>
      <c r="O625" s="36"/>
      <c r="P625" s="36"/>
      <c r="Q625" s="36"/>
    </row>
    <row r="626" spans="1:17">
      <c r="A626" s="36"/>
      <c r="B626" s="36"/>
      <c r="C626" s="36"/>
      <c r="D626" s="36"/>
      <c r="E626" s="36"/>
      <c r="F626" s="36"/>
      <c r="L626" s="36"/>
      <c r="M626" s="36"/>
      <c r="N626" s="36"/>
      <c r="O626" s="36"/>
      <c r="P626" s="36"/>
      <c r="Q626" s="36"/>
    </row>
    <row r="627" spans="1:17">
      <c r="A627" s="36"/>
      <c r="B627" s="36"/>
      <c r="C627" s="36"/>
      <c r="D627" s="36"/>
      <c r="E627" s="36"/>
      <c r="F627" s="36"/>
      <c r="L627" s="36"/>
      <c r="M627" s="36"/>
      <c r="N627" s="36"/>
      <c r="O627" s="36"/>
      <c r="P627" s="36"/>
      <c r="Q627" s="36"/>
    </row>
    <row r="628" spans="1:17">
      <c r="A628" s="36"/>
      <c r="B628" s="36"/>
      <c r="C628" s="36"/>
      <c r="D628" s="36"/>
      <c r="E628" s="36"/>
      <c r="F628" s="36"/>
      <c r="L628" s="36"/>
      <c r="M628" s="36"/>
      <c r="N628" s="36"/>
      <c r="O628" s="36"/>
      <c r="P628" s="36"/>
      <c r="Q628" s="36"/>
    </row>
    <row r="629" spans="1:17">
      <c r="A629" s="36"/>
      <c r="B629" s="36"/>
      <c r="C629" s="36"/>
      <c r="D629" s="36"/>
      <c r="E629" s="36"/>
      <c r="F629" s="36"/>
      <c r="L629" s="36"/>
      <c r="M629" s="36"/>
      <c r="N629" s="36"/>
      <c r="O629" s="36"/>
      <c r="P629" s="36"/>
      <c r="Q629" s="36"/>
    </row>
    <row r="630" spans="1:17">
      <c r="A630" s="36"/>
      <c r="B630" s="36"/>
      <c r="C630" s="36"/>
      <c r="D630" s="36"/>
      <c r="E630" s="36"/>
      <c r="F630" s="36"/>
      <c r="L630" s="36"/>
      <c r="M630" s="36"/>
      <c r="N630" s="36"/>
      <c r="O630" s="36"/>
      <c r="P630" s="36"/>
      <c r="Q630" s="36"/>
    </row>
    <row r="631" spans="1:17">
      <c r="A631" s="36"/>
      <c r="B631" s="36"/>
      <c r="C631" s="36"/>
      <c r="D631" s="36"/>
      <c r="E631" s="36"/>
      <c r="F631" s="36"/>
      <c r="L631" s="36"/>
      <c r="M631" s="36"/>
      <c r="N631" s="36"/>
      <c r="O631" s="36"/>
      <c r="P631" s="36"/>
      <c r="Q631" s="36"/>
    </row>
    <row r="632" spans="1:17">
      <c r="A632" s="36"/>
      <c r="B632" s="36"/>
      <c r="C632" s="36"/>
      <c r="D632" s="36"/>
      <c r="E632" s="36"/>
      <c r="F632" s="36"/>
      <c r="L632" s="36"/>
      <c r="M632" s="36"/>
      <c r="N632" s="36"/>
      <c r="O632" s="36"/>
      <c r="P632" s="36"/>
      <c r="Q632" s="36"/>
    </row>
    <row r="633" spans="1:17">
      <c r="A633" s="36"/>
      <c r="B633" s="36"/>
      <c r="C633" s="36"/>
      <c r="D633" s="36"/>
      <c r="E633" s="36"/>
      <c r="F633" s="36"/>
      <c r="L633" s="36"/>
      <c r="M633" s="36"/>
      <c r="N633" s="36"/>
      <c r="O633" s="36"/>
      <c r="P633" s="36"/>
      <c r="Q633" s="36"/>
    </row>
    <row r="634" spans="1:17">
      <c r="A634" s="36"/>
      <c r="B634" s="36"/>
      <c r="C634" s="36"/>
      <c r="D634" s="36"/>
      <c r="E634" s="36"/>
      <c r="F634" s="36"/>
      <c r="L634" s="36"/>
      <c r="M634" s="36"/>
      <c r="N634" s="36"/>
      <c r="O634" s="36"/>
      <c r="P634" s="36"/>
      <c r="Q634" s="36"/>
    </row>
    <row r="635" spans="1:17">
      <c r="A635" s="36"/>
      <c r="B635" s="36"/>
      <c r="C635" s="36"/>
      <c r="D635" s="36"/>
      <c r="E635" s="36"/>
      <c r="F635" s="36"/>
      <c r="L635" s="36"/>
      <c r="M635" s="36"/>
      <c r="N635" s="36"/>
      <c r="O635" s="36"/>
      <c r="P635" s="36"/>
      <c r="Q635" s="36"/>
    </row>
    <row r="636" spans="1:17">
      <c r="A636" s="36"/>
      <c r="B636" s="36"/>
      <c r="C636" s="36"/>
      <c r="D636" s="36"/>
      <c r="E636" s="36"/>
      <c r="F636" s="36"/>
      <c r="L636" s="36"/>
      <c r="M636" s="36"/>
      <c r="N636" s="36"/>
      <c r="O636" s="36"/>
      <c r="P636" s="36"/>
      <c r="Q636" s="36"/>
    </row>
    <row r="637" spans="1:17">
      <c r="A637" s="36"/>
      <c r="B637" s="36"/>
      <c r="C637" s="36"/>
      <c r="D637" s="36"/>
      <c r="E637" s="36"/>
      <c r="F637" s="36"/>
      <c r="L637" s="36"/>
      <c r="M637" s="36"/>
      <c r="N637" s="36"/>
      <c r="O637" s="36"/>
      <c r="P637" s="36"/>
      <c r="Q637" s="36"/>
    </row>
    <row r="638" spans="1:17">
      <c r="A638" s="36"/>
      <c r="B638" s="36"/>
      <c r="C638" s="36"/>
      <c r="D638" s="36"/>
      <c r="E638" s="36"/>
      <c r="F638" s="36"/>
      <c r="L638" s="36"/>
      <c r="M638" s="36"/>
      <c r="N638" s="36"/>
      <c r="O638" s="36"/>
      <c r="P638" s="36"/>
      <c r="Q638" s="36"/>
    </row>
    <row r="639" spans="1:17">
      <c r="A639" s="36"/>
      <c r="B639" s="36"/>
      <c r="C639" s="36"/>
      <c r="D639" s="36"/>
      <c r="E639" s="36"/>
      <c r="F639" s="36"/>
      <c r="L639" s="36"/>
      <c r="M639" s="36"/>
      <c r="N639" s="36"/>
      <c r="O639" s="36"/>
      <c r="P639" s="36"/>
      <c r="Q639" s="36"/>
    </row>
    <row r="640" spans="1:17">
      <c r="A640" s="36"/>
      <c r="B640" s="36"/>
      <c r="C640" s="36"/>
      <c r="D640" s="36"/>
      <c r="E640" s="36"/>
      <c r="F640" s="36"/>
      <c r="L640" s="36"/>
      <c r="M640" s="36"/>
      <c r="N640" s="36"/>
      <c r="O640" s="36"/>
      <c r="P640" s="36"/>
      <c r="Q640" s="36"/>
    </row>
    <row r="641" spans="1:17">
      <c r="A641" s="36"/>
      <c r="B641" s="36"/>
      <c r="C641" s="36"/>
      <c r="D641" s="36"/>
      <c r="E641" s="36"/>
      <c r="F641" s="36"/>
      <c r="L641" s="36"/>
      <c r="M641" s="36"/>
      <c r="N641" s="36"/>
      <c r="O641" s="36"/>
      <c r="P641" s="36"/>
      <c r="Q641" s="36"/>
    </row>
    <row r="642" spans="1:17">
      <c r="A642" s="36"/>
      <c r="B642" s="36"/>
      <c r="C642" s="36"/>
      <c r="D642" s="36"/>
      <c r="E642" s="36"/>
      <c r="F642" s="36"/>
      <c r="L642" s="36"/>
      <c r="M642" s="36"/>
      <c r="N642" s="36"/>
      <c r="O642" s="36"/>
      <c r="P642" s="36"/>
      <c r="Q642" s="36"/>
    </row>
    <row r="643" spans="1:17">
      <c r="A643" s="36"/>
      <c r="B643" s="36"/>
      <c r="C643" s="36"/>
      <c r="D643" s="36"/>
      <c r="E643" s="36"/>
      <c r="F643" s="36"/>
      <c r="L643" s="36"/>
      <c r="M643" s="36"/>
      <c r="N643" s="36"/>
      <c r="O643" s="36"/>
      <c r="P643" s="36"/>
      <c r="Q643" s="36"/>
    </row>
    <row r="644" spans="1:17">
      <c r="A644" s="36"/>
      <c r="B644" s="36"/>
      <c r="C644" s="36"/>
      <c r="D644" s="36"/>
      <c r="E644" s="36"/>
      <c r="F644" s="36"/>
      <c r="L644" s="36"/>
      <c r="M644" s="36"/>
      <c r="N644" s="36"/>
      <c r="O644" s="36"/>
      <c r="P644" s="36"/>
      <c r="Q644" s="36"/>
    </row>
    <row r="645" spans="1:17">
      <c r="A645" s="36"/>
      <c r="B645" s="36"/>
      <c r="C645" s="36"/>
      <c r="D645" s="36"/>
      <c r="E645" s="36"/>
      <c r="F645" s="36"/>
      <c r="L645" s="36"/>
      <c r="M645" s="36"/>
      <c r="N645" s="36"/>
      <c r="O645" s="36"/>
      <c r="P645" s="36"/>
      <c r="Q645" s="36"/>
    </row>
    <row r="646" spans="1:17">
      <c r="A646" s="36"/>
      <c r="B646" s="36"/>
      <c r="C646" s="36"/>
      <c r="D646" s="36"/>
      <c r="E646" s="36"/>
      <c r="F646" s="36"/>
      <c r="L646" s="36"/>
      <c r="M646" s="36"/>
      <c r="N646" s="36"/>
      <c r="O646" s="36"/>
      <c r="P646" s="36"/>
      <c r="Q646" s="36"/>
    </row>
    <row r="647" spans="1:17">
      <c r="A647" s="36"/>
      <c r="B647" s="36"/>
      <c r="C647" s="36"/>
      <c r="D647" s="36"/>
      <c r="E647" s="36"/>
      <c r="F647" s="36"/>
      <c r="L647" s="36"/>
      <c r="M647" s="36"/>
      <c r="N647" s="36"/>
      <c r="O647" s="36"/>
      <c r="P647" s="36"/>
      <c r="Q647" s="36"/>
    </row>
    <row r="648" spans="1:17">
      <c r="A648" s="36"/>
      <c r="B648" s="36"/>
      <c r="C648" s="36"/>
      <c r="D648" s="36"/>
      <c r="E648" s="36"/>
      <c r="F648" s="36"/>
      <c r="L648" s="36"/>
      <c r="M648" s="36"/>
      <c r="N648" s="36"/>
      <c r="O648" s="36"/>
      <c r="P648" s="36"/>
      <c r="Q648" s="36"/>
    </row>
    <row r="649" spans="1:17">
      <c r="A649" s="36"/>
      <c r="B649" s="36"/>
      <c r="C649" s="36"/>
      <c r="D649" s="36"/>
      <c r="E649" s="36"/>
      <c r="F649" s="36"/>
      <c r="L649" s="36"/>
      <c r="M649" s="36"/>
      <c r="N649" s="36"/>
      <c r="O649" s="36"/>
      <c r="P649" s="36"/>
      <c r="Q649" s="36"/>
    </row>
    <row r="650" spans="1:17">
      <c r="A650" s="36"/>
      <c r="B650" s="36"/>
      <c r="C650" s="36"/>
      <c r="D650" s="36"/>
      <c r="E650" s="36"/>
      <c r="F650" s="36"/>
      <c r="L650" s="36"/>
      <c r="M650" s="36"/>
      <c r="N650" s="36"/>
      <c r="O650" s="36"/>
      <c r="P650" s="36"/>
      <c r="Q650" s="36"/>
    </row>
    <row r="651" spans="1:17">
      <c r="A651" s="36"/>
      <c r="B651" s="36"/>
      <c r="C651" s="36"/>
      <c r="D651" s="36"/>
      <c r="E651" s="36"/>
      <c r="F651" s="36"/>
      <c r="L651" s="36"/>
      <c r="M651" s="36"/>
      <c r="N651" s="36"/>
      <c r="O651" s="36"/>
      <c r="P651" s="36"/>
      <c r="Q651" s="36"/>
    </row>
    <row r="652" spans="1:17">
      <c r="A652" s="36"/>
      <c r="B652" s="36"/>
      <c r="C652" s="36"/>
      <c r="D652" s="36"/>
      <c r="E652" s="36"/>
      <c r="F652" s="36"/>
      <c r="L652" s="36"/>
      <c r="M652" s="36"/>
      <c r="N652" s="36"/>
      <c r="O652" s="36"/>
      <c r="P652" s="36"/>
      <c r="Q652" s="36"/>
    </row>
    <row r="653" spans="1:17">
      <c r="A653" s="36"/>
      <c r="B653" s="36"/>
      <c r="C653" s="36"/>
      <c r="D653" s="36"/>
      <c r="E653" s="36"/>
      <c r="F653" s="36"/>
      <c r="L653" s="36"/>
      <c r="M653" s="36"/>
      <c r="N653" s="36"/>
      <c r="O653" s="36"/>
      <c r="P653" s="36"/>
      <c r="Q653" s="36"/>
    </row>
    <row r="654" spans="1:17">
      <c r="A654" s="36"/>
      <c r="B654" s="36"/>
      <c r="C654" s="36"/>
      <c r="D654" s="36"/>
      <c r="E654" s="36"/>
      <c r="F654" s="36"/>
      <c r="L654" s="36"/>
      <c r="M654" s="36"/>
      <c r="N654" s="36"/>
      <c r="O654" s="36"/>
      <c r="P654" s="36"/>
      <c r="Q654" s="36"/>
    </row>
    <row r="655" spans="1:17">
      <c r="A655" s="36"/>
      <c r="B655" s="36"/>
      <c r="C655" s="36"/>
      <c r="D655" s="36"/>
      <c r="E655" s="36"/>
      <c r="F655" s="36"/>
      <c r="L655" s="36"/>
      <c r="M655" s="36"/>
      <c r="N655" s="36"/>
      <c r="O655" s="36"/>
      <c r="P655" s="36"/>
      <c r="Q655" s="36"/>
    </row>
    <row r="656" spans="1:17">
      <c r="A656" s="36"/>
      <c r="B656" s="36"/>
      <c r="C656" s="36"/>
      <c r="D656" s="36"/>
      <c r="E656" s="36"/>
      <c r="F656" s="36"/>
      <c r="L656" s="36"/>
      <c r="M656" s="36"/>
      <c r="N656" s="36"/>
      <c r="O656" s="36"/>
      <c r="P656" s="36"/>
      <c r="Q656" s="36"/>
    </row>
    <row r="657" spans="1:17">
      <c r="A657" s="36"/>
      <c r="B657" s="36"/>
      <c r="C657" s="36"/>
      <c r="D657" s="36"/>
      <c r="E657" s="36"/>
      <c r="F657" s="36"/>
      <c r="L657" s="36"/>
      <c r="M657" s="36"/>
      <c r="N657" s="36"/>
      <c r="O657" s="36"/>
      <c r="P657" s="36"/>
      <c r="Q657" s="36"/>
    </row>
    <row r="658" spans="1:17">
      <c r="A658" s="36"/>
      <c r="B658" s="36"/>
      <c r="C658" s="36"/>
      <c r="D658" s="36"/>
      <c r="E658" s="36"/>
      <c r="F658" s="36"/>
      <c r="L658" s="36"/>
      <c r="M658" s="36"/>
      <c r="N658" s="36"/>
      <c r="O658" s="36"/>
      <c r="P658" s="36"/>
      <c r="Q658" s="36"/>
    </row>
    <row r="659" spans="1:17">
      <c r="A659" s="36"/>
      <c r="B659" s="36"/>
      <c r="C659" s="36"/>
      <c r="D659" s="36"/>
      <c r="E659" s="36"/>
      <c r="F659" s="36"/>
      <c r="L659" s="36"/>
      <c r="M659" s="36"/>
      <c r="N659" s="36"/>
      <c r="O659" s="36"/>
      <c r="P659" s="36"/>
      <c r="Q659" s="36"/>
    </row>
    <row r="660" spans="1:17">
      <c r="A660" s="36"/>
      <c r="B660" s="36"/>
      <c r="C660" s="36"/>
      <c r="D660" s="36"/>
      <c r="E660" s="36"/>
      <c r="F660" s="36"/>
      <c r="L660" s="36"/>
      <c r="M660" s="36"/>
      <c r="N660" s="36"/>
      <c r="O660" s="36"/>
      <c r="P660" s="36"/>
      <c r="Q660" s="36"/>
    </row>
    <row r="661" spans="1:17">
      <c r="A661" s="36"/>
      <c r="B661" s="36"/>
      <c r="C661" s="36"/>
      <c r="D661" s="36"/>
      <c r="E661" s="36"/>
      <c r="F661" s="36"/>
      <c r="L661" s="36"/>
      <c r="M661" s="36"/>
      <c r="N661" s="36"/>
      <c r="O661" s="36"/>
      <c r="P661" s="36"/>
      <c r="Q661" s="36"/>
    </row>
    <row r="662" spans="1:17">
      <c r="A662" s="36"/>
      <c r="B662" s="36"/>
      <c r="C662" s="36"/>
      <c r="D662" s="36"/>
      <c r="E662" s="36"/>
      <c r="F662" s="36"/>
      <c r="L662" s="36"/>
      <c r="M662" s="36"/>
      <c r="N662" s="36"/>
      <c r="O662" s="36"/>
      <c r="P662" s="36"/>
      <c r="Q662" s="36"/>
    </row>
    <row r="663" spans="1:17">
      <c r="A663" s="36"/>
      <c r="B663" s="36"/>
      <c r="C663" s="36"/>
      <c r="D663" s="36"/>
      <c r="E663" s="36"/>
      <c r="F663" s="36"/>
      <c r="L663" s="36"/>
      <c r="M663" s="36"/>
      <c r="N663" s="36"/>
      <c r="O663" s="36"/>
      <c r="P663" s="36"/>
      <c r="Q663" s="36"/>
    </row>
    <row r="664" spans="1:17">
      <c r="A664" s="36"/>
      <c r="B664" s="36"/>
      <c r="C664" s="36"/>
      <c r="D664" s="36"/>
      <c r="E664" s="36"/>
      <c r="F664" s="36"/>
      <c r="L664" s="36"/>
      <c r="M664" s="36"/>
      <c r="N664" s="36"/>
      <c r="O664" s="36"/>
      <c r="P664" s="36"/>
      <c r="Q664" s="36"/>
    </row>
    <row r="665" spans="1:17">
      <c r="A665" s="36"/>
      <c r="B665" s="36"/>
      <c r="C665" s="36"/>
      <c r="D665" s="36"/>
      <c r="E665" s="36"/>
      <c r="F665" s="36"/>
      <c r="L665" s="36"/>
      <c r="M665" s="36"/>
      <c r="N665" s="36"/>
      <c r="O665" s="36"/>
      <c r="P665" s="36"/>
      <c r="Q665" s="36"/>
    </row>
    <row r="666" spans="1:17">
      <c r="A666" s="36"/>
      <c r="B666" s="36"/>
      <c r="C666" s="36"/>
      <c r="D666" s="36"/>
      <c r="E666" s="36"/>
      <c r="F666" s="36"/>
      <c r="L666" s="36"/>
      <c r="M666" s="36"/>
      <c r="N666" s="36"/>
      <c r="O666" s="36"/>
      <c r="P666" s="36"/>
      <c r="Q666" s="36"/>
    </row>
    <row r="667" spans="1:17">
      <c r="A667" s="36"/>
      <c r="B667" s="36"/>
      <c r="C667" s="36"/>
      <c r="D667" s="36"/>
      <c r="E667" s="36"/>
      <c r="F667" s="36"/>
      <c r="L667" s="36"/>
      <c r="M667" s="36"/>
      <c r="N667" s="36"/>
      <c r="O667" s="36"/>
      <c r="P667" s="36"/>
      <c r="Q667" s="36"/>
    </row>
    <row r="668" spans="1:17">
      <c r="A668" s="36"/>
      <c r="B668" s="36"/>
      <c r="C668" s="36"/>
      <c r="D668" s="36"/>
      <c r="E668" s="36"/>
      <c r="F668" s="36"/>
      <c r="L668" s="36"/>
      <c r="M668" s="36"/>
      <c r="N668" s="36"/>
      <c r="O668" s="36"/>
      <c r="P668" s="36"/>
      <c r="Q668" s="36"/>
    </row>
    <row r="669" spans="1:17">
      <c r="A669" s="36"/>
      <c r="B669" s="36"/>
      <c r="C669" s="36"/>
      <c r="D669" s="36"/>
      <c r="E669" s="36"/>
      <c r="F669" s="36"/>
      <c r="L669" s="36"/>
      <c r="M669" s="36"/>
      <c r="N669" s="36"/>
      <c r="O669" s="36"/>
      <c r="P669" s="36"/>
      <c r="Q669" s="36"/>
    </row>
    <row r="670" spans="1:17">
      <c r="A670" s="36"/>
      <c r="B670" s="36"/>
      <c r="C670" s="36"/>
      <c r="D670" s="36"/>
      <c r="E670" s="36"/>
      <c r="F670" s="36"/>
      <c r="L670" s="36"/>
      <c r="M670" s="36"/>
      <c r="N670" s="36"/>
      <c r="O670" s="36"/>
      <c r="P670" s="36"/>
      <c r="Q670" s="36"/>
    </row>
    <row r="671" spans="1:17">
      <c r="A671" s="36"/>
      <c r="B671" s="36"/>
      <c r="C671" s="36"/>
      <c r="D671" s="36"/>
      <c r="E671" s="36"/>
      <c r="F671" s="36"/>
      <c r="L671" s="36"/>
      <c r="M671" s="36"/>
      <c r="N671" s="36"/>
      <c r="O671" s="36"/>
      <c r="P671" s="36"/>
      <c r="Q671" s="36"/>
    </row>
    <row r="672" spans="1:17">
      <c r="A672" s="36"/>
      <c r="B672" s="36"/>
      <c r="C672" s="36"/>
      <c r="D672" s="36"/>
      <c r="E672" s="36"/>
      <c r="F672" s="36"/>
      <c r="L672" s="36"/>
      <c r="M672" s="36"/>
      <c r="N672" s="36"/>
      <c r="O672" s="36"/>
      <c r="P672" s="36"/>
      <c r="Q672" s="36"/>
    </row>
    <row r="673" spans="1:17">
      <c r="A673" s="36"/>
      <c r="B673" s="36"/>
      <c r="C673" s="36"/>
      <c r="D673" s="36"/>
      <c r="E673" s="36"/>
      <c r="F673" s="36"/>
      <c r="L673" s="36"/>
      <c r="M673" s="36"/>
      <c r="N673" s="36"/>
      <c r="O673" s="36"/>
      <c r="P673" s="36"/>
      <c r="Q673" s="36"/>
    </row>
    <row r="674" spans="1:17">
      <c r="A674" s="36"/>
      <c r="B674" s="36"/>
      <c r="C674" s="36"/>
      <c r="D674" s="36"/>
      <c r="E674" s="36"/>
      <c r="F674" s="36"/>
      <c r="L674" s="36"/>
      <c r="M674" s="36"/>
      <c r="N674" s="36"/>
      <c r="O674" s="36"/>
      <c r="P674" s="36"/>
      <c r="Q674" s="36"/>
    </row>
    <row r="675" spans="1:17">
      <c r="A675" s="36"/>
      <c r="B675" s="36"/>
      <c r="C675" s="36"/>
      <c r="D675" s="36"/>
      <c r="E675" s="36"/>
      <c r="F675" s="36"/>
      <c r="L675" s="36"/>
      <c r="M675" s="36"/>
      <c r="N675" s="36"/>
      <c r="O675" s="36"/>
      <c r="P675" s="36"/>
      <c r="Q675" s="36"/>
    </row>
    <row r="676" spans="1:17">
      <c r="A676" s="36"/>
      <c r="B676" s="36"/>
      <c r="C676" s="36"/>
      <c r="D676" s="36"/>
      <c r="E676" s="36"/>
      <c r="F676" s="36"/>
      <c r="L676" s="36"/>
      <c r="M676" s="36"/>
      <c r="N676" s="36"/>
      <c r="O676" s="36"/>
      <c r="P676" s="36"/>
      <c r="Q676" s="36"/>
    </row>
    <row r="677" spans="1:17">
      <c r="A677" s="36"/>
      <c r="B677" s="36"/>
      <c r="C677" s="36"/>
      <c r="D677" s="36"/>
      <c r="E677" s="36"/>
      <c r="F677" s="36"/>
      <c r="L677" s="36"/>
      <c r="M677" s="36"/>
      <c r="N677" s="36"/>
      <c r="O677" s="36"/>
      <c r="P677" s="36"/>
      <c r="Q677" s="36"/>
    </row>
    <row r="678" spans="1:17">
      <c r="A678" s="36"/>
      <c r="B678" s="36"/>
      <c r="C678" s="36"/>
      <c r="D678" s="36"/>
      <c r="E678" s="36"/>
      <c r="F678" s="36"/>
      <c r="L678" s="36"/>
      <c r="M678" s="36"/>
      <c r="N678" s="36"/>
      <c r="O678" s="36"/>
      <c r="P678" s="36"/>
      <c r="Q678" s="36"/>
    </row>
    <row r="679" spans="1:17">
      <c r="A679" s="36"/>
      <c r="B679" s="36"/>
      <c r="C679" s="36"/>
      <c r="D679" s="36"/>
      <c r="E679" s="36"/>
      <c r="F679" s="36"/>
      <c r="L679" s="36"/>
      <c r="M679" s="36"/>
      <c r="N679" s="36"/>
      <c r="O679" s="36"/>
      <c r="P679" s="36"/>
      <c r="Q679" s="36"/>
    </row>
    <row r="680" spans="1:17">
      <c r="A680" s="36"/>
      <c r="B680" s="36"/>
      <c r="C680" s="36"/>
      <c r="D680" s="36"/>
      <c r="E680" s="36"/>
      <c r="F680" s="36"/>
      <c r="L680" s="36"/>
      <c r="M680" s="36"/>
      <c r="N680" s="36"/>
      <c r="O680" s="36"/>
      <c r="P680" s="36"/>
      <c r="Q680" s="36"/>
    </row>
    <row r="681" spans="1:17">
      <c r="A681" s="36"/>
      <c r="B681" s="36"/>
      <c r="C681" s="36"/>
      <c r="D681" s="36"/>
      <c r="E681" s="36"/>
      <c r="F681" s="36"/>
      <c r="L681" s="36"/>
      <c r="M681" s="36"/>
      <c r="N681" s="36"/>
      <c r="O681" s="36"/>
      <c r="P681" s="36"/>
      <c r="Q681" s="36"/>
    </row>
    <row r="682" spans="1:17">
      <c r="A682" s="36"/>
      <c r="B682" s="36"/>
      <c r="C682" s="36"/>
      <c r="D682" s="36"/>
      <c r="E682" s="36"/>
      <c r="F682" s="36"/>
      <c r="L682" s="36"/>
      <c r="M682" s="36"/>
      <c r="N682" s="36"/>
      <c r="O682" s="36"/>
      <c r="P682" s="36"/>
      <c r="Q682" s="36"/>
    </row>
    <row r="683" spans="1:17">
      <c r="A683" s="36"/>
      <c r="B683" s="36"/>
      <c r="C683" s="36"/>
      <c r="D683" s="36"/>
      <c r="E683" s="36"/>
      <c r="F683" s="36"/>
      <c r="L683" s="36"/>
      <c r="M683" s="36"/>
      <c r="N683" s="36"/>
      <c r="O683" s="36"/>
      <c r="P683" s="36"/>
      <c r="Q683" s="36"/>
    </row>
    <row r="684" spans="1:17">
      <c r="A684" s="36"/>
      <c r="B684" s="36"/>
      <c r="C684" s="36"/>
      <c r="D684" s="36"/>
      <c r="E684" s="36"/>
      <c r="F684" s="36"/>
      <c r="L684" s="36"/>
      <c r="M684" s="36"/>
      <c r="N684" s="36"/>
      <c r="O684" s="36"/>
      <c r="P684" s="36"/>
      <c r="Q684" s="36"/>
    </row>
    <row r="685" spans="1:17">
      <c r="A685" s="36"/>
      <c r="B685" s="36"/>
      <c r="C685" s="36"/>
      <c r="D685" s="36"/>
      <c r="E685" s="36"/>
      <c r="F685" s="36"/>
      <c r="L685" s="36"/>
      <c r="M685" s="36"/>
      <c r="N685" s="36"/>
      <c r="O685" s="36"/>
      <c r="P685" s="36"/>
      <c r="Q685" s="36"/>
    </row>
    <row r="686" spans="1:17">
      <c r="A686" s="36"/>
      <c r="B686" s="36"/>
      <c r="C686" s="36"/>
      <c r="D686" s="36"/>
      <c r="E686" s="36"/>
      <c r="F686" s="36"/>
      <c r="L686" s="36"/>
      <c r="M686" s="36"/>
      <c r="N686" s="36"/>
      <c r="O686" s="36"/>
      <c r="P686" s="36"/>
      <c r="Q686" s="36"/>
    </row>
    <row r="687" spans="1:17">
      <c r="A687" s="36"/>
      <c r="B687" s="36"/>
      <c r="C687" s="36"/>
      <c r="D687" s="36"/>
      <c r="E687" s="36"/>
      <c r="F687" s="36"/>
      <c r="L687" s="36"/>
      <c r="M687" s="36"/>
      <c r="N687" s="36"/>
      <c r="O687" s="36"/>
      <c r="P687" s="36"/>
      <c r="Q687" s="36"/>
    </row>
    <row r="688" spans="1:17">
      <c r="A688" s="36"/>
      <c r="B688" s="36"/>
      <c r="C688" s="36"/>
      <c r="D688" s="36"/>
      <c r="E688" s="36"/>
      <c r="F688" s="36"/>
      <c r="L688" s="36"/>
      <c r="M688" s="36"/>
      <c r="N688" s="36"/>
      <c r="O688" s="36"/>
      <c r="P688" s="36"/>
      <c r="Q688" s="36"/>
    </row>
    <row r="689" spans="1:17">
      <c r="A689" s="36"/>
      <c r="B689" s="36"/>
      <c r="C689" s="36"/>
      <c r="D689" s="36"/>
      <c r="E689" s="36"/>
      <c r="F689" s="36"/>
      <c r="L689" s="36"/>
      <c r="M689" s="36"/>
      <c r="N689" s="36"/>
      <c r="O689" s="36"/>
      <c r="P689" s="36"/>
      <c r="Q689" s="36"/>
    </row>
    <row r="690" spans="1:17">
      <c r="A690" s="36"/>
      <c r="B690" s="36"/>
      <c r="C690" s="36"/>
      <c r="D690" s="36"/>
      <c r="E690" s="36"/>
      <c r="F690" s="36"/>
      <c r="L690" s="36"/>
      <c r="M690" s="36"/>
      <c r="N690" s="36"/>
      <c r="O690" s="36"/>
      <c r="P690" s="36"/>
      <c r="Q690" s="36"/>
    </row>
    <row r="691" spans="1:17">
      <c r="A691" s="36"/>
      <c r="B691" s="36"/>
      <c r="C691" s="36"/>
      <c r="D691" s="36"/>
      <c r="E691" s="36"/>
      <c r="F691" s="36"/>
      <c r="L691" s="36"/>
      <c r="M691" s="36"/>
      <c r="N691" s="36"/>
      <c r="O691" s="36"/>
      <c r="P691" s="36"/>
      <c r="Q691" s="36"/>
    </row>
    <row r="692" spans="1:17">
      <c r="A692" s="36"/>
      <c r="B692" s="36"/>
      <c r="C692" s="36"/>
      <c r="D692" s="36"/>
      <c r="E692" s="36"/>
      <c r="F692" s="36"/>
      <c r="L692" s="36"/>
      <c r="M692" s="36"/>
      <c r="N692" s="36"/>
      <c r="O692" s="36"/>
      <c r="P692" s="36"/>
      <c r="Q692" s="36"/>
    </row>
    <row r="693" spans="1:17">
      <c r="A693" s="36"/>
      <c r="B693" s="36"/>
      <c r="C693" s="36"/>
      <c r="D693" s="36"/>
      <c r="E693" s="36"/>
      <c r="F693" s="36"/>
      <c r="L693" s="36"/>
      <c r="M693" s="36"/>
      <c r="N693" s="36"/>
      <c r="O693" s="36"/>
      <c r="P693" s="36"/>
      <c r="Q693" s="36"/>
    </row>
    <row r="694" spans="1:17">
      <c r="A694" s="36"/>
      <c r="B694" s="36"/>
      <c r="C694" s="36"/>
      <c r="D694" s="36"/>
      <c r="E694" s="36"/>
      <c r="F694" s="36"/>
      <c r="L694" s="36"/>
      <c r="M694" s="36"/>
      <c r="N694" s="36"/>
      <c r="O694" s="36"/>
      <c r="P694" s="36"/>
      <c r="Q694" s="36"/>
    </row>
    <row r="695" spans="1:17">
      <c r="A695" s="36"/>
      <c r="B695" s="36"/>
      <c r="C695" s="36"/>
      <c r="D695" s="36"/>
      <c r="E695" s="36"/>
      <c r="F695" s="36"/>
      <c r="L695" s="36"/>
      <c r="M695" s="36"/>
      <c r="N695" s="36"/>
      <c r="O695" s="36"/>
      <c r="P695" s="36"/>
      <c r="Q695" s="36"/>
    </row>
    <row r="696" spans="1:17">
      <c r="A696" s="36"/>
      <c r="B696" s="36"/>
      <c r="C696" s="36"/>
      <c r="D696" s="36"/>
      <c r="E696" s="36"/>
      <c r="F696" s="36"/>
      <c r="L696" s="36"/>
      <c r="M696" s="36"/>
      <c r="N696" s="36"/>
      <c r="O696" s="36"/>
      <c r="P696" s="36"/>
      <c r="Q696" s="36"/>
    </row>
    <row r="697" spans="1:17">
      <c r="A697" s="36"/>
      <c r="B697" s="36"/>
      <c r="C697" s="36"/>
      <c r="D697" s="36"/>
      <c r="E697" s="36"/>
      <c r="F697" s="36"/>
      <c r="L697" s="36"/>
      <c r="M697" s="36"/>
      <c r="N697" s="36"/>
      <c r="O697" s="36"/>
      <c r="P697" s="36"/>
      <c r="Q697" s="36"/>
    </row>
    <row r="698" spans="1:17">
      <c r="A698" s="36"/>
      <c r="B698" s="36"/>
      <c r="C698" s="36"/>
      <c r="D698" s="36"/>
      <c r="E698" s="36"/>
      <c r="F698" s="36"/>
      <c r="L698" s="36"/>
      <c r="M698" s="36"/>
      <c r="N698" s="36"/>
      <c r="O698" s="36"/>
      <c r="P698" s="36"/>
      <c r="Q698" s="36"/>
    </row>
    <row r="699" spans="1:17">
      <c r="A699" s="36"/>
      <c r="B699" s="36"/>
      <c r="C699" s="36"/>
      <c r="D699" s="36"/>
      <c r="E699" s="36"/>
      <c r="F699" s="36"/>
      <c r="L699" s="36"/>
      <c r="M699" s="36"/>
      <c r="N699" s="36"/>
      <c r="O699" s="36"/>
      <c r="P699" s="36"/>
      <c r="Q699" s="36"/>
    </row>
    <row r="700" spans="1:17">
      <c r="A700" s="36"/>
      <c r="B700" s="36"/>
      <c r="C700" s="36"/>
      <c r="D700" s="36"/>
      <c r="E700" s="36"/>
      <c r="F700" s="36"/>
      <c r="L700" s="36"/>
      <c r="M700" s="36"/>
      <c r="N700" s="36"/>
      <c r="O700" s="36"/>
      <c r="P700" s="36"/>
      <c r="Q700" s="36"/>
    </row>
    <row r="701" spans="1:17">
      <c r="A701" s="36"/>
      <c r="B701" s="36"/>
      <c r="C701" s="36"/>
      <c r="D701" s="36"/>
      <c r="E701" s="36"/>
      <c r="F701" s="36"/>
      <c r="L701" s="36"/>
      <c r="M701" s="36"/>
      <c r="N701" s="36"/>
      <c r="O701" s="36"/>
      <c r="P701" s="36"/>
      <c r="Q701" s="36"/>
    </row>
    <row r="702" spans="1:17">
      <c r="A702" s="36"/>
      <c r="B702" s="36"/>
      <c r="C702" s="36"/>
      <c r="D702" s="36"/>
      <c r="E702" s="36"/>
      <c r="F702" s="36"/>
      <c r="L702" s="36"/>
      <c r="M702" s="36"/>
      <c r="N702" s="36"/>
      <c r="O702" s="36"/>
      <c r="P702" s="36"/>
      <c r="Q702" s="36"/>
    </row>
    <row r="703" spans="1:17">
      <c r="A703" s="36"/>
      <c r="B703" s="36"/>
      <c r="C703" s="36"/>
      <c r="D703" s="36"/>
      <c r="E703" s="36"/>
      <c r="F703" s="36"/>
      <c r="L703" s="36"/>
      <c r="M703" s="36"/>
      <c r="N703" s="36"/>
      <c r="O703" s="36"/>
      <c r="P703" s="36"/>
      <c r="Q703" s="36"/>
    </row>
    <row r="704" spans="1:17">
      <c r="A704" s="36"/>
      <c r="B704" s="36"/>
      <c r="C704" s="36"/>
      <c r="D704" s="36"/>
      <c r="E704" s="36"/>
      <c r="F704" s="36"/>
      <c r="L704" s="36"/>
      <c r="M704" s="36"/>
      <c r="N704" s="36"/>
      <c r="O704" s="36"/>
      <c r="P704" s="36"/>
      <c r="Q704" s="36"/>
    </row>
    <row r="705" spans="1:17">
      <c r="A705" s="36"/>
      <c r="B705" s="36"/>
      <c r="C705" s="36"/>
      <c r="D705" s="36"/>
      <c r="E705" s="36"/>
      <c r="F705" s="36"/>
      <c r="L705" s="36"/>
      <c r="M705" s="36"/>
      <c r="N705" s="36"/>
      <c r="O705" s="36"/>
      <c r="P705" s="36"/>
      <c r="Q705" s="36"/>
    </row>
    <row r="706" spans="1:17">
      <c r="A706" s="36"/>
      <c r="B706" s="36"/>
      <c r="C706" s="36"/>
      <c r="D706" s="36"/>
      <c r="E706" s="36"/>
      <c r="F706" s="36"/>
      <c r="L706" s="36"/>
      <c r="M706" s="36"/>
      <c r="N706" s="36"/>
      <c r="O706" s="36"/>
      <c r="P706" s="36"/>
      <c r="Q706" s="36"/>
    </row>
    <row r="707" spans="1:17">
      <c r="A707" s="36"/>
      <c r="B707" s="36"/>
      <c r="C707" s="36"/>
      <c r="D707" s="36"/>
      <c r="E707" s="36"/>
      <c r="F707" s="36"/>
      <c r="L707" s="36"/>
      <c r="M707" s="36"/>
      <c r="N707" s="36"/>
      <c r="O707" s="36"/>
      <c r="P707" s="36"/>
      <c r="Q707" s="36"/>
    </row>
    <row r="708" spans="1:17">
      <c r="A708" s="36"/>
      <c r="B708" s="36"/>
      <c r="C708" s="36"/>
      <c r="D708" s="36"/>
      <c r="E708" s="36"/>
      <c r="F708" s="36"/>
      <c r="L708" s="36"/>
      <c r="M708" s="36"/>
      <c r="N708" s="36"/>
      <c r="O708" s="36"/>
      <c r="P708" s="36"/>
      <c r="Q708" s="36"/>
    </row>
    <row r="709" spans="1:17">
      <c r="A709" s="36"/>
      <c r="B709" s="36"/>
      <c r="C709" s="36"/>
      <c r="D709" s="36"/>
      <c r="E709" s="36"/>
      <c r="F709" s="36"/>
      <c r="L709" s="36"/>
      <c r="M709" s="36"/>
      <c r="N709" s="36"/>
      <c r="O709" s="36"/>
      <c r="P709" s="36"/>
      <c r="Q709" s="36"/>
    </row>
    <row r="710" spans="1:17">
      <c r="A710" s="36"/>
      <c r="B710" s="36"/>
      <c r="C710" s="36"/>
      <c r="D710" s="36"/>
      <c r="E710" s="36"/>
      <c r="F710" s="36"/>
      <c r="L710" s="36"/>
      <c r="M710" s="36"/>
      <c r="N710" s="36"/>
      <c r="O710" s="36"/>
      <c r="P710" s="36"/>
      <c r="Q710" s="36"/>
    </row>
    <row r="711" spans="1:17">
      <c r="A711" s="36"/>
      <c r="B711" s="36"/>
      <c r="C711" s="36"/>
      <c r="D711" s="36"/>
      <c r="E711" s="36"/>
      <c r="F711" s="36"/>
      <c r="L711" s="36"/>
      <c r="M711" s="36"/>
      <c r="N711" s="36"/>
      <c r="O711" s="36"/>
      <c r="P711" s="36"/>
      <c r="Q711" s="36"/>
    </row>
    <row r="712" spans="1:17">
      <c r="A712" s="36"/>
      <c r="B712" s="36"/>
      <c r="C712" s="36"/>
      <c r="D712" s="36"/>
      <c r="E712" s="36"/>
      <c r="F712" s="36"/>
      <c r="L712" s="36"/>
      <c r="M712" s="36"/>
      <c r="N712" s="36"/>
      <c r="O712" s="36"/>
      <c r="P712" s="36"/>
      <c r="Q712" s="36"/>
    </row>
    <row r="713" spans="1:17">
      <c r="A713" s="36"/>
      <c r="B713" s="36"/>
      <c r="C713" s="36"/>
      <c r="D713" s="36"/>
      <c r="E713" s="36"/>
      <c r="F713" s="36"/>
      <c r="L713" s="36"/>
      <c r="M713" s="36"/>
      <c r="N713" s="36"/>
      <c r="O713" s="36"/>
      <c r="P713" s="36"/>
      <c r="Q713" s="36"/>
    </row>
    <row r="714" spans="1:17">
      <c r="A714" s="36"/>
      <c r="B714" s="36"/>
      <c r="C714" s="36"/>
      <c r="D714" s="36"/>
      <c r="E714" s="36"/>
      <c r="F714" s="36"/>
      <c r="L714" s="36"/>
      <c r="M714" s="36"/>
      <c r="N714" s="36"/>
      <c r="O714" s="36"/>
      <c r="P714" s="36"/>
      <c r="Q714" s="36"/>
    </row>
    <row r="715" spans="1:17">
      <c r="A715" s="36"/>
      <c r="B715" s="36"/>
      <c r="C715" s="36"/>
      <c r="D715" s="36"/>
      <c r="E715" s="36"/>
      <c r="F715" s="36"/>
      <c r="L715" s="36"/>
      <c r="M715" s="36"/>
      <c r="N715" s="36"/>
      <c r="O715" s="36"/>
      <c r="P715" s="36"/>
      <c r="Q715" s="36"/>
    </row>
    <row r="716" spans="1:17">
      <c r="A716" s="36"/>
      <c r="B716" s="36"/>
      <c r="C716" s="36"/>
      <c r="D716" s="36"/>
      <c r="E716" s="36"/>
      <c r="F716" s="36"/>
      <c r="L716" s="36"/>
      <c r="M716" s="36"/>
      <c r="N716" s="36"/>
      <c r="O716" s="36"/>
      <c r="P716" s="36"/>
      <c r="Q716" s="36"/>
    </row>
    <row r="717" spans="1:17">
      <c r="A717" s="36"/>
      <c r="B717" s="36"/>
      <c r="C717" s="36"/>
      <c r="D717" s="36"/>
      <c r="E717" s="36"/>
      <c r="F717" s="36"/>
      <c r="L717" s="36"/>
      <c r="M717" s="36"/>
      <c r="N717" s="36"/>
      <c r="O717" s="36"/>
      <c r="P717" s="36"/>
      <c r="Q717" s="36"/>
    </row>
    <row r="718" spans="1:17">
      <c r="A718" s="36"/>
      <c r="B718" s="36"/>
      <c r="C718" s="36"/>
      <c r="D718" s="36"/>
      <c r="E718" s="36"/>
      <c r="F718" s="36"/>
      <c r="L718" s="36"/>
      <c r="M718" s="36"/>
      <c r="N718" s="36"/>
      <c r="O718" s="36"/>
      <c r="P718" s="36"/>
      <c r="Q718" s="36"/>
    </row>
    <row r="719" spans="1:17">
      <c r="A719" s="36"/>
      <c r="B719" s="36"/>
      <c r="C719" s="36"/>
      <c r="D719" s="36"/>
      <c r="E719" s="36"/>
      <c r="F719" s="36"/>
      <c r="L719" s="36"/>
      <c r="M719" s="36"/>
      <c r="N719" s="36"/>
      <c r="O719" s="36"/>
      <c r="P719" s="36"/>
      <c r="Q719" s="36"/>
    </row>
    <row r="720" spans="1:17">
      <c r="A720" s="36"/>
      <c r="B720" s="36"/>
      <c r="C720" s="36"/>
      <c r="D720" s="36"/>
      <c r="E720" s="36"/>
      <c r="F720" s="36"/>
      <c r="L720" s="36"/>
      <c r="M720" s="36"/>
      <c r="N720" s="36"/>
      <c r="O720" s="36"/>
      <c r="P720" s="36"/>
      <c r="Q720" s="36"/>
    </row>
    <row r="721" spans="1:17">
      <c r="A721" s="36"/>
      <c r="B721" s="36"/>
      <c r="C721" s="36"/>
      <c r="D721" s="36"/>
      <c r="E721" s="36"/>
      <c r="F721" s="36"/>
      <c r="L721" s="36"/>
      <c r="M721" s="36"/>
      <c r="N721" s="36"/>
      <c r="O721" s="36"/>
      <c r="P721" s="36"/>
      <c r="Q721" s="36"/>
    </row>
    <row r="722" spans="1:17">
      <c r="A722" s="36"/>
      <c r="B722" s="36"/>
      <c r="C722" s="36"/>
      <c r="D722" s="36"/>
      <c r="E722" s="36"/>
      <c r="F722" s="36"/>
      <c r="L722" s="36"/>
      <c r="M722" s="36"/>
      <c r="N722" s="36"/>
      <c r="O722" s="36"/>
      <c r="P722" s="36"/>
      <c r="Q722" s="36"/>
    </row>
    <row r="723" spans="1:17">
      <c r="A723" s="36"/>
      <c r="B723" s="36"/>
      <c r="C723" s="36"/>
      <c r="D723" s="36"/>
      <c r="E723" s="36"/>
      <c r="F723" s="36"/>
      <c r="L723" s="36"/>
      <c r="M723" s="36"/>
      <c r="N723" s="36"/>
      <c r="O723" s="36"/>
      <c r="P723" s="36"/>
      <c r="Q723" s="36"/>
    </row>
    <row r="724" spans="1:17">
      <c r="A724" s="36"/>
      <c r="B724" s="36"/>
      <c r="C724" s="36"/>
      <c r="D724" s="36"/>
      <c r="E724" s="36"/>
      <c r="F724" s="36"/>
      <c r="L724" s="36"/>
      <c r="M724" s="36"/>
      <c r="N724" s="36"/>
      <c r="O724" s="36"/>
      <c r="P724" s="36"/>
      <c r="Q724" s="36"/>
    </row>
    <row r="725" spans="1:17">
      <c r="A725" s="36"/>
      <c r="B725" s="36"/>
      <c r="C725" s="36"/>
      <c r="D725" s="36"/>
      <c r="E725" s="36"/>
      <c r="F725" s="36"/>
      <c r="L725" s="36"/>
      <c r="M725" s="36"/>
      <c r="N725" s="36"/>
      <c r="O725" s="36"/>
      <c r="P725" s="36"/>
      <c r="Q725" s="36"/>
    </row>
    <row r="726" spans="1:17">
      <c r="A726" s="36"/>
      <c r="B726" s="36"/>
      <c r="C726" s="36"/>
      <c r="D726" s="36"/>
      <c r="E726" s="36"/>
      <c r="F726" s="36"/>
      <c r="L726" s="36"/>
      <c r="M726" s="36"/>
      <c r="N726" s="36"/>
      <c r="O726" s="36"/>
      <c r="P726" s="36"/>
      <c r="Q726" s="36"/>
    </row>
    <row r="727" spans="1:17">
      <c r="A727" s="36"/>
      <c r="B727" s="36"/>
      <c r="C727" s="36"/>
      <c r="D727" s="36"/>
      <c r="E727" s="36"/>
      <c r="F727" s="36"/>
      <c r="L727" s="36"/>
      <c r="M727" s="36"/>
      <c r="N727" s="36"/>
      <c r="O727" s="36"/>
      <c r="P727" s="36"/>
      <c r="Q727" s="36"/>
    </row>
    <row r="728" spans="1:17">
      <c r="A728" s="36"/>
      <c r="B728" s="36"/>
      <c r="C728" s="36"/>
      <c r="D728" s="36"/>
      <c r="E728" s="36"/>
      <c r="F728" s="36"/>
      <c r="L728" s="36"/>
      <c r="M728" s="36"/>
      <c r="N728" s="36"/>
      <c r="O728" s="36"/>
      <c r="P728" s="36"/>
      <c r="Q728" s="36"/>
    </row>
    <row r="729" spans="1:17">
      <c r="A729" s="36"/>
      <c r="B729" s="36"/>
      <c r="C729" s="36"/>
      <c r="D729" s="36"/>
      <c r="E729" s="36"/>
      <c r="F729" s="36"/>
      <c r="L729" s="36"/>
      <c r="M729" s="36"/>
      <c r="N729" s="36"/>
      <c r="O729" s="36"/>
      <c r="P729" s="36"/>
      <c r="Q729" s="36"/>
    </row>
    <row r="730" spans="1:17">
      <c r="A730" s="36"/>
      <c r="B730" s="36"/>
      <c r="C730" s="36"/>
      <c r="D730" s="36"/>
      <c r="E730" s="36"/>
      <c r="F730" s="36"/>
      <c r="L730" s="36"/>
      <c r="M730" s="36"/>
      <c r="N730" s="36"/>
      <c r="O730" s="36"/>
      <c r="P730" s="36"/>
      <c r="Q730" s="36"/>
    </row>
    <row r="731" spans="1:17">
      <c r="A731" s="36"/>
      <c r="B731" s="36"/>
      <c r="C731" s="36"/>
      <c r="D731" s="36"/>
      <c r="E731" s="36"/>
      <c r="F731" s="36"/>
      <c r="L731" s="36"/>
      <c r="M731" s="36"/>
      <c r="N731" s="36"/>
      <c r="O731" s="36"/>
      <c r="P731" s="36"/>
      <c r="Q731" s="36"/>
    </row>
    <row r="732" spans="1:17">
      <c r="A732" s="36"/>
      <c r="B732" s="36"/>
      <c r="C732" s="36"/>
      <c r="D732" s="36"/>
      <c r="E732" s="36"/>
      <c r="F732" s="36"/>
      <c r="L732" s="36"/>
      <c r="M732" s="36"/>
      <c r="N732" s="36"/>
      <c r="O732" s="36"/>
      <c r="P732" s="36"/>
      <c r="Q732" s="36"/>
    </row>
    <row r="733" spans="1:17">
      <c r="A733" s="36"/>
      <c r="B733" s="36"/>
      <c r="C733" s="36"/>
      <c r="D733" s="36"/>
      <c r="E733" s="36"/>
      <c r="F733" s="36"/>
      <c r="L733" s="36"/>
      <c r="M733" s="36"/>
      <c r="N733" s="36"/>
      <c r="O733" s="36"/>
      <c r="P733" s="36"/>
      <c r="Q733" s="36"/>
    </row>
    <row r="734" spans="1:17">
      <c r="A734" s="36"/>
      <c r="B734" s="36"/>
      <c r="C734" s="36"/>
      <c r="D734" s="36"/>
      <c r="E734" s="36"/>
      <c r="F734" s="36"/>
      <c r="L734" s="36"/>
      <c r="M734" s="36"/>
      <c r="N734" s="36"/>
      <c r="O734" s="36"/>
      <c r="P734" s="36"/>
      <c r="Q734" s="36"/>
    </row>
    <row r="735" spans="1:17">
      <c r="A735" s="36"/>
      <c r="B735" s="36"/>
      <c r="C735" s="36"/>
      <c r="D735" s="36"/>
      <c r="E735" s="36"/>
      <c r="F735" s="36"/>
      <c r="L735" s="36"/>
      <c r="M735" s="36"/>
      <c r="N735" s="36"/>
      <c r="O735" s="36"/>
      <c r="P735" s="36"/>
      <c r="Q735" s="36"/>
    </row>
    <row r="736" spans="1:17">
      <c r="A736" s="36"/>
      <c r="B736" s="36"/>
      <c r="C736" s="36"/>
      <c r="D736" s="36"/>
      <c r="E736" s="36"/>
      <c r="F736" s="36"/>
      <c r="L736" s="36"/>
      <c r="M736" s="36"/>
      <c r="N736" s="36"/>
      <c r="O736" s="36"/>
      <c r="P736" s="36"/>
      <c r="Q736" s="36"/>
    </row>
    <row r="737" spans="1:17">
      <c r="A737" s="36"/>
      <c r="B737" s="36"/>
      <c r="C737" s="36"/>
      <c r="D737" s="36"/>
      <c r="E737" s="36"/>
      <c r="F737" s="36"/>
      <c r="L737" s="36"/>
      <c r="M737" s="36"/>
      <c r="N737" s="36"/>
      <c r="O737" s="36"/>
      <c r="P737" s="36"/>
      <c r="Q737" s="36"/>
    </row>
    <row r="738" spans="1:17">
      <c r="A738" s="36"/>
      <c r="B738" s="36"/>
      <c r="C738" s="36"/>
      <c r="D738" s="36"/>
      <c r="E738" s="36"/>
      <c r="F738" s="36"/>
      <c r="L738" s="36"/>
      <c r="M738" s="36"/>
      <c r="N738" s="36"/>
      <c r="O738" s="36"/>
      <c r="P738" s="36"/>
      <c r="Q738" s="36"/>
    </row>
    <row r="739" spans="1:17">
      <c r="A739" s="36"/>
      <c r="B739" s="36"/>
      <c r="C739" s="36"/>
      <c r="D739" s="36"/>
      <c r="E739" s="36"/>
      <c r="F739" s="36"/>
      <c r="L739" s="36"/>
      <c r="M739" s="36"/>
      <c r="N739" s="36"/>
      <c r="O739" s="36"/>
      <c r="P739" s="36"/>
      <c r="Q739" s="36"/>
    </row>
    <row r="740" spans="1:17">
      <c r="A740" s="36"/>
      <c r="B740" s="36"/>
      <c r="C740" s="36"/>
      <c r="D740" s="36"/>
      <c r="E740" s="36"/>
      <c r="F740" s="36"/>
      <c r="L740" s="36"/>
      <c r="M740" s="36"/>
      <c r="N740" s="36"/>
      <c r="O740" s="36"/>
      <c r="P740" s="36"/>
      <c r="Q740" s="36"/>
    </row>
    <row r="741" spans="1:17">
      <c r="A741" s="36"/>
      <c r="B741" s="36"/>
      <c r="C741" s="36"/>
      <c r="D741" s="36"/>
      <c r="E741" s="36"/>
      <c r="F741" s="36"/>
      <c r="L741" s="36"/>
      <c r="M741" s="36"/>
      <c r="N741" s="36"/>
      <c r="O741" s="36"/>
      <c r="P741" s="36"/>
      <c r="Q741" s="36"/>
    </row>
    <row r="742" spans="1:17">
      <c r="A742" s="36"/>
      <c r="B742" s="36"/>
      <c r="C742" s="36"/>
      <c r="D742" s="36"/>
      <c r="E742" s="36"/>
      <c r="F742" s="36"/>
      <c r="L742" s="36"/>
      <c r="M742" s="36"/>
      <c r="N742" s="36"/>
      <c r="O742" s="36"/>
      <c r="P742" s="36"/>
      <c r="Q742" s="36"/>
    </row>
    <row r="743" spans="1:17">
      <c r="A743" s="36"/>
      <c r="B743" s="36"/>
      <c r="C743" s="36"/>
      <c r="D743" s="36"/>
      <c r="E743" s="36"/>
      <c r="F743" s="36"/>
      <c r="L743" s="36"/>
      <c r="M743" s="36"/>
      <c r="N743" s="36"/>
      <c r="O743" s="36"/>
      <c r="P743" s="36"/>
      <c r="Q743" s="36"/>
    </row>
    <row r="744" spans="1:17">
      <c r="A744" s="36"/>
      <c r="B744" s="36"/>
      <c r="C744" s="36"/>
      <c r="D744" s="36"/>
      <c r="E744" s="36"/>
      <c r="F744" s="36"/>
      <c r="L744" s="36"/>
      <c r="M744" s="36"/>
      <c r="N744" s="36"/>
      <c r="O744" s="36"/>
      <c r="P744" s="36"/>
      <c r="Q744" s="36"/>
    </row>
    <row r="745" spans="1:17">
      <c r="A745" s="36"/>
      <c r="B745" s="36"/>
      <c r="C745" s="36"/>
      <c r="D745" s="36"/>
      <c r="E745" s="36"/>
      <c r="F745" s="36"/>
      <c r="L745" s="36"/>
      <c r="M745" s="36"/>
      <c r="N745" s="36"/>
      <c r="O745" s="36"/>
      <c r="P745" s="36"/>
      <c r="Q745" s="36"/>
    </row>
    <row r="746" spans="1:17">
      <c r="A746" s="36"/>
      <c r="B746" s="36"/>
      <c r="C746" s="36"/>
      <c r="D746" s="36"/>
      <c r="E746" s="36"/>
      <c r="F746" s="36"/>
      <c r="L746" s="36"/>
      <c r="M746" s="36"/>
      <c r="N746" s="36"/>
      <c r="O746" s="36"/>
      <c r="P746" s="36"/>
      <c r="Q746" s="36"/>
    </row>
    <row r="747" spans="1:17">
      <c r="A747" s="36"/>
      <c r="B747" s="36"/>
      <c r="C747" s="36"/>
      <c r="D747" s="36"/>
      <c r="E747" s="36"/>
      <c r="F747" s="36"/>
      <c r="L747" s="36"/>
      <c r="M747" s="36"/>
      <c r="N747" s="36"/>
      <c r="O747" s="36"/>
      <c r="P747" s="36"/>
      <c r="Q747" s="36"/>
    </row>
    <row r="748" spans="1:17">
      <c r="A748" s="36"/>
      <c r="B748" s="36"/>
      <c r="C748" s="36"/>
      <c r="D748" s="36"/>
      <c r="E748" s="36"/>
      <c r="F748" s="36"/>
      <c r="L748" s="36"/>
      <c r="M748" s="36"/>
      <c r="N748" s="36"/>
      <c r="O748" s="36"/>
      <c r="P748" s="36"/>
      <c r="Q748" s="36"/>
    </row>
    <row r="749" spans="1:17">
      <c r="A749" s="36"/>
      <c r="B749" s="36"/>
      <c r="C749" s="36"/>
      <c r="D749" s="36"/>
      <c r="E749" s="36"/>
      <c r="F749" s="36"/>
      <c r="L749" s="36"/>
      <c r="M749" s="36"/>
      <c r="N749" s="36"/>
      <c r="O749" s="36"/>
      <c r="P749" s="36"/>
      <c r="Q749" s="36"/>
    </row>
    <row r="750" spans="1:17">
      <c r="A750" s="36"/>
      <c r="B750" s="36"/>
      <c r="C750" s="36"/>
      <c r="D750" s="36"/>
      <c r="E750" s="36"/>
      <c r="F750" s="36"/>
      <c r="L750" s="36"/>
      <c r="M750" s="36"/>
      <c r="N750" s="36"/>
      <c r="O750" s="36"/>
      <c r="P750" s="36"/>
      <c r="Q750" s="36"/>
    </row>
    <row r="751" spans="1:17">
      <c r="A751" s="36"/>
      <c r="B751" s="36"/>
      <c r="C751" s="36"/>
      <c r="D751" s="36"/>
      <c r="E751" s="36"/>
      <c r="F751" s="36"/>
      <c r="L751" s="36"/>
      <c r="M751" s="36"/>
      <c r="N751" s="36"/>
      <c r="O751" s="36"/>
      <c r="P751" s="36"/>
      <c r="Q751" s="36"/>
    </row>
    <row r="752" spans="1:17">
      <c r="A752" s="36"/>
      <c r="B752" s="36"/>
      <c r="C752" s="36"/>
      <c r="D752" s="36"/>
      <c r="E752" s="36"/>
      <c r="F752" s="36"/>
      <c r="L752" s="36"/>
      <c r="M752" s="36"/>
      <c r="N752" s="36"/>
      <c r="O752" s="36"/>
      <c r="P752" s="36"/>
      <c r="Q752" s="36"/>
    </row>
    <row r="753" spans="1:17">
      <c r="A753" s="36"/>
      <c r="B753" s="36"/>
      <c r="C753" s="36"/>
      <c r="D753" s="36"/>
      <c r="E753" s="36"/>
      <c r="F753" s="36"/>
      <c r="L753" s="36"/>
      <c r="M753" s="36"/>
      <c r="N753" s="36"/>
      <c r="O753" s="36"/>
      <c r="P753" s="36"/>
      <c r="Q753" s="36"/>
    </row>
    <row r="754" spans="1:17">
      <c r="A754" s="36"/>
      <c r="B754" s="36"/>
      <c r="C754" s="36"/>
      <c r="D754" s="36"/>
      <c r="E754" s="36"/>
      <c r="F754" s="36"/>
      <c r="L754" s="36"/>
      <c r="M754" s="36"/>
      <c r="N754" s="36"/>
      <c r="O754" s="36"/>
      <c r="P754" s="36"/>
      <c r="Q754" s="36"/>
    </row>
    <row r="755" spans="1:17">
      <c r="A755" s="36"/>
      <c r="B755" s="36"/>
      <c r="C755" s="36"/>
      <c r="D755" s="36"/>
      <c r="E755" s="36"/>
      <c r="F755" s="36"/>
      <c r="L755" s="36"/>
      <c r="M755" s="36"/>
      <c r="N755" s="36"/>
      <c r="O755" s="36"/>
      <c r="P755" s="36"/>
      <c r="Q755" s="36"/>
    </row>
    <row r="756" spans="1:17">
      <c r="A756" s="36"/>
      <c r="B756" s="36"/>
      <c r="C756" s="36"/>
      <c r="D756" s="36"/>
      <c r="E756" s="36"/>
      <c r="F756" s="36"/>
      <c r="L756" s="36"/>
      <c r="M756" s="36"/>
      <c r="N756" s="36"/>
      <c r="O756" s="36"/>
      <c r="P756" s="36"/>
      <c r="Q756" s="36"/>
    </row>
    <row r="757" spans="1:17">
      <c r="A757" s="36"/>
      <c r="B757" s="36"/>
      <c r="C757" s="36"/>
      <c r="D757" s="36"/>
      <c r="E757" s="36"/>
      <c r="F757" s="36"/>
      <c r="L757" s="36"/>
      <c r="M757" s="36"/>
      <c r="N757" s="36"/>
      <c r="O757" s="36"/>
      <c r="P757" s="36"/>
      <c r="Q757" s="36"/>
    </row>
    <row r="758" spans="1:17">
      <c r="A758" s="36"/>
      <c r="B758" s="36"/>
      <c r="C758" s="36"/>
      <c r="D758" s="36"/>
      <c r="E758" s="36"/>
      <c r="F758" s="36"/>
      <c r="L758" s="36"/>
      <c r="M758" s="36"/>
      <c r="N758" s="36"/>
      <c r="O758" s="36"/>
      <c r="P758" s="36"/>
      <c r="Q758" s="36"/>
    </row>
    <row r="759" spans="1:17">
      <c r="A759" s="36"/>
      <c r="B759" s="36"/>
      <c r="C759" s="36"/>
      <c r="D759" s="36"/>
      <c r="E759" s="36"/>
      <c r="F759" s="36"/>
      <c r="L759" s="36"/>
      <c r="M759" s="36"/>
      <c r="N759" s="36"/>
      <c r="O759" s="36"/>
      <c r="P759" s="36"/>
      <c r="Q759" s="36"/>
    </row>
    <row r="760" spans="1:17">
      <c r="A760" s="36"/>
      <c r="B760" s="36"/>
      <c r="C760" s="36"/>
      <c r="D760" s="36"/>
      <c r="E760" s="36"/>
      <c r="F760" s="36"/>
      <c r="L760" s="36"/>
      <c r="M760" s="36"/>
      <c r="N760" s="36"/>
      <c r="O760" s="36"/>
      <c r="P760" s="36"/>
      <c r="Q760" s="36"/>
    </row>
    <row r="761" spans="1:17">
      <c r="A761" s="36"/>
      <c r="B761" s="36"/>
      <c r="C761" s="36"/>
      <c r="D761" s="36"/>
      <c r="E761" s="36"/>
      <c r="F761" s="36"/>
      <c r="L761" s="36"/>
      <c r="M761" s="36"/>
      <c r="N761" s="36"/>
      <c r="O761" s="36"/>
      <c r="P761" s="36"/>
      <c r="Q761" s="36"/>
    </row>
    <row r="762" spans="1:17">
      <c r="A762" s="36"/>
      <c r="B762" s="36"/>
      <c r="C762" s="36"/>
      <c r="D762" s="36"/>
      <c r="E762" s="36"/>
      <c r="F762" s="36"/>
      <c r="L762" s="36"/>
      <c r="M762" s="36"/>
      <c r="N762" s="36"/>
      <c r="O762" s="36"/>
      <c r="P762" s="36"/>
      <c r="Q762" s="36"/>
    </row>
    <row r="763" spans="1:17">
      <c r="A763" s="36"/>
      <c r="B763" s="36"/>
      <c r="C763" s="36"/>
      <c r="D763" s="36"/>
      <c r="E763" s="36"/>
      <c r="F763" s="36"/>
      <c r="L763" s="36"/>
      <c r="M763" s="36"/>
      <c r="N763" s="36"/>
      <c r="O763" s="36"/>
      <c r="P763" s="36"/>
      <c r="Q763" s="36"/>
    </row>
    <row r="764" spans="1:17">
      <c r="A764" s="36"/>
      <c r="B764" s="36"/>
      <c r="C764" s="36"/>
      <c r="D764" s="36"/>
      <c r="E764" s="36"/>
      <c r="F764" s="36"/>
      <c r="L764" s="36"/>
      <c r="M764" s="36"/>
      <c r="N764" s="36"/>
      <c r="O764" s="36"/>
      <c r="P764" s="36"/>
      <c r="Q764" s="36"/>
    </row>
    <row r="765" spans="1:17">
      <c r="A765" s="36"/>
      <c r="B765" s="36"/>
      <c r="C765" s="36"/>
      <c r="D765" s="36"/>
      <c r="E765" s="36"/>
      <c r="F765" s="36"/>
      <c r="L765" s="36"/>
      <c r="M765" s="36"/>
      <c r="N765" s="36"/>
      <c r="O765" s="36"/>
      <c r="P765" s="36"/>
      <c r="Q765" s="36"/>
    </row>
    <row r="766" spans="1:17">
      <c r="A766" s="36"/>
      <c r="B766" s="36"/>
      <c r="C766" s="36"/>
      <c r="D766" s="36"/>
      <c r="E766" s="36"/>
      <c r="F766" s="36"/>
      <c r="L766" s="36"/>
      <c r="M766" s="36"/>
      <c r="N766" s="36"/>
      <c r="O766" s="36"/>
      <c r="P766" s="36"/>
      <c r="Q766" s="36"/>
    </row>
    <row r="767" spans="1:17">
      <c r="A767" s="36"/>
      <c r="B767" s="36"/>
      <c r="C767" s="36"/>
      <c r="D767" s="36"/>
      <c r="E767" s="36"/>
      <c r="F767" s="36"/>
      <c r="L767" s="36"/>
      <c r="M767" s="36"/>
      <c r="N767" s="36"/>
      <c r="O767" s="36"/>
      <c r="P767" s="36"/>
      <c r="Q767" s="36"/>
    </row>
    <row r="768" spans="1:17">
      <c r="A768" s="36"/>
      <c r="B768" s="36"/>
      <c r="C768" s="36"/>
      <c r="D768" s="36"/>
      <c r="E768" s="36"/>
      <c r="F768" s="36"/>
      <c r="L768" s="36"/>
      <c r="M768" s="36"/>
      <c r="N768" s="36"/>
      <c r="O768" s="36"/>
      <c r="P768" s="36"/>
      <c r="Q768" s="36"/>
    </row>
    <row r="769" spans="1:17">
      <c r="A769" s="36"/>
      <c r="B769" s="36"/>
      <c r="C769" s="36"/>
      <c r="D769" s="36"/>
      <c r="E769" s="36"/>
      <c r="F769" s="36"/>
      <c r="L769" s="36"/>
      <c r="M769" s="36"/>
      <c r="N769" s="36"/>
      <c r="O769" s="36"/>
      <c r="P769" s="36"/>
      <c r="Q769" s="36"/>
    </row>
    <row r="770" spans="1:17">
      <c r="A770" s="36"/>
      <c r="B770" s="36"/>
      <c r="C770" s="36"/>
      <c r="D770" s="36"/>
      <c r="E770" s="36"/>
      <c r="F770" s="36"/>
      <c r="L770" s="36"/>
      <c r="M770" s="36"/>
      <c r="N770" s="36"/>
      <c r="O770" s="36"/>
      <c r="P770" s="36"/>
      <c r="Q770" s="36"/>
    </row>
    <row r="771" spans="1:17">
      <c r="A771" s="36"/>
      <c r="B771" s="36"/>
      <c r="C771" s="36"/>
      <c r="D771" s="36"/>
      <c r="E771" s="36"/>
      <c r="F771" s="36"/>
      <c r="L771" s="36"/>
      <c r="M771" s="36"/>
      <c r="N771" s="36"/>
      <c r="O771" s="36"/>
      <c r="P771" s="36"/>
      <c r="Q771" s="36"/>
    </row>
    <row r="772" spans="1:17">
      <c r="A772" s="36"/>
      <c r="B772" s="36"/>
      <c r="C772" s="36"/>
      <c r="D772" s="36"/>
      <c r="E772" s="36"/>
      <c r="F772" s="36"/>
      <c r="L772" s="36"/>
      <c r="M772" s="36"/>
      <c r="N772" s="36"/>
      <c r="O772" s="36"/>
      <c r="P772" s="36"/>
      <c r="Q772" s="36"/>
    </row>
    <row r="773" spans="1:17">
      <c r="A773" s="36"/>
      <c r="B773" s="36"/>
      <c r="C773" s="36"/>
      <c r="D773" s="36"/>
      <c r="E773" s="36"/>
      <c r="F773" s="36"/>
      <c r="L773" s="36"/>
      <c r="M773" s="36"/>
      <c r="N773" s="36"/>
      <c r="O773" s="36"/>
      <c r="P773" s="36"/>
      <c r="Q773" s="36"/>
    </row>
    <row r="774" spans="1:17">
      <c r="A774" s="36"/>
      <c r="B774" s="36"/>
      <c r="C774" s="36"/>
      <c r="D774" s="36"/>
      <c r="E774" s="36"/>
      <c r="F774" s="36"/>
      <c r="L774" s="36"/>
      <c r="M774" s="36"/>
      <c r="N774" s="36"/>
      <c r="O774" s="36"/>
      <c r="P774" s="36"/>
      <c r="Q774" s="36"/>
    </row>
    <row r="775" spans="1:17">
      <c r="A775" s="36"/>
      <c r="B775" s="36"/>
      <c r="C775" s="36"/>
      <c r="D775" s="36"/>
      <c r="E775" s="36"/>
      <c r="F775" s="36"/>
      <c r="L775" s="36"/>
      <c r="M775" s="36"/>
      <c r="N775" s="36"/>
      <c r="O775" s="36"/>
      <c r="P775" s="36"/>
      <c r="Q775" s="36"/>
    </row>
    <row r="776" spans="1:17">
      <c r="A776" s="36"/>
      <c r="B776" s="36"/>
      <c r="C776" s="36"/>
      <c r="D776" s="36"/>
      <c r="E776" s="36"/>
      <c r="F776" s="36"/>
      <c r="L776" s="36"/>
      <c r="M776" s="36"/>
      <c r="N776" s="36"/>
      <c r="O776" s="36"/>
      <c r="P776" s="36"/>
      <c r="Q776" s="36"/>
    </row>
    <row r="777" spans="1:17">
      <c r="A777" s="36"/>
      <c r="B777" s="36"/>
      <c r="C777" s="36"/>
      <c r="D777" s="36"/>
      <c r="E777" s="36"/>
      <c r="F777" s="36"/>
      <c r="L777" s="36"/>
      <c r="M777" s="36"/>
      <c r="N777" s="36"/>
      <c r="O777" s="36"/>
      <c r="P777" s="36"/>
      <c r="Q777" s="36"/>
    </row>
    <row r="778" spans="1:17">
      <c r="A778" s="36"/>
      <c r="B778" s="36"/>
      <c r="C778" s="36"/>
      <c r="D778" s="36"/>
      <c r="E778" s="36"/>
      <c r="F778" s="36"/>
      <c r="L778" s="36"/>
      <c r="M778" s="36"/>
      <c r="N778" s="36"/>
      <c r="O778" s="36"/>
      <c r="P778" s="36"/>
      <c r="Q778" s="36"/>
    </row>
    <row r="779" spans="1:17">
      <c r="A779" s="36"/>
      <c r="B779" s="36"/>
      <c r="C779" s="36"/>
      <c r="D779" s="36"/>
      <c r="E779" s="36"/>
      <c r="F779" s="36"/>
      <c r="L779" s="36"/>
      <c r="M779" s="36"/>
      <c r="N779" s="36"/>
      <c r="O779" s="36"/>
      <c r="P779" s="36"/>
      <c r="Q779" s="36"/>
    </row>
    <row r="780" spans="1:17">
      <c r="A780" s="36"/>
      <c r="B780" s="36"/>
      <c r="C780" s="36"/>
      <c r="D780" s="36"/>
      <c r="E780" s="36"/>
      <c r="F780" s="36"/>
      <c r="L780" s="36"/>
      <c r="M780" s="36"/>
      <c r="N780" s="36"/>
      <c r="O780" s="36"/>
      <c r="P780" s="36"/>
      <c r="Q780" s="36"/>
    </row>
    <row r="781" spans="1:17">
      <c r="A781" s="36"/>
      <c r="B781" s="36"/>
      <c r="C781" s="36"/>
      <c r="D781" s="36"/>
      <c r="E781" s="36"/>
      <c r="F781" s="36"/>
      <c r="L781" s="36"/>
      <c r="M781" s="36"/>
      <c r="N781" s="36"/>
      <c r="O781" s="36"/>
      <c r="P781" s="36"/>
      <c r="Q781" s="36"/>
    </row>
    <row r="782" spans="1:17">
      <c r="A782" s="36"/>
      <c r="B782" s="36"/>
      <c r="C782" s="36"/>
      <c r="D782" s="36"/>
      <c r="E782" s="36"/>
      <c r="F782" s="36"/>
      <c r="L782" s="36"/>
      <c r="M782" s="36"/>
      <c r="N782" s="36"/>
      <c r="O782" s="36"/>
      <c r="P782" s="36"/>
      <c r="Q782" s="36"/>
    </row>
    <row r="783" spans="1:17">
      <c r="A783" s="36"/>
      <c r="B783" s="36"/>
      <c r="C783" s="36"/>
      <c r="D783" s="36"/>
      <c r="E783" s="36"/>
      <c r="F783" s="36"/>
      <c r="L783" s="36"/>
      <c r="M783" s="36"/>
      <c r="N783" s="36"/>
      <c r="O783" s="36"/>
      <c r="P783" s="36"/>
      <c r="Q783" s="36"/>
    </row>
    <row r="784" spans="1:17">
      <c r="A784" s="36"/>
      <c r="B784" s="36"/>
      <c r="C784" s="36"/>
      <c r="D784" s="36"/>
      <c r="E784" s="36"/>
      <c r="F784" s="36"/>
      <c r="L784" s="36"/>
      <c r="M784" s="36"/>
      <c r="N784" s="36"/>
      <c r="O784" s="36"/>
      <c r="P784" s="36"/>
      <c r="Q784" s="36"/>
    </row>
    <row r="785" spans="1:17">
      <c r="A785" s="36"/>
      <c r="B785" s="36"/>
      <c r="C785" s="36"/>
      <c r="D785" s="36"/>
      <c r="E785" s="36"/>
      <c r="F785" s="36"/>
      <c r="L785" s="36"/>
      <c r="M785" s="36"/>
      <c r="N785" s="36"/>
      <c r="O785" s="36"/>
      <c r="P785" s="36"/>
      <c r="Q785" s="36"/>
    </row>
    <row r="786" spans="1:17">
      <c r="A786" s="36"/>
      <c r="B786" s="36"/>
      <c r="C786" s="36"/>
      <c r="D786" s="36"/>
      <c r="E786" s="36"/>
      <c r="F786" s="36"/>
      <c r="L786" s="36"/>
      <c r="M786" s="36"/>
      <c r="N786" s="36"/>
      <c r="O786" s="36"/>
      <c r="P786" s="36"/>
      <c r="Q786" s="36"/>
    </row>
    <row r="787" spans="1:17">
      <c r="A787" s="36"/>
      <c r="B787" s="36"/>
      <c r="C787" s="36"/>
      <c r="D787" s="36"/>
      <c r="E787" s="36"/>
      <c r="F787" s="36"/>
      <c r="L787" s="36"/>
      <c r="M787" s="36"/>
      <c r="N787" s="36"/>
      <c r="O787" s="36"/>
      <c r="P787" s="36"/>
      <c r="Q787" s="36"/>
    </row>
    <row r="788" spans="1:17">
      <c r="A788" s="36"/>
      <c r="B788" s="36"/>
      <c r="C788" s="36"/>
      <c r="D788" s="36"/>
      <c r="E788" s="36"/>
      <c r="F788" s="36"/>
      <c r="L788" s="36"/>
      <c r="M788" s="36"/>
      <c r="N788" s="36"/>
      <c r="O788" s="36"/>
      <c r="P788" s="36"/>
      <c r="Q788" s="36"/>
    </row>
    <row r="789" spans="1:17">
      <c r="A789" s="36"/>
      <c r="B789" s="36"/>
      <c r="C789" s="36"/>
      <c r="D789" s="36"/>
      <c r="E789" s="36"/>
      <c r="F789" s="36"/>
      <c r="L789" s="36"/>
      <c r="M789" s="36"/>
      <c r="N789" s="36"/>
      <c r="O789" s="36"/>
      <c r="P789" s="36"/>
      <c r="Q789" s="36"/>
    </row>
    <row r="790" spans="1:17">
      <c r="A790" s="36"/>
      <c r="B790" s="36"/>
      <c r="C790" s="36"/>
      <c r="D790" s="36"/>
      <c r="E790" s="36"/>
      <c r="F790" s="36"/>
      <c r="L790" s="36"/>
      <c r="M790" s="36"/>
      <c r="N790" s="36"/>
      <c r="O790" s="36"/>
      <c r="P790" s="36"/>
      <c r="Q790" s="36"/>
    </row>
    <row r="791" spans="1:17">
      <c r="A791" s="36"/>
      <c r="B791" s="36"/>
      <c r="C791" s="36"/>
      <c r="D791" s="36"/>
      <c r="E791" s="36"/>
      <c r="F791" s="36"/>
      <c r="L791" s="36"/>
      <c r="M791" s="36"/>
      <c r="N791" s="36"/>
      <c r="O791" s="36"/>
      <c r="P791" s="36"/>
      <c r="Q791" s="36"/>
    </row>
    <row r="792" spans="1:17">
      <c r="A792" s="36"/>
      <c r="B792" s="36"/>
      <c r="C792" s="36"/>
      <c r="D792" s="36"/>
      <c r="E792" s="36"/>
      <c r="F792" s="36"/>
      <c r="L792" s="36"/>
      <c r="M792" s="36"/>
      <c r="N792" s="36"/>
      <c r="O792" s="36"/>
      <c r="P792" s="36"/>
      <c r="Q792" s="36"/>
    </row>
    <row r="793" spans="1:17">
      <c r="A793" s="36"/>
      <c r="B793" s="36"/>
      <c r="C793" s="36"/>
      <c r="D793" s="36"/>
      <c r="E793" s="36"/>
      <c r="F793" s="36"/>
      <c r="L793" s="36"/>
      <c r="M793" s="36"/>
      <c r="N793" s="36"/>
      <c r="O793" s="36"/>
      <c r="P793" s="36"/>
      <c r="Q793" s="36"/>
    </row>
    <row r="794" spans="1:17">
      <c r="A794" s="36"/>
      <c r="B794" s="36"/>
      <c r="C794" s="36"/>
      <c r="D794" s="36"/>
      <c r="E794" s="36"/>
      <c r="F794" s="36"/>
      <c r="L794" s="36"/>
      <c r="M794" s="36"/>
      <c r="N794" s="36"/>
      <c r="O794" s="36"/>
      <c r="P794" s="36"/>
      <c r="Q794" s="36"/>
    </row>
    <row r="795" spans="1:17">
      <c r="A795" s="36"/>
      <c r="B795" s="36"/>
      <c r="C795" s="36"/>
      <c r="D795" s="36"/>
      <c r="E795" s="36"/>
      <c r="F795" s="36"/>
      <c r="L795" s="36"/>
      <c r="M795" s="36"/>
      <c r="N795" s="36"/>
      <c r="O795" s="36"/>
      <c r="P795" s="36"/>
      <c r="Q795" s="36"/>
    </row>
    <row r="796" spans="1:17">
      <c r="A796" s="36"/>
      <c r="B796" s="36"/>
      <c r="C796" s="36"/>
      <c r="D796" s="36"/>
      <c r="E796" s="36"/>
      <c r="F796" s="36"/>
      <c r="L796" s="36"/>
      <c r="M796" s="36"/>
      <c r="N796" s="36"/>
      <c r="O796" s="36"/>
      <c r="P796" s="36"/>
      <c r="Q796" s="36"/>
    </row>
    <row r="797" spans="1:17">
      <c r="A797" s="36"/>
      <c r="B797" s="36"/>
      <c r="C797" s="36"/>
      <c r="D797" s="36"/>
      <c r="E797" s="36"/>
      <c r="F797" s="36"/>
      <c r="L797" s="36"/>
      <c r="M797" s="36"/>
      <c r="N797" s="36"/>
      <c r="O797" s="36"/>
      <c r="P797" s="36"/>
      <c r="Q797" s="36"/>
    </row>
    <row r="798" spans="1:17">
      <c r="A798" s="36"/>
      <c r="B798" s="36"/>
      <c r="C798" s="36"/>
      <c r="D798" s="36"/>
      <c r="E798" s="36"/>
      <c r="F798" s="36"/>
      <c r="L798" s="36"/>
      <c r="M798" s="36"/>
      <c r="N798" s="36"/>
      <c r="O798" s="36"/>
      <c r="P798" s="36"/>
      <c r="Q798" s="36"/>
    </row>
    <row r="799" spans="1:17">
      <c r="A799" s="36"/>
      <c r="B799" s="36"/>
      <c r="C799" s="36"/>
      <c r="D799" s="36"/>
      <c r="E799" s="36"/>
      <c r="F799" s="36"/>
      <c r="L799" s="36"/>
      <c r="M799" s="36"/>
      <c r="N799" s="36"/>
      <c r="O799" s="36"/>
      <c r="P799" s="36"/>
      <c r="Q799" s="36"/>
    </row>
    <row r="800" spans="1:17">
      <c r="A800" s="36"/>
      <c r="B800" s="36"/>
      <c r="C800" s="36"/>
      <c r="D800" s="36"/>
      <c r="E800" s="36"/>
      <c r="F800" s="36"/>
      <c r="L800" s="36"/>
      <c r="M800" s="36"/>
      <c r="N800" s="36"/>
      <c r="O800" s="36"/>
      <c r="P800" s="36"/>
      <c r="Q800" s="36"/>
    </row>
    <row r="801" spans="1:17">
      <c r="A801" s="36"/>
      <c r="B801" s="36"/>
      <c r="C801" s="36"/>
      <c r="D801" s="36"/>
      <c r="E801" s="36"/>
      <c r="F801" s="36"/>
      <c r="L801" s="36"/>
      <c r="M801" s="36"/>
      <c r="N801" s="36"/>
      <c r="O801" s="36"/>
      <c r="P801" s="36"/>
      <c r="Q801" s="36"/>
    </row>
    <row r="802" spans="1:17">
      <c r="A802" s="36"/>
      <c r="B802" s="36"/>
      <c r="C802" s="36"/>
      <c r="D802" s="36"/>
      <c r="E802" s="36"/>
      <c r="F802" s="36"/>
      <c r="L802" s="36"/>
      <c r="M802" s="36"/>
      <c r="N802" s="36"/>
      <c r="O802" s="36"/>
      <c r="P802" s="36"/>
      <c r="Q802" s="36"/>
    </row>
    <row r="803" spans="1:17">
      <c r="A803" s="36"/>
      <c r="B803" s="36"/>
      <c r="C803" s="36"/>
      <c r="D803" s="36"/>
      <c r="E803" s="36"/>
      <c r="F803" s="36"/>
      <c r="L803" s="36"/>
      <c r="M803" s="36"/>
      <c r="N803" s="36"/>
      <c r="O803" s="36"/>
      <c r="P803" s="36"/>
      <c r="Q803" s="36"/>
    </row>
    <row r="804" spans="1:17">
      <c r="A804" s="36"/>
      <c r="B804" s="36"/>
      <c r="C804" s="36"/>
      <c r="D804" s="36"/>
      <c r="E804" s="36"/>
      <c r="F804" s="36"/>
      <c r="L804" s="36"/>
      <c r="M804" s="36"/>
      <c r="N804" s="36"/>
      <c r="O804" s="36"/>
      <c r="P804" s="36"/>
      <c r="Q804" s="36"/>
    </row>
    <row r="805" spans="1:17">
      <c r="A805" s="36"/>
      <c r="B805" s="36"/>
      <c r="C805" s="36"/>
      <c r="D805" s="36"/>
      <c r="E805" s="36"/>
      <c r="F805" s="36"/>
      <c r="L805" s="36"/>
      <c r="M805" s="36"/>
      <c r="N805" s="36"/>
      <c r="O805" s="36"/>
      <c r="P805" s="36"/>
      <c r="Q805" s="36"/>
    </row>
    <row r="806" spans="1:17">
      <c r="A806" s="36"/>
      <c r="B806" s="36"/>
      <c r="C806" s="36"/>
      <c r="D806" s="36"/>
      <c r="E806" s="36"/>
      <c r="F806" s="36"/>
      <c r="L806" s="36"/>
      <c r="M806" s="36"/>
      <c r="N806" s="36"/>
      <c r="O806" s="36"/>
      <c r="P806" s="36"/>
      <c r="Q806" s="36"/>
    </row>
    <row r="807" spans="1:17">
      <c r="A807" s="36"/>
      <c r="B807" s="36"/>
      <c r="C807" s="36"/>
      <c r="D807" s="36"/>
      <c r="E807" s="36"/>
      <c r="F807" s="36"/>
      <c r="L807" s="36"/>
      <c r="M807" s="36"/>
      <c r="N807" s="36"/>
      <c r="O807" s="36"/>
      <c r="P807" s="36"/>
      <c r="Q807" s="36"/>
    </row>
    <row r="808" spans="1:17">
      <c r="A808" s="36"/>
      <c r="B808" s="36"/>
      <c r="C808" s="36"/>
      <c r="D808" s="36"/>
      <c r="E808" s="36"/>
      <c r="F808" s="36"/>
      <c r="L808" s="36"/>
      <c r="M808" s="36"/>
      <c r="N808" s="36"/>
      <c r="O808" s="36"/>
      <c r="P808" s="36"/>
      <c r="Q808" s="36"/>
    </row>
    <row r="809" spans="1:17">
      <c r="A809" s="36"/>
      <c r="B809" s="36"/>
      <c r="C809" s="36"/>
      <c r="D809" s="36"/>
      <c r="E809" s="36"/>
      <c r="F809" s="36"/>
      <c r="L809" s="36"/>
      <c r="M809" s="36"/>
      <c r="N809" s="36"/>
      <c r="O809" s="36"/>
      <c r="P809" s="36"/>
      <c r="Q809" s="36"/>
    </row>
    <row r="810" spans="1:17">
      <c r="A810" s="36"/>
      <c r="B810" s="36"/>
      <c r="C810" s="36"/>
      <c r="D810" s="36"/>
      <c r="E810" s="36"/>
      <c r="F810" s="36"/>
      <c r="L810" s="36"/>
      <c r="M810" s="36"/>
      <c r="N810" s="36"/>
      <c r="O810" s="36"/>
      <c r="P810" s="36"/>
      <c r="Q810" s="36"/>
    </row>
    <row r="811" spans="1:17">
      <c r="A811" s="36"/>
      <c r="B811" s="36"/>
      <c r="C811" s="36"/>
      <c r="D811" s="36"/>
      <c r="E811" s="36"/>
      <c r="F811" s="36"/>
      <c r="L811" s="36"/>
      <c r="M811" s="36"/>
      <c r="N811" s="36"/>
      <c r="O811" s="36"/>
      <c r="P811" s="36"/>
      <c r="Q811" s="36"/>
    </row>
    <row r="812" spans="1:17">
      <c r="A812" s="36"/>
      <c r="B812" s="36"/>
      <c r="C812" s="36"/>
      <c r="D812" s="36"/>
      <c r="E812" s="36"/>
      <c r="F812" s="36"/>
      <c r="L812" s="36"/>
      <c r="M812" s="36"/>
      <c r="N812" s="36"/>
      <c r="O812" s="36"/>
      <c r="P812" s="36"/>
      <c r="Q812" s="36"/>
    </row>
    <row r="813" spans="1:17">
      <c r="A813" s="36"/>
      <c r="B813" s="36"/>
      <c r="C813" s="36"/>
      <c r="D813" s="36"/>
      <c r="E813" s="36"/>
      <c r="F813" s="36"/>
      <c r="L813" s="36"/>
      <c r="M813" s="36"/>
      <c r="N813" s="36"/>
      <c r="O813" s="36"/>
      <c r="P813" s="36"/>
      <c r="Q813" s="36"/>
    </row>
    <row r="814" spans="1:17">
      <c r="A814" s="36"/>
      <c r="B814" s="36"/>
      <c r="C814" s="36"/>
      <c r="D814" s="36"/>
      <c r="E814" s="36"/>
      <c r="F814" s="36"/>
      <c r="L814" s="36"/>
      <c r="M814" s="36"/>
      <c r="N814" s="36"/>
      <c r="O814" s="36"/>
      <c r="P814" s="36"/>
      <c r="Q814" s="36"/>
    </row>
    <row r="815" spans="1:17">
      <c r="A815" s="36"/>
      <c r="B815" s="36"/>
      <c r="C815" s="36"/>
      <c r="D815" s="36"/>
      <c r="E815" s="36"/>
      <c r="F815" s="36"/>
      <c r="L815" s="36"/>
      <c r="M815" s="36"/>
      <c r="N815" s="36"/>
      <c r="O815" s="36"/>
      <c r="P815" s="36"/>
      <c r="Q815" s="36"/>
    </row>
    <row r="816" spans="1:17">
      <c r="A816" s="36"/>
      <c r="B816" s="36"/>
      <c r="C816" s="36"/>
      <c r="D816" s="36"/>
      <c r="E816" s="36"/>
      <c r="F816" s="36"/>
      <c r="L816" s="36"/>
      <c r="M816" s="36"/>
      <c r="N816" s="36"/>
      <c r="O816" s="36"/>
      <c r="P816" s="36"/>
      <c r="Q816" s="36"/>
    </row>
    <row r="817" spans="1:17">
      <c r="A817" s="36"/>
      <c r="B817" s="36"/>
      <c r="C817" s="36"/>
      <c r="D817" s="36"/>
      <c r="E817" s="36"/>
      <c r="F817" s="36"/>
      <c r="L817" s="36"/>
      <c r="M817" s="36"/>
      <c r="N817" s="36"/>
      <c r="O817" s="36"/>
      <c r="P817" s="36"/>
      <c r="Q817" s="36"/>
    </row>
    <row r="818" spans="1:17">
      <c r="A818" s="36"/>
      <c r="B818" s="36"/>
      <c r="C818" s="36"/>
      <c r="D818" s="36"/>
      <c r="E818" s="36"/>
      <c r="F818" s="36"/>
      <c r="L818" s="36"/>
      <c r="M818" s="36"/>
      <c r="N818" s="36"/>
      <c r="O818" s="36"/>
      <c r="P818" s="36"/>
      <c r="Q818" s="36"/>
    </row>
    <row r="819" spans="1:17">
      <c r="A819" s="36"/>
      <c r="B819" s="36"/>
      <c r="C819" s="36"/>
      <c r="D819" s="36"/>
      <c r="E819" s="36"/>
      <c r="F819" s="36"/>
      <c r="L819" s="36"/>
      <c r="M819" s="36"/>
      <c r="N819" s="36"/>
      <c r="O819" s="36"/>
      <c r="P819" s="36"/>
      <c r="Q819" s="36"/>
    </row>
    <row r="820" spans="1:17">
      <c r="A820" s="36"/>
      <c r="B820" s="36"/>
      <c r="C820" s="36"/>
      <c r="D820" s="36"/>
      <c r="E820" s="36"/>
      <c r="F820" s="36"/>
      <c r="L820" s="36"/>
      <c r="M820" s="36"/>
      <c r="N820" s="36"/>
      <c r="O820" s="36"/>
      <c r="P820" s="36"/>
      <c r="Q820" s="36"/>
    </row>
    <row r="821" spans="1:17">
      <c r="A821" s="36"/>
      <c r="B821" s="36"/>
      <c r="C821" s="36"/>
      <c r="D821" s="36"/>
      <c r="E821" s="36"/>
      <c r="F821" s="36"/>
      <c r="L821" s="36"/>
      <c r="M821" s="36"/>
      <c r="N821" s="36"/>
      <c r="O821" s="36"/>
      <c r="P821" s="36"/>
      <c r="Q821" s="36"/>
    </row>
    <row r="822" spans="1:17">
      <c r="A822" s="36"/>
      <c r="B822" s="36"/>
      <c r="C822" s="36"/>
      <c r="D822" s="36"/>
      <c r="E822" s="36"/>
      <c r="F822" s="36"/>
      <c r="L822" s="36"/>
      <c r="M822" s="36"/>
      <c r="N822" s="36"/>
      <c r="O822" s="36"/>
      <c r="P822" s="36"/>
      <c r="Q822" s="36"/>
    </row>
    <row r="823" spans="1:17">
      <c r="A823" s="36"/>
      <c r="B823" s="36"/>
      <c r="C823" s="36"/>
      <c r="D823" s="36"/>
      <c r="E823" s="36"/>
      <c r="F823" s="36"/>
      <c r="L823" s="36"/>
      <c r="M823" s="36"/>
      <c r="N823" s="36"/>
      <c r="O823" s="36"/>
      <c r="P823" s="36"/>
      <c r="Q823" s="36"/>
    </row>
    <row r="824" spans="1:17">
      <c r="A824" s="36"/>
      <c r="B824" s="36"/>
      <c r="C824" s="36"/>
      <c r="D824" s="36"/>
      <c r="E824" s="36"/>
      <c r="F824" s="36"/>
      <c r="L824" s="36"/>
      <c r="M824" s="36"/>
      <c r="N824" s="36"/>
      <c r="O824" s="36"/>
      <c r="P824" s="36"/>
      <c r="Q824" s="36"/>
    </row>
    <row r="825" spans="1:17">
      <c r="A825" s="36"/>
      <c r="B825" s="36"/>
      <c r="C825" s="36"/>
      <c r="D825" s="36"/>
      <c r="E825" s="36"/>
      <c r="F825" s="36"/>
      <c r="L825" s="36"/>
      <c r="M825" s="36"/>
      <c r="N825" s="36"/>
      <c r="O825" s="36"/>
      <c r="P825" s="36"/>
      <c r="Q825" s="36"/>
    </row>
    <row r="826" spans="1:17">
      <c r="A826" s="36"/>
      <c r="B826" s="36"/>
      <c r="C826" s="36"/>
      <c r="D826" s="36"/>
      <c r="E826" s="36"/>
      <c r="F826" s="36"/>
      <c r="L826" s="36"/>
      <c r="M826" s="36"/>
      <c r="N826" s="36"/>
      <c r="O826" s="36"/>
      <c r="P826" s="36"/>
      <c r="Q826" s="36"/>
    </row>
    <row r="827" spans="1:17">
      <c r="A827" s="36"/>
      <c r="B827" s="36"/>
      <c r="C827" s="36"/>
      <c r="D827" s="36"/>
      <c r="E827" s="36"/>
      <c r="F827" s="36"/>
      <c r="L827" s="36"/>
      <c r="M827" s="36"/>
      <c r="N827" s="36"/>
      <c r="O827" s="36"/>
      <c r="P827" s="36"/>
      <c r="Q827" s="36"/>
    </row>
    <row r="828" spans="1:17">
      <c r="A828" s="36"/>
      <c r="B828" s="36"/>
      <c r="C828" s="36"/>
      <c r="D828" s="36"/>
      <c r="E828" s="36"/>
      <c r="F828" s="36"/>
      <c r="L828" s="36"/>
      <c r="M828" s="36"/>
      <c r="N828" s="36"/>
      <c r="O828" s="36"/>
      <c r="P828" s="36"/>
      <c r="Q828" s="36"/>
    </row>
    <row r="829" spans="1:17">
      <c r="A829" s="36"/>
      <c r="B829" s="36"/>
      <c r="C829" s="36"/>
      <c r="D829" s="36"/>
      <c r="E829" s="36"/>
      <c r="F829" s="36"/>
      <c r="L829" s="36"/>
      <c r="M829" s="36"/>
      <c r="N829" s="36"/>
      <c r="O829" s="36"/>
      <c r="P829" s="36"/>
      <c r="Q829" s="36"/>
    </row>
    <row r="830" spans="1:17">
      <c r="A830" s="36"/>
      <c r="B830" s="36"/>
      <c r="C830" s="36"/>
      <c r="D830" s="36"/>
      <c r="E830" s="36"/>
      <c r="F830" s="36"/>
      <c r="L830" s="36"/>
      <c r="M830" s="36"/>
      <c r="N830" s="36"/>
      <c r="O830" s="36"/>
      <c r="P830" s="36"/>
      <c r="Q830" s="36"/>
    </row>
    <row r="831" spans="1:17">
      <c r="A831" s="36"/>
      <c r="B831" s="36"/>
      <c r="C831" s="36"/>
      <c r="D831" s="36"/>
      <c r="E831" s="36"/>
      <c r="F831" s="36"/>
      <c r="L831" s="36"/>
      <c r="M831" s="36"/>
      <c r="N831" s="36"/>
      <c r="O831" s="36"/>
      <c r="P831" s="36"/>
      <c r="Q831" s="36"/>
    </row>
    <row r="832" spans="1:17">
      <c r="A832" s="36"/>
      <c r="B832" s="36"/>
      <c r="C832" s="36"/>
      <c r="D832" s="36"/>
      <c r="E832" s="36"/>
      <c r="F832" s="36"/>
      <c r="L832" s="36"/>
      <c r="M832" s="36"/>
      <c r="N832" s="36"/>
      <c r="O832" s="36"/>
      <c r="P832" s="36"/>
      <c r="Q832" s="36"/>
    </row>
    <row r="833" spans="1:17">
      <c r="A833" s="36"/>
      <c r="B833" s="36"/>
      <c r="C833" s="36"/>
      <c r="D833" s="36"/>
      <c r="E833" s="36"/>
      <c r="F833" s="36"/>
      <c r="L833" s="36"/>
      <c r="M833" s="36"/>
      <c r="N833" s="36"/>
      <c r="O833" s="36"/>
      <c r="P833" s="36"/>
      <c r="Q833" s="36"/>
    </row>
    <row r="834" spans="1:17">
      <c r="A834" s="36"/>
      <c r="B834" s="36"/>
      <c r="C834" s="36"/>
      <c r="D834" s="36"/>
      <c r="E834" s="36"/>
      <c r="F834" s="36"/>
      <c r="L834" s="36"/>
      <c r="M834" s="36"/>
      <c r="N834" s="36"/>
      <c r="O834" s="36"/>
      <c r="P834" s="36"/>
      <c r="Q834" s="36"/>
    </row>
    <row r="835" spans="1:17">
      <c r="A835" s="36"/>
      <c r="B835" s="36"/>
      <c r="C835" s="36"/>
      <c r="D835" s="36"/>
      <c r="E835" s="36"/>
      <c r="F835" s="36"/>
      <c r="L835" s="36"/>
      <c r="M835" s="36"/>
      <c r="N835" s="36"/>
      <c r="O835" s="36"/>
      <c r="P835" s="36"/>
      <c r="Q835" s="36"/>
    </row>
    <row r="836" spans="1:17">
      <c r="A836" s="36"/>
      <c r="B836" s="36"/>
      <c r="C836" s="36"/>
      <c r="D836" s="36"/>
      <c r="E836" s="36"/>
      <c r="F836" s="36"/>
      <c r="L836" s="36"/>
      <c r="M836" s="36"/>
      <c r="N836" s="36"/>
      <c r="O836" s="36"/>
      <c r="P836" s="36"/>
      <c r="Q836" s="36"/>
    </row>
    <row r="837" spans="1:17">
      <c r="A837" s="36"/>
      <c r="B837" s="36"/>
      <c r="C837" s="36"/>
      <c r="D837" s="36"/>
      <c r="E837" s="36"/>
      <c r="F837" s="36"/>
      <c r="L837" s="36"/>
      <c r="M837" s="36"/>
      <c r="N837" s="36"/>
      <c r="O837" s="36"/>
      <c r="P837" s="36"/>
      <c r="Q837" s="36"/>
    </row>
    <row r="838" spans="1:17">
      <c r="A838" s="36"/>
      <c r="B838" s="36"/>
      <c r="C838" s="36"/>
      <c r="D838" s="36"/>
      <c r="E838" s="36"/>
      <c r="F838" s="36"/>
      <c r="L838" s="36"/>
      <c r="M838" s="36"/>
      <c r="N838" s="36"/>
      <c r="O838" s="36"/>
      <c r="P838" s="36"/>
      <c r="Q838" s="36"/>
    </row>
    <row r="839" spans="1:17">
      <c r="A839" s="36"/>
      <c r="B839" s="36"/>
      <c r="C839" s="36"/>
      <c r="D839" s="36"/>
      <c r="E839" s="36"/>
      <c r="F839" s="36"/>
      <c r="L839" s="36"/>
      <c r="M839" s="36"/>
      <c r="N839" s="36"/>
      <c r="O839" s="36"/>
      <c r="P839" s="36"/>
      <c r="Q839" s="36"/>
    </row>
    <row r="840" spans="1:17">
      <c r="A840" s="36"/>
      <c r="B840" s="36"/>
      <c r="C840" s="36"/>
      <c r="D840" s="36"/>
      <c r="E840" s="36"/>
      <c r="F840" s="36"/>
      <c r="L840" s="36"/>
      <c r="M840" s="36"/>
      <c r="N840" s="36"/>
      <c r="O840" s="36"/>
      <c r="P840" s="36"/>
      <c r="Q840" s="36"/>
    </row>
    <row r="841" spans="1:17">
      <c r="A841" s="36"/>
      <c r="B841" s="36"/>
      <c r="C841" s="36"/>
      <c r="D841" s="36"/>
      <c r="E841" s="36"/>
      <c r="F841" s="36"/>
      <c r="L841" s="36"/>
      <c r="M841" s="36"/>
      <c r="N841" s="36"/>
      <c r="O841" s="36"/>
      <c r="P841" s="36"/>
      <c r="Q841" s="36"/>
    </row>
    <row r="842" spans="1:17">
      <c r="A842" s="36"/>
      <c r="B842" s="36"/>
      <c r="C842" s="36"/>
      <c r="D842" s="36"/>
      <c r="E842" s="36"/>
      <c r="F842" s="36"/>
      <c r="L842" s="36"/>
      <c r="M842" s="36"/>
      <c r="N842" s="36"/>
      <c r="O842" s="36"/>
      <c r="P842" s="36"/>
      <c r="Q842" s="36"/>
    </row>
    <row r="843" spans="1:17">
      <c r="A843" s="36"/>
      <c r="B843" s="36"/>
      <c r="C843" s="36"/>
      <c r="D843" s="36"/>
      <c r="E843" s="36"/>
      <c r="F843" s="36"/>
      <c r="L843" s="36"/>
      <c r="M843" s="36"/>
      <c r="N843" s="36"/>
      <c r="O843" s="36"/>
      <c r="P843" s="36"/>
      <c r="Q843" s="36"/>
    </row>
    <row r="844" spans="1:17">
      <c r="A844" s="36"/>
      <c r="B844" s="36"/>
      <c r="C844" s="36"/>
      <c r="D844" s="36"/>
      <c r="E844" s="36"/>
      <c r="F844" s="36"/>
      <c r="L844" s="36"/>
      <c r="M844" s="36"/>
      <c r="N844" s="36"/>
      <c r="O844" s="36"/>
      <c r="P844" s="36"/>
      <c r="Q844" s="36"/>
    </row>
    <row r="845" spans="1:17">
      <c r="A845" s="36"/>
      <c r="B845" s="36"/>
      <c r="C845" s="36"/>
      <c r="D845" s="36"/>
      <c r="E845" s="36"/>
      <c r="F845" s="36"/>
      <c r="L845" s="36"/>
      <c r="M845" s="36"/>
      <c r="N845" s="36"/>
      <c r="O845" s="36"/>
      <c r="P845" s="36"/>
      <c r="Q845" s="36"/>
    </row>
    <row r="846" spans="1:17">
      <c r="A846" s="36"/>
      <c r="B846" s="36"/>
      <c r="C846" s="36"/>
      <c r="D846" s="36"/>
      <c r="E846" s="36"/>
      <c r="F846" s="36"/>
      <c r="L846" s="36"/>
      <c r="M846" s="36"/>
      <c r="N846" s="36"/>
      <c r="O846" s="36"/>
      <c r="P846" s="36"/>
      <c r="Q846" s="36"/>
    </row>
    <row r="847" spans="1:17">
      <c r="A847" s="36"/>
      <c r="B847" s="36"/>
      <c r="C847" s="36"/>
      <c r="D847" s="36"/>
      <c r="E847" s="36"/>
      <c r="F847" s="36"/>
      <c r="L847" s="36"/>
      <c r="M847" s="36"/>
      <c r="N847" s="36"/>
      <c r="O847" s="36"/>
      <c r="P847" s="36"/>
      <c r="Q847" s="36"/>
    </row>
    <row r="848" spans="1:17">
      <c r="A848" s="36"/>
      <c r="B848" s="36"/>
      <c r="C848" s="36"/>
      <c r="D848" s="36"/>
      <c r="E848" s="36"/>
      <c r="F848" s="36"/>
      <c r="L848" s="36"/>
      <c r="M848" s="36"/>
      <c r="N848" s="36"/>
      <c r="O848" s="36"/>
      <c r="P848" s="36"/>
      <c r="Q848" s="36"/>
    </row>
    <row r="849" spans="1:17">
      <c r="A849" s="36"/>
      <c r="B849" s="36"/>
      <c r="C849" s="36"/>
      <c r="D849" s="36"/>
      <c r="E849" s="36"/>
      <c r="F849" s="36"/>
      <c r="L849" s="36"/>
      <c r="M849" s="36"/>
      <c r="N849" s="36"/>
      <c r="O849" s="36"/>
      <c r="P849" s="36"/>
      <c r="Q849" s="36"/>
    </row>
    <row r="850" spans="1:17">
      <c r="A850" s="36"/>
      <c r="B850" s="36"/>
      <c r="C850" s="36"/>
      <c r="D850" s="36"/>
      <c r="E850" s="36"/>
      <c r="F850" s="36"/>
      <c r="L850" s="36"/>
      <c r="M850" s="36"/>
      <c r="N850" s="36"/>
      <c r="O850" s="36"/>
      <c r="P850" s="36"/>
      <c r="Q850" s="36"/>
    </row>
    <row r="851" spans="1:17">
      <c r="A851" s="36"/>
      <c r="B851" s="36"/>
      <c r="C851" s="36"/>
      <c r="D851" s="36"/>
      <c r="E851" s="36"/>
      <c r="F851" s="36"/>
      <c r="L851" s="36"/>
      <c r="M851" s="36"/>
      <c r="N851" s="36"/>
      <c r="O851" s="36"/>
      <c r="P851" s="36"/>
      <c r="Q851" s="36"/>
    </row>
    <row r="852" spans="1:17">
      <c r="A852" s="36"/>
      <c r="B852" s="36"/>
      <c r="C852" s="36"/>
      <c r="D852" s="36"/>
      <c r="E852" s="36"/>
      <c r="F852" s="36"/>
      <c r="L852" s="36"/>
      <c r="M852" s="36"/>
      <c r="N852" s="36"/>
      <c r="O852" s="36"/>
      <c r="P852" s="36"/>
      <c r="Q852" s="36"/>
    </row>
    <row r="853" spans="1:17">
      <c r="A853" s="36"/>
      <c r="B853" s="36"/>
      <c r="C853" s="36"/>
      <c r="D853" s="36"/>
      <c r="E853" s="36"/>
      <c r="F853" s="36"/>
      <c r="L853" s="36"/>
      <c r="M853" s="36"/>
      <c r="N853" s="36"/>
      <c r="O853" s="36"/>
      <c r="P853" s="36"/>
      <c r="Q853" s="36"/>
    </row>
    <row r="854" spans="1:17">
      <c r="A854" s="36"/>
      <c r="B854" s="36"/>
      <c r="C854" s="36"/>
      <c r="D854" s="36"/>
      <c r="E854" s="36"/>
      <c r="F854" s="36"/>
      <c r="L854" s="36"/>
      <c r="M854" s="36"/>
      <c r="N854" s="36"/>
      <c r="O854" s="36"/>
      <c r="P854" s="36"/>
      <c r="Q854" s="36"/>
    </row>
    <row r="855" spans="1:17">
      <c r="A855" s="36"/>
      <c r="B855" s="36"/>
      <c r="C855" s="36"/>
      <c r="D855" s="36"/>
      <c r="E855" s="36"/>
      <c r="F855" s="36"/>
      <c r="L855" s="36"/>
      <c r="M855" s="36"/>
      <c r="N855" s="36"/>
      <c r="O855" s="36"/>
      <c r="P855" s="36"/>
      <c r="Q855" s="36"/>
    </row>
    <row r="856" spans="1:17">
      <c r="A856" s="36"/>
      <c r="B856" s="36"/>
      <c r="C856" s="36"/>
      <c r="D856" s="36"/>
      <c r="E856" s="36"/>
      <c r="F856" s="36"/>
      <c r="L856" s="36"/>
      <c r="M856" s="36"/>
      <c r="N856" s="36"/>
      <c r="O856" s="36"/>
      <c r="P856" s="36"/>
      <c r="Q856" s="36"/>
    </row>
    <row r="857" spans="1:17">
      <c r="A857" s="36"/>
      <c r="B857" s="36"/>
      <c r="C857" s="36"/>
      <c r="D857" s="36"/>
      <c r="E857" s="36"/>
      <c r="F857" s="36"/>
      <c r="L857" s="36"/>
      <c r="M857" s="36"/>
      <c r="N857" s="36"/>
      <c r="O857" s="36"/>
      <c r="P857" s="36"/>
      <c r="Q857" s="36"/>
    </row>
    <row r="858" spans="1:17">
      <c r="A858" s="36"/>
      <c r="B858" s="36"/>
      <c r="C858" s="36"/>
      <c r="D858" s="36"/>
      <c r="E858" s="36"/>
      <c r="F858" s="36"/>
      <c r="L858" s="36"/>
      <c r="M858" s="36"/>
      <c r="N858" s="36"/>
      <c r="O858" s="36"/>
      <c r="P858" s="36"/>
      <c r="Q858" s="36"/>
    </row>
    <row r="859" spans="1:17">
      <c r="A859" s="36"/>
      <c r="B859" s="36"/>
      <c r="C859" s="36"/>
      <c r="D859" s="36"/>
      <c r="E859" s="36"/>
      <c r="F859" s="36"/>
      <c r="L859" s="36"/>
      <c r="M859" s="36"/>
      <c r="N859" s="36"/>
      <c r="O859" s="36"/>
      <c r="P859" s="36"/>
      <c r="Q859" s="36"/>
    </row>
    <row r="860" spans="1:17">
      <c r="A860" s="36"/>
      <c r="B860" s="36"/>
      <c r="C860" s="36"/>
      <c r="D860" s="36"/>
      <c r="E860" s="36"/>
      <c r="F860" s="36"/>
      <c r="L860" s="36"/>
      <c r="M860" s="36"/>
      <c r="N860" s="36"/>
      <c r="O860" s="36"/>
      <c r="P860" s="36"/>
      <c r="Q860" s="36"/>
    </row>
    <row r="861" spans="1:17">
      <c r="A861" s="36"/>
      <c r="B861" s="36"/>
      <c r="C861" s="36"/>
      <c r="D861" s="36"/>
      <c r="E861" s="36"/>
      <c r="F861" s="36"/>
      <c r="L861" s="36"/>
      <c r="M861" s="36"/>
      <c r="N861" s="36"/>
      <c r="O861" s="36"/>
      <c r="P861" s="36"/>
      <c r="Q861" s="36"/>
    </row>
    <row r="862" spans="1:17">
      <c r="A862" s="36"/>
      <c r="B862" s="36"/>
      <c r="C862" s="36"/>
      <c r="D862" s="36"/>
      <c r="E862" s="36"/>
      <c r="F862" s="36"/>
      <c r="L862" s="36"/>
      <c r="M862" s="36"/>
      <c r="N862" s="36"/>
      <c r="O862" s="36"/>
      <c r="P862" s="36"/>
      <c r="Q862" s="36"/>
    </row>
    <row r="863" spans="1:17">
      <c r="A863" s="36"/>
      <c r="B863" s="36"/>
      <c r="C863" s="36"/>
      <c r="D863" s="36"/>
      <c r="E863" s="36"/>
      <c r="F863" s="36"/>
      <c r="L863" s="36"/>
      <c r="M863" s="36"/>
      <c r="N863" s="36"/>
      <c r="O863" s="36"/>
      <c r="P863" s="36"/>
      <c r="Q863" s="36"/>
    </row>
    <row r="864" spans="1:17">
      <c r="A864" s="36"/>
      <c r="B864" s="36"/>
      <c r="C864" s="36"/>
      <c r="D864" s="36"/>
      <c r="E864" s="36"/>
      <c r="F864" s="36"/>
      <c r="L864" s="36"/>
      <c r="M864" s="36"/>
      <c r="N864" s="36"/>
      <c r="O864" s="36"/>
      <c r="P864" s="36"/>
      <c r="Q864" s="36"/>
    </row>
    <row r="865" spans="1:17">
      <c r="A865" s="36"/>
      <c r="B865" s="36"/>
      <c r="C865" s="36"/>
      <c r="D865" s="36"/>
      <c r="E865" s="36"/>
      <c r="F865" s="36"/>
      <c r="L865" s="36"/>
      <c r="M865" s="36"/>
      <c r="N865" s="36"/>
      <c r="O865" s="36"/>
      <c r="P865" s="36"/>
      <c r="Q865" s="36"/>
    </row>
    <row r="866" spans="1:17">
      <c r="A866" s="36"/>
      <c r="B866" s="36"/>
      <c r="C866" s="36"/>
      <c r="D866" s="36"/>
      <c r="E866" s="36"/>
      <c r="F866" s="36"/>
      <c r="L866" s="36"/>
      <c r="M866" s="36"/>
      <c r="N866" s="36"/>
      <c r="O866" s="36"/>
      <c r="P866" s="36"/>
      <c r="Q866" s="36"/>
    </row>
    <row r="867" spans="1:17">
      <c r="A867" s="36"/>
      <c r="B867" s="36"/>
      <c r="C867" s="36"/>
      <c r="D867" s="36"/>
      <c r="E867" s="36"/>
      <c r="F867" s="36"/>
      <c r="L867" s="36"/>
      <c r="M867" s="36"/>
      <c r="N867" s="36"/>
      <c r="O867" s="36"/>
      <c r="P867" s="36"/>
      <c r="Q867" s="36"/>
    </row>
    <row r="868" spans="1:17">
      <c r="A868" s="36"/>
      <c r="B868" s="36"/>
      <c r="C868" s="36"/>
      <c r="D868" s="36"/>
      <c r="E868" s="36"/>
      <c r="F868" s="36"/>
      <c r="L868" s="36"/>
      <c r="M868" s="36"/>
      <c r="N868" s="36"/>
      <c r="O868" s="36"/>
      <c r="P868" s="36"/>
      <c r="Q868" s="36"/>
    </row>
    <row r="869" spans="1:17">
      <c r="A869" s="36"/>
      <c r="B869" s="36"/>
      <c r="C869" s="36"/>
      <c r="D869" s="36"/>
      <c r="E869" s="36"/>
      <c r="F869" s="36"/>
      <c r="L869" s="36"/>
      <c r="M869" s="36"/>
      <c r="N869" s="36"/>
      <c r="O869" s="36"/>
      <c r="P869" s="36"/>
      <c r="Q869" s="36"/>
    </row>
    <row r="870" spans="1:17">
      <c r="A870" s="36"/>
      <c r="B870" s="36"/>
      <c r="C870" s="36"/>
      <c r="D870" s="36"/>
      <c r="E870" s="36"/>
      <c r="F870" s="36"/>
      <c r="L870" s="36"/>
      <c r="M870" s="36"/>
      <c r="N870" s="36"/>
      <c r="O870" s="36"/>
      <c r="P870" s="36"/>
      <c r="Q870" s="36"/>
    </row>
    <row r="871" spans="1:17">
      <c r="A871" s="36"/>
      <c r="B871" s="36"/>
      <c r="C871" s="36"/>
      <c r="D871" s="36"/>
      <c r="E871" s="36"/>
      <c r="F871" s="36"/>
      <c r="L871" s="36"/>
      <c r="M871" s="36"/>
      <c r="N871" s="36"/>
      <c r="O871" s="36"/>
      <c r="P871" s="36"/>
      <c r="Q871" s="36"/>
    </row>
    <row r="872" spans="1:17">
      <c r="A872" s="36"/>
      <c r="B872" s="36"/>
      <c r="C872" s="36"/>
      <c r="D872" s="36"/>
      <c r="E872" s="36"/>
      <c r="F872" s="36"/>
      <c r="L872" s="36"/>
      <c r="M872" s="36"/>
      <c r="N872" s="36"/>
      <c r="O872" s="36"/>
      <c r="P872" s="36"/>
      <c r="Q872" s="36"/>
    </row>
    <row r="873" spans="1:17">
      <c r="A873" s="36"/>
      <c r="B873" s="36"/>
      <c r="C873" s="36"/>
      <c r="D873" s="36"/>
      <c r="E873" s="36"/>
      <c r="F873" s="36"/>
      <c r="L873" s="36"/>
      <c r="M873" s="36"/>
      <c r="N873" s="36"/>
      <c r="O873" s="36"/>
      <c r="P873" s="36"/>
      <c r="Q873" s="36"/>
    </row>
    <row r="874" spans="1:17">
      <c r="A874" s="36"/>
      <c r="B874" s="36"/>
      <c r="C874" s="36"/>
      <c r="D874" s="36"/>
      <c r="E874" s="36"/>
      <c r="F874" s="36"/>
      <c r="L874" s="36"/>
      <c r="M874" s="36"/>
      <c r="N874" s="36"/>
      <c r="O874" s="36"/>
      <c r="P874" s="36"/>
      <c r="Q874" s="36"/>
    </row>
    <row r="875" spans="1:17">
      <c r="A875" s="36"/>
      <c r="B875" s="36"/>
      <c r="C875" s="36"/>
      <c r="D875" s="36"/>
      <c r="E875" s="36"/>
      <c r="F875" s="36"/>
      <c r="L875" s="36"/>
      <c r="M875" s="36"/>
      <c r="N875" s="36"/>
      <c r="O875" s="36"/>
      <c r="P875" s="36"/>
      <c r="Q875" s="36"/>
    </row>
    <row r="876" spans="1:17">
      <c r="A876" s="36"/>
      <c r="B876" s="36"/>
      <c r="C876" s="36"/>
      <c r="D876" s="36"/>
      <c r="E876" s="36"/>
      <c r="F876" s="36"/>
      <c r="L876" s="36"/>
      <c r="M876" s="36"/>
      <c r="N876" s="36"/>
      <c r="O876" s="36"/>
      <c r="P876" s="36"/>
      <c r="Q876" s="36"/>
    </row>
    <row r="877" spans="1:17">
      <c r="A877" s="36"/>
      <c r="B877" s="36"/>
      <c r="C877" s="36"/>
      <c r="D877" s="36"/>
      <c r="E877" s="36"/>
      <c r="F877" s="36"/>
      <c r="L877" s="36"/>
      <c r="M877" s="36"/>
      <c r="N877" s="36"/>
      <c r="O877" s="36"/>
      <c r="P877" s="36"/>
      <c r="Q877" s="36"/>
    </row>
    <row r="878" spans="1:17">
      <c r="A878" s="36"/>
      <c r="B878" s="36"/>
      <c r="C878" s="36"/>
      <c r="D878" s="36"/>
      <c r="E878" s="36"/>
      <c r="F878" s="36"/>
      <c r="L878" s="36"/>
      <c r="M878" s="36"/>
      <c r="N878" s="36"/>
      <c r="O878" s="36"/>
      <c r="P878" s="36"/>
      <c r="Q878" s="36"/>
    </row>
    <row r="879" spans="1:17">
      <c r="A879" s="36"/>
      <c r="B879" s="36"/>
      <c r="C879" s="36"/>
      <c r="D879" s="36"/>
      <c r="E879" s="36"/>
      <c r="F879" s="36"/>
      <c r="L879" s="36"/>
      <c r="M879" s="36"/>
      <c r="N879" s="36"/>
      <c r="O879" s="36"/>
      <c r="P879" s="36"/>
      <c r="Q879" s="36"/>
    </row>
    <row r="880" spans="1:17">
      <c r="A880" s="36"/>
      <c r="B880" s="36"/>
      <c r="C880" s="36"/>
      <c r="D880" s="36"/>
      <c r="E880" s="36"/>
      <c r="F880" s="36"/>
      <c r="L880" s="36"/>
      <c r="M880" s="36"/>
      <c r="N880" s="36"/>
      <c r="O880" s="36"/>
      <c r="P880" s="36"/>
      <c r="Q880" s="36"/>
    </row>
    <row r="881" spans="1:17">
      <c r="A881" s="36"/>
      <c r="B881" s="36"/>
      <c r="C881" s="36"/>
      <c r="D881" s="36"/>
      <c r="E881" s="36"/>
      <c r="F881" s="36"/>
      <c r="L881" s="36"/>
      <c r="M881" s="36"/>
      <c r="N881" s="36"/>
      <c r="O881" s="36"/>
      <c r="P881" s="36"/>
      <c r="Q881" s="36"/>
    </row>
    <row r="882" spans="1:17">
      <c r="A882" s="36"/>
      <c r="B882" s="36"/>
      <c r="C882" s="36"/>
      <c r="D882" s="36"/>
      <c r="E882" s="36"/>
      <c r="F882" s="36"/>
      <c r="L882" s="36"/>
      <c r="M882" s="36"/>
      <c r="N882" s="36"/>
      <c r="O882" s="36"/>
      <c r="P882" s="36"/>
      <c r="Q882" s="36"/>
    </row>
    <row r="883" spans="1:17">
      <c r="A883" s="36"/>
      <c r="B883" s="36"/>
      <c r="C883" s="36"/>
      <c r="D883" s="36"/>
      <c r="E883" s="36"/>
      <c r="F883" s="36"/>
      <c r="L883" s="36"/>
      <c r="M883" s="36"/>
      <c r="N883" s="36"/>
      <c r="O883" s="36"/>
      <c r="P883" s="36"/>
      <c r="Q883" s="36"/>
    </row>
    <row r="884" spans="1:17">
      <c r="A884" s="36"/>
      <c r="B884" s="36"/>
      <c r="C884" s="36"/>
      <c r="D884" s="36"/>
      <c r="E884" s="36"/>
      <c r="F884" s="36"/>
      <c r="L884" s="36"/>
      <c r="M884" s="36"/>
      <c r="N884" s="36"/>
      <c r="O884" s="36"/>
      <c r="P884" s="36"/>
      <c r="Q884" s="36"/>
    </row>
    <row r="885" spans="1:17">
      <c r="A885" s="36"/>
      <c r="B885" s="36"/>
      <c r="C885" s="36"/>
      <c r="D885" s="36"/>
      <c r="E885" s="36"/>
      <c r="F885" s="36"/>
      <c r="L885" s="36"/>
      <c r="M885" s="36"/>
      <c r="N885" s="36"/>
      <c r="O885" s="36"/>
      <c r="P885" s="36"/>
      <c r="Q885" s="36"/>
    </row>
    <row r="886" spans="1:17">
      <c r="A886" s="36"/>
      <c r="B886" s="36"/>
      <c r="C886" s="36"/>
      <c r="D886" s="36"/>
      <c r="E886" s="36"/>
      <c r="F886" s="36"/>
      <c r="L886" s="36"/>
      <c r="M886" s="36"/>
      <c r="N886" s="36"/>
      <c r="O886" s="36"/>
      <c r="P886" s="36"/>
      <c r="Q886" s="36"/>
    </row>
    <row r="887" spans="1:17">
      <c r="A887" s="36"/>
      <c r="B887" s="36"/>
      <c r="C887" s="36"/>
      <c r="D887" s="36"/>
      <c r="E887" s="36"/>
      <c r="F887" s="36"/>
      <c r="L887" s="36"/>
      <c r="M887" s="36"/>
      <c r="N887" s="36"/>
      <c r="O887" s="36"/>
      <c r="P887" s="36"/>
      <c r="Q887" s="36"/>
    </row>
    <row r="888" spans="1:17">
      <c r="A888" s="36"/>
      <c r="B888" s="36"/>
      <c r="C888" s="36"/>
      <c r="D888" s="36"/>
      <c r="E888" s="36"/>
      <c r="F888" s="36"/>
      <c r="L888" s="36"/>
      <c r="M888" s="36"/>
      <c r="N888" s="36"/>
      <c r="O888" s="36"/>
      <c r="P888" s="36"/>
      <c r="Q888" s="36"/>
    </row>
    <row r="889" spans="1:17">
      <c r="A889" s="36"/>
      <c r="B889" s="36"/>
      <c r="C889" s="36"/>
      <c r="D889" s="36"/>
      <c r="E889" s="36"/>
      <c r="F889" s="36"/>
      <c r="L889" s="36"/>
      <c r="M889" s="36"/>
      <c r="N889" s="36"/>
      <c r="O889" s="36"/>
      <c r="P889" s="36"/>
      <c r="Q889" s="36"/>
    </row>
    <row r="890" spans="1:17">
      <c r="A890" s="36"/>
      <c r="B890" s="36"/>
      <c r="C890" s="36"/>
      <c r="D890" s="36"/>
      <c r="E890" s="36"/>
      <c r="F890" s="36"/>
      <c r="L890" s="36"/>
      <c r="M890" s="36"/>
      <c r="N890" s="36"/>
      <c r="O890" s="36"/>
      <c r="P890" s="36"/>
      <c r="Q890" s="36"/>
    </row>
    <row r="891" spans="1:17">
      <c r="A891" s="36"/>
      <c r="B891" s="36"/>
      <c r="C891" s="36"/>
      <c r="D891" s="36"/>
      <c r="E891" s="36"/>
      <c r="F891" s="36"/>
      <c r="L891" s="36"/>
      <c r="M891" s="36"/>
      <c r="N891" s="36"/>
      <c r="O891" s="36"/>
      <c r="P891" s="36"/>
      <c r="Q891" s="36"/>
    </row>
    <row r="892" spans="1:17">
      <c r="A892" s="36"/>
      <c r="B892" s="36"/>
      <c r="C892" s="36"/>
      <c r="D892" s="36"/>
      <c r="E892" s="36"/>
      <c r="F892" s="36"/>
      <c r="L892" s="36"/>
      <c r="M892" s="36"/>
      <c r="N892" s="36"/>
      <c r="O892" s="36"/>
      <c r="P892" s="36"/>
      <c r="Q892" s="36"/>
    </row>
    <row r="893" spans="1:17">
      <c r="A893" s="36"/>
      <c r="B893" s="36"/>
      <c r="C893" s="36"/>
      <c r="D893" s="36"/>
      <c r="E893" s="36"/>
      <c r="F893" s="36"/>
      <c r="L893" s="36"/>
      <c r="M893" s="36"/>
      <c r="N893" s="36"/>
      <c r="O893" s="36"/>
      <c r="P893" s="36"/>
      <c r="Q893" s="36"/>
    </row>
    <row r="894" spans="1:17">
      <c r="A894" s="36"/>
      <c r="B894" s="36"/>
      <c r="C894" s="36"/>
      <c r="D894" s="36"/>
      <c r="E894" s="36"/>
      <c r="F894" s="36"/>
      <c r="L894" s="36"/>
      <c r="M894" s="36"/>
      <c r="N894" s="36"/>
      <c r="O894" s="36"/>
      <c r="P894" s="36"/>
      <c r="Q894" s="36"/>
    </row>
    <row r="895" spans="1:17">
      <c r="A895" s="36"/>
      <c r="B895" s="36"/>
      <c r="C895" s="36"/>
      <c r="D895" s="36"/>
      <c r="E895" s="36"/>
      <c r="F895" s="36"/>
      <c r="L895" s="36"/>
      <c r="M895" s="36"/>
      <c r="N895" s="36"/>
      <c r="O895" s="36"/>
      <c r="P895" s="36"/>
      <c r="Q895" s="36"/>
    </row>
    <row r="896" spans="1:17">
      <c r="A896" s="36"/>
      <c r="B896" s="36"/>
      <c r="C896" s="36"/>
      <c r="D896" s="36"/>
      <c r="E896" s="36"/>
      <c r="F896" s="36"/>
      <c r="L896" s="36"/>
      <c r="M896" s="36"/>
      <c r="N896" s="36"/>
      <c r="O896" s="36"/>
      <c r="P896" s="36"/>
      <c r="Q896" s="36"/>
    </row>
    <row r="897" spans="1:17">
      <c r="A897" s="36"/>
      <c r="B897" s="36"/>
      <c r="C897" s="36"/>
      <c r="D897" s="36"/>
      <c r="E897" s="36"/>
      <c r="F897" s="36"/>
      <c r="L897" s="36"/>
      <c r="M897" s="36"/>
      <c r="N897" s="36"/>
      <c r="O897" s="36"/>
      <c r="P897" s="36"/>
      <c r="Q897" s="36"/>
    </row>
    <row r="898" spans="1:17">
      <c r="A898" s="36"/>
      <c r="B898" s="36"/>
      <c r="C898" s="36"/>
      <c r="D898" s="36"/>
      <c r="E898" s="36"/>
      <c r="F898" s="36"/>
      <c r="L898" s="36"/>
      <c r="M898" s="36"/>
      <c r="N898" s="36"/>
      <c r="O898" s="36"/>
      <c r="P898" s="36"/>
      <c r="Q898" s="36"/>
    </row>
    <row r="899" spans="1:17">
      <c r="A899" s="36"/>
      <c r="B899" s="36"/>
      <c r="C899" s="36"/>
      <c r="D899" s="36"/>
      <c r="E899" s="36"/>
      <c r="F899" s="36"/>
      <c r="L899" s="36"/>
      <c r="M899" s="36"/>
      <c r="N899" s="36"/>
      <c r="O899" s="36"/>
      <c r="P899" s="36"/>
      <c r="Q899" s="36"/>
    </row>
    <row r="900" spans="1:17">
      <c r="A900" s="36"/>
      <c r="B900" s="36"/>
      <c r="C900" s="36"/>
      <c r="D900" s="36"/>
      <c r="E900" s="36"/>
      <c r="F900" s="36"/>
      <c r="L900" s="36"/>
      <c r="M900" s="36"/>
      <c r="N900" s="36"/>
      <c r="O900" s="36"/>
      <c r="P900" s="36"/>
      <c r="Q900" s="36"/>
    </row>
    <row r="901" spans="1:17">
      <c r="A901" s="36"/>
      <c r="B901" s="36"/>
      <c r="C901" s="36"/>
      <c r="D901" s="36"/>
      <c r="E901" s="36"/>
      <c r="F901" s="36"/>
      <c r="L901" s="36"/>
      <c r="M901" s="36"/>
      <c r="N901" s="36"/>
      <c r="O901" s="36"/>
      <c r="P901" s="36"/>
      <c r="Q901" s="36"/>
    </row>
    <row r="902" spans="1:17">
      <c r="A902" s="36"/>
      <c r="B902" s="36"/>
      <c r="C902" s="36"/>
      <c r="D902" s="36"/>
      <c r="E902" s="36"/>
      <c r="F902" s="36"/>
      <c r="L902" s="36"/>
      <c r="M902" s="36"/>
      <c r="N902" s="36"/>
      <c r="O902" s="36"/>
      <c r="P902" s="36"/>
      <c r="Q902" s="36"/>
    </row>
    <row r="903" spans="1:17">
      <c r="A903" s="36"/>
      <c r="B903" s="36"/>
      <c r="C903" s="36"/>
      <c r="D903" s="36"/>
      <c r="E903" s="36"/>
      <c r="F903" s="36"/>
      <c r="L903" s="36"/>
      <c r="M903" s="36"/>
      <c r="N903" s="36"/>
      <c r="O903" s="36"/>
      <c r="P903" s="36"/>
      <c r="Q903" s="36"/>
    </row>
    <row r="904" spans="1:17">
      <c r="A904" s="36"/>
      <c r="B904" s="36"/>
      <c r="C904" s="36"/>
      <c r="D904" s="36"/>
      <c r="E904" s="36"/>
      <c r="F904" s="36"/>
      <c r="L904" s="36"/>
      <c r="M904" s="36"/>
      <c r="N904" s="36"/>
      <c r="O904" s="36"/>
      <c r="P904" s="36"/>
      <c r="Q904" s="36"/>
    </row>
    <row r="905" spans="1:17">
      <c r="A905" s="36"/>
      <c r="B905" s="36"/>
      <c r="C905" s="36"/>
      <c r="D905" s="36"/>
      <c r="E905" s="36"/>
      <c r="F905" s="36"/>
      <c r="L905" s="36"/>
      <c r="M905" s="36"/>
      <c r="N905" s="36"/>
      <c r="O905" s="36"/>
      <c r="P905" s="36"/>
      <c r="Q905" s="36"/>
    </row>
    <row r="906" spans="1:17">
      <c r="A906" s="36"/>
      <c r="B906" s="36"/>
      <c r="C906" s="36"/>
      <c r="D906" s="36"/>
      <c r="E906" s="36"/>
      <c r="F906" s="36"/>
      <c r="L906" s="36"/>
      <c r="M906" s="36"/>
      <c r="N906" s="36"/>
      <c r="O906" s="36"/>
      <c r="P906" s="36"/>
      <c r="Q906" s="36"/>
    </row>
    <row r="907" spans="1:17">
      <c r="A907" s="36"/>
      <c r="B907" s="36"/>
      <c r="C907" s="36"/>
      <c r="D907" s="36"/>
      <c r="E907" s="36"/>
      <c r="F907" s="36"/>
      <c r="L907" s="36"/>
      <c r="M907" s="36"/>
      <c r="N907" s="36"/>
      <c r="O907" s="36"/>
      <c r="P907" s="36"/>
      <c r="Q907" s="36"/>
    </row>
    <row r="908" spans="1:17">
      <c r="A908" s="36"/>
      <c r="B908" s="36"/>
      <c r="C908" s="36"/>
      <c r="D908" s="36"/>
      <c r="E908" s="36"/>
      <c r="F908" s="36"/>
      <c r="L908" s="36"/>
      <c r="M908" s="36"/>
      <c r="N908" s="36"/>
      <c r="O908" s="36"/>
      <c r="P908" s="36"/>
      <c r="Q908" s="36"/>
    </row>
    <row r="909" spans="1:17">
      <c r="A909" s="36"/>
      <c r="B909" s="36"/>
      <c r="C909" s="36"/>
      <c r="D909" s="36"/>
      <c r="E909" s="36"/>
      <c r="F909" s="36"/>
      <c r="L909" s="36"/>
      <c r="M909" s="36"/>
      <c r="N909" s="36"/>
      <c r="O909" s="36"/>
      <c r="P909" s="36"/>
      <c r="Q909" s="36"/>
    </row>
    <row r="910" spans="1:17">
      <c r="A910" s="36"/>
      <c r="B910" s="36"/>
      <c r="C910" s="36"/>
      <c r="D910" s="36"/>
      <c r="E910" s="36"/>
      <c r="F910" s="36"/>
      <c r="L910" s="36"/>
      <c r="M910" s="36"/>
      <c r="N910" s="36"/>
      <c r="O910" s="36"/>
      <c r="P910" s="36"/>
      <c r="Q910" s="36"/>
    </row>
    <row r="911" spans="1:17">
      <c r="A911" s="36"/>
      <c r="B911" s="36"/>
      <c r="C911" s="36"/>
      <c r="D911" s="36"/>
      <c r="E911" s="36"/>
      <c r="F911" s="36"/>
      <c r="L911" s="36"/>
      <c r="M911" s="36"/>
      <c r="N911" s="36"/>
      <c r="O911" s="36"/>
      <c r="P911" s="36"/>
      <c r="Q911" s="36"/>
    </row>
    <row r="912" spans="1:17">
      <c r="A912" s="36"/>
      <c r="B912" s="36"/>
      <c r="C912" s="36"/>
      <c r="D912" s="36"/>
      <c r="E912" s="36"/>
      <c r="F912" s="36"/>
      <c r="L912" s="36"/>
      <c r="M912" s="36"/>
      <c r="N912" s="36"/>
      <c r="O912" s="36"/>
      <c r="P912" s="36"/>
      <c r="Q912" s="36"/>
    </row>
    <row r="913" spans="1:17">
      <c r="A913" s="36"/>
      <c r="B913" s="36"/>
      <c r="C913" s="36"/>
      <c r="D913" s="36"/>
      <c r="E913" s="36"/>
      <c r="F913" s="36"/>
      <c r="L913" s="36"/>
      <c r="M913" s="36"/>
      <c r="N913" s="36"/>
      <c r="O913" s="36"/>
      <c r="P913" s="36"/>
      <c r="Q913" s="36"/>
    </row>
    <row r="914" spans="1:17">
      <c r="A914" s="36"/>
      <c r="B914" s="36"/>
      <c r="C914" s="36"/>
      <c r="D914" s="36"/>
      <c r="E914" s="36"/>
      <c r="F914" s="36"/>
      <c r="L914" s="36"/>
      <c r="M914" s="36"/>
      <c r="N914" s="36"/>
      <c r="O914" s="36"/>
      <c r="P914" s="36"/>
      <c r="Q914" s="36"/>
    </row>
    <row r="915" spans="1:17">
      <c r="A915" s="36"/>
      <c r="B915" s="36"/>
      <c r="C915" s="36"/>
      <c r="D915" s="36"/>
      <c r="E915" s="36"/>
      <c r="F915" s="36"/>
      <c r="L915" s="36"/>
      <c r="M915" s="36"/>
      <c r="N915" s="36"/>
      <c r="O915" s="36"/>
      <c r="P915" s="36"/>
      <c r="Q915" s="36"/>
    </row>
    <row r="916" spans="1:17">
      <c r="A916" s="36"/>
      <c r="B916" s="36"/>
      <c r="C916" s="36"/>
      <c r="D916" s="36"/>
      <c r="E916" s="36"/>
      <c r="F916" s="36"/>
      <c r="L916" s="36"/>
      <c r="M916" s="36"/>
      <c r="N916" s="36"/>
      <c r="O916" s="36"/>
      <c r="P916" s="36"/>
      <c r="Q916" s="36"/>
    </row>
    <row r="917" spans="1:17">
      <c r="A917" s="36"/>
      <c r="B917" s="36"/>
      <c r="C917" s="36"/>
      <c r="D917" s="36"/>
      <c r="E917" s="36"/>
      <c r="F917" s="36"/>
      <c r="L917" s="36"/>
      <c r="M917" s="36"/>
      <c r="N917" s="36"/>
      <c r="O917" s="36"/>
      <c r="P917" s="36"/>
      <c r="Q917" s="36"/>
    </row>
    <row r="918" spans="1:17">
      <c r="A918" s="36"/>
      <c r="B918" s="36"/>
      <c r="C918" s="36"/>
      <c r="D918" s="36"/>
      <c r="E918" s="36"/>
      <c r="F918" s="36"/>
      <c r="L918" s="36"/>
      <c r="M918" s="36"/>
      <c r="N918" s="36"/>
      <c r="O918" s="36"/>
      <c r="P918" s="36"/>
      <c r="Q918" s="36"/>
    </row>
    <row r="919" spans="1:17">
      <c r="A919" s="36"/>
      <c r="B919" s="36"/>
      <c r="C919" s="36"/>
      <c r="D919" s="36"/>
      <c r="E919" s="36"/>
      <c r="F919" s="36"/>
      <c r="L919" s="36"/>
      <c r="M919" s="36"/>
      <c r="N919" s="36"/>
      <c r="O919" s="36"/>
      <c r="P919" s="36"/>
      <c r="Q919" s="36"/>
    </row>
    <row r="920" spans="1:17">
      <c r="A920" s="36"/>
      <c r="B920" s="36"/>
      <c r="C920" s="36"/>
      <c r="D920" s="36"/>
      <c r="E920" s="36"/>
      <c r="F920" s="36"/>
      <c r="L920" s="36"/>
      <c r="M920" s="36"/>
      <c r="N920" s="36"/>
      <c r="O920" s="36"/>
      <c r="P920" s="36"/>
      <c r="Q920" s="36"/>
    </row>
    <row r="921" spans="1:17">
      <c r="A921" s="36"/>
      <c r="B921" s="36"/>
      <c r="C921" s="36"/>
      <c r="D921" s="36"/>
      <c r="E921" s="36"/>
      <c r="F921" s="36"/>
      <c r="L921" s="36"/>
      <c r="M921" s="36"/>
      <c r="N921" s="36"/>
      <c r="O921" s="36"/>
      <c r="P921" s="36"/>
      <c r="Q921" s="36"/>
    </row>
    <row r="922" spans="1:17">
      <c r="A922" s="36"/>
      <c r="B922" s="36"/>
      <c r="C922" s="36"/>
      <c r="D922" s="36"/>
      <c r="E922" s="36"/>
      <c r="F922" s="36"/>
      <c r="L922" s="36"/>
      <c r="M922" s="36"/>
      <c r="N922" s="36"/>
      <c r="O922" s="36"/>
      <c r="P922" s="36"/>
      <c r="Q922" s="36"/>
    </row>
    <row r="923" spans="1:17">
      <c r="A923" s="36"/>
      <c r="B923" s="36"/>
      <c r="C923" s="36"/>
      <c r="D923" s="36"/>
      <c r="E923" s="36"/>
      <c r="F923" s="36"/>
      <c r="L923" s="36"/>
      <c r="M923" s="36"/>
      <c r="N923" s="36"/>
      <c r="O923" s="36"/>
      <c r="P923" s="36"/>
      <c r="Q923" s="36"/>
    </row>
    <row r="924" spans="1:17">
      <c r="A924" s="36"/>
      <c r="B924" s="36"/>
      <c r="C924" s="36"/>
      <c r="D924" s="36"/>
      <c r="E924" s="36"/>
      <c r="F924" s="36"/>
      <c r="L924" s="36"/>
      <c r="M924" s="36"/>
      <c r="N924" s="36"/>
      <c r="O924" s="36"/>
      <c r="P924" s="36"/>
      <c r="Q924" s="36"/>
    </row>
    <row r="925" spans="1:17">
      <c r="A925" s="36"/>
      <c r="B925" s="36"/>
      <c r="C925" s="36"/>
      <c r="D925" s="36"/>
      <c r="E925" s="36"/>
      <c r="F925" s="36"/>
      <c r="L925" s="36"/>
      <c r="M925" s="36"/>
      <c r="N925" s="36"/>
      <c r="O925" s="36"/>
      <c r="P925" s="36"/>
      <c r="Q925" s="36"/>
    </row>
    <row r="926" spans="1:17">
      <c r="A926" s="36"/>
      <c r="B926" s="36"/>
      <c r="C926" s="36"/>
      <c r="D926" s="36"/>
      <c r="E926" s="36"/>
      <c r="F926" s="36"/>
      <c r="L926" s="36"/>
      <c r="M926" s="36"/>
      <c r="N926" s="36"/>
      <c r="O926" s="36"/>
      <c r="P926" s="36"/>
      <c r="Q926" s="36"/>
    </row>
    <row r="927" spans="1:17">
      <c r="A927" s="36"/>
      <c r="B927" s="36"/>
      <c r="C927" s="36"/>
      <c r="D927" s="36"/>
      <c r="E927" s="36"/>
      <c r="F927" s="36"/>
      <c r="L927" s="36"/>
      <c r="M927" s="36"/>
      <c r="N927" s="36"/>
      <c r="O927" s="36"/>
      <c r="P927" s="36"/>
      <c r="Q927" s="36"/>
    </row>
    <row r="928" spans="1:17">
      <c r="A928" s="36"/>
      <c r="B928" s="36"/>
      <c r="C928" s="36"/>
      <c r="D928" s="36"/>
      <c r="E928" s="36"/>
      <c r="F928" s="36"/>
      <c r="L928" s="36"/>
      <c r="M928" s="36"/>
      <c r="N928" s="36"/>
      <c r="O928" s="36"/>
      <c r="P928" s="36"/>
      <c r="Q928" s="36"/>
    </row>
    <row r="929" spans="1:17">
      <c r="A929" s="36"/>
      <c r="B929" s="36"/>
      <c r="C929" s="36"/>
      <c r="D929" s="36"/>
      <c r="E929" s="36"/>
      <c r="F929" s="36"/>
      <c r="L929" s="36"/>
      <c r="M929" s="36"/>
      <c r="N929" s="36"/>
      <c r="O929" s="36"/>
      <c r="P929" s="36"/>
      <c r="Q929" s="36"/>
    </row>
    <row r="930" spans="1:17">
      <c r="A930" s="36"/>
      <c r="B930" s="36"/>
      <c r="C930" s="36"/>
      <c r="D930" s="36"/>
      <c r="E930" s="36"/>
      <c r="F930" s="36"/>
      <c r="L930" s="36"/>
      <c r="M930" s="36"/>
      <c r="N930" s="36"/>
      <c r="O930" s="36"/>
      <c r="P930" s="36"/>
      <c r="Q930" s="36"/>
    </row>
    <row r="931" spans="1:17">
      <c r="A931" s="36"/>
      <c r="B931" s="36"/>
      <c r="C931" s="36"/>
      <c r="D931" s="36"/>
      <c r="E931" s="36"/>
      <c r="F931" s="36"/>
      <c r="L931" s="36"/>
      <c r="M931" s="36"/>
      <c r="N931" s="36"/>
      <c r="O931" s="36"/>
      <c r="P931" s="36"/>
      <c r="Q931" s="36"/>
    </row>
    <row r="932" spans="1:17">
      <c r="A932" s="36"/>
      <c r="B932" s="36"/>
      <c r="C932" s="36"/>
      <c r="D932" s="36"/>
      <c r="E932" s="36"/>
      <c r="F932" s="36"/>
      <c r="L932" s="36"/>
      <c r="M932" s="36"/>
      <c r="N932" s="36"/>
      <c r="O932" s="36"/>
      <c r="P932" s="36"/>
      <c r="Q932" s="36"/>
    </row>
    <row r="933" spans="1:17">
      <c r="A933" s="36"/>
      <c r="B933" s="36"/>
      <c r="C933" s="36"/>
      <c r="D933" s="36"/>
      <c r="E933" s="36"/>
      <c r="F933" s="36"/>
      <c r="L933" s="36"/>
      <c r="M933" s="36"/>
      <c r="N933" s="36"/>
      <c r="O933" s="36"/>
      <c r="P933" s="36"/>
      <c r="Q933" s="36"/>
    </row>
    <row r="934" spans="1:17">
      <c r="A934" s="36"/>
      <c r="B934" s="36"/>
      <c r="C934" s="36"/>
      <c r="D934" s="36"/>
      <c r="E934" s="36"/>
      <c r="F934" s="36"/>
      <c r="L934" s="36"/>
      <c r="M934" s="36"/>
      <c r="N934" s="36"/>
      <c r="O934" s="36"/>
      <c r="P934" s="36"/>
      <c r="Q934" s="36"/>
    </row>
    <row r="935" spans="1:17">
      <c r="A935" s="36"/>
      <c r="B935" s="36"/>
      <c r="C935" s="36"/>
      <c r="D935" s="36"/>
      <c r="E935" s="36"/>
      <c r="F935" s="36"/>
      <c r="L935" s="36"/>
      <c r="M935" s="36"/>
      <c r="N935" s="36"/>
      <c r="O935" s="36"/>
      <c r="P935" s="36"/>
      <c r="Q935" s="36"/>
    </row>
    <row r="936" spans="1:17">
      <c r="A936" s="36"/>
      <c r="B936" s="36"/>
      <c r="C936" s="36"/>
      <c r="D936" s="36"/>
      <c r="E936" s="36"/>
      <c r="F936" s="36"/>
      <c r="L936" s="36"/>
      <c r="M936" s="36"/>
      <c r="N936" s="36"/>
      <c r="O936" s="36"/>
      <c r="P936" s="36"/>
      <c r="Q936" s="36"/>
    </row>
    <row r="937" spans="1:17">
      <c r="A937" s="36"/>
      <c r="B937" s="36"/>
      <c r="C937" s="36"/>
      <c r="D937" s="36"/>
      <c r="E937" s="36"/>
      <c r="F937" s="36"/>
      <c r="L937" s="36"/>
      <c r="M937" s="36"/>
      <c r="N937" s="36"/>
      <c r="O937" s="36"/>
      <c r="P937" s="36"/>
      <c r="Q937" s="36"/>
    </row>
    <row r="938" spans="1:17">
      <c r="A938" s="36"/>
      <c r="B938" s="36"/>
      <c r="C938" s="36"/>
      <c r="D938" s="36"/>
      <c r="E938" s="36"/>
      <c r="F938" s="36"/>
      <c r="L938" s="36"/>
      <c r="M938" s="36"/>
      <c r="N938" s="36"/>
      <c r="O938" s="36"/>
      <c r="P938" s="36"/>
      <c r="Q938" s="36"/>
    </row>
    <row r="939" spans="1:17">
      <c r="A939" s="36"/>
      <c r="B939" s="36"/>
      <c r="C939" s="36"/>
      <c r="D939" s="36"/>
      <c r="E939" s="36"/>
      <c r="F939" s="36"/>
      <c r="L939" s="36"/>
      <c r="M939" s="36"/>
      <c r="N939" s="36"/>
      <c r="O939" s="36"/>
      <c r="P939" s="36"/>
      <c r="Q939" s="36"/>
    </row>
    <row r="940" spans="1:17">
      <c r="A940" s="36"/>
      <c r="B940" s="36"/>
      <c r="C940" s="36"/>
      <c r="D940" s="36"/>
      <c r="E940" s="36"/>
      <c r="F940" s="36"/>
      <c r="L940" s="36"/>
      <c r="M940" s="36"/>
      <c r="N940" s="36"/>
      <c r="O940" s="36"/>
      <c r="P940" s="36"/>
      <c r="Q940" s="36"/>
    </row>
    <row r="941" spans="1:17">
      <c r="A941" s="36"/>
      <c r="B941" s="36"/>
      <c r="C941" s="36"/>
      <c r="D941" s="36"/>
      <c r="E941" s="36"/>
      <c r="F941" s="36"/>
      <c r="L941" s="36"/>
      <c r="M941" s="36"/>
      <c r="N941" s="36"/>
      <c r="O941" s="36"/>
      <c r="P941" s="36"/>
      <c r="Q941" s="36"/>
    </row>
    <row r="942" spans="1:17">
      <c r="A942" s="36"/>
      <c r="B942" s="36"/>
      <c r="C942" s="36"/>
      <c r="D942" s="36"/>
      <c r="E942" s="36"/>
      <c r="F942" s="36"/>
      <c r="L942" s="36"/>
      <c r="M942" s="36"/>
      <c r="N942" s="36"/>
      <c r="O942" s="36"/>
      <c r="P942" s="36"/>
      <c r="Q942" s="36"/>
    </row>
    <row r="943" spans="1:17">
      <c r="A943" s="36"/>
      <c r="B943" s="36"/>
      <c r="C943" s="36"/>
      <c r="D943" s="36"/>
      <c r="E943" s="36"/>
      <c r="F943" s="36"/>
      <c r="L943" s="36"/>
      <c r="M943" s="36"/>
      <c r="N943" s="36"/>
      <c r="O943" s="36"/>
      <c r="P943" s="36"/>
      <c r="Q943" s="36"/>
    </row>
    <row r="944" spans="1:17">
      <c r="A944" s="36"/>
      <c r="B944" s="36"/>
      <c r="C944" s="36"/>
      <c r="D944" s="36"/>
      <c r="E944" s="36"/>
      <c r="F944" s="36"/>
      <c r="L944" s="36"/>
      <c r="M944" s="36"/>
      <c r="N944" s="36"/>
      <c r="O944" s="36"/>
      <c r="P944" s="36"/>
      <c r="Q944" s="36"/>
    </row>
    <row r="945" spans="1:17">
      <c r="A945" s="36"/>
      <c r="B945" s="36"/>
      <c r="C945" s="36"/>
      <c r="D945" s="36"/>
      <c r="E945" s="36"/>
      <c r="F945" s="36"/>
      <c r="L945" s="36"/>
      <c r="M945" s="36"/>
      <c r="N945" s="36"/>
      <c r="O945" s="36"/>
      <c r="P945" s="36"/>
      <c r="Q945" s="36"/>
    </row>
    <row r="946" spans="1:17">
      <c r="A946" s="36"/>
      <c r="B946" s="36"/>
      <c r="C946" s="36"/>
      <c r="D946" s="36"/>
      <c r="E946" s="36"/>
      <c r="F946" s="36"/>
      <c r="L946" s="36"/>
      <c r="M946" s="36"/>
      <c r="N946" s="36"/>
      <c r="O946" s="36"/>
      <c r="P946" s="36"/>
      <c r="Q946" s="36"/>
    </row>
    <row r="947" spans="1:17">
      <c r="A947" s="36"/>
      <c r="B947" s="36"/>
      <c r="C947" s="36"/>
      <c r="D947" s="36"/>
      <c r="E947" s="36"/>
      <c r="F947" s="36"/>
      <c r="L947" s="36"/>
      <c r="M947" s="36"/>
      <c r="N947" s="36"/>
      <c r="O947" s="36"/>
      <c r="P947" s="36"/>
      <c r="Q947" s="36"/>
    </row>
    <row r="948" spans="1:17">
      <c r="A948" s="36"/>
      <c r="B948" s="36"/>
      <c r="C948" s="36"/>
      <c r="D948" s="36"/>
      <c r="E948" s="36"/>
      <c r="F948" s="36"/>
      <c r="L948" s="36"/>
      <c r="M948" s="36"/>
      <c r="N948" s="36"/>
      <c r="O948" s="36"/>
      <c r="P948" s="36"/>
      <c r="Q948" s="36"/>
    </row>
    <row r="949" spans="1:17">
      <c r="A949" s="36"/>
      <c r="B949" s="36"/>
      <c r="C949" s="36"/>
      <c r="D949" s="36"/>
      <c r="E949" s="36"/>
      <c r="F949" s="36"/>
      <c r="L949" s="36"/>
      <c r="M949" s="36"/>
      <c r="N949" s="36"/>
      <c r="O949" s="36"/>
      <c r="P949" s="36"/>
      <c r="Q949" s="36"/>
    </row>
    <row r="950" spans="1:17">
      <c r="A950" s="36"/>
      <c r="B950" s="36"/>
      <c r="C950" s="36"/>
      <c r="D950" s="36"/>
      <c r="E950" s="36"/>
      <c r="F950" s="36"/>
      <c r="L950" s="36"/>
      <c r="M950" s="36"/>
      <c r="N950" s="36"/>
      <c r="O950" s="36"/>
      <c r="P950" s="36"/>
      <c r="Q950" s="36"/>
    </row>
    <row r="951" spans="1:17">
      <c r="A951" s="36"/>
      <c r="B951" s="36"/>
      <c r="C951" s="36"/>
      <c r="D951" s="36"/>
      <c r="E951" s="36"/>
      <c r="F951" s="36"/>
      <c r="L951" s="36"/>
      <c r="M951" s="36"/>
      <c r="N951" s="36"/>
      <c r="O951" s="36"/>
      <c r="P951" s="36"/>
      <c r="Q951" s="36"/>
    </row>
    <row r="952" spans="1:17">
      <c r="A952" s="36"/>
      <c r="B952" s="36"/>
      <c r="C952" s="36"/>
      <c r="D952" s="36"/>
      <c r="E952" s="36"/>
      <c r="F952" s="36"/>
      <c r="L952" s="36"/>
      <c r="M952" s="36"/>
      <c r="N952" s="36"/>
      <c r="O952" s="36"/>
      <c r="P952" s="36"/>
      <c r="Q952" s="36"/>
    </row>
    <row r="953" spans="1:17">
      <c r="A953" s="36"/>
      <c r="B953" s="36"/>
      <c r="C953" s="36"/>
      <c r="D953" s="36"/>
      <c r="E953" s="36"/>
      <c r="F953" s="36"/>
      <c r="L953" s="36"/>
      <c r="M953" s="36"/>
      <c r="N953" s="36"/>
      <c r="O953" s="36"/>
      <c r="P953" s="36"/>
      <c r="Q953" s="36"/>
    </row>
    <row r="954" spans="1:17">
      <c r="A954" s="36"/>
      <c r="B954" s="36"/>
      <c r="C954" s="36"/>
      <c r="D954" s="36"/>
      <c r="E954" s="36"/>
      <c r="F954" s="36"/>
      <c r="L954" s="36"/>
      <c r="M954" s="36"/>
      <c r="N954" s="36"/>
      <c r="O954" s="36"/>
      <c r="P954" s="36"/>
      <c r="Q954" s="36"/>
    </row>
    <row r="955" spans="1:17">
      <c r="A955" s="36"/>
      <c r="B955" s="36"/>
      <c r="C955" s="36"/>
      <c r="D955" s="36"/>
      <c r="E955" s="36"/>
      <c r="F955" s="36"/>
      <c r="L955" s="36"/>
      <c r="M955" s="36"/>
      <c r="N955" s="36"/>
      <c r="O955" s="36"/>
      <c r="P955" s="36"/>
      <c r="Q955" s="36"/>
    </row>
    <row r="956" spans="1:17">
      <c r="A956" s="36"/>
      <c r="B956" s="36"/>
      <c r="C956" s="36"/>
      <c r="D956" s="36"/>
      <c r="E956" s="36"/>
      <c r="F956" s="36"/>
      <c r="L956" s="36"/>
      <c r="M956" s="36"/>
      <c r="N956" s="36"/>
      <c r="O956" s="36"/>
      <c r="P956" s="36"/>
      <c r="Q956" s="36"/>
    </row>
    <row r="957" spans="1:17">
      <c r="A957" s="36"/>
      <c r="B957" s="36"/>
      <c r="C957" s="36"/>
      <c r="D957" s="36"/>
      <c r="E957" s="36"/>
      <c r="F957" s="36"/>
      <c r="L957" s="36"/>
      <c r="M957" s="36"/>
      <c r="N957" s="36"/>
      <c r="O957" s="36"/>
      <c r="P957" s="36"/>
      <c r="Q957" s="36"/>
    </row>
    <row r="958" spans="1:17">
      <c r="A958" s="36"/>
      <c r="B958" s="36"/>
      <c r="C958" s="36"/>
      <c r="D958" s="36"/>
      <c r="E958" s="36"/>
      <c r="F958" s="36"/>
      <c r="L958" s="36"/>
      <c r="M958" s="36"/>
      <c r="N958" s="36"/>
      <c r="O958" s="36"/>
      <c r="P958" s="36"/>
      <c r="Q958" s="36"/>
    </row>
    <row r="959" spans="1:17">
      <c r="A959" s="36"/>
      <c r="B959" s="36"/>
      <c r="C959" s="36"/>
      <c r="D959" s="36"/>
      <c r="E959" s="36"/>
      <c r="F959" s="36"/>
      <c r="L959" s="36"/>
      <c r="M959" s="36"/>
      <c r="N959" s="36"/>
      <c r="O959" s="36"/>
      <c r="P959" s="36"/>
      <c r="Q959" s="36"/>
    </row>
    <row r="960" spans="1:17">
      <c r="A960" s="36"/>
      <c r="B960" s="36"/>
      <c r="C960" s="36"/>
      <c r="D960" s="36"/>
      <c r="E960" s="36"/>
      <c r="F960" s="36"/>
      <c r="L960" s="36"/>
      <c r="M960" s="36"/>
      <c r="N960" s="36"/>
      <c r="O960" s="36"/>
      <c r="P960" s="36"/>
      <c r="Q960" s="36"/>
    </row>
    <row r="961" spans="1:17">
      <c r="A961" s="36"/>
      <c r="B961" s="36"/>
      <c r="C961" s="36"/>
      <c r="D961" s="36"/>
      <c r="E961" s="36"/>
      <c r="F961" s="36"/>
      <c r="L961" s="36"/>
      <c r="M961" s="36"/>
      <c r="N961" s="36"/>
      <c r="O961" s="36"/>
      <c r="P961" s="36"/>
      <c r="Q961" s="36"/>
    </row>
    <row r="962" spans="1:17">
      <c r="A962" s="36"/>
      <c r="B962" s="36"/>
      <c r="C962" s="36"/>
      <c r="D962" s="36"/>
      <c r="E962" s="36"/>
      <c r="F962" s="36"/>
      <c r="L962" s="36"/>
      <c r="M962" s="36"/>
      <c r="N962" s="36"/>
      <c r="O962" s="36"/>
      <c r="P962" s="36"/>
      <c r="Q962" s="36"/>
    </row>
    <row r="963" spans="1:17">
      <c r="A963" s="36"/>
      <c r="B963" s="36"/>
      <c r="C963" s="36"/>
      <c r="D963" s="36"/>
      <c r="E963" s="36"/>
      <c r="F963" s="36"/>
      <c r="L963" s="36"/>
      <c r="M963" s="36"/>
      <c r="N963" s="36"/>
      <c r="O963" s="36"/>
      <c r="P963" s="36"/>
      <c r="Q963" s="36"/>
    </row>
    <row r="964" spans="1:17">
      <c r="A964" s="36"/>
      <c r="B964" s="36"/>
      <c r="C964" s="36"/>
      <c r="D964" s="36"/>
      <c r="E964" s="36"/>
      <c r="F964" s="36"/>
      <c r="L964" s="36"/>
      <c r="M964" s="36"/>
      <c r="N964" s="36"/>
      <c r="O964" s="36"/>
      <c r="P964" s="36"/>
      <c r="Q964" s="36"/>
    </row>
    <row r="965" spans="1:17">
      <c r="A965" s="36"/>
      <c r="B965" s="36"/>
      <c r="C965" s="36"/>
      <c r="D965" s="36"/>
      <c r="E965" s="36"/>
      <c r="F965" s="36"/>
      <c r="L965" s="36"/>
      <c r="M965" s="36"/>
      <c r="N965" s="36"/>
      <c r="O965" s="36"/>
      <c r="P965" s="36"/>
      <c r="Q965" s="36"/>
    </row>
    <row r="966" spans="1:17">
      <c r="A966" s="36"/>
      <c r="B966" s="36"/>
      <c r="C966" s="36"/>
      <c r="D966" s="36"/>
      <c r="E966" s="36"/>
      <c r="F966" s="36"/>
      <c r="L966" s="36"/>
      <c r="M966" s="36"/>
      <c r="N966" s="36"/>
      <c r="O966" s="36"/>
      <c r="P966" s="36"/>
      <c r="Q966" s="36"/>
    </row>
    <row r="967" spans="1:17">
      <c r="A967" s="36"/>
      <c r="B967" s="36"/>
      <c r="C967" s="36"/>
      <c r="D967" s="36"/>
      <c r="E967" s="36"/>
      <c r="F967" s="36"/>
      <c r="L967" s="36"/>
      <c r="M967" s="36"/>
      <c r="N967" s="36"/>
      <c r="O967" s="36"/>
      <c r="P967" s="36"/>
      <c r="Q967" s="36"/>
    </row>
    <row r="968" spans="1:17">
      <c r="A968" s="36"/>
      <c r="B968" s="36"/>
      <c r="C968" s="36"/>
      <c r="D968" s="36"/>
      <c r="E968" s="36"/>
      <c r="F968" s="36"/>
      <c r="L968" s="36"/>
      <c r="M968" s="36"/>
      <c r="N968" s="36"/>
      <c r="O968" s="36"/>
      <c r="P968" s="36"/>
      <c r="Q968" s="36"/>
    </row>
    <row r="969" spans="1:17">
      <c r="A969" s="36"/>
      <c r="B969" s="36"/>
      <c r="C969" s="36"/>
      <c r="D969" s="36"/>
      <c r="E969" s="36"/>
      <c r="F969" s="36"/>
      <c r="L969" s="36"/>
      <c r="M969" s="36"/>
      <c r="N969" s="36"/>
      <c r="O969" s="36"/>
      <c r="P969" s="36"/>
      <c r="Q969" s="36"/>
    </row>
    <row r="970" spans="1:17">
      <c r="A970" s="36"/>
      <c r="B970" s="36"/>
      <c r="C970" s="36"/>
      <c r="D970" s="36"/>
      <c r="E970" s="36"/>
      <c r="F970" s="36"/>
      <c r="L970" s="36"/>
      <c r="M970" s="36"/>
      <c r="N970" s="36"/>
      <c r="O970" s="36"/>
      <c r="P970" s="36"/>
      <c r="Q970" s="36"/>
    </row>
    <row r="971" spans="1:17">
      <c r="A971" s="36"/>
      <c r="B971" s="36"/>
      <c r="C971" s="36"/>
      <c r="D971" s="36"/>
      <c r="E971" s="36"/>
      <c r="F971" s="36"/>
      <c r="L971" s="36"/>
      <c r="M971" s="36"/>
      <c r="N971" s="36"/>
      <c r="O971" s="36"/>
      <c r="P971" s="36"/>
      <c r="Q971" s="36"/>
    </row>
    <row r="972" spans="1:17">
      <c r="A972" s="36"/>
      <c r="B972" s="36"/>
      <c r="C972" s="36"/>
      <c r="D972" s="36"/>
      <c r="E972" s="36"/>
      <c r="F972" s="36"/>
      <c r="L972" s="36"/>
      <c r="M972" s="36"/>
      <c r="N972" s="36"/>
      <c r="O972" s="36"/>
      <c r="P972" s="36"/>
      <c r="Q972" s="36"/>
    </row>
    <row r="973" spans="1:17">
      <c r="A973" s="36"/>
      <c r="B973" s="36"/>
      <c r="C973" s="36"/>
      <c r="D973" s="36"/>
      <c r="E973" s="36"/>
      <c r="F973" s="36"/>
      <c r="L973" s="36"/>
      <c r="M973" s="36"/>
      <c r="N973" s="36"/>
      <c r="O973" s="36"/>
      <c r="P973" s="36"/>
      <c r="Q973" s="36"/>
    </row>
    <row r="974" spans="1:17">
      <c r="A974" s="36"/>
      <c r="B974" s="36"/>
      <c r="C974" s="36"/>
      <c r="D974" s="36"/>
      <c r="E974" s="36"/>
      <c r="F974" s="36"/>
      <c r="L974" s="36"/>
      <c r="M974" s="36"/>
      <c r="N974" s="36"/>
      <c r="O974" s="36"/>
      <c r="P974" s="36"/>
      <c r="Q974" s="36"/>
    </row>
    <row r="975" spans="1:17">
      <c r="A975" s="36"/>
      <c r="B975" s="36"/>
      <c r="C975" s="36"/>
      <c r="D975" s="36"/>
      <c r="E975" s="36"/>
      <c r="F975" s="36"/>
      <c r="L975" s="36"/>
      <c r="M975" s="36"/>
      <c r="N975" s="36"/>
      <c r="O975" s="36"/>
      <c r="P975" s="36"/>
      <c r="Q975" s="36"/>
    </row>
    <row r="976" spans="1:17">
      <c r="A976" s="36"/>
      <c r="B976" s="36"/>
      <c r="C976" s="36"/>
      <c r="D976" s="36"/>
      <c r="E976" s="36"/>
      <c r="F976" s="36"/>
      <c r="L976" s="36"/>
      <c r="M976" s="36"/>
      <c r="N976" s="36"/>
      <c r="O976" s="36"/>
      <c r="P976" s="36"/>
      <c r="Q976" s="36"/>
    </row>
    <row r="977" spans="1:17">
      <c r="A977" s="36"/>
      <c r="B977" s="36"/>
      <c r="C977" s="36"/>
      <c r="D977" s="36"/>
      <c r="E977" s="36"/>
      <c r="F977" s="36"/>
      <c r="L977" s="36"/>
      <c r="M977" s="36"/>
      <c r="N977" s="36"/>
      <c r="O977" s="36"/>
      <c r="P977" s="36"/>
      <c r="Q977" s="36"/>
    </row>
    <row r="978" spans="1:17">
      <c r="A978" s="36"/>
      <c r="B978" s="36"/>
      <c r="C978" s="36"/>
      <c r="D978" s="36"/>
      <c r="E978" s="36"/>
      <c r="F978" s="36"/>
      <c r="L978" s="36"/>
      <c r="M978" s="36"/>
      <c r="N978" s="36"/>
      <c r="O978" s="36"/>
      <c r="P978" s="36"/>
      <c r="Q978" s="36"/>
    </row>
    <row r="979" spans="1:17">
      <c r="A979" s="36"/>
      <c r="B979" s="36"/>
      <c r="C979" s="36"/>
      <c r="D979" s="36"/>
      <c r="E979" s="36"/>
      <c r="F979" s="36"/>
      <c r="L979" s="36"/>
      <c r="M979" s="36"/>
      <c r="N979" s="36"/>
      <c r="O979" s="36"/>
      <c r="P979" s="36"/>
      <c r="Q979" s="36"/>
    </row>
    <row r="980" spans="1:17">
      <c r="A980" s="36"/>
      <c r="B980" s="36"/>
      <c r="C980" s="36"/>
      <c r="D980" s="36"/>
      <c r="E980" s="36"/>
      <c r="F980" s="36"/>
      <c r="L980" s="36"/>
      <c r="M980" s="36"/>
      <c r="N980" s="36"/>
      <c r="O980" s="36"/>
      <c r="P980" s="36"/>
      <c r="Q980" s="36"/>
    </row>
    <row r="981" spans="1:17">
      <c r="A981" s="36"/>
      <c r="B981" s="36"/>
      <c r="C981" s="36"/>
      <c r="D981" s="36"/>
      <c r="E981" s="36"/>
      <c r="F981" s="36"/>
      <c r="L981" s="36"/>
      <c r="M981" s="36"/>
      <c r="N981" s="36"/>
      <c r="O981" s="36"/>
      <c r="P981" s="36"/>
      <c r="Q981" s="36"/>
    </row>
    <row r="982" spans="1:17">
      <c r="A982" s="36"/>
      <c r="B982" s="36"/>
      <c r="C982" s="36"/>
      <c r="D982" s="36"/>
      <c r="E982" s="36"/>
      <c r="F982" s="36"/>
      <c r="L982" s="36"/>
      <c r="M982" s="36"/>
      <c r="N982" s="36"/>
      <c r="O982" s="36"/>
      <c r="P982" s="36"/>
      <c r="Q982" s="36"/>
    </row>
    <row r="983" spans="1:17">
      <c r="A983" s="36"/>
      <c r="B983" s="36"/>
      <c r="C983" s="36"/>
      <c r="D983" s="36"/>
      <c r="E983" s="36"/>
      <c r="F983" s="36"/>
      <c r="L983" s="36"/>
      <c r="M983" s="36"/>
      <c r="N983" s="36"/>
      <c r="O983" s="36"/>
      <c r="P983" s="36"/>
      <c r="Q983" s="36"/>
    </row>
    <row r="984" spans="1:17">
      <c r="A984" s="36"/>
      <c r="B984" s="36"/>
      <c r="C984" s="36"/>
      <c r="D984" s="36"/>
      <c r="E984" s="36"/>
      <c r="F984" s="36"/>
      <c r="L984" s="36"/>
      <c r="M984" s="36"/>
      <c r="N984" s="36"/>
      <c r="O984" s="36"/>
      <c r="P984" s="36"/>
      <c r="Q984" s="36"/>
    </row>
    <row r="985" spans="1:17">
      <c r="A985" s="36"/>
      <c r="B985" s="36"/>
      <c r="C985" s="36"/>
      <c r="D985" s="36"/>
      <c r="E985" s="36"/>
      <c r="F985" s="36"/>
      <c r="L985" s="36"/>
      <c r="M985" s="36"/>
      <c r="N985" s="36"/>
      <c r="O985" s="36"/>
      <c r="P985" s="36"/>
      <c r="Q985" s="36"/>
    </row>
    <row r="986" spans="1:17">
      <c r="A986" s="36"/>
      <c r="B986" s="36"/>
      <c r="C986" s="36"/>
      <c r="D986" s="36"/>
      <c r="E986" s="36"/>
      <c r="F986" s="36"/>
      <c r="L986" s="36"/>
      <c r="M986" s="36"/>
      <c r="N986" s="36"/>
      <c r="O986" s="36"/>
      <c r="P986" s="36"/>
      <c r="Q986" s="36"/>
    </row>
    <row r="987" spans="1:17">
      <c r="A987" s="36"/>
      <c r="B987" s="36"/>
      <c r="C987" s="36"/>
      <c r="D987" s="36"/>
      <c r="E987" s="36"/>
      <c r="F987" s="36"/>
      <c r="L987" s="36"/>
      <c r="M987" s="36"/>
      <c r="N987" s="36"/>
      <c r="O987" s="36"/>
      <c r="P987" s="36"/>
      <c r="Q987" s="36"/>
    </row>
    <row r="988" spans="1:17">
      <c r="A988" s="36"/>
      <c r="B988" s="36"/>
      <c r="C988" s="36"/>
      <c r="D988" s="36"/>
      <c r="E988" s="36"/>
      <c r="F988" s="36"/>
      <c r="L988" s="36"/>
      <c r="M988" s="36"/>
      <c r="N988" s="36"/>
      <c r="O988" s="36"/>
      <c r="P988" s="36"/>
      <c r="Q988" s="36"/>
    </row>
    <row r="989" spans="1:17">
      <c r="A989" s="36"/>
      <c r="B989" s="36"/>
      <c r="C989" s="36"/>
      <c r="D989" s="36"/>
      <c r="E989" s="36"/>
      <c r="F989" s="36"/>
      <c r="L989" s="36"/>
      <c r="M989" s="36"/>
      <c r="N989" s="36"/>
      <c r="O989" s="36"/>
      <c r="P989" s="36"/>
      <c r="Q989" s="36"/>
    </row>
    <row r="990" spans="1:17">
      <c r="A990" s="36"/>
      <c r="B990" s="36"/>
      <c r="C990" s="36"/>
      <c r="D990" s="36"/>
      <c r="E990" s="36"/>
      <c r="F990" s="36"/>
      <c r="L990" s="36"/>
      <c r="M990" s="36"/>
      <c r="N990" s="36"/>
      <c r="O990" s="36"/>
      <c r="P990" s="36"/>
      <c r="Q990" s="36"/>
    </row>
    <row r="991" spans="1:17">
      <c r="A991" s="36"/>
      <c r="B991" s="36"/>
      <c r="C991" s="36"/>
      <c r="D991" s="36"/>
      <c r="E991" s="36"/>
      <c r="F991" s="36"/>
      <c r="L991" s="36"/>
      <c r="M991" s="36"/>
      <c r="N991" s="36"/>
      <c r="O991" s="36"/>
      <c r="P991" s="36"/>
      <c r="Q991" s="36"/>
    </row>
    <row r="992" spans="1:17">
      <c r="A992" s="36"/>
      <c r="B992" s="36"/>
      <c r="C992" s="36"/>
      <c r="D992" s="36"/>
      <c r="E992" s="36"/>
      <c r="F992" s="36"/>
      <c r="L992" s="36"/>
      <c r="M992" s="36"/>
      <c r="N992" s="36"/>
      <c r="O992" s="36"/>
      <c r="P992" s="36"/>
      <c r="Q992" s="36"/>
    </row>
    <row r="993" spans="1:17">
      <c r="A993" s="36"/>
      <c r="B993" s="36"/>
      <c r="C993" s="36"/>
      <c r="D993" s="36"/>
      <c r="E993" s="36"/>
      <c r="F993" s="36"/>
      <c r="L993" s="36"/>
      <c r="M993" s="36"/>
      <c r="N993" s="36"/>
      <c r="O993" s="36"/>
      <c r="P993" s="36"/>
      <c r="Q993" s="36"/>
    </row>
    <row r="994" spans="1:17">
      <c r="A994" s="36"/>
      <c r="B994" s="36"/>
      <c r="C994" s="36"/>
      <c r="D994" s="36"/>
      <c r="E994" s="36"/>
      <c r="F994" s="36"/>
      <c r="L994" s="36"/>
      <c r="M994" s="36"/>
      <c r="N994" s="36"/>
      <c r="O994" s="36"/>
      <c r="P994" s="36"/>
      <c r="Q994" s="36"/>
    </row>
    <row r="995" spans="1:17">
      <c r="A995" s="36"/>
      <c r="B995" s="36"/>
      <c r="C995" s="36"/>
      <c r="D995" s="36"/>
      <c r="E995" s="36"/>
      <c r="F995" s="36"/>
      <c r="L995" s="36"/>
      <c r="M995" s="36"/>
      <c r="N995" s="36"/>
      <c r="O995" s="36"/>
      <c r="P995" s="36"/>
      <c r="Q995" s="36"/>
    </row>
    <row r="996" spans="1:17">
      <c r="A996" s="36"/>
      <c r="B996" s="36"/>
      <c r="C996" s="36"/>
      <c r="D996" s="36"/>
      <c r="E996" s="36"/>
      <c r="F996" s="36"/>
      <c r="L996" s="36"/>
      <c r="M996" s="36"/>
      <c r="N996" s="36"/>
      <c r="O996" s="36"/>
      <c r="P996" s="36"/>
      <c r="Q996" s="36"/>
    </row>
    <row r="997" spans="1:17">
      <c r="A997" s="36"/>
      <c r="B997" s="36"/>
      <c r="C997" s="36"/>
      <c r="D997" s="36"/>
      <c r="E997" s="36"/>
      <c r="F997" s="36"/>
      <c r="L997" s="36"/>
      <c r="M997" s="36"/>
      <c r="N997" s="36"/>
      <c r="O997" s="36"/>
      <c r="P997" s="36"/>
      <c r="Q997" s="36"/>
    </row>
    <row r="998" spans="1:17">
      <c r="A998" s="36"/>
      <c r="B998" s="36"/>
      <c r="C998" s="36"/>
      <c r="D998" s="36"/>
      <c r="E998" s="36"/>
      <c r="F998" s="36"/>
      <c r="L998" s="36"/>
      <c r="M998" s="36"/>
      <c r="N998" s="36"/>
      <c r="O998" s="36"/>
      <c r="P998" s="36"/>
      <c r="Q998" s="36"/>
    </row>
    <row r="999" spans="1:17">
      <c r="A999" s="36"/>
      <c r="B999" s="36"/>
      <c r="C999" s="36"/>
      <c r="D999" s="36"/>
      <c r="E999" s="36"/>
      <c r="F999" s="36"/>
      <c r="L999" s="36"/>
      <c r="M999" s="36"/>
      <c r="N999" s="36"/>
      <c r="O999" s="36"/>
      <c r="P999" s="36"/>
      <c r="Q999" s="36"/>
    </row>
    <row r="1000" spans="1:17">
      <c r="A1000" s="36"/>
      <c r="B1000" s="36"/>
      <c r="C1000" s="36"/>
      <c r="D1000" s="36"/>
      <c r="E1000" s="36"/>
      <c r="F1000" s="36"/>
      <c r="L1000" s="36"/>
      <c r="M1000" s="36"/>
      <c r="N1000" s="36"/>
      <c r="O1000" s="36"/>
      <c r="P1000" s="36"/>
      <c r="Q1000" s="3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V988"/>
  <sheetViews>
    <sheetView workbookViewId="0"/>
  </sheetViews>
  <sheetFormatPr defaultColWidth="12.5703125" defaultRowHeight="15.75" customHeight="1"/>
  <cols>
    <col min="1" max="1" width="18.42578125" customWidth="1"/>
    <col min="7" max="7" width="40.7109375" customWidth="1"/>
    <col min="22" max="22" width="43.85546875" customWidth="1"/>
  </cols>
  <sheetData>
    <row r="1" spans="1:22" ht="15.75" customHeight="1">
      <c r="A1" s="629" t="s">
        <v>9812</v>
      </c>
      <c r="B1" s="630" t="s">
        <v>3371</v>
      </c>
      <c r="C1" s="630"/>
      <c r="D1" s="630" t="s">
        <v>9813</v>
      </c>
      <c r="E1" s="631" t="s">
        <v>9814</v>
      </c>
      <c r="F1" s="631" t="s">
        <v>7</v>
      </c>
      <c r="G1" s="631" t="s">
        <v>9815</v>
      </c>
      <c r="V1" s="36" t="s">
        <v>9816</v>
      </c>
    </row>
    <row r="2" spans="1:22">
      <c r="A2" s="421" t="s">
        <v>9817</v>
      </c>
      <c r="B2" s="421" t="s">
        <v>9818</v>
      </c>
      <c r="C2" s="545" t="s">
        <v>9819</v>
      </c>
      <c r="D2" s="545" t="b">
        <v>1</v>
      </c>
      <c r="E2" s="632" t="s">
        <v>5615</v>
      </c>
      <c r="F2" s="633" t="s">
        <v>5616</v>
      </c>
      <c r="G2" s="634" t="s">
        <v>9820</v>
      </c>
      <c r="V2" s="561" t="s">
        <v>9821</v>
      </c>
    </row>
    <row r="3" spans="1:22">
      <c r="A3" s="421" t="s">
        <v>9822</v>
      </c>
      <c r="B3" s="421" t="s">
        <v>10</v>
      </c>
      <c r="C3" s="421"/>
      <c r="D3" s="545" t="b">
        <v>1</v>
      </c>
      <c r="E3" s="632" t="s">
        <v>9823</v>
      </c>
      <c r="F3" s="635" t="s">
        <v>594</v>
      </c>
      <c r="G3" s="636" t="s">
        <v>9824</v>
      </c>
      <c r="V3" s="415" t="s">
        <v>9825</v>
      </c>
    </row>
    <row r="4" spans="1:22">
      <c r="A4" s="421" t="s">
        <v>9826</v>
      </c>
      <c r="B4" s="421" t="s">
        <v>10</v>
      </c>
      <c r="C4" s="421"/>
      <c r="D4" s="545" t="b">
        <v>1</v>
      </c>
      <c r="E4" s="632" t="s">
        <v>2040</v>
      </c>
      <c r="F4" s="635" t="s">
        <v>2041</v>
      </c>
      <c r="G4" s="634" t="s">
        <v>9827</v>
      </c>
      <c r="V4" s="415" t="s">
        <v>9828</v>
      </c>
    </row>
    <row r="5" spans="1:22">
      <c r="A5" s="421" t="s">
        <v>9829</v>
      </c>
      <c r="B5" s="421" t="s">
        <v>9818</v>
      </c>
      <c r="C5" s="421"/>
      <c r="D5" s="545" t="b">
        <v>1</v>
      </c>
      <c r="E5" s="632" t="s">
        <v>2206</v>
      </c>
      <c r="F5" s="637" t="s">
        <v>5705</v>
      </c>
      <c r="G5" s="634" t="s">
        <v>9830</v>
      </c>
      <c r="V5" s="415" t="s">
        <v>9831</v>
      </c>
    </row>
    <row r="6" spans="1:22">
      <c r="A6" s="421" t="s">
        <v>9832</v>
      </c>
      <c r="B6" s="421" t="s">
        <v>10</v>
      </c>
      <c r="C6" s="545" t="s">
        <v>9819</v>
      </c>
      <c r="D6" s="421" t="s">
        <v>78</v>
      </c>
      <c r="E6" s="632" t="s">
        <v>2156</v>
      </c>
      <c r="F6" s="635" t="s">
        <v>2157</v>
      </c>
      <c r="G6" s="634" t="s">
        <v>9833</v>
      </c>
      <c r="V6" s="561" t="s">
        <v>9600</v>
      </c>
    </row>
    <row r="7" spans="1:22">
      <c r="A7" s="421" t="s">
        <v>9834</v>
      </c>
      <c r="B7" s="421" t="s">
        <v>9835</v>
      </c>
      <c r="C7" s="421"/>
      <c r="D7" s="545" t="b">
        <v>1</v>
      </c>
      <c r="E7" s="632" t="s">
        <v>9836</v>
      </c>
      <c r="F7" s="635" t="s">
        <v>9837</v>
      </c>
      <c r="G7" s="634" t="s">
        <v>9838</v>
      </c>
      <c r="V7" s="415" t="s">
        <v>9624</v>
      </c>
    </row>
    <row r="8" spans="1:22">
      <c r="A8" s="421" t="s">
        <v>9839</v>
      </c>
      <c r="B8" s="421" t="s">
        <v>9840</v>
      </c>
      <c r="C8" s="421"/>
      <c r="D8" s="545" t="b">
        <v>1</v>
      </c>
      <c r="E8" s="632" t="s">
        <v>9841</v>
      </c>
      <c r="F8" s="635" t="s">
        <v>1006</v>
      </c>
      <c r="G8" s="634" t="s">
        <v>9842</v>
      </c>
      <c r="V8" s="415" t="s">
        <v>5477</v>
      </c>
    </row>
    <row r="9" spans="1:22">
      <c r="A9" s="421" t="s">
        <v>9843</v>
      </c>
      <c r="B9" s="421" t="s">
        <v>9835</v>
      </c>
      <c r="C9" s="421"/>
      <c r="D9" s="545" t="b">
        <v>1</v>
      </c>
      <c r="E9" s="422" t="s">
        <v>299</v>
      </c>
      <c r="F9" s="638" t="s">
        <v>9844</v>
      </c>
      <c r="G9" s="634" t="s">
        <v>9845</v>
      </c>
      <c r="V9" s="579" t="s">
        <v>9442</v>
      </c>
    </row>
    <row r="10" spans="1:22">
      <c r="A10" s="421" t="s">
        <v>9536</v>
      </c>
      <c r="B10" s="421" t="s">
        <v>12</v>
      </c>
      <c r="C10" s="421"/>
      <c r="D10" s="545" t="b">
        <v>1</v>
      </c>
      <c r="E10" s="422" t="s">
        <v>489</v>
      </c>
      <c r="F10" s="635" t="s">
        <v>9846</v>
      </c>
      <c r="G10" s="634" t="s">
        <v>9847</v>
      </c>
      <c r="V10" s="414" t="s">
        <v>9497</v>
      </c>
    </row>
    <row r="11" spans="1:22">
      <c r="A11" s="421" t="s">
        <v>9848</v>
      </c>
      <c r="B11" s="421" t="s">
        <v>3413</v>
      </c>
      <c r="C11" s="421"/>
      <c r="D11" s="545" t="b">
        <v>1</v>
      </c>
      <c r="E11" s="632" t="s">
        <v>405</v>
      </c>
      <c r="F11" s="635" t="s">
        <v>406</v>
      </c>
      <c r="G11" s="639" t="s">
        <v>9849</v>
      </c>
      <c r="V11" s="415" t="s">
        <v>9676</v>
      </c>
    </row>
    <row r="12" spans="1:22">
      <c r="A12" s="639" t="s">
        <v>9850</v>
      </c>
      <c r="B12" s="639" t="s">
        <v>9851</v>
      </c>
      <c r="C12" s="639"/>
      <c r="D12" s="545" t="b">
        <v>1</v>
      </c>
      <c r="E12" s="632" t="s">
        <v>1369</v>
      </c>
      <c r="F12" s="635" t="s">
        <v>1370</v>
      </c>
      <c r="G12" s="640" t="s">
        <v>9852</v>
      </c>
      <c r="V12" s="415" t="s">
        <v>9501</v>
      </c>
    </row>
    <row r="13" spans="1:22">
      <c r="A13" s="639" t="s">
        <v>9853</v>
      </c>
      <c r="B13" s="639" t="s">
        <v>9854</v>
      </c>
      <c r="C13" s="639"/>
      <c r="D13" s="545" t="b">
        <v>1</v>
      </c>
      <c r="E13" s="641" t="s">
        <v>2224</v>
      </c>
      <c r="F13" s="635" t="s">
        <v>2087</v>
      </c>
      <c r="G13" s="642" t="s">
        <v>9855</v>
      </c>
      <c r="V13" s="415" t="s">
        <v>9856</v>
      </c>
    </row>
    <row r="14" spans="1:22">
      <c r="A14" s="639" t="s">
        <v>9857</v>
      </c>
      <c r="B14" s="639" t="s">
        <v>9854</v>
      </c>
      <c r="C14" s="639"/>
      <c r="D14" s="545" t="b">
        <v>1</v>
      </c>
      <c r="E14" s="422" t="s">
        <v>9858</v>
      </c>
      <c r="F14" s="635"/>
      <c r="G14" s="634" t="s">
        <v>9859</v>
      </c>
      <c r="V14" s="415" t="s">
        <v>9618</v>
      </c>
    </row>
    <row r="15" spans="1:22">
      <c r="A15" s="639" t="s">
        <v>9860</v>
      </c>
      <c r="B15" s="639" t="s">
        <v>9854</v>
      </c>
      <c r="C15" s="634" t="s">
        <v>9861</v>
      </c>
      <c r="D15" s="545" t="b">
        <v>1</v>
      </c>
      <c r="E15" s="422" t="s">
        <v>5661</v>
      </c>
      <c r="F15" s="635"/>
      <c r="G15" s="634" t="s">
        <v>9862</v>
      </c>
      <c r="V15" s="415" t="s">
        <v>9619</v>
      </c>
    </row>
    <row r="16" spans="1:22">
      <c r="A16" s="639" t="s">
        <v>9863</v>
      </c>
      <c r="B16" s="639" t="s">
        <v>9864</v>
      </c>
      <c r="C16" s="639"/>
      <c r="D16" s="545" t="b">
        <v>1</v>
      </c>
      <c r="E16" s="422" t="s">
        <v>2063</v>
      </c>
      <c r="F16" s="635" t="s">
        <v>2064</v>
      </c>
      <c r="G16" s="643" t="s">
        <v>9865</v>
      </c>
      <c r="V16" s="414" t="s">
        <v>9447</v>
      </c>
    </row>
    <row r="17" spans="1:22">
      <c r="A17" s="639" t="s">
        <v>9866</v>
      </c>
      <c r="B17" s="639" t="s">
        <v>9854</v>
      </c>
      <c r="C17" s="545" t="s">
        <v>9819</v>
      </c>
      <c r="D17" s="545" t="b">
        <v>1</v>
      </c>
      <c r="E17" s="639" t="s">
        <v>2185</v>
      </c>
      <c r="F17" s="639" t="s">
        <v>2186</v>
      </c>
      <c r="G17" s="634" t="s">
        <v>9867</v>
      </c>
      <c r="V17" s="414" t="s">
        <v>9868</v>
      </c>
    </row>
    <row r="18" spans="1:22">
      <c r="A18" s="639" t="s">
        <v>9869</v>
      </c>
      <c r="B18" s="639" t="s">
        <v>9854</v>
      </c>
      <c r="C18" s="639"/>
      <c r="D18" s="545" t="b">
        <v>1</v>
      </c>
      <c r="E18" s="422" t="s">
        <v>1567</v>
      </c>
      <c r="F18" s="639" t="s">
        <v>1568</v>
      </c>
      <c r="G18" s="639" t="s">
        <v>9870</v>
      </c>
      <c r="V18" s="414" t="s">
        <v>5510</v>
      </c>
    </row>
    <row r="19" spans="1:22">
      <c r="A19" s="639" t="s">
        <v>9871</v>
      </c>
      <c r="B19" s="639" t="s">
        <v>9872</v>
      </c>
      <c r="C19" s="639"/>
      <c r="D19" s="545" t="b">
        <v>1</v>
      </c>
      <c r="E19" s="632" t="s">
        <v>2176</v>
      </c>
      <c r="F19" s="635" t="s">
        <v>5699</v>
      </c>
      <c r="G19" s="634" t="s">
        <v>9873</v>
      </c>
      <c r="V19" s="415" t="s">
        <v>9874</v>
      </c>
    </row>
    <row r="20" spans="1:22">
      <c r="A20" s="639" t="s">
        <v>9875</v>
      </c>
      <c r="B20" s="421" t="s">
        <v>9876</v>
      </c>
      <c r="C20" s="421"/>
      <c r="D20" s="545" t="b">
        <v>1</v>
      </c>
      <c r="E20" s="639" t="s">
        <v>2060</v>
      </c>
      <c r="F20" s="634" t="s">
        <v>2061</v>
      </c>
      <c r="G20" s="634" t="s">
        <v>9877</v>
      </c>
      <c r="V20" s="415" t="s">
        <v>9672</v>
      </c>
    </row>
    <row r="21" spans="1:22">
      <c r="A21" s="644" t="s">
        <v>9878</v>
      </c>
      <c r="B21" s="644" t="s">
        <v>9879</v>
      </c>
      <c r="C21" s="644"/>
      <c r="D21" s="545" t="b">
        <v>1</v>
      </c>
      <c r="E21" s="645" t="s">
        <v>9880</v>
      </c>
      <c r="F21" s="422"/>
      <c r="G21" s="645" t="s">
        <v>9881</v>
      </c>
      <c r="V21" s="557" t="s">
        <v>3611</v>
      </c>
    </row>
    <row r="22" spans="1:22">
      <c r="A22" s="639" t="s">
        <v>9882</v>
      </c>
      <c r="B22" s="639" t="s">
        <v>9879</v>
      </c>
      <c r="C22" s="634" t="s">
        <v>9861</v>
      </c>
      <c r="D22" s="545" t="b">
        <v>1</v>
      </c>
      <c r="E22" s="422" t="s">
        <v>5634</v>
      </c>
      <c r="F22" s="646" t="s">
        <v>9883</v>
      </c>
      <c r="G22" s="422" t="s">
        <v>9884</v>
      </c>
      <c r="V22" s="419" t="s">
        <v>5444</v>
      </c>
    </row>
    <row r="23" spans="1:22">
      <c r="A23" s="639" t="s">
        <v>9885</v>
      </c>
      <c r="B23" s="639" t="s">
        <v>9886</v>
      </c>
      <c r="C23" s="639"/>
      <c r="D23" s="545" t="b">
        <v>1</v>
      </c>
      <c r="E23" s="632" t="s">
        <v>5639</v>
      </c>
      <c r="F23" s="647" t="s">
        <v>9887</v>
      </c>
      <c r="G23" s="634" t="s">
        <v>9888</v>
      </c>
      <c r="V23" s="414" t="s">
        <v>5426</v>
      </c>
    </row>
    <row r="24" spans="1:22">
      <c r="A24" s="639" t="s">
        <v>9889</v>
      </c>
      <c r="B24" s="639" t="s">
        <v>9890</v>
      </c>
      <c r="C24" s="639" t="s">
        <v>9891</v>
      </c>
      <c r="D24" s="545" t="b">
        <v>1</v>
      </c>
      <c r="E24" s="422" t="s">
        <v>80</v>
      </c>
      <c r="F24" s="635" t="s">
        <v>81</v>
      </c>
      <c r="G24" s="634" t="s">
        <v>9892</v>
      </c>
      <c r="V24" s="414" t="s">
        <v>9418</v>
      </c>
    </row>
    <row r="25" spans="1:22">
      <c r="A25" s="639" t="s">
        <v>9893</v>
      </c>
      <c r="B25" s="639" t="s">
        <v>9879</v>
      </c>
      <c r="C25" s="639"/>
      <c r="D25" s="545" t="b">
        <v>1</v>
      </c>
      <c r="E25" s="639" t="s">
        <v>36</v>
      </c>
      <c r="F25" s="647" t="s">
        <v>37</v>
      </c>
      <c r="G25" s="634" t="s">
        <v>9894</v>
      </c>
      <c r="V25" s="415" t="s">
        <v>9465</v>
      </c>
    </row>
    <row r="26" spans="1:22">
      <c r="A26" s="639" t="s">
        <v>9895</v>
      </c>
      <c r="B26" s="421" t="s">
        <v>9890</v>
      </c>
      <c r="C26" s="421"/>
      <c r="D26" s="545" t="b">
        <v>1</v>
      </c>
      <c r="E26" s="641" t="s">
        <v>2224</v>
      </c>
      <c r="F26" s="648" t="s">
        <v>2225</v>
      </c>
      <c r="G26" s="634" t="s">
        <v>9896</v>
      </c>
      <c r="V26" s="414" t="s">
        <v>9450</v>
      </c>
    </row>
    <row r="27" spans="1:22">
      <c r="A27" s="639" t="s">
        <v>9897</v>
      </c>
      <c r="B27" s="639" t="s">
        <v>9879</v>
      </c>
      <c r="C27" s="545" t="s">
        <v>9819</v>
      </c>
      <c r="D27" s="639"/>
      <c r="E27" s="639" t="s">
        <v>5625</v>
      </c>
      <c r="F27" s="649"/>
      <c r="G27" s="649"/>
      <c r="V27" s="414" t="s">
        <v>5546</v>
      </c>
    </row>
    <row r="28" spans="1:22">
      <c r="A28" s="639" t="s">
        <v>9898</v>
      </c>
      <c r="B28" s="639" t="s">
        <v>9879</v>
      </c>
      <c r="C28" s="639"/>
      <c r="D28" s="545" t="b">
        <v>1</v>
      </c>
      <c r="E28" s="422" t="s">
        <v>5628</v>
      </c>
      <c r="F28" s="650" t="s">
        <v>5629</v>
      </c>
      <c r="G28" s="634" t="s">
        <v>9899</v>
      </c>
      <c r="V28" s="415" t="s">
        <v>5482</v>
      </c>
    </row>
    <row r="29" spans="1:22">
      <c r="A29" s="639" t="s">
        <v>9900</v>
      </c>
      <c r="B29" s="421" t="s">
        <v>12</v>
      </c>
      <c r="C29" s="421" t="s">
        <v>9901</v>
      </c>
      <c r="D29" s="545" t="b">
        <v>1</v>
      </c>
      <c r="E29" s="632" t="s">
        <v>5653</v>
      </c>
      <c r="F29" s="635" t="s">
        <v>9902</v>
      </c>
      <c r="G29" s="634" t="s">
        <v>9903</v>
      </c>
      <c r="V29" s="415" t="s">
        <v>5591</v>
      </c>
    </row>
    <row r="30" spans="1:22">
      <c r="A30" s="639" t="s">
        <v>9904</v>
      </c>
      <c r="B30" s="639" t="s">
        <v>9905</v>
      </c>
      <c r="C30" s="545" t="s">
        <v>9819</v>
      </c>
      <c r="D30" s="545" t="b">
        <v>1</v>
      </c>
      <c r="E30" s="422" t="s">
        <v>1991</v>
      </c>
      <c r="F30" s="649"/>
      <c r="G30" s="634" t="s">
        <v>9906</v>
      </c>
      <c r="V30" s="415" t="s">
        <v>9907</v>
      </c>
    </row>
    <row r="31" spans="1:22">
      <c r="A31" s="639" t="s">
        <v>9908</v>
      </c>
      <c r="B31" s="639" t="s">
        <v>9879</v>
      </c>
      <c r="C31" s="639"/>
      <c r="D31" s="545" t="b">
        <v>1</v>
      </c>
      <c r="E31" s="641" t="s">
        <v>2224</v>
      </c>
      <c r="F31" s="634" t="s">
        <v>513</v>
      </c>
      <c r="G31" s="634" t="s">
        <v>9909</v>
      </c>
      <c r="V31" s="415" t="s">
        <v>9473</v>
      </c>
    </row>
    <row r="32" spans="1:22">
      <c r="A32" s="639" t="s">
        <v>9910</v>
      </c>
      <c r="B32" s="639" t="s">
        <v>9879</v>
      </c>
      <c r="C32" s="639"/>
      <c r="D32" s="545" t="b">
        <v>1</v>
      </c>
      <c r="E32" s="422" t="s">
        <v>1088</v>
      </c>
      <c r="F32" s="635" t="s">
        <v>1089</v>
      </c>
      <c r="G32" s="634" t="s">
        <v>9911</v>
      </c>
      <c r="V32" s="415" t="s">
        <v>9912</v>
      </c>
    </row>
    <row r="33" spans="1:22">
      <c r="A33" s="639" t="s">
        <v>9913</v>
      </c>
      <c r="B33" s="639" t="s">
        <v>9914</v>
      </c>
      <c r="C33" s="639"/>
      <c r="D33" s="545" t="b">
        <v>0</v>
      </c>
      <c r="E33" s="422" t="s">
        <v>5656</v>
      </c>
      <c r="F33" s="649"/>
      <c r="G33" s="649"/>
      <c r="V33" s="414" t="s">
        <v>9407</v>
      </c>
    </row>
    <row r="34" spans="1:22">
      <c r="A34" s="421" t="s">
        <v>9915</v>
      </c>
      <c r="B34" s="421" t="s">
        <v>9854</v>
      </c>
      <c r="C34" s="639" t="s">
        <v>9916</v>
      </c>
      <c r="D34" s="545" t="b">
        <v>0</v>
      </c>
      <c r="E34" s="422" t="s">
        <v>5664</v>
      </c>
      <c r="F34" s="651" t="s">
        <v>5665</v>
      </c>
      <c r="G34" s="652" t="s">
        <v>9917</v>
      </c>
      <c r="V34" s="415" t="s">
        <v>5439</v>
      </c>
    </row>
    <row r="35" spans="1:22">
      <c r="A35" s="421" t="s">
        <v>9918</v>
      </c>
      <c r="B35" s="421" t="s">
        <v>18</v>
      </c>
      <c r="C35" s="421"/>
      <c r="D35" s="545" t="b">
        <v>1</v>
      </c>
      <c r="E35" s="422" t="s">
        <v>1481</v>
      </c>
      <c r="F35" s="650" t="s">
        <v>1482</v>
      </c>
      <c r="G35" s="634" t="s">
        <v>9919</v>
      </c>
      <c r="V35" s="415" t="s">
        <v>5442</v>
      </c>
    </row>
    <row r="36" spans="1:22">
      <c r="A36" s="421" t="s">
        <v>8219</v>
      </c>
      <c r="B36" s="639" t="s">
        <v>12</v>
      </c>
      <c r="C36" s="639"/>
      <c r="D36" s="545" t="b">
        <v>1</v>
      </c>
      <c r="E36" s="634" t="s">
        <v>9920</v>
      </c>
      <c r="F36" s="650" t="s">
        <v>681</v>
      </c>
      <c r="G36" s="634" t="s">
        <v>9921</v>
      </c>
      <c r="V36" s="415" t="s">
        <v>9621</v>
      </c>
    </row>
    <row r="37" spans="1:22">
      <c r="A37" s="421" t="s">
        <v>9922</v>
      </c>
      <c r="B37" s="639" t="s">
        <v>9923</v>
      </c>
      <c r="C37" s="639"/>
      <c r="D37" s="545"/>
      <c r="E37" s="422" t="s">
        <v>2033</v>
      </c>
      <c r="F37" s="650" t="s">
        <v>2034</v>
      </c>
      <c r="G37" s="652" t="s">
        <v>9924</v>
      </c>
      <c r="V37" s="414" t="s">
        <v>9410</v>
      </c>
    </row>
    <row r="38" spans="1:22" ht="408">
      <c r="A38" s="639" t="s">
        <v>9925</v>
      </c>
      <c r="B38" s="639" t="s">
        <v>9923</v>
      </c>
      <c r="C38" s="639"/>
      <c r="D38" s="639"/>
      <c r="E38" s="653">
        <v>380509177274</v>
      </c>
      <c r="F38" s="650" t="s">
        <v>109</v>
      </c>
      <c r="G38" s="634" t="s">
        <v>9926</v>
      </c>
      <c r="V38" s="415" t="s">
        <v>9627</v>
      </c>
    </row>
    <row r="39" spans="1:22" ht="38.25">
      <c r="A39" s="639" t="s">
        <v>9927</v>
      </c>
      <c r="B39" s="639" t="s">
        <v>9923</v>
      </c>
      <c r="C39" s="639"/>
      <c r="D39" s="639"/>
      <c r="E39" s="422" t="s">
        <v>2284</v>
      </c>
      <c r="F39" s="638" t="s">
        <v>2285</v>
      </c>
      <c r="G39" s="634" t="s">
        <v>9928</v>
      </c>
      <c r="V39" s="415" t="s">
        <v>9547</v>
      </c>
    </row>
    <row r="40" spans="1:22" ht="25.5">
      <c r="A40" s="639" t="s">
        <v>9929</v>
      </c>
      <c r="B40" s="639" t="s">
        <v>9923</v>
      </c>
      <c r="C40" s="639"/>
      <c r="D40" s="639"/>
      <c r="E40" s="422" t="s">
        <v>2221</v>
      </c>
      <c r="F40" s="650" t="s">
        <v>2222</v>
      </c>
      <c r="G40" s="634" t="s">
        <v>9930</v>
      </c>
      <c r="V40" s="414" t="s">
        <v>601</v>
      </c>
    </row>
    <row r="41" spans="1:22" ht="38.25">
      <c r="A41" s="639" t="s">
        <v>6606</v>
      </c>
      <c r="B41" s="639" t="s">
        <v>9923</v>
      </c>
      <c r="C41" s="639"/>
      <c r="D41" s="639"/>
      <c r="E41" s="422" t="s">
        <v>1416</v>
      </c>
      <c r="F41" s="654" t="s">
        <v>1417</v>
      </c>
      <c r="G41" s="652" t="s">
        <v>9931</v>
      </c>
      <c r="V41" s="415" t="s">
        <v>9673</v>
      </c>
    </row>
    <row r="42" spans="1:22" ht="38.25">
      <c r="A42" s="639" t="s">
        <v>9932</v>
      </c>
      <c r="B42" s="639" t="s">
        <v>12</v>
      </c>
      <c r="C42" s="639" t="s">
        <v>9861</v>
      </c>
      <c r="D42" s="639"/>
      <c r="E42" s="422" t="s">
        <v>5645</v>
      </c>
      <c r="F42" s="650" t="s">
        <v>9933</v>
      </c>
      <c r="G42" s="639"/>
      <c r="V42" s="414" t="s">
        <v>9934</v>
      </c>
    </row>
    <row r="43" spans="1:22" ht="12.75">
      <c r="A43" s="639" t="s">
        <v>9935</v>
      </c>
      <c r="B43" s="639" t="s">
        <v>9936</v>
      </c>
      <c r="C43" s="639"/>
      <c r="D43" s="639"/>
      <c r="E43" s="422" t="s">
        <v>5668</v>
      </c>
      <c r="F43" s="650"/>
      <c r="G43" s="650" t="s">
        <v>9937</v>
      </c>
      <c r="V43" s="414" t="s">
        <v>9601</v>
      </c>
    </row>
    <row r="44" spans="1:22" ht="25.5">
      <c r="A44" s="639" t="s">
        <v>9938</v>
      </c>
      <c r="B44" s="639" t="s">
        <v>9939</v>
      </c>
      <c r="C44" s="639"/>
      <c r="D44" s="639"/>
      <c r="E44" s="422" t="s">
        <v>9940</v>
      </c>
      <c r="F44" s="650" t="s">
        <v>9941</v>
      </c>
      <c r="G44" s="545"/>
      <c r="V44" s="415" t="s">
        <v>9942</v>
      </c>
    </row>
    <row r="45" spans="1:22" ht="25.5">
      <c r="A45" s="639" t="s">
        <v>8801</v>
      </c>
      <c r="B45" s="639" t="s">
        <v>13</v>
      </c>
      <c r="C45" s="639"/>
      <c r="D45" s="639"/>
      <c r="E45" s="422" t="s">
        <v>356</v>
      </c>
      <c r="F45" s="650" t="s">
        <v>357</v>
      </c>
      <c r="G45" s="545"/>
      <c r="V45" s="561" t="s">
        <v>5418</v>
      </c>
    </row>
    <row r="46" spans="1:22" ht="38.25">
      <c r="A46" s="639" t="s">
        <v>9943</v>
      </c>
      <c r="B46" s="639" t="s">
        <v>9923</v>
      </c>
      <c r="C46" s="639"/>
      <c r="D46" s="639"/>
      <c r="E46" s="422" t="s">
        <v>9944</v>
      </c>
      <c r="F46" s="650" t="s">
        <v>9945</v>
      </c>
      <c r="G46" s="545"/>
      <c r="V46" s="414" t="s">
        <v>9669</v>
      </c>
    </row>
    <row r="47" spans="1:22" ht="25.5">
      <c r="A47" s="639" t="s">
        <v>6594</v>
      </c>
      <c r="B47" s="639" t="s">
        <v>9923</v>
      </c>
      <c r="C47" s="639"/>
      <c r="D47" s="639"/>
      <c r="E47" s="422" t="s">
        <v>2271</v>
      </c>
      <c r="F47" s="650" t="s">
        <v>2272</v>
      </c>
      <c r="G47" s="640" t="s">
        <v>9946</v>
      </c>
      <c r="V47" s="414" t="s">
        <v>9415</v>
      </c>
    </row>
    <row r="48" spans="1:22" ht="38.25">
      <c r="A48" s="639" t="s">
        <v>9947</v>
      </c>
      <c r="B48" s="639" t="s">
        <v>9948</v>
      </c>
      <c r="C48" s="639"/>
      <c r="D48" s="639"/>
      <c r="E48" s="422" t="s">
        <v>5681</v>
      </c>
      <c r="F48" s="650" t="s">
        <v>5682</v>
      </c>
      <c r="G48" s="640" t="s">
        <v>9949</v>
      </c>
    </row>
    <row r="49" spans="1:7" ht="38.25">
      <c r="A49" s="639" t="s">
        <v>9714</v>
      </c>
      <c r="B49" s="639" t="s">
        <v>9948</v>
      </c>
      <c r="C49" s="639"/>
      <c r="D49" s="639"/>
      <c r="E49" s="422" t="s">
        <v>839</v>
      </c>
      <c r="F49" s="650" t="s">
        <v>840</v>
      </c>
      <c r="G49" s="640" t="s">
        <v>9950</v>
      </c>
    </row>
    <row r="50" spans="1:7" ht="38.25">
      <c r="A50" s="639" t="s">
        <v>9951</v>
      </c>
      <c r="B50" s="639" t="s">
        <v>18</v>
      </c>
      <c r="C50" s="639"/>
      <c r="D50" s="639"/>
      <c r="E50" s="422" t="s">
        <v>255</v>
      </c>
      <c r="F50" s="639" t="s">
        <v>256</v>
      </c>
      <c r="G50" s="639" t="s">
        <v>9952</v>
      </c>
    </row>
    <row r="51" spans="1:7" ht="114.75">
      <c r="A51" s="421" t="s">
        <v>9953</v>
      </c>
      <c r="B51" s="421" t="s">
        <v>9954</v>
      </c>
      <c r="C51" s="421"/>
      <c r="D51" s="545"/>
      <c r="E51" s="655">
        <v>380931283711</v>
      </c>
      <c r="F51" s="656" t="s">
        <v>265</v>
      </c>
      <c r="G51" s="657" t="s">
        <v>9955</v>
      </c>
    </row>
    <row r="52" spans="1:7" ht="12.75">
      <c r="A52" s="658" t="s">
        <v>9956</v>
      </c>
      <c r="B52" s="658"/>
      <c r="C52" s="658"/>
      <c r="D52" s="659"/>
      <c r="E52" s="659"/>
      <c r="F52" s="659"/>
      <c r="G52" s="659"/>
    </row>
    <row r="53" spans="1:7" ht="25.5">
      <c r="A53" s="545" t="s">
        <v>9957</v>
      </c>
      <c r="B53" s="545" t="s">
        <v>18</v>
      </c>
      <c r="C53" s="545"/>
      <c r="D53" s="545"/>
      <c r="E53" s="422" t="s">
        <v>5673</v>
      </c>
      <c r="F53" s="634" t="s">
        <v>9958</v>
      </c>
      <c r="G53" s="652" t="s">
        <v>9959</v>
      </c>
    </row>
    <row r="54" spans="1:7" ht="38.25">
      <c r="A54" s="545" t="s">
        <v>9960</v>
      </c>
      <c r="B54" s="639" t="s">
        <v>9923</v>
      </c>
      <c r="C54" s="639"/>
      <c r="D54" s="545"/>
      <c r="E54" s="422" t="s">
        <v>534</v>
      </c>
      <c r="F54" s="634" t="s">
        <v>535</v>
      </c>
      <c r="G54" s="652" t="s">
        <v>9961</v>
      </c>
    </row>
    <row r="55" spans="1:7" ht="12.75">
      <c r="A55" s="545"/>
      <c r="B55" s="545"/>
      <c r="C55" s="545"/>
      <c r="D55" s="545"/>
      <c r="E55" s="634"/>
      <c r="F55" s="634"/>
      <c r="G55" s="634"/>
    </row>
    <row r="56" spans="1:7" ht="25.5">
      <c r="A56" s="545" t="s">
        <v>5477</v>
      </c>
      <c r="B56" s="639" t="s">
        <v>9923</v>
      </c>
      <c r="C56" s="639"/>
      <c r="D56" s="545"/>
      <c r="E56" s="634" t="s">
        <v>580</v>
      </c>
      <c r="F56" s="634" t="s">
        <v>581</v>
      </c>
      <c r="G56" s="652" t="s">
        <v>9962</v>
      </c>
    </row>
    <row r="57" spans="1:7" ht="25.5">
      <c r="A57" s="545" t="s">
        <v>9963</v>
      </c>
      <c r="B57" s="639" t="s">
        <v>9923</v>
      </c>
      <c r="C57" s="639"/>
      <c r="D57" s="545"/>
      <c r="E57" s="634" t="s">
        <v>9964</v>
      </c>
      <c r="F57" s="634" t="s">
        <v>1115</v>
      </c>
      <c r="G57" s="652" t="s">
        <v>9965</v>
      </c>
    </row>
    <row r="58" spans="1:7" ht="25.5">
      <c r="A58" s="545" t="s">
        <v>6124</v>
      </c>
      <c r="B58" s="545" t="s">
        <v>12</v>
      </c>
      <c r="C58" s="545"/>
      <c r="D58" s="545"/>
      <c r="E58" s="634" t="s">
        <v>437</v>
      </c>
      <c r="F58" s="634" t="s">
        <v>438</v>
      </c>
      <c r="G58" s="652" t="s">
        <v>9966</v>
      </c>
    </row>
    <row r="59" spans="1:7" ht="38.25">
      <c r="A59" s="545" t="s">
        <v>9967</v>
      </c>
      <c r="B59" s="545" t="s">
        <v>12</v>
      </c>
      <c r="C59" s="545"/>
      <c r="D59" s="545"/>
      <c r="E59" s="422" t="s">
        <v>9968</v>
      </c>
      <c r="F59" s="634" t="s">
        <v>827</v>
      </c>
      <c r="G59" s="545"/>
    </row>
    <row r="60" spans="1:7" ht="12.75">
      <c r="A60" s="545" t="s">
        <v>9969</v>
      </c>
      <c r="B60" s="545" t="s">
        <v>12</v>
      </c>
      <c r="C60" s="545"/>
      <c r="D60" s="545"/>
      <c r="E60" s="422" t="s">
        <v>5648</v>
      </c>
      <c r="F60" s="545"/>
      <c r="G60" s="652" t="s">
        <v>9970</v>
      </c>
    </row>
    <row r="61" spans="1:7" ht="102">
      <c r="A61" s="545" t="s">
        <v>9971</v>
      </c>
      <c r="B61" s="545" t="s">
        <v>5873</v>
      </c>
      <c r="C61" s="545"/>
      <c r="D61" s="545"/>
      <c r="E61" s="422" t="s">
        <v>2043</v>
      </c>
      <c r="F61" s="650" t="s">
        <v>2044</v>
      </c>
      <c r="G61" s="634" t="s">
        <v>9972</v>
      </c>
    </row>
    <row r="62" spans="1:7" ht="25.5">
      <c r="A62" s="545" t="s">
        <v>6266</v>
      </c>
      <c r="B62" s="545" t="s">
        <v>13</v>
      </c>
      <c r="C62" s="545"/>
      <c r="D62" s="545"/>
      <c r="E62" s="660" t="s">
        <v>389</v>
      </c>
      <c r="F62" s="650" t="s">
        <v>390</v>
      </c>
      <c r="G62" s="652" t="s">
        <v>9973</v>
      </c>
    </row>
    <row r="63" spans="1:7" ht="12.75">
      <c r="A63" s="658" t="s">
        <v>9974</v>
      </c>
      <c r="B63" s="659"/>
      <c r="C63" s="659"/>
      <c r="D63" s="659"/>
      <c r="E63" s="659"/>
      <c r="F63" s="659"/>
      <c r="G63" s="659"/>
    </row>
    <row r="64" spans="1:7" ht="25.5">
      <c r="A64" s="545" t="s">
        <v>9975</v>
      </c>
      <c r="B64" s="545" t="s">
        <v>11</v>
      </c>
      <c r="C64" s="545"/>
      <c r="D64" s="545"/>
      <c r="E64" s="634" t="s">
        <v>2096</v>
      </c>
      <c r="F64" s="634" t="s">
        <v>2097</v>
      </c>
      <c r="G64" s="652" t="s">
        <v>9976</v>
      </c>
    </row>
    <row r="65" spans="1:7" ht="38.25">
      <c r="A65" s="545" t="s">
        <v>9977</v>
      </c>
      <c r="B65" s="545" t="s">
        <v>11</v>
      </c>
      <c r="C65" s="545"/>
      <c r="D65" s="545"/>
      <c r="E65" s="634" t="s">
        <v>2037</v>
      </c>
      <c r="F65" s="634" t="s">
        <v>2038</v>
      </c>
      <c r="G65" s="652" t="s">
        <v>9978</v>
      </c>
    </row>
    <row r="66" spans="1:7" ht="31.5">
      <c r="A66" s="545" t="s">
        <v>9979</v>
      </c>
      <c r="B66" s="545" t="s">
        <v>9980</v>
      </c>
      <c r="C66" s="545"/>
      <c r="D66" s="545"/>
      <c r="E66" s="634" t="s">
        <v>9981</v>
      </c>
      <c r="F66" s="661" t="s">
        <v>2021</v>
      </c>
      <c r="G66" s="652" t="s">
        <v>9982</v>
      </c>
    </row>
    <row r="67" spans="1:7" ht="12.75">
      <c r="A67" s="662" t="s">
        <v>9983</v>
      </c>
      <c r="B67" s="545"/>
      <c r="C67" s="545"/>
      <c r="D67" s="545"/>
      <c r="E67" s="663">
        <f>380973407507</f>
        <v>380973407507</v>
      </c>
      <c r="F67" s="422"/>
      <c r="G67" s="664" t="s">
        <v>9984</v>
      </c>
    </row>
    <row r="68" spans="1:7" ht="12.75">
      <c r="A68" s="658" t="s">
        <v>9985</v>
      </c>
      <c r="B68" s="658"/>
      <c r="C68" s="658"/>
      <c r="D68" s="658"/>
      <c r="E68" s="658"/>
      <c r="F68" s="659"/>
      <c r="G68" s="658"/>
    </row>
    <row r="69" spans="1:7" ht="25.5">
      <c r="A69" s="545" t="s">
        <v>9986</v>
      </c>
      <c r="B69" s="545" t="s">
        <v>9987</v>
      </c>
      <c r="C69" s="545"/>
      <c r="D69" s="545"/>
      <c r="E69" s="422" t="s">
        <v>9988</v>
      </c>
      <c r="F69" s="650" t="s">
        <v>9989</v>
      </c>
      <c r="G69" s="545"/>
    </row>
    <row r="70" spans="1:7" ht="38.25">
      <c r="A70" s="545" t="s">
        <v>9990</v>
      </c>
      <c r="B70" s="545" t="s">
        <v>9991</v>
      </c>
      <c r="C70" s="545"/>
      <c r="D70" s="545"/>
      <c r="E70" s="422" t="s">
        <v>9992</v>
      </c>
      <c r="F70" s="650" t="s">
        <v>2229</v>
      </c>
      <c r="G70" s="545"/>
    </row>
    <row r="71" spans="1:7" ht="38.25">
      <c r="A71" s="545" t="s">
        <v>9993</v>
      </c>
      <c r="B71" s="545" t="s">
        <v>11</v>
      </c>
      <c r="C71" s="545"/>
      <c r="D71" s="545"/>
      <c r="E71" s="422" t="s">
        <v>41</v>
      </c>
      <c r="F71" s="650" t="s">
        <v>42</v>
      </c>
      <c r="G71" s="652" t="s">
        <v>9994</v>
      </c>
    </row>
    <row r="72" spans="1:7" ht="38.25">
      <c r="A72" s="545" t="s">
        <v>9995</v>
      </c>
      <c r="B72" s="545" t="s">
        <v>18</v>
      </c>
      <c r="C72" s="545"/>
      <c r="D72" s="545"/>
      <c r="E72" s="634" t="s">
        <v>9996</v>
      </c>
      <c r="F72" s="545"/>
      <c r="G72" s="545"/>
    </row>
    <row r="73" spans="1:7" ht="25.5">
      <c r="A73" s="545" t="s">
        <v>9997</v>
      </c>
      <c r="B73" s="545" t="s">
        <v>9998</v>
      </c>
      <c r="C73" s="545"/>
      <c r="D73" s="545"/>
      <c r="E73" s="422" t="s">
        <v>9999</v>
      </c>
      <c r="F73" s="632" t="s">
        <v>10000</v>
      </c>
      <c r="G73" s="545"/>
    </row>
    <row r="74" spans="1:7" ht="25.5">
      <c r="A74" s="545" t="s">
        <v>10001</v>
      </c>
      <c r="B74" s="545" t="s">
        <v>11</v>
      </c>
      <c r="C74" s="545"/>
      <c r="D74" s="545"/>
      <c r="E74" s="422" t="s">
        <v>5619</v>
      </c>
      <c r="F74" s="545"/>
      <c r="G74" s="634" t="s">
        <v>10002</v>
      </c>
    </row>
    <row r="75" spans="1:7" ht="12.75">
      <c r="A75" s="658" t="s">
        <v>3332</v>
      </c>
      <c r="B75" s="658"/>
      <c r="C75" s="658"/>
      <c r="D75" s="658"/>
      <c r="E75" s="658"/>
      <c r="F75" s="659"/>
      <c r="G75" s="658"/>
    </row>
    <row r="76" spans="1:7" ht="25.5">
      <c r="A76" s="545" t="s">
        <v>10003</v>
      </c>
      <c r="B76" s="545" t="s">
        <v>10004</v>
      </c>
      <c r="C76" s="545"/>
      <c r="D76" s="545"/>
      <c r="E76" s="422" t="s">
        <v>2076</v>
      </c>
      <c r="F76" s="650" t="s">
        <v>10005</v>
      </c>
      <c r="G76" s="545"/>
    </row>
    <row r="77" spans="1:7" ht="38.25">
      <c r="A77" s="545" t="s">
        <v>10006</v>
      </c>
      <c r="B77" s="545" t="s">
        <v>10007</v>
      </c>
      <c r="C77" s="545"/>
      <c r="D77" s="545"/>
      <c r="E77" s="422" t="s">
        <v>2073</v>
      </c>
      <c r="F77" s="650" t="s">
        <v>2074</v>
      </c>
      <c r="G77" s="545"/>
    </row>
    <row r="78" spans="1:7" ht="25.5">
      <c r="A78" s="545" t="s">
        <v>10008</v>
      </c>
      <c r="B78" s="545" t="s">
        <v>9991</v>
      </c>
      <c r="C78" s="545"/>
      <c r="D78" s="545"/>
      <c r="E78" s="422" t="s">
        <v>2081</v>
      </c>
      <c r="F78" s="650" t="s">
        <v>10009</v>
      </c>
      <c r="G78" s="545"/>
    </row>
    <row r="79" spans="1:7" ht="25.5">
      <c r="A79" s="545" t="s">
        <v>10010</v>
      </c>
      <c r="B79" s="545" t="s">
        <v>9835</v>
      </c>
      <c r="C79" s="545"/>
      <c r="D79" s="545"/>
      <c r="E79" s="422" t="s">
        <v>50</v>
      </c>
      <c r="F79" s="650" t="s">
        <v>51</v>
      </c>
      <c r="G79" s="545"/>
    </row>
    <row r="80" spans="1:7" ht="25.5">
      <c r="A80" s="545" t="s">
        <v>10011</v>
      </c>
      <c r="B80" s="545" t="s">
        <v>5873</v>
      </c>
      <c r="C80" s="545"/>
      <c r="D80" s="545"/>
      <c r="E80" s="422" t="s">
        <v>224</v>
      </c>
      <c r="F80" s="650" t="s">
        <v>225</v>
      </c>
      <c r="G80" s="545"/>
    </row>
    <row r="81" spans="1:7" ht="38.25">
      <c r="A81" s="545" t="s">
        <v>10012</v>
      </c>
      <c r="B81" s="545" t="s">
        <v>12</v>
      </c>
      <c r="C81" s="545"/>
      <c r="D81" s="545"/>
      <c r="E81" s="422" t="s">
        <v>5651</v>
      </c>
      <c r="F81" s="650" t="s">
        <v>10013</v>
      </c>
      <c r="G81" s="545"/>
    </row>
    <row r="82" spans="1:7" ht="12.75">
      <c r="A82" s="658" t="s">
        <v>10014</v>
      </c>
      <c r="B82" s="658"/>
      <c r="C82" s="658"/>
      <c r="D82" s="658"/>
      <c r="E82" s="658"/>
      <c r="F82" s="659"/>
      <c r="G82" s="658"/>
    </row>
    <row r="83" spans="1:7" ht="38.25">
      <c r="A83" s="545" t="s">
        <v>10015</v>
      </c>
      <c r="B83" s="545" t="s">
        <v>5873</v>
      </c>
      <c r="C83" s="545"/>
      <c r="D83" s="545"/>
      <c r="E83" s="545"/>
      <c r="F83" s="650" t="s">
        <v>233</v>
      </c>
      <c r="G83" s="652" t="s">
        <v>10016</v>
      </c>
    </row>
    <row r="84" spans="1:7" ht="25.5">
      <c r="A84" s="545" t="s">
        <v>10017</v>
      </c>
      <c r="B84" s="545" t="s">
        <v>18</v>
      </c>
      <c r="C84" s="545"/>
      <c r="D84" s="545"/>
      <c r="E84" s="422" t="s">
        <v>2231</v>
      </c>
      <c r="F84" s="650" t="s">
        <v>2232</v>
      </c>
      <c r="G84" s="545"/>
    </row>
    <row r="85" spans="1:7" ht="25.5">
      <c r="A85" s="545" t="s">
        <v>10018</v>
      </c>
      <c r="B85" s="545" t="s">
        <v>10019</v>
      </c>
      <c r="C85" s="545"/>
      <c r="D85" s="545"/>
      <c r="E85" s="634" t="s">
        <v>1750</v>
      </c>
      <c r="F85" s="650" t="s">
        <v>1751</v>
      </c>
      <c r="G85" s="545"/>
    </row>
    <row r="86" spans="1:7" ht="25.5">
      <c r="A86" s="545" t="s">
        <v>10020</v>
      </c>
      <c r="B86" s="545" t="s">
        <v>18</v>
      </c>
      <c r="C86" s="545"/>
      <c r="D86" s="545"/>
      <c r="E86" s="422" t="s">
        <v>2055</v>
      </c>
      <c r="F86" s="650" t="s">
        <v>2056</v>
      </c>
      <c r="G86" s="545"/>
    </row>
    <row r="87" spans="1:7" ht="25.5">
      <c r="A87" s="545" t="s">
        <v>10021</v>
      </c>
      <c r="B87" s="545" t="s">
        <v>3383</v>
      </c>
      <c r="C87" s="545"/>
      <c r="D87" s="545"/>
      <c r="E87" s="422" t="s">
        <v>2058</v>
      </c>
      <c r="F87" s="634" t="s">
        <v>10022</v>
      </c>
      <c r="G87" s="545"/>
    </row>
    <row r="88" spans="1:7" ht="25.5">
      <c r="A88" s="545" t="s">
        <v>6385</v>
      </c>
      <c r="B88" s="545" t="s">
        <v>3383</v>
      </c>
      <c r="C88" s="545"/>
      <c r="D88" s="545"/>
      <c r="E88" s="422" t="s">
        <v>5877</v>
      </c>
      <c r="F88" s="650" t="s">
        <v>10023</v>
      </c>
      <c r="G88" s="545"/>
    </row>
    <row r="89" spans="1:7" ht="12.75">
      <c r="A89" s="658" t="s">
        <v>44</v>
      </c>
      <c r="B89" s="658"/>
      <c r="C89" s="658"/>
      <c r="D89" s="658"/>
      <c r="E89" s="658"/>
      <c r="F89" s="659"/>
      <c r="G89" s="658"/>
    </row>
    <row r="90" spans="1:7" ht="12.75">
      <c r="A90" s="545" t="s">
        <v>10024</v>
      </c>
      <c r="B90" s="545" t="s">
        <v>10025</v>
      </c>
      <c r="C90" s="545"/>
      <c r="D90" s="545"/>
      <c r="E90" s="422" t="s">
        <v>5632</v>
      </c>
      <c r="F90" s="545"/>
      <c r="G90" s="634" t="s">
        <v>10026</v>
      </c>
    </row>
    <row r="91" spans="1:7" ht="25.5">
      <c r="A91" s="545" t="s">
        <v>10027</v>
      </c>
      <c r="B91" s="545" t="s">
        <v>18</v>
      </c>
      <c r="C91" s="545"/>
      <c r="D91" s="545"/>
      <c r="E91" s="660" t="s">
        <v>5694</v>
      </c>
      <c r="F91" s="650" t="s">
        <v>5695</v>
      </c>
      <c r="G91" s="545"/>
    </row>
    <row r="92" spans="1:7" ht="25.5">
      <c r="A92" s="545" t="s">
        <v>10028</v>
      </c>
      <c r="B92" s="545" t="s">
        <v>10029</v>
      </c>
      <c r="C92" s="545"/>
      <c r="D92" s="545"/>
      <c r="E92" s="422" t="s">
        <v>10030</v>
      </c>
      <c r="F92" s="650" t="s">
        <v>10031</v>
      </c>
      <c r="G92" s="545"/>
    </row>
    <row r="93" spans="1:7" ht="25.5">
      <c r="A93" s="545" t="s">
        <v>10032</v>
      </c>
      <c r="B93" s="545" t="s">
        <v>10029</v>
      </c>
      <c r="C93" s="545"/>
      <c r="D93" s="545"/>
      <c r="E93" s="422" t="s">
        <v>31</v>
      </c>
      <c r="F93" s="632" t="s">
        <v>32</v>
      </c>
      <c r="G93" s="545"/>
    </row>
    <row r="94" spans="1:7" ht="38.25">
      <c r="A94" s="545" t="s">
        <v>10033</v>
      </c>
      <c r="B94" s="545" t="s">
        <v>10029</v>
      </c>
      <c r="C94" s="545"/>
      <c r="D94" s="545"/>
      <c r="E94" s="422" t="s">
        <v>1593</v>
      </c>
      <c r="F94" s="665" t="s">
        <v>10034</v>
      </c>
      <c r="G94" s="666" t="s">
        <v>10035</v>
      </c>
    </row>
    <row r="95" spans="1:7" ht="51">
      <c r="A95" s="545" t="s">
        <v>10036</v>
      </c>
      <c r="B95" s="545" t="s">
        <v>10029</v>
      </c>
      <c r="C95" s="545"/>
      <c r="D95" s="545"/>
      <c r="E95" s="422" t="s">
        <v>1475</v>
      </c>
      <c r="F95" s="634" t="s">
        <v>10037</v>
      </c>
      <c r="G95" s="422"/>
    </row>
    <row r="96" spans="1:7" ht="25.5">
      <c r="A96" s="545" t="s">
        <v>718</v>
      </c>
      <c r="B96" s="545" t="s">
        <v>3383</v>
      </c>
      <c r="C96" s="545"/>
      <c r="D96" s="545"/>
      <c r="E96" s="422" t="s">
        <v>719</v>
      </c>
      <c r="F96" s="650" t="s">
        <v>720</v>
      </c>
      <c r="G96" s="545"/>
    </row>
    <row r="97" spans="1:7" ht="25.5">
      <c r="A97" s="545" t="s">
        <v>10038</v>
      </c>
      <c r="B97" s="545" t="s">
        <v>10029</v>
      </c>
      <c r="C97" s="545"/>
      <c r="D97" s="545"/>
      <c r="E97" s="422" t="s">
        <v>2141</v>
      </c>
      <c r="F97" s="634" t="s">
        <v>2142</v>
      </c>
      <c r="G97" s="545"/>
    </row>
    <row r="98" spans="1:7" ht="25.5">
      <c r="A98" s="667" t="s">
        <v>6182</v>
      </c>
      <c r="B98" s="634" t="s">
        <v>10039</v>
      </c>
      <c r="C98" s="634"/>
      <c r="D98" s="545"/>
      <c r="E98" s="422" t="s">
        <v>333</v>
      </c>
      <c r="F98" s="650" t="s">
        <v>334</v>
      </c>
      <c r="G98" s="545"/>
    </row>
    <row r="99" spans="1:7" ht="38.25">
      <c r="A99" s="545" t="s">
        <v>5874</v>
      </c>
      <c r="B99" s="545" t="s">
        <v>5873</v>
      </c>
      <c r="C99" s="545"/>
      <c r="D99" s="545"/>
      <c r="E99" s="655">
        <v>380991180007</v>
      </c>
      <c r="F99" s="650" t="s">
        <v>645</v>
      </c>
      <c r="G99" s="545"/>
    </row>
    <row r="100" spans="1:7" ht="12.75">
      <c r="A100" s="545" t="s">
        <v>10040</v>
      </c>
      <c r="B100" s="545" t="s">
        <v>5873</v>
      </c>
      <c r="C100" s="545"/>
      <c r="D100" s="545"/>
      <c r="E100" s="634" t="s">
        <v>5688</v>
      </c>
      <c r="F100" s="660" t="s">
        <v>5689</v>
      </c>
      <c r="G100" s="545"/>
    </row>
    <row r="101" spans="1:7" ht="12.75">
      <c r="A101" s="545" t="s">
        <v>10041</v>
      </c>
      <c r="B101" s="545" t="s">
        <v>5873</v>
      </c>
      <c r="C101" s="545"/>
      <c r="D101" s="545"/>
      <c r="E101" s="634" t="s">
        <v>2134</v>
      </c>
      <c r="F101" s="660" t="s">
        <v>2135</v>
      </c>
      <c r="G101" s="545"/>
    </row>
    <row r="102" spans="1:7" ht="12.75">
      <c r="A102" s="545" t="s">
        <v>10042</v>
      </c>
      <c r="B102" s="545" t="s">
        <v>3383</v>
      </c>
      <c r="C102" s="545"/>
      <c r="D102" s="545"/>
      <c r="E102" s="116" t="s">
        <v>1985</v>
      </c>
      <c r="F102" s="660" t="s">
        <v>10043</v>
      </c>
      <c r="G102" s="545"/>
    </row>
    <row r="103" spans="1:7" ht="38.25">
      <c r="A103" s="545" t="s">
        <v>10044</v>
      </c>
      <c r="B103" s="634" t="s">
        <v>10045</v>
      </c>
      <c r="C103" s="634"/>
      <c r="D103" s="545"/>
      <c r="E103" s="422" t="s">
        <v>46</v>
      </c>
      <c r="F103" s="660" t="s">
        <v>47</v>
      </c>
      <c r="G103" s="545"/>
    </row>
    <row r="104" spans="1:7" ht="12.75">
      <c r="A104" s="659" t="s">
        <v>1539</v>
      </c>
      <c r="B104" s="659"/>
      <c r="C104" s="659"/>
      <c r="D104" s="659"/>
      <c r="E104" s="659"/>
      <c r="F104" s="659"/>
      <c r="G104" s="659"/>
    </row>
    <row r="105" spans="1:7" ht="25.5">
      <c r="A105" s="545" t="s">
        <v>7169</v>
      </c>
      <c r="B105" s="545" t="s">
        <v>12</v>
      </c>
      <c r="C105" s="545"/>
      <c r="D105" s="545"/>
      <c r="E105" s="634" t="s">
        <v>239</v>
      </c>
      <c r="F105" s="634" t="s">
        <v>240</v>
      </c>
      <c r="G105" s="545"/>
    </row>
    <row r="106" spans="1:7" ht="25.5">
      <c r="A106" s="545" t="s">
        <v>10046</v>
      </c>
      <c r="B106" s="545" t="s">
        <v>12</v>
      </c>
      <c r="C106" s="545"/>
      <c r="D106" s="545"/>
      <c r="E106" s="634" t="s">
        <v>697</v>
      </c>
      <c r="F106" s="634" t="s">
        <v>698</v>
      </c>
      <c r="G106" s="545"/>
    </row>
    <row r="107" spans="1:7" ht="38.25">
      <c r="A107" s="545" t="s">
        <v>10047</v>
      </c>
      <c r="B107" s="545" t="s">
        <v>12</v>
      </c>
      <c r="C107" s="545"/>
      <c r="D107" s="545"/>
      <c r="E107" s="634" t="s">
        <v>1293</v>
      </c>
      <c r="F107" s="634" t="s">
        <v>1294</v>
      </c>
      <c r="G107" s="545"/>
    </row>
    <row r="108" spans="1:7" ht="38.25">
      <c r="A108" s="545" t="s">
        <v>10048</v>
      </c>
      <c r="B108" s="634" t="s">
        <v>10049</v>
      </c>
      <c r="C108" s="634"/>
      <c r="D108" s="545"/>
      <c r="E108" s="668" t="s">
        <v>869</v>
      </c>
      <c r="F108" s="660" t="s">
        <v>10050</v>
      </c>
      <c r="G108" s="545"/>
    </row>
    <row r="109" spans="1:7" ht="38.25">
      <c r="A109" s="545" t="s">
        <v>10051</v>
      </c>
      <c r="B109" s="545" t="s">
        <v>10052</v>
      </c>
      <c r="C109" s="545"/>
      <c r="D109" s="545"/>
      <c r="E109" s="634" t="s">
        <v>2122</v>
      </c>
      <c r="F109" s="634" t="s">
        <v>2123</v>
      </c>
      <c r="G109" s="545"/>
    </row>
    <row r="110" spans="1:7" ht="25.5">
      <c r="A110" s="545" t="s">
        <v>10053</v>
      </c>
      <c r="B110" s="634" t="s">
        <v>10054</v>
      </c>
      <c r="C110" s="634"/>
      <c r="D110" s="545"/>
      <c r="E110" s="634" t="s">
        <v>297</v>
      </c>
      <c r="F110" s="422" t="s">
        <v>10055</v>
      </c>
      <c r="G110" s="545"/>
    </row>
    <row r="111" spans="1:7" ht="12.75">
      <c r="A111" s="545" t="s">
        <v>10056</v>
      </c>
      <c r="B111" s="634" t="s">
        <v>18</v>
      </c>
      <c r="C111" s="634"/>
      <c r="D111" s="545"/>
      <c r="E111" s="422" t="s">
        <v>2209</v>
      </c>
      <c r="F111" s="422" t="s">
        <v>2210</v>
      </c>
      <c r="G111" s="545"/>
    </row>
    <row r="112" spans="1:7" ht="38.25">
      <c r="A112" s="545" t="s">
        <v>9601</v>
      </c>
      <c r="B112" s="545" t="s">
        <v>12</v>
      </c>
      <c r="C112" s="545"/>
      <c r="D112" s="545"/>
      <c r="E112" s="634" t="s">
        <v>10057</v>
      </c>
      <c r="F112" s="634" t="s">
        <v>918</v>
      </c>
      <c r="G112" s="545"/>
    </row>
    <row r="113" spans="1:7" ht="12.75">
      <c r="A113" s="545" t="s">
        <v>6449</v>
      </c>
      <c r="B113" s="545" t="s">
        <v>10052</v>
      </c>
      <c r="C113" s="545"/>
      <c r="D113" s="545"/>
      <c r="E113" s="116" t="s">
        <v>10058</v>
      </c>
      <c r="F113" s="660" t="s">
        <v>382</v>
      </c>
      <c r="G113" s="545"/>
    </row>
    <row r="114" spans="1:7" ht="12.75">
      <c r="A114" s="545" t="s">
        <v>10059</v>
      </c>
      <c r="B114" s="545" t="s">
        <v>10</v>
      </c>
      <c r="C114" s="545"/>
      <c r="D114" s="545"/>
      <c r="E114" s="669" t="s">
        <v>309</v>
      </c>
      <c r="F114" s="660" t="s">
        <v>310</v>
      </c>
      <c r="G114" s="545"/>
    </row>
    <row r="115" spans="1:7" ht="12.75">
      <c r="A115" s="545" t="s">
        <v>10060</v>
      </c>
      <c r="B115" s="545" t="s">
        <v>10</v>
      </c>
      <c r="C115" s="545"/>
      <c r="D115" s="545"/>
      <c r="E115" s="116" t="s">
        <v>10061</v>
      </c>
      <c r="F115" s="660" t="s">
        <v>1492</v>
      </c>
      <c r="G115" s="545"/>
    </row>
    <row r="116" spans="1:7" ht="12.75">
      <c r="A116" s="545" t="s">
        <v>10062</v>
      </c>
      <c r="B116" s="545" t="s">
        <v>3383</v>
      </c>
      <c r="C116" s="545"/>
      <c r="D116" s="545"/>
      <c r="E116" s="660" t="s">
        <v>5642</v>
      </c>
      <c r="F116" s="660" t="s">
        <v>10063</v>
      </c>
      <c r="G116" s="545"/>
    </row>
    <row r="117" spans="1:7" ht="12.75">
      <c r="A117" s="545" t="s">
        <v>6977</v>
      </c>
      <c r="B117" s="545" t="s">
        <v>3530</v>
      </c>
      <c r="C117" s="545"/>
      <c r="D117" s="545"/>
      <c r="E117" s="632" t="s">
        <v>861</v>
      </c>
      <c r="F117" s="545"/>
      <c r="G117" s="545"/>
    </row>
    <row r="118" spans="1:7" ht="25.5">
      <c r="A118" s="545" t="s">
        <v>6099</v>
      </c>
      <c r="B118" s="545" t="s">
        <v>3530</v>
      </c>
      <c r="C118" s="545"/>
      <c r="D118" s="545"/>
      <c r="E118" s="632" t="s">
        <v>499</v>
      </c>
      <c r="F118" s="545"/>
      <c r="G118" s="545"/>
    </row>
    <row r="119" spans="1:7" ht="12.75">
      <c r="A119" s="545" t="s">
        <v>10064</v>
      </c>
      <c r="B119" s="545" t="s">
        <v>3383</v>
      </c>
      <c r="C119" s="545"/>
      <c r="D119" s="545"/>
      <c r="E119" s="116" t="s">
        <v>2182</v>
      </c>
      <c r="F119" s="660" t="s">
        <v>2183</v>
      </c>
      <c r="G119" s="545"/>
    </row>
    <row r="120" spans="1:7" ht="12.75">
      <c r="A120" s="659" t="s">
        <v>10065</v>
      </c>
      <c r="B120" s="659"/>
      <c r="C120" s="659"/>
      <c r="D120" s="659"/>
      <c r="E120" s="659"/>
      <c r="F120" s="659"/>
      <c r="G120" s="659"/>
    </row>
    <row r="121" spans="1:7" ht="38.25">
      <c r="A121" s="545" t="s">
        <v>10066</v>
      </c>
      <c r="B121" s="545" t="s">
        <v>10067</v>
      </c>
      <c r="C121" s="545"/>
      <c r="D121" s="545"/>
      <c r="E121" s="634" t="s">
        <v>5678</v>
      </c>
      <c r="F121" s="634" t="s">
        <v>5679</v>
      </c>
      <c r="G121" s="545"/>
    </row>
    <row r="122" spans="1:7" ht="25.5">
      <c r="A122" s="545" t="s">
        <v>3403</v>
      </c>
      <c r="B122" s="545" t="s">
        <v>10067</v>
      </c>
      <c r="C122" s="545"/>
      <c r="D122" s="545"/>
      <c r="E122" s="634" t="s">
        <v>466</v>
      </c>
      <c r="F122" s="634" t="s">
        <v>467</v>
      </c>
      <c r="G122" s="545"/>
    </row>
    <row r="123" spans="1:7" ht="38.25">
      <c r="A123" s="545" t="s">
        <v>3399</v>
      </c>
      <c r="B123" s="545" t="s">
        <v>10067</v>
      </c>
      <c r="C123" s="545"/>
      <c r="D123" s="545"/>
      <c r="E123" s="634" t="s">
        <v>2280</v>
      </c>
      <c r="F123" s="634" t="s">
        <v>2281</v>
      </c>
      <c r="G123" s="545"/>
    </row>
    <row r="124" spans="1:7" ht="25.5">
      <c r="A124" s="545" t="s">
        <v>10068</v>
      </c>
      <c r="B124" s="545" t="s">
        <v>10067</v>
      </c>
      <c r="C124" s="545"/>
      <c r="D124" s="545"/>
      <c r="E124" s="634" t="s">
        <v>1531</v>
      </c>
      <c r="F124" s="634" t="s">
        <v>1532</v>
      </c>
      <c r="G124" s="545"/>
    </row>
    <row r="125" spans="1:7" ht="25.5">
      <c r="A125" s="545" t="s">
        <v>10069</v>
      </c>
      <c r="B125" s="545" t="s">
        <v>3383</v>
      </c>
      <c r="C125" s="545"/>
      <c r="D125" s="545"/>
      <c r="E125" s="634" t="s">
        <v>2235</v>
      </c>
      <c r="F125" s="634" t="s">
        <v>2236</v>
      </c>
      <c r="G125" s="545"/>
    </row>
    <row r="126" spans="1:7" ht="12.75">
      <c r="A126" s="545" t="s">
        <v>10070</v>
      </c>
      <c r="B126" s="545" t="s">
        <v>3383</v>
      </c>
      <c r="C126" s="545"/>
      <c r="D126" s="545"/>
      <c r="E126" s="422" t="s">
        <v>1094</v>
      </c>
      <c r="F126" s="634"/>
      <c r="G126" s="545"/>
    </row>
    <row r="127" spans="1:7" ht="12.75">
      <c r="A127" s="659" t="s">
        <v>10071</v>
      </c>
      <c r="B127" s="659"/>
      <c r="C127" s="659"/>
      <c r="D127" s="659"/>
      <c r="E127" s="659"/>
      <c r="F127" s="659"/>
      <c r="G127" s="659"/>
    </row>
    <row r="128" spans="1:7" ht="38.25">
      <c r="A128" s="545" t="s">
        <v>10072</v>
      </c>
      <c r="B128" s="545" t="s">
        <v>12</v>
      </c>
      <c r="C128" s="545"/>
      <c r="D128" s="545"/>
      <c r="E128" s="634" t="s">
        <v>855</v>
      </c>
      <c r="F128" s="634" t="s">
        <v>856</v>
      </c>
      <c r="G128" s="545"/>
    </row>
    <row r="129" spans="1:7" ht="38.25">
      <c r="A129" s="545" t="s">
        <v>7762</v>
      </c>
      <c r="B129" s="545" t="s">
        <v>12</v>
      </c>
      <c r="C129" s="545"/>
      <c r="D129" s="545"/>
      <c r="E129" s="634" t="s">
        <v>1164</v>
      </c>
      <c r="F129" s="634" t="s">
        <v>1165</v>
      </c>
      <c r="G129" s="545"/>
    </row>
    <row r="130" spans="1:7" ht="25.5">
      <c r="A130" s="545" t="s">
        <v>6088</v>
      </c>
      <c r="B130" s="545" t="s">
        <v>12</v>
      </c>
      <c r="C130" s="545"/>
      <c r="D130" s="545"/>
      <c r="E130" s="634" t="s">
        <v>836</v>
      </c>
      <c r="F130" s="634" t="s">
        <v>837</v>
      </c>
      <c r="G130" s="545"/>
    </row>
    <row r="131" spans="1:7" ht="25.5">
      <c r="A131" s="545" t="s">
        <v>10073</v>
      </c>
      <c r="B131" s="545" t="s">
        <v>12</v>
      </c>
      <c r="C131" s="545"/>
      <c r="D131" s="545"/>
      <c r="E131" s="634" t="s">
        <v>1133</v>
      </c>
      <c r="F131" s="634" t="s">
        <v>1134</v>
      </c>
      <c r="G131" s="545"/>
    </row>
    <row r="132" spans="1:7" ht="38.25">
      <c r="A132" s="545" t="s">
        <v>10074</v>
      </c>
      <c r="B132" s="545" t="s">
        <v>3383</v>
      </c>
      <c r="C132" s="545"/>
      <c r="D132" s="545"/>
      <c r="E132" s="634" t="s">
        <v>10075</v>
      </c>
      <c r="F132" s="634" t="s">
        <v>10076</v>
      </c>
      <c r="G132" s="545"/>
    </row>
    <row r="133" spans="1:7" ht="25.5">
      <c r="A133" s="545" t="s">
        <v>10077</v>
      </c>
      <c r="B133" s="545" t="s">
        <v>3481</v>
      </c>
      <c r="C133" s="545"/>
      <c r="D133" s="545"/>
      <c r="E133" s="634" t="s">
        <v>2239</v>
      </c>
      <c r="F133" s="545"/>
      <c r="G133" s="545"/>
    </row>
    <row r="134" spans="1:7" ht="25.5">
      <c r="A134" s="545" t="s">
        <v>10078</v>
      </c>
      <c r="B134" s="545" t="s">
        <v>3388</v>
      </c>
      <c r="C134" s="545" t="s">
        <v>10079</v>
      </c>
      <c r="D134" s="545"/>
      <c r="E134" s="634" t="s">
        <v>3387</v>
      </c>
      <c r="F134" s="545"/>
      <c r="G134" s="545"/>
    </row>
    <row r="135" spans="1:7" ht="25.5">
      <c r="A135" s="545" t="s">
        <v>6241</v>
      </c>
      <c r="B135" s="545" t="s">
        <v>12</v>
      </c>
      <c r="C135" s="545"/>
      <c r="D135" s="545"/>
      <c r="E135" s="634" t="s">
        <v>549</v>
      </c>
      <c r="F135" s="634" t="s">
        <v>550</v>
      </c>
      <c r="G135" s="545"/>
    </row>
    <row r="136" spans="1:7" ht="12.75">
      <c r="A136" s="545" t="s">
        <v>10080</v>
      </c>
      <c r="B136" s="545" t="s">
        <v>12</v>
      </c>
      <c r="C136" s="545"/>
      <c r="D136" s="545"/>
      <c r="E136" s="422" t="s">
        <v>684</v>
      </c>
      <c r="F136" s="545"/>
      <c r="G136" s="545"/>
    </row>
    <row r="137" spans="1:7" ht="12.75">
      <c r="A137" s="545" t="s">
        <v>10081</v>
      </c>
      <c r="B137" s="545" t="s">
        <v>11</v>
      </c>
      <c r="C137" s="545"/>
      <c r="D137" s="545"/>
      <c r="E137" s="422" t="s">
        <v>10082</v>
      </c>
      <c r="F137" s="545"/>
      <c r="G137" s="545"/>
    </row>
    <row r="138" spans="1:7" ht="12.75">
      <c r="A138" s="422" t="s">
        <v>3392</v>
      </c>
      <c r="B138" s="545" t="s">
        <v>3388</v>
      </c>
      <c r="C138" s="545"/>
      <c r="D138" s="545"/>
      <c r="E138" s="116" t="s">
        <v>1528</v>
      </c>
      <c r="F138" s="422" t="s">
        <v>1529</v>
      </c>
      <c r="G138" s="545"/>
    </row>
    <row r="139" spans="1:7" ht="12.75">
      <c r="A139" s="422" t="s">
        <v>3394</v>
      </c>
      <c r="B139" s="545" t="s">
        <v>3388</v>
      </c>
      <c r="C139" s="545"/>
      <c r="D139" s="545"/>
      <c r="E139" s="422" t="s">
        <v>875</v>
      </c>
      <c r="F139" s="422" t="s">
        <v>876</v>
      </c>
      <c r="G139" s="545"/>
    </row>
    <row r="140" spans="1:7" ht="12.75">
      <c r="A140" s="545"/>
      <c r="B140" s="545"/>
      <c r="C140" s="545"/>
      <c r="D140" s="545"/>
      <c r="E140" s="545"/>
      <c r="F140" s="545"/>
      <c r="G140" s="545"/>
    </row>
    <row r="141" spans="1:7" ht="12.75">
      <c r="A141" s="545"/>
      <c r="B141" s="545"/>
      <c r="C141" s="545"/>
      <c r="D141" s="545"/>
      <c r="E141" s="545"/>
      <c r="F141" s="545"/>
      <c r="G141" s="545"/>
    </row>
    <row r="142" spans="1:7" ht="12.75">
      <c r="A142" s="545"/>
      <c r="B142" s="545"/>
      <c r="C142" s="545"/>
      <c r="D142" s="545"/>
      <c r="E142" s="545"/>
      <c r="F142" s="545"/>
      <c r="G142" s="545"/>
    </row>
    <row r="143" spans="1:7" ht="12.75">
      <c r="A143" s="545"/>
      <c r="B143" s="545"/>
      <c r="C143" s="545"/>
      <c r="D143" s="545"/>
      <c r="E143" s="545"/>
      <c r="F143" s="545"/>
      <c r="G143" s="545"/>
    </row>
    <row r="144" spans="1:7" ht="12.75">
      <c r="A144" s="545"/>
      <c r="B144" s="545"/>
      <c r="C144" s="545"/>
      <c r="D144" s="545"/>
      <c r="E144" s="545"/>
      <c r="F144" s="545"/>
      <c r="G144" s="545"/>
    </row>
    <row r="145" spans="1:7" ht="12.75">
      <c r="A145" s="545"/>
      <c r="B145" s="545"/>
      <c r="C145" s="545"/>
      <c r="D145" s="545"/>
      <c r="E145" s="545"/>
      <c r="F145" s="545"/>
      <c r="G145" s="545"/>
    </row>
    <row r="146" spans="1:7" ht="12.75">
      <c r="A146" s="545"/>
      <c r="B146" s="545"/>
      <c r="C146" s="545"/>
      <c r="D146" s="545"/>
      <c r="E146" s="545"/>
      <c r="F146" s="545"/>
      <c r="G146" s="545"/>
    </row>
    <row r="147" spans="1:7" ht="12.75">
      <c r="A147" s="545"/>
      <c r="B147" s="545"/>
      <c r="C147" s="545"/>
      <c r="D147" s="545"/>
      <c r="E147" s="545"/>
      <c r="F147" s="545"/>
      <c r="G147" s="545"/>
    </row>
    <row r="148" spans="1:7" ht="12.75">
      <c r="A148" s="545"/>
      <c r="B148" s="545"/>
      <c r="C148" s="545"/>
      <c r="D148" s="545"/>
      <c r="E148" s="545"/>
      <c r="F148" s="545"/>
      <c r="G148" s="545"/>
    </row>
    <row r="149" spans="1:7" ht="12.75">
      <c r="A149" s="545"/>
      <c r="B149" s="545"/>
      <c r="C149" s="545"/>
      <c r="D149" s="545"/>
      <c r="E149" s="545"/>
      <c r="F149" s="545"/>
      <c r="G149" s="545"/>
    </row>
    <row r="150" spans="1:7" ht="12.75">
      <c r="A150" s="545"/>
      <c r="B150" s="545"/>
      <c r="C150" s="545"/>
      <c r="D150" s="545"/>
      <c r="E150" s="545"/>
      <c r="F150" s="545"/>
      <c r="G150" s="545"/>
    </row>
    <row r="151" spans="1:7" ht="12.75">
      <c r="A151" s="545"/>
      <c r="B151" s="545"/>
      <c r="C151" s="545"/>
      <c r="D151" s="545"/>
      <c r="E151" s="545"/>
      <c r="F151" s="545"/>
      <c r="G151" s="545"/>
    </row>
    <row r="152" spans="1:7" ht="12.75">
      <c r="A152" s="545"/>
      <c r="B152" s="545"/>
      <c r="C152" s="545"/>
      <c r="D152" s="545"/>
      <c r="E152" s="545"/>
      <c r="F152" s="545"/>
      <c r="G152" s="545"/>
    </row>
    <row r="153" spans="1:7" ht="12.75">
      <c r="A153" s="545"/>
      <c r="B153" s="545"/>
      <c r="C153" s="545"/>
      <c r="D153" s="545"/>
      <c r="E153" s="545"/>
      <c r="F153" s="545"/>
      <c r="G153" s="545"/>
    </row>
    <row r="154" spans="1:7" ht="12.75">
      <c r="A154" s="545"/>
      <c r="B154" s="545"/>
      <c r="C154" s="545"/>
      <c r="D154" s="545"/>
      <c r="E154" s="545"/>
      <c r="F154" s="545"/>
      <c r="G154" s="545"/>
    </row>
    <row r="155" spans="1:7" ht="12.75">
      <c r="A155" s="545"/>
      <c r="B155" s="545"/>
      <c r="C155" s="545"/>
      <c r="D155" s="545"/>
      <c r="E155" s="545"/>
      <c r="F155" s="545"/>
      <c r="G155" s="545"/>
    </row>
    <row r="156" spans="1:7" ht="12.75">
      <c r="A156" s="545"/>
      <c r="B156" s="545"/>
      <c r="C156" s="545"/>
      <c r="D156" s="545"/>
      <c r="E156" s="545"/>
      <c r="F156" s="545"/>
      <c r="G156" s="545"/>
    </row>
    <row r="157" spans="1:7" ht="12.75">
      <c r="A157" s="545"/>
      <c r="B157" s="545"/>
      <c r="C157" s="545"/>
      <c r="D157" s="545"/>
      <c r="E157" s="545"/>
      <c r="F157" s="545"/>
      <c r="G157" s="545"/>
    </row>
    <row r="158" spans="1:7" ht="12.75">
      <c r="A158" s="545"/>
      <c r="B158" s="545"/>
      <c r="C158" s="545"/>
      <c r="D158" s="545"/>
      <c r="E158" s="545"/>
      <c r="F158" s="545"/>
      <c r="G158" s="545"/>
    </row>
    <row r="159" spans="1:7" ht="12.75">
      <c r="A159" s="545"/>
      <c r="B159" s="545"/>
      <c r="C159" s="545"/>
      <c r="D159" s="545"/>
      <c r="E159" s="545"/>
      <c r="F159" s="545"/>
      <c r="G159" s="545"/>
    </row>
    <row r="160" spans="1:7" ht="12.75">
      <c r="A160" s="545"/>
      <c r="B160" s="545"/>
      <c r="C160" s="545"/>
      <c r="D160" s="545"/>
      <c r="E160" s="545"/>
      <c r="F160" s="545"/>
      <c r="G160" s="545"/>
    </row>
    <row r="161" spans="1:7" ht="12.75">
      <c r="A161" s="545"/>
      <c r="B161" s="545"/>
      <c r="C161" s="545"/>
      <c r="D161" s="545"/>
      <c r="E161" s="545"/>
      <c r="F161" s="545"/>
      <c r="G161" s="545"/>
    </row>
    <row r="162" spans="1:7" ht="12.75">
      <c r="A162" s="545"/>
      <c r="B162" s="545"/>
      <c r="C162" s="545"/>
      <c r="D162" s="545"/>
      <c r="E162" s="545"/>
      <c r="F162" s="545"/>
      <c r="G162" s="545"/>
    </row>
    <row r="163" spans="1:7" ht="12.75">
      <c r="A163" s="545"/>
      <c r="B163" s="545"/>
      <c r="C163" s="545"/>
      <c r="D163" s="545"/>
      <c r="E163" s="545"/>
      <c r="F163" s="545"/>
      <c r="G163" s="545"/>
    </row>
    <row r="164" spans="1:7" ht="12.75">
      <c r="A164" s="545"/>
      <c r="B164" s="545"/>
      <c r="C164" s="545"/>
      <c r="D164" s="545"/>
      <c r="E164" s="545"/>
      <c r="F164" s="545"/>
      <c r="G164" s="545"/>
    </row>
    <row r="165" spans="1:7" ht="12.75">
      <c r="A165" s="545"/>
      <c r="B165" s="545"/>
      <c r="C165" s="545"/>
      <c r="D165" s="545"/>
      <c r="E165" s="545"/>
      <c r="F165" s="545"/>
      <c r="G165" s="545"/>
    </row>
    <row r="166" spans="1:7" ht="12.75">
      <c r="A166" s="545"/>
      <c r="B166" s="545"/>
      <c r="C166" s="545"/>
      <c r="D166" s="545"/>
      <c r="E166" s="545"/>
      <c r="F166" s="545"/>
      <c r="G166" s="545"/>
    </row>
    <row r="167" spans="1:7" ht="12.75">
      <c r="A167" s="545"/>
      <c r="B167" s="545"/>
      <c r="C167" s="545"/>
      <c r="D167" s="545"/>
      <c r="E167" s="545"/>
      <c r="F167" s="545"/>
      <c r="G167" s="545"/>
    </row>
    <row r="168" spans="1:7" ht="12.75">
      <c r="A168" s="545"/>
      <c r="B168" s="545"/>
      <c r="C168" s="545"/>
      <c r="D168" s="545"/>
      <c r="E168" s="545"/>
      <c r="F168" s="545"/>
      <c r="G168" s="545"/>
    </row>
    <row r="169" spans="1:7" ht="12.75">
      <c r="A169" s="545"/>
      <c r="B169" s="545"/>
      <c r="C169" s="545"/>
      <c r="D169" s="545"/>
      <c r="E169" s="545"/>
      <c r="F169" s="545"/>
      <c r="G169" s="545"/>
    </row>
    <row r="170" spans="1:7" ht="12.75">
      <c r="A170" s="545"/>
      <c r="B170" s="545"/>
      <c r="C170" s="545"/>
      <c r="D170" s="545"/>
      <c r="E170" s="545"/>
      <c r="F170" s="545"/>
      <c r="G170" s="545"/>
    </row>
    <row r="171" spans="1:7" ht="12.75">
      <c r="A171" s="545"/>
      <c r="B171" s="545"/>
      <c r="C171" s="545"/>
      <c r="D171" s="545"/>
      <c r="E171" s="545"/>
      <c r="F171" s="545"/>
      <c r="G171" s="545"/>
    </row>
    <row r="172" spans="1:7" ht="12.75">
      <c r="A172" s="545"/>
      <c r="B172" s="545"/>
      <c r="C172" s="545"/>
      <c r="D172" s="545"/>
      <c r="E172" s="545"/>
      <c r="F172" s="545"/>
      <c r="G172" s="545"/>
    </row>
    <row r="173" spans="1:7" ht="12.75">
      <c r="A173" s="545"/>
      <c r="B173" s="545"/>
      <c r="C173" s="545"/>
      <c r="D173" s="545"/>
      <c r="E173" s="545"/>
      <c r="F173" s="545"/>
      <c r="G173" s="545"/>
    </row>
    <row r="174" spans="1:7" ht="12.75">
      <c r="A174" s="545"/>
      <c r="B174" s="545"/>
      <c r="C174" s="545"/>
      <c r="D174" s="545"/>
      <c r="E174" s="545"/>
      <c r="F174" s="545"/>
      <c r="G174" s="545"/>
    </row>
    <row r="175" spans="1:7" ht="12.75">
      <c r="A175" s="545"/>
      <c r="B175" s="545"/>
      <c r="C175" s="545"/>
      <c r="D175" s="545"/>
      <c r="E175" s="545"/>
      <c r="F175" s="545"/>
      <c r="G175" s="545"/>
    </row>
    <row r="176" spans="1:7" ht="12.75">
      <c r="A176" s="545"/>
      <c r="B176" s="545"/>
      <c r="C176" s="545"/>
      <c r="D176" s="545"/>
      <c r="E176" s="545"/>
      <c r="F176" s="545"/>
      <c r="G176" s="545"/>
    </row>
    <row r="177" spans="1:7" ht="12.75">
      <c r="A177" s="545"/>
      <c r="B177" s="545"/>
      <c r="C177" s="545"/>
      <c r="D177" s="545"/>
      <c r="E177" s="545"/>
      <c r="F177" s="545"/>
      <c r="G177" s="545"/>
    </row>
    <row r="178" spans="1:7" ht="12.75">
      <c r="A178" s="545"/>
      <c r="B178" s="545"/>
      <c r="C178" s="545"/>
      <c r="D178" s="545"/>
      <c r="E178" s="545"/>
      <c r="F178" s="545"/>
      <c r="G178" s="545"/>
    </row>
    <row r="179" spans="1:7" ht="12.75">
      <c r="A179" s="545"/>
      <c r="B179" s="545"/>
      <c r="C179" s="545"/>
      <c r="D179" s="545"/>
      <c r="E179" s="545"/>
      <c r="F179" s="545"/>
      <c r="G179" s="545"/>
    </row>
    <row r="180" spans="1:7" ht="12.75">
      <c r="A180" s="545"/>
      <c r="B180" s="545"/>
      <c r="C180" s="545"/>
      <c r="D180" s="545"/>
      <c r="E180" s="545"/>
      <c r="F180" s="545"/>
      <c r="G180" s="545"/>
    </row>
    <row r="181" spans="1:7" ht="12.75">
      <c r="A181" s="545"/>
      <c r="B181" s="545"/>
      <c r="C181" s="545"/>
      <c r="D181" s="545"/>
      <c r="E181" s="545"/>
      <c r="F181" s="545"/>
      <c r="G181" s="545"/>
    </row>
    <row r="182" spans="1:7" ht="12.75">
      <c r="A182" s="545"/>
      <c r="B182" s="545"/>
      <c r="C182" s="545"/>
      <c r="D182" s="545"/>
      <c r="E182" s="545"/>
      <c r="F182" s="545"/>
      <c r="G182" s="545"/>
    </row>
    <row r="183" spans="1:7" ht="12.75">
      <c r="A183" s="545"/>
      <c r="B183" s="545"/>
      <c r="C183" s="545"/>
      <c r="D183" s="545"/>
      <c r="E183" s="545"/>
      <c r="F183" s="545"/>
      <c r="G183" s="545"/>
    </row>
    <row r="184" spans="1:7" ht="12.75">
      <c r="A184" s="545"/>
      <c r="B184" s="545"/>
      <c r="C184" s="545"/>
      <c r="D184" s="545"/>
      <c r="E184" s="545"/>
      <c r="F184" s="545"/>
      <c r="G184" s="545"/>
    </row>
    <row r="185" spans="1:7" ht="12.75">
      <c r="A185" s="545"/>
      <c r="B185" s="545"/>
      <c r="C185" s="545"/>
      <c r="D185" s="545"/>
      <c r="E185" s="545"/>
      <c r="F185" s="545"/>
      <c r="G185" s="545"/>
    </row>
    <row r="186" spans="1:7" ht="12.75">
      <c r="A186" s="545"/>
      <c r="B186" s="545"/>
      <c r="C186" s="545"/>
      <c r="D186" s="545"/>
      <c r="E186" s="545"/>
      <c r="F186" s="545"/>
      <c r="G186" s="545"/>
    </row>
    <row r="187" spans="1:7" ht="12.75">
      <c r="A187" s="545"/>
      <c r="B187" s="545"/>
      <c r="C187" s="545"/>
      <c r="D187" s="545"/>
      <c r="E187" s="545"/>
      <c r="F187" s="545"/>
      <c r="G187" s="545"/>
    </row>
    <row r="188" spans="1:7" ht="12.75">
      <c r="A188" s="545"/>
      <c r="B188" s="545"/>
      <c r="C188" s="545"/>
      <c r="D188" s="545"/>
      <c r="E188" s="545"/>
      <c r="F188" s="545"/>
      <c r="G188" s="545"/>
    </row>
    <row r="189" spans="1:7" ht="12.75">
      <c r="A189" s="545"/>
      <c r="B189" s="545"/>
      <c r="C189" s="545"/>
      <c r="D189" s="545"/>
      <c r="E189" s="545"/>
      <c r="F189" s="545"/>
      <c r="G189" s="545"/>
    </row>
    <row r="190" spans="1:7" ht="12.75">
      <c r="A190" s="545"/>
      <c r="B190" s="545"/>
      <c r="C190" s="545"/>
      <c r="D190" s="545"/>
      <c r="E190" s="545"/>
      <c r="F190" s="545"/>
      <c r="G190" s="545"/>
    </row>
    <row r="191" spans="1:7" ht="12.75">
      <c r="A191" s="545"/>
      <c r="B191" s="545"/>
      <c r="C191" s="545"/>
      <c r="D191" s="545"/>
      <c r="E191" s="545"/>
      <c r="F191" s="545"/>
      <c r="G191" s="545"/>
    </row>
    <row r="192" spans="1:7" ht="12.75">
      <c r="A192" s="545"/>
      <c r="B192" s="545"/>
      <c r="C192" s="545"/>
      <c r="D192" s="545"/>
      <c r="E192" s="545"/>
      <c r="F192" s="545"/>
      <c r="G192" s="545"/>
    </row>
    <row r="193" spans="1:7" ht="12.75">
      <c r="A193" s="545"/>
      <c r="B193" s="545"/>
      <c r="C193" s="545"/>
      <c r="D193" s="545"/>
      <c r="E193" s="545"/>
      <c r="F193" s="545"/>
      <c r="G193" s="545"/>
    </row>
    <row r="194" spans="1:7" ht="12.75">
      <c r="A194" s="545"/>
      <c r="B194" s="545"/>
      <c r="C194" s="545"/>
      <c r="D194" s="545"/>
      <c r="E194" s="545"/>
      <c r="F194" s="545"/>
      <c r="G194" s="545"/>
    </row>
    <row r="195" spans="1:7" ht="12.75">
      <c r="A195" s="545"/>
      <c r="B195" s="545"/>
      <c r="C195" s="545"/>
      <c r="D195" s="545"/>
      <c r="E195" s="545"/>
      <c r="F195" s="545"/>
      <c r="G195" s="545"/>
    </row>
    <row r="196" spans="1:7" ht="12.75">
      <c r="A196" s="545"/>
      <c r="B196" s="545"/>
      <c r="C196" s="545"/>
      <c r="D196" s="545"/>
      <c r="E196" s="545"/>
      <c r="F196" s="545"/>
      <c r="G196" s="545"/>
    </row>
    <row r="197" spans="1:7" ht="12.75">
      <c r="A197" s="545"/>
      <c r="B197" s="545"/>
      <c r="C197" s="545"/>
      <c r="D197" s="545"/>
      <c r="E197" s="545"/>
      <c r="F197" s="545"/>
      <c r="G197" s="545"/>
    </row>
    <row r="198" spans="1:7" ht="12.75">
      <c r="A198" s="545"/>
      <c r="B198" s="545"/>
      <c r="C198" s="545"/>
      <c r="D198" s="545"/>
      <c r="E198" s="545"/>
      <c r="F198" s="545"/>
      <c r="G198" s="545"/>
    </row>
    <row r="199" spans="1:7" ht="12.75">
      <c r="A199" s="545"/>
      <c r="B199" s="545"/>
      <c r="C199" s="545"/>
      <c r="D199" s="545"/>
      <c r="E199" s="545"/>
      <c r="F199" s="545"/>
      <c r="G199" s="545"/>
    </row>
    <row r="200" spans="1:7" ht="12.75">
      <c r="A200" s="545"/>
      <c r="B200" s="545"/>
      <c r="C200" s="545"/>
      <c r="D200" s="545"/>
      <c r="E200" s="545"/>
      <c r="F200" s="545"/>
      <c r="G200" s="545"/>
    </row>
    <row r="201" spans="1:7" ht="12.75">
      <c r="A201" s="545"/>
      <c r="B201" s="545"/>
      <c r="C201" s="545"/>
      <c r="D201" s="545"/>
      <c r="E201" s="545"/>
      <c r="F201" s="545"/>
      <c r="G201" s="545"/>
    </row>
    <row r="202" spans="1:7" ht="12.75">
      <c r="A202" s="545"/>
      <c r="B202" s="545"/>
      <c r="C202" s="545"/>
      <c r="D202" s="545"/>
      <c r="E202" s="545"/>
      <c r="F202" s="545"/>
      <c r="G202" s="545"/>
    </row>
    <row r="203" spans="1:7" ht="12.75">
      <c r="A203" s="545"/>
      <c r="B203" s="545"/>
      <c r="C203" s="545"/>
      <c r="D203" s="545"/>
      <c r="E203" s="545"/>
      <c r="F203" s="545"/>
      <c r="G203" s="545"/>
    </row>
    <row r="204" spans="1:7" ht="12.75">
      <c r="A204" s="545"/>
      <c r="B204" s="545"/>
      <c r="C204" s="545"/>
      <c r="D204" s="545"/>
      <c r="E204" s="545"/>
      <c r="F204" s="545"/>
      <c r="G204" s="545"/>
    </row>
    <row r="205" spans="1:7" ht="12.75">
      <c r="A205" s="545"/>
      <c r="B205" s="545"/>
      <c r="C205" s="545"/>
      <c r="D205" s="545"/>
      <c r="E205" s="545"/>
      <c r="F205" s="545"/>
      <c r="G205" s="545"/>
    </row>
    <row r="206" spans="1:7" ht="12.75">
      <c r="A206" s="545"/>
      <c r="B206" s="545"/>
      <c r="C206" s="545"/>
      <c r="D206" s="545"/>
      <c r="E206" s="545"/>
      <c r="F206" s="545"/>
      <c r="G206" s="545"/>
    </row>
    <row r="207" spans="1:7" ht="12.75">
      <c r="A207" s="545"/>
      <c r="B207" s="545"/>
      <c r="C207" s="545"/>
      <c r="D207" s="545"/>
      <c r="E207" s="545"/>
      <c r="F207" s="545"/>
      <c r="G207" s="545"/>
    </row>
    <row r="208" spans="1:7" ht="12.75">
      <c r="A208" s="545"/>
      <c r="B208" s="545"/>
      <c r="C208" s="545"/>
      <c r="D208" s="545"/>
      <c r="E208" s="545"/>
      <c r="F208" s="545"/>
      <c r="G208" s="545"/>
    </row>
    <row r="209" spans="1:7" ht="12.75">
      <c r="A209" s="545"/>
      <c r="B209" s="545"/>
      <c r="C209" s="545"/>
      <c r="D209" s="545"/>
      <c r="E209" s="545"/>
      <c r="F209" s="545"/>
      <c r="G209" s="545"/>
    </row>
    <row r="210" spans="1:7" ht="12.75">
      <c r="A210" s="545"/>
      <c r="B210" s="545"/>
      <c r="C210" s="545"/>
      <c r="D210" s="545"/>
      <c r="E210" s="545"/>
      <c r="F210" s="545"/>
      <c r="G210" s="545"/>
    </row>
    <row r="211" spans="1:7" ht="12.75">
      <c r="A211" s="545"/>
      <c r="B211" s="545"/>
      <c r="C211" s="545"/>
      <c r="D211" s="545"/>
      <c r="E211" s="545"/>
      <c r="F211" s="545"/>
      <c r="G211" s="545"/>
    </row>
    <row r="212" spans="1:7" ht="12.75">
      <c r="A212" s="545"/>
      <c r="B212" s="545"/>
      <c r="C212" s="545"/>
      <c r="D212" s="545"/>
      <c r="E212" s="545"/>
      <c r="F212" s="545"/>
      <c r="G212" s="545"/>
    </row>
    <row r="213" spans="1:7" ht="12.75">
      <c r="A213" s="545"/>
      <c r="B213" s="545"/>
      <c r="C213" s="545"/>
      <c r="D213" s="545"/>
      <c r="E213" s="545"/>
      <c r="F213" s="545"/>
      <c r="G213" s="545"/>
    </row>
    <row r="214" spans="1:7" ht="12.75">
      <c r="A214" s="545"/>
      <c r="B214" s="545"/>
      <c r="C214" s="545"/>
      <c r="D214" s="545"/>
      <c r="E214" s="545"/>
      <c r="F214" s="545"/>
      <c r="G214" s="545"/>
    </row>
    <row r="215" spans="1:7" ht="12.75">
      <c r="A215" s="545"/>
      <c r="B215" s="545"/>
      <c r="C215" s="545"/>
      <c r="D215" s="545"/>
      <c r="E215" s="545"/>
      <c r="F215" s="545"/>
      <c r="G215" s="545"/>
    </row>
    <row r="216" spans="1:7" ht="12.75">
      <c r="A216" s="545"/>
      <c r="B216" s="545"/>
      <c r="C216" s="545"/>
      <c r="D216" s="545"/>
      <c r="E216" s="545"/>
      <c r="F216" s="545"/>
      <c r="G216" s="545"/>
    </row>
    <row r="217" spans="1:7" ht="12.75">
      <c r="A217" s="545"/>
      <c r="B217" s="545"/>
      <c r="C217" s="545"/>
      <c r="D217" s="545"/>
      <c r="E217" s="545"/>
      <c r="F217" s="545"/>
      <c r="G217" s="545"/>
    </row>
    <row r="218" spans="1:7" ht="12.75">
      <c r="A218" s="545"/>
      <c r="B218" s="545"/>
      <c r="C218" s="545"/>
      <c r="D218" s="545"/>
      <c r="E218" s="545"/>
      <c r="F218" s="545"/>
      <c r="G218" s="545"/>
    </row>
    <row r="219" spans="1:7" ht="12.75">
      <c r="A219" s="545"/>
      <c r="B219" s="545"/>
      <c r="C219" s="545"/>
      <c r="D219" s="545"/>
      <c r="E219" s="545"/>
      <c r="F219" s="545"/>
      <c r="G219" s="545"/>
    </row>
    <row r="220" spans="1:7" ht="12.75">
      <c r="A220" s="545"/>
      <c r="B220" s="545"/>
      <c r="C220" s="545"/>
      <c r="D220" s="545"/>
      <c r="E220" s="545"/>
      <c r="F220" s="545"/>
      <c r="G220" s="545"/>
    </row>
    <row r="221" spans="1:7" ht="12.75">
      <c r="A221" s="545"/>
      <c r="B221" s="545"/>
      <c r="C221" s="545"/>
      <c r="D221" s="545"/>
      <c r="E221" s="545"/>
      <c r="F221" s="545"/>
      <c r="G221" s="545"/>
    </row>
    <row r="222" spans="1:7" ht="12.75">
      <c r="A222" s="545"/>
      <c r="B222" s="545"/>
      <c r="C222" s="545"/>
      <c r="D222" s="545"/>
      <c r="E222" s="545"/>
      <c r="F222" s="545"/>
      <c r="G222" s="545"/>
    </row>
    <row r="223" spans="1:7" ht="12.75">
      <c r="A223" s="545"/>
      <c r="B223" s="545"/>
      <c r="C223" s="545"/>
      <c r="D223" s="545"/>
      <c r="E223" s="545"/>
      <c r="F223" s="545"/>
      <c r="G223" s="545"/>
    </row>
    <row r="224" spans="1:7" ht="12.75">
      <c r="A224" s="545"/>
      <c r="B224" s="545"/>
      <c r="C224" s="545"/>
      <c r="D224" s="545"/>
      <c r="E224" s="545"/>
      <c r="F224" s="545"/>
      <c r="G224" s="545"/>
    </row>
    <row r="225" spans="1:7" ht="12.75">
      <c r="A225" s="545"/>
      <c r="B225" s="545"/>
      <c r="C225" s="545"/>
      <c r="D225" s="545"/>
      <c r="E225" s="545"/>
      <c r="F225" s="545"/>
      <c r="G225" s="545"/>
    </row>
    <row r="226" spans="1:7" ht="12.75">
      <c r="A226" s="545"/>
      <c r="B226" s="545"/>
      <c r="C226" s="545"/>
      <c r="D226" s="545"/>
      <c r="E226" s="545"/>
      <c r="F226" s="545"/>
      <c r="G226" s="545"/>
    </row>
    <row r="227" spans="1:7" ht="12.75">
      <c r="A227" s="545"/>
      <c r="B227" s="545"/>
      <c r="C227" s="545"/>
      <c r="D227" s="545"/>
      <c r="E227" s="545"/>
      <c r="F227" s="545"/>
      <c r="G227" s="545"/>
    </row>
    <row r="228" spans="1:7" ht="12.75">
      <c r="A228" s="545"/>
      <c r="B228" s="545"/>
      <c r="C228" s="545"/>
      <c r="D228" s="545"/>
      <c r="E228" s="545"/>
      <c r="F228" s="545"/>
      <c r="G228" s="545"/>
    </row>
    <row r="229" spans="1:7" ht="12.75">
      <c r="A229" s="545"/>
      <c r="B229" s="545"/>
      <c r="C229" s="545"/>
      <c r="D229" s="545"/>
      <c r="E229" s="545"/>
      <c r="F229" s="545"/>
      <c r="G229" s="545"/>
    </row>
    <row r="230" spans="1:7" ht="12.75">
      <c r="A230" s="545"/>
      <c r="B230" s="545"/>
      <c r="C230" s="545"/>
      <c r="D230" s="545"/>
      <c r="E230" s="545"/>
      <c r="F230" s="545"/>
      <c r="G230" s="545"/>
    </row>
    <row r="231" spans="1:7" ht="12.75">
      <c r="A231" s="545"/>
      <c r="B231" s="545"/>
      <c r="C231" s="545"/>
      <c r="D231" s="545"/>
      <c r="E231" s="545"/>
      <c r="F231" s="545"/>
      <c r="G231" s="545"/>
    </row>
    <row r="232" spans="1:7" ht="12.75">
      <c r="A232" s="545"/>
      <c r="B232" s="545"/>
      <c r="C232" s="545"/>
      <c r="D232" s="545"/>
      <c r="E232" s="545"/>
      <c r="F232" s="545"/>
      <c r="G232" s="545"/>
    </row>
    <row r="233" spans="1:7" ht="12.75">
      <c r="A233" s="545"/>
      <c r="B233" s="545"/>
      <c r="C233" s="545"/>
      <c r="D233" s="545"/>
      <c r="E233" s="545"/>
      <c r="F233" s="545"/>
      <c r="G233" s="545"/>
    </row>
    <row r="234" spans="1:7" ht="12.75">
      <c r="A234" s="545"/>
      <c r="B234" s="545"/>
      <c r="C234" s="545"/>
      <c r="D234" s="545"/>
      <c r="E234" s="545"/>
      <c r="F234" s="545"/>
      <c r="G234" s="545"/>
    </row>
    <row r="235" spans="1:7" ht="12.75">
      <c r="A235" s="545"/>
      <c r="B235" s="545"/>
      <c r="C235" s="545"/>
      <c r="D235" s="545"/>
      <c r="E235" s="545"/>
      <c r="F235" s="545"/>
      <c r="G235" s="545"/>
    </row>
    <row r="236" spans="1:7" ht="12.75">
      <c r="A236" s="545"/>
      <c r="B236" s="545"/>
      <c r="C236" s="545"/>
      <c r="D236" s="545"/>
      <c r="E236" s="545"/>
      <c r="F236" s="545"/>
      <c r="G236" s="545"/>
    </row>
    <row r="237" spans="1:7" ht="12.75">
      <c r="A237" s="545"/>
      <c r="B237" s="545"/>
      <c r="C237" s="545"/>
      <c r="D237" s="545"/>
      <c r="E237" s="545"/>
      <c r="F237" s="545"/>
      <c r="G237" s="545"/>
    </row>
    <row r="238" spans="1:7" ht="12.75">
      <c r="A238" s="545"/>
      <c r="B238" s="545"/>
      <c r="C238" s="545"/>
      <c r="D238" s="545"/>
      <c r="E238" s="545"/>
      <c r="F238" s="545"/>
      <c r="G238" s="545"/>
    </row>
    <row r="239" spans="1:7" ht="12.75">
      <c r="A239" s="545"/>
      <c r="B239" s="545"/>
      <c r="C239" s="545"/>
      <c r="D239" s="545"/>
      <c r="E239" s="545"/>
      <c r="F239" s="545"/>
      <c r="G239" s="545"/>
    </row>
    <row r="240" spans="1:7" ht="12.75">
      <c r="A240" s="545"/>
      <c r="B240" s="545"/>
      <c r="C240" s="545"/>
      <c r="D240" s="545"/>
      <c r="E240" s="545"/>
      <c r="F240" s="545"/>
      <c r="G240" s="545"/>
    </row>
    <row r="241" spans="1:7" ht="12.75">
      <c r="A241" s="545"/>
      <c r="B241" s="545"/>
      <c r="C241" s="545"/>
      <c r="D241" s="545"/>
      <c r="E241" s="545"/>
      <c r="F241" s="545"/>
      <c r="G241" s="545"/>
    </row>
    <row r="242" spans="1:7" ht="12.75">
      <c r="A242" s="545"/>
      <c r="B242" s="545"/>
      <c r="C242" s="545"/>
      <c r="D242" s="545"/>
      <c r="E242" s="545"/>
      <c r="F242" s="545"/>
      <c r="G242" s="545"/>
    </row>
    <row r="243" spans="1:7" ht="12.75">
      <c r="A243" s="545"/>
      <c r="B243" s="545"/>
      <c r="C243" s="545"/>
      <c r="D243" s="545"/>
      <c r="E243" s="545"/>
      <c r="F243" s="545"/>
      <c r="G243" s="545"/>
    </row>
    <row r="244" spans="1:7" ht="12.75">
      <c r="A244" s="545"/>
      <c r="B244" s="545"/>
      <c r="C244" s="545"/>
      <c r="D244" s="545"/>
      <c r="E244" s="545"/>
      <c r="F244" s="545"/>
      <c r="G244" s="545"/>
    </row>
    <row r="245" spans="1:7" ht="12.75">
      <c r="A245" s="545"/>
      <c r="B245" s="545"/>
      <c r="C245" s="545"/>
      <c r="D245" s="545"/>
      <c r="E245" s="545"/>
      <c r="F245" s="545"/>
      <c r="G245" s="545"/>
    </row>
    <row r="246" spans="1:7" ht="12.75">
      <c r="A246" s="545"/>
      <c r="B246" s="545"/>
      <c r="C246" s="545"/>
      <c r="D246" s="545"/>
      <c r="E246" s="545"/>
      <c r="F246" s="545"/>
      <c r="G246" s="545"/>
    </row>
    <row r="247" spans="1:7" ht="12.75">
      <c r="A247" s="545"/>
      <c r="B247" s="545"/>
      <c r="C247" s="545"/>
      <c r="D247" s="545"/>
      <c r="E247" s="545"/>
      <c r="F247" s="545"/>
      <c r="G247" s="545"/>
    </row>
    <row r="248" spans="1:7" ht="12.75">
      <c r="A248" s="545"/>
      <c r="B248" s="545"/>
      <c r="C248" s="545"/>
      <c r="D248" s="545"/>
      <c r="E248" s="545"/>
      <c r="F248" s="545"/>
      <c r="G248" s="545"/>
    </row>
    <row r="249" spans="1:7" ht="12.75">
      <c r="A249" s="545"/>
      <c r="B249" s="545"/>
      <c r="C249" s="545"/>
      <c r="D249" s="545"/>
      <c r="E249" s="545"/>
      <c r="F249" s="545"/>
      <c r="G249" s="545"/>
    </row>
    <row r="250" spans="1:7" ht="12.75">
      <c r="A250" s="545"/>
      <c r="B250" s="545"/>
      <c r="C250" s="545"/>
      <c r="D250" s="545"/>
      <c r="E250" s="545"/>
      <c r="F250" s="545"/>
      <c r="G250" s="545"/>
    </row>
    <row r="251" spans="1:7" ht="12.75">
      <c r="A251" s="545"/>
      <c r="B251" s="545"/>
      <c r="C251" s="545"/>
      <c r="D251" s="545"/>
      <c r="E251" s="545"/>
      <c r="F251" s="545"/>
      <c r="G251" s="545"/>
    </row>
    <row r="252" spans="1:7" ht="12.75">
      <c r="A252" s="545"/>
      <c r="B252" s="545"/>
      <c r="C252" s="545"/>
      <c r="D252" s="545"/>
      <c r="E252" s="545"/>
      <c r="F252" s="545"/>
      <c r="G252" s="545"/>
    </row>
    <row r="253" spans="1:7" ht="12.75">
      <c r="A253" s="545"/>
      <c r="B253" s="545"/>
      <c r="C253" s="545"/>
      <c r="D253" s="545"/>
      <c r="E253" s="545"/>
      <c r="F253" s="545"/>
      <c r="G253" s="545"/>
    </row>
    <row r="254" spans="1:7" ht="12.75">
      <c r="A254" s="545"/>
      <c r="B254" s="545"/>
      <c r="C254" s="545"/>
      <c r="D254" s="545"/>
      <c r="E254" s="545"/>
      <c r="F254" s="545"/>
      <c r="G254" s="545"/>
    </row>
    <row r="255" spans="1:7" ht="12.75">
      <c r="A255" s="545"/>
      <c r="B255" s="545"/>
      <c r="C255" s="545"/>
      <c r="D255" s="545"/>
      <c r="E255" s="545"/>
      <c r="F255" s="545"/>
      <c r="G255" s="545"/>
    </row>
    <row r="256" spans="1:7" ht="12.75">
      <c r="A256" s="545"/>
      <c r="B256" s="545"/>
      <c r="C256" s="545"/>
      <c r="D256" s="545"/>
      <c r="E256" s="545"/>
      <c r="F256" s="545"/>
      <c r="G256" s="545"/>
    </row>
    <row r="257" spans="1:7" ht="12.75">
      <c r="A257" s="545"/>
      <c r="B257" s="545"/>
      <c r="C257" s="545"/>
      <c r="D257" s="545"/>
      <c r="E257" s="545"/>
      <c r="F257" s="545"/>
      <c r="G257" s="545"/>
    </row>
    <row r="258" spans="1:7" ht="12.75">
      <c r="A258" s="545"/>
      <c r="B258" s="545"/>
      <c r="C258" s="545"/>
      <c r="D258" s="545"/>
      <c r="E258" s="545"/>
      <c r="F258" s="545"/>
      <c r="G258" s="545"/>
    </row>
    <row r="259" spans="1:7" ht="12.75">
      <c r="A259" s="545"/>
      <c r="B259" s="545"/>
      <c r="C259" s="545"/>
      <c r="D259" s="545"/>
      <c r="E259" s="545"/>
      <c r="F259" s="545"/>
      <c r="G259" s="545"/>
    </row>
    <row r="260" spans="1:7" ht="12.75">
      <c r="A260" s="545"/>
      <c r="B260" s="545"/>
      <c r="C260" s="545"/>
      <c r="D260" s="545"/>
      <c r="E260" s="545"/>
      <c r="F260" s="545"/>
      <c r="G260" s="545"/>
    </row>
    <row r="261" spans="1:7" ht="12.75">
      <c r="A261" s="545"/>
      <c r="B261" s="545"/>
      <c r="C261" s="545"/>
      <c r="D261" s="545"/>
      <c r="E261" s="545"/>
      <c r="F261" s="545"/>
      <c r="G261" s="545"/>
    </row>
    <row r="262" spans="1:7" ht="12.75">
      <c r="A262" s="545"/>
      <c r="B262" s="545"/>
      <c r="C262" s="545"/>
      <c r="D262" s="545"/>
      <c r="E262" s="545"/>
      <c r="F262" s="545"/>
      <c r="G262" s="545"/>
    </row>
    <row r="263" spans="1:7" ht="12.75">
      <c r="A263" s="545"/>
      <c r="B263" s="545"/>
      <c r="C263" s="545"/>
      <c r="D263" s="545"/>
      <c r="E263" s="545"/>
      <c r="F263" s="545"/>
      <c r="G263" s="545"/>
    </row>
    <row r="264" spans="1:7" ht="12.75">
      <c r="A264" s="545"/>
      <c r="B264" s="545"/>
      <c r="C264" s="545"/>
      <c r="D264" s="545"/>
      <c r="E264" s="545"/>
      <c r="F264" s="545"/>
      <c r="G264" s="545"/>
    </row>
    <row r="265" spans="1:7" ht="12.75">
      <c r="A265" s="545"/>
      <c r="B265" s="545"/>
      <c r="C265" s="545"/>
      <c r="D265" s="545"/>
      <c r="E265" s="545"/>
      <c r="F265" s="545"/>
      <c r="G265" s="545"/>
    </row>
    <row r="266" spans="1:7" ht="12.75">
      <c r="A266" s="545"/>
      <c r="B266" s="545"/>
      <c r="C266" s="545"/>
      <c r="D266" s="545"/>
      <c r="E266" s="545"/>
      <c r="F266" s="545"/>
      <c r="G266" s="545"/>
    </row>
    <row r="267" spans="1:7" ht="12.75">
      <c r="A267" s="545"/>
      <c r="B267" s="545"/>
      <c r="C267" s="545"/>
      <c r="D267" s="545"/>
      <c r="E267" s="545"/>
      <c r="F267" s="545"/>
      <c r="G267" s="545"/>
    </row>
    <row r="268" spans="1:7" ht="12.75">
      <c r="A268" s="545"/>
      <c r="B268" s="545"/>
      <c r="C268" s="545"/>
      <c r="D268" s="545"/>
      <c r="E268" s="545"/>
      <c r="F268" s="545"/>
      <c r="G268" s="545"/>
    </row>
    <row r="269" spans="1:7" ht="12.75">
      <c r="A269" s="545"/>
      <c r="B269" s="545"/>
      <c r="C269" s="545"/>
      <c r="D269" s="545"/>
      <c r="E269" s="545"/>
      <c r="F269" s="545"/>
      <c r="G269" s="545"/>
    </row>
    <row r="270" spans="1:7" ht="12.75">
      <c r="A270" s="545"/>
      <c r="B270" s="545"/>
      <c r="C270" s="545"/>
      <c r="D270" s="545"/>
      <c r="E270" s="545"/>
      <c r="F270" s="545"/>
      <c r="G270" s="545"/>
    </row>
    <row r="271" spans="1:7" ht="12.75">
      <c r="A271" s="545"/>
      <c r="B271" s="545"/>
      <c r="C271" s="545"/>
      <c r="D271" s="545"/>
      <c r="E271" s="545"/>
      <c r="F271" s="545"/>
      <c r="G271" s="545"/>
    </row>
    <row r="272" spans="1:7" ht="12.75">
      <c r="A272" s="545"/>
      <c r="B272" s="545"/>
      <c r="C272" s="545"/>
      <c r="D272" s="545"/>
      <c r="E272" s="545"/>
      <c r="F272" s="545"/>
      <c r="G272" s="545"/>
    </row>
    <row r="273" spans="1:7" ht="12.75">
      <c r="A273" s="545"/>
      <c r="B273" s="545"/>
      <c r="C273" s="545"/>
      <c r="D273" s="545"/>
      <c r="E273" s="545"/>
      <c r="F273" s="545"/>
      <c r="G273" s="545"/>
    </row>
    <row r="274" spans="1:7" ht="12.75">
      <c r="A274" s="545"/>
      <c r="B274" s="545"/>
      <c r="C274" s="545"/>
      <c r="D274" s="545"/>
      <c r="E274" s="545"/>
      <c r="F274" s="545"/>
      <c r="G274" s="545"/>
    </row>
    <row r="275" spans="1:7" ht="12.75">
      <c r="A275" s="545"/>
      <c r="B275" s="545"/>
      <c r="C275" s="545"/>
      <c r="D275" s="545"/>
      <c r="E275" s="545"/>
      <c r="F275" s="545"/>
      <c r="G275" s="545"/>
    </row>
    <row r="276" spans="1:7" ht="12.75">
      <c r="A276" s="545"/>
      <c r="B276" s="545"/>
      <c r="C276" s="545"/>
      <c r="D276" s="545"/>
      <c r="E276" s="545"/>
      <c r="F276" s="545"/>
      <c r="G276" s="545"/>
    </row>
    <row r="277" spans="1:7" ht="12.75">
      <c r="A277" s="545"/>
      <c r="B277" s="545"/>
      <c r="C277" s="545"/>
      <c r="D277" s="545"/>
      <c r="E277" s="545"/>
      <c r="F277" s="545"/>
      <c r="G277" s="545"/>
    </row>
    <row r="278" spans="1:7" ht="12.75">
      <c r="A278" s="545"/>
      <c r="B278" s="545"/>
      <c r="C278" s="545"/>
      <c r="D278" s="545"/>
      <c r="E278" s="545"/>
      <c r="F278" s="545"/>
      <c r="G278" s="545"/>
    </row>
    <row r="279" spans="1:7" ht="12.75">
      <c r="A279" s="545"/>
      <c r="B279" s="545"/>
      <c r="C279" s="545"/>
      <c r="D279" s="545"/>
      <c r="E279" s="545"/>
      <c r="F279" s="545"/>
      <c r="G279" s="545"/>
    </row>
    <row r="280" spans="1:7" ht="12.75">
      <c r="A280" s="545"/>
      <c r="B280" s="545"/>
      <c r="C280" s="545"/>
      <c r="D280" s="545"/>
      <c r="E280" s="545"/>
      <c r="F280" s="545"/>
      <c r="G280" s="545"/>
    </row>
    <row r="281" spans="1:7" ht="12.75">
      <c r="A281" s="545"/>
      <c r="B281" s="545"/>
      <c r="C281" s="545"/>
      <c r="D281" s="545"/>
      <c r="E281" s="545"/>
      <c r="F281" s="545"/>
      <c r="G281" s="545"/>
    </row>
    <row r="282" spans="1:7" ht="12.75">
      <c r="A282" s="545"/>
      <c r="B282" s="545"/>
      <c r="C282" s="545"/>
      <c r="D282" s="545"/>
      <c r="E282" s="545"/>
      <c r="F282" s="545"/>
      <c r="G282" s="545"/>
    </row>
    <row r="283" spans="1:7" ht="12.75">
      <c r="A283" s="545"/>
      <c r="B283" s="545"/>
      <c r="C283" s="545"/>
      <c r="D283" s="545"/>
      <c r="E283" s="545"/>
      <c r="F283" s="545"/>
      <c r="G283" s="545"/>
    </row>
    <row r="284" spans="1:7" ht="12.75">
      <c r="A284" s="545"/>
      <c r="B284" s="545"/>
      <c r="C284" s="545"/>
      <c r="D284" s="545"/>
      <c r="E284" s="545"/>
      <c r="F284" s="545"/>
      <c r="G284" s="545"/>
    </row>
    <row r="285" spans="1:7" ht="12.75">
      <c r="A285" s="545"/>
      <c r="B285" s="545"/>
      <c r="C285" s="545"/>
      <c r="D285" s="545"/>
      <c r="E285" s="545"/>
      <c r="F285" s="545"/>
      <c r="G285" s="545"/>
    </row>
    <row r="286" spans="1:7" ht="12.75">
      <c r="A286" s="545"/>
      <c r="B286" s="545"/>
      <c r="C286" s="545"/>
      <c r="D286" s="545"/>
      <c r="E286" s="545"/>
      <c r="F286" s="545"/>
      <c r="G286" s="545"/>
    </row>
    <row r="287" spans="1:7" ht="12.75">
      <c r="A287" s="545"/>
      <c r="B287" s="545"/>
      <c r="C287" s="545"/>
      <c r="D287" s="545"/>
      <c r="E287" s="545"/>
      <c r="F287" s="545"/>
      <c r="G287" s="545"/>
    </row>
    <row r="288" spans="1:7" ht="12.75">
      <c r="A288" s="545"/>
      <c r="B288" s="545"/>
      <c r="C288" s="545"/>
      <c r="D288" s="545"/>
      <c r="E288" s="545"/>
      <c r="F288" s="545"/>
      <c r="G288" s="545"/>
    </row>
    <row r="289" spans="1:7" ht="12.75">
      <c r="A289" s="545"/>
      <c r="B289" s="545"/>
      <c r="C289" s="545"/>
      <c r="D289" s="545"/>
      <c r="E289" s="545"/>
      <c r="F289" s="545"/>
      <c r="G289" s="545"/>
    </row>
    <row r="290" spans="1:7" ht="12.75">
      <c r="A290" s="545"/>
      <c r="B290" s="545"/>
      <c r="C290" s="545"/>
      <c r="D290" s="545"/>
      <c r="E290" s="545"/>
      <c r="F290" s="545"/>
      <c r="G290" s="545"/>
    </row>
    <row r="291" spans="1:7" ht="12.75">
      <c r="A291" s="545"/>
      <c r="B291" s="545"/>
      <c r="C291" s="545"/>
      <c r="D291" s="545"/>
      <c r="E291" s="545"/>
      <c r="F291" s="545"/>
      <c r="G291" s="545"/>
    </row>
    <row r="292" spans="1:7" ht="12.75">
      <c r="A292" s="545"/>
      <c r="B292" s="545"/>
      <c r="C292" s="545"/>
      <c r="D292" s="545"/>
      <c r="E292" s="545"/>
      <c r="F292" s="545"/>
      <c r="G292" s="545"/>
    </row>
    <row r="293" spans="1:7" ht="12.75">
      <c r="A293" s="545"/>
      <c r="B293" s="545"/>
      <c r="C293" s="545"/>
      <c r="D293" s="545"/>
      <c r="E293" s="545"/>
      <c r="F293" s="545"/>
      <c r="G293" s="545"/>
    </row>
    <row r="294" spans="1:7" ht="12.75">
      <c r="A294" s="545"/>
      <c r="B294" s="545"/>
      <c r="C294" s="545"/>
      <c r="D294" s="545"/>
      <c r="E294" s="545"/>
      <c r="F294" s="545"/>
      <c r="G294" s="545"/>
    </row>
    <row r="295" spans="1:7" ht="12.75">
      <c r="A295" s="545"/>
      <c r="B295" s="545"/>
      <c r="C295" s="545"/>
      <c r="D295" s="545"/>
      <c r="E295" s="545"/>
      <c r="F295" s="545"/>
      <c r="G295" s="545"/>
    </row>
    <row r="296" spans="1:7" ht="12.75">
      <c r="A296" s="545"/>
      <c r="B296" s="545"/>
      <c r="C296" s="545"/>
      <c r="D296" s="545"/>
      <c r="E296" s="545"/>
      <c r="F296" s="545"/>
      <c r="G296" s="545"/>
    </row>
    <row r="297" spans="1:7" ht="12.75">
      <c r="A297" s="545"/>
      <c r="B297" s="545"/>
      <c r="C297" s="545"/>
      <c r="D297" s="545"/>
      <c r="E297" s="545"/>
      <c r="F297" s="545"/>
      <c r="G297" s="545"/>
    </row>
    <row r="298" spans="1:7" ht="12.75">
      <c r="A298" s="545"/>
      <c r="B298" s="545"/>
      <c r="C298" s="545"/>
      <c r="D298" s="545"/>
      <c r="E298" s="545"/>
      <c r="F298" s="545"/>
      <c r="G298" s="545"/>
    </row>
    <row r="299" spans="1:7" ht="12.75">
      <c r="A299" s="545"/>
      <c r="B299" s="545"/>
      <c r="C299" s="545"/>
      <c r="D299" s="545"/>
      <c r="E299" s="545"/>
      <c r="F299" s="545"/>
      <c r="G299" s="545"/>
    </row>
    <row r="300" spans="1:7" ht="12.75">
      <c r="A300" s="545"/>
      <c r="B300" s="545"/>
      <c r="C300" s="545"/>
      <c r="D300" s="545"/>
      <c r="E300" s="545"/>
      <c r="F300" s="545"/>
      <c r="G300" s="545"/>
    </row>
    <row r="301" spans="1:7" ht="12.75">
      <c r="A301" s="545"/>
      <c r="B301" s="545"/>
      <c r="C301" s="545"/>
      <c r="D301" s="545"/>
      <c r="E301" s="545"/>
      <c r="F301" s="545"/>
      <c r="G301" s="545"/>
    </row>
    <row r="302" spans="1:7" ht="12.75">
      <c r="A302" s="545"/>
      <c r="B302" s="545"/>
      <c r="C302" s="545"/>
      <c r="D302" s="545"/>
      <c r="E302" s="545"/>
      <c r="F302" s="545"/>
      <c r="G302" s="545"/>
    </row>
    <row r="303" spans="1:7" ht="12.75">
      <c r="A303" s="545"/>
      <c r="B303" s="545"/>
      <c r="C303" s="545"/>
      <c r="D303" s="545"/>
      <c r="E303" s="545"/>
      <c r="F303" s="545"/>
      <c r="G303" s="545"/>
    </row>
    <row r="304" spans="1:7" ht="12.75">
      <c r="A304" s="545"/>
      <c r="B304" s="545"/>
      <c r="C304" s="545"/>
      <c r="D304" s="545"/>
      <c r="E304" s="545"/>
      <c r="F304" s="545"/>
      <c r="G304" s="545"/>
    </row>
    <row r="305" spans="1:7" ht="12.75">
      <c r="A305" s="545"/>
      <c r="B305" s="545"/>
      <c r="C305" s="545"/>
      <c r="D305" s="545"/>
      <c r="E305" s="545"/>
      <c r="F305" s="545"/>
      <c r="G305" s="545"/>
    </row>
    <row r="306" spans="1:7" ht="12.75">
      <c r="A306" s="545"/>
      <c r="B306" s="545"/>
      <c r="C306" s="545"/>
      <c r="D306" s="545"/>
      <c r="E306" s="545"/>
      <c r="F306" s="545"/>
      <c r="G306" s="545"/>
    </row>
    <row r="307" spans="1:7" ht="12.75">
      <c r="A307" s="545"/>
      <c r="B307" s="545"/>
      <c r="C307" s="545"/>
      <c r="D307" s="545"/>
      <c r="E307" s="545"/>
      <c r="F307" s="545"/>
      <c r="G307" s="545"/>
    </row>
    <row r="308" spans="1:7" ht="12.75">
      <c r="A308" s="545"/>
      <c r="B308" s="545"/>
      <c r="C308" s="545"/>
      <c r="D308" s="545"/>
      <c r="E308" s="545"/>
      <c r="F308" s="545"/>
      <c r="G308" s="545"/>
    </row>
    <row r="309" spans="1:7" ht="12.75">
      <c r="A309" s="545"/>
      <c r="B309" s="545"/>
      <c r="C309" s="545"/>
      <c r="D309" s="545"/>
      <c r="E309" s="545"/>
      <c r="F309" s="545"/>
      <c r="G309" s="545"/>
    </row>
    <row r="310" spans="1:7" ht="12.75">
      <c r="A310" s="545"/>
      <c r="B310" s="545"/>
      <c r="C310" s="545"/>
      <c r="D310" s="545"/>
      <c r="E310" s="545"/>
      <c r="F310" s="545"/>
      <c r="G310" s="545"/>
    </row>
    <row r="311" spans="1:7" ht="12.75">
      <c r="A311" s="545"/>
      <c r="B311" s="545"/>
      <c r="C311" s="545"/>
      <c r="D311" s="545"/>
      <c r="E311" s="545"/>
      <c r="F311" s="545"/>
      <c r="G311" s="545"/>
    </row>
    <row r="312" spans="1:7" ht="12.75">
      <c r="A312" s="545"/>
      <c r="B312" s="545"/>
      <c r="C312" s="545"/>
      <c r="D312" s="545"/>
      <c r="E312" s="545"/>
      <c r="F312" s="545"/>
      <c r="G312" s="545"/>
    </row>
    <row r="313" spans="1:7" ht="12.75">
      <c r="A313" s="545"/>
      <c r="B313" s="545"/>
      <c r="C313" s="545"/>
      <c r="D313" s="545"/>
      <c r="E313" s="545"/>
      <c r="F313" s="545"/>
      <c r="G313" s="545"/>
    </row>
    <row r="314" spans="1:7" ht="12.75">
      <c r="A314" s="545"/>
      <c r="B314" s="545"/>
      <c r="C314" s="545"/>
      <c r="D314" s="545"/>
      <c r="E314" s="545"/>
      <c r="F314" s="545"/>
      <c r="G314" s="545"/>
    </row>
    <row r="315" spans="1:7" ht="12.75">
      <c r="A315" s="545"/>
      <c r="B315" s="545"/>
      <c r="C315" s="545"/>
      <c r="D315" s="545"/>
      <c r="E315" s="545"/>
      <c r="F315" s="545"/>
      <c r="G315" s="545"/>
    </row>
    <row r="316" spans="1:7" ht="12.75">
      <c r="A316" s="545"/>
      <c r="B316" s="545"/>
      <c r="C316" s="545"/>
      <c r="D316" s="545"/>
      <c r="E316" s="545"/>
      <c r="F316" s="545"/>
      <c r="G316" s="545"/>
    </row>
    <row r="317" spans="1:7" ht="12.75">
      <c r="A317" s="545"/>
      <c r="B317" s="545"/>
      <c r="C317" s="545"/>
      <c r="D317" s="545"/>
      <c r="E317" s="545"/>
      <c r="F317" s="545"/>
      <c r="G317" s="545"/>
    </row>
    <row r="318" spans="1:7" ht="12.75">
      <c r="A318" s="545"/>
      <c r="B318" s="545"/>
      <c r="C318" s="545"/>
      <c r="D318" s="545"/>
      <c r="E318" s="545"/>
      <c r="F318" s="545"/>
      <c r="G318" s="545"/>
    </row>
    <row r="319" spans="1:7" ht="12.75">
      <c r="A319" s="545"/>
      <c r="B319" s="545"/>
      <c r="C319" s="545"/>
      <c r="D319" s="545"/>
      <c r="E319" s="545"/>
      <c r="F319" s="545"/>
      <c r="G319" s="545"/>
    </row>
    <row r="320" spans="1:7" ht="12.75">
      <c r="A320" s="545"/>
      <c r="B320" s="545"/>
      <c r="C320" s="545"/>
      <c r="D320" s="545"/>
      <c r="E320" s="545"/>
      <c r="F320" s="545"/>
      <c r="G320" s="545"/>
    </row>
    <row r="321" spans="1:7" ht="12.75">
      <c r="A321" s="545"/>
      <c r="B321" s="545"/>
      <c r="C321" s="545"/>
      <c r="D321" s="545"/>
      <c r="E321" s="545"/>
      <c r="F321" s="545"/>
      <c r="G321" s="545"/>
    </row>
    <row r="322" spans="1:7" ht="12.75">
      <c r="A322" s="545"/>
      <c r="B322" s="545"/>
      <c r="C322" s="545"/>
      <c r="D322" s="545"/>
      <c r="E322" s="545"/>
      <c r="F322" s="545"/>
      <c r="G322" s="545"/>
    </row>
    <row r="323" spans="1:7" ht="12.75">
      <c r="A323" s="545"/>
      <c r="B323" s="545"/>
      <c r="C323" s="545"/>
      <c r="D323" s="545"/>
      <c r="E323" s="545"/>
      <c r="F323" s="545"/>
      <c r="G323" s="545"/>
    </row>
    <row r="324" spans="1:7" ht="12.75">
      <c r="A324" s="545"/>
      <c r="B324" s="545"/>
      <c r="C324" s="545"/>
      <c r="D324" s="545"/>
      <c r="E324" s="545"/>
      <c r="F324" s="545"/>
      <c r="G324" s="545"/>
    </row>
    <row r="325" spans="1:7" ht="12.75">
      <c r="A325" s="545"/>
      <c r="B325" s="545"/>
      <c r="C325" s="545"/>
      <c r="D325" s="545"/>
      <c r="E325" s="545"/>
      <c r="F325" s="545"/>
      <c r="G325" s="545"/>
    </row>
    <row r="326" spans="1:7" ht="12.75">
      <c r="A326" s="545"/>
      <c r="B326" s="545"/>
      <c r="C326" s="545"/>
      <c r="D326" s="545"/>
      <c r="E326" s="545"/>
      <c r="F326" s="545"/>
      <c r="G326" s="545"/>
    </row>
    <row r="327" spans="1:7" ht="12.75">
      <c r="A327" s="545"/>
      <c r="B327" s="545"/>
      <c r="C327" s="545"/>
      <c r="D327" s="545"/>
      <c r="E327" s="545"/>
      <c r="F327" s="545"/>
      <c r="G327" s="545"/>
    </row>
    <row r="328" spans="1:7" ht="12.75">
      <c r="A328" s="545"/>
      <c r="B328" s="545"/>
      <c r="C328" s="545"/>
      <c r="D328" s="545"/>
      <c r="E328" s="545"/>
      <c r="F328" s="545"/>
      <c r="G328" s="545"/>
    </row>
    <row r="329" spans="1:7" ht="12.75">
      <c r="A329" s="545"/>
      <c r="B329" s="545"/>
      <c r="C329" s="545"/>
      <c r="D329" s="545"/>
      <c r="E329" s="545"/>
      <c r="F329" s="545"/>
      <c r="G329" s="545"/>
    </row>
    <row r="330" spans="1:7" ht="12.75">
      <c r="A330" s="545"/>
      <c r="B330" s="545"/>
      <c r="C330" s="545"/>
      <c r="D330" s="545"/>
      <c r="E330" s="545"/>
      <c r="F330" s="545"/>
      <c r="G330" s="545"/>
    </row>
    <row r="331" spans="1:7" ht="12.75">
      <c r="A331" s="545"/>
      <c r="B331" s="545"/>
      <c r="C331" s="545"/>
      <c r="D331" s="545"/>
      <c r="E331" s="545"/>
      <c r="F331" s="545"/>
      <c r="G331" s="545"/>
    </row>
    <row r="332" spans="1:7" ht="12.75">
      <c r="A332" s="545"/>
      <c r="B332" s="545"/>
      <c r="C332" s="545"/>
      <c r="D332" s="545"/>
      <c r="E332" s="545"/>
      <c r="F332" s="545"/>
      <c r="G332" s="545"/>
    </row>
    <row r="333" spans="1:7" ht="12.75">
      <c r="A333" s="545"/>
      <c r="B333" s="545"/>
      <c r="C333" s="545"/>
      <c r="D333" s="545"/>
      <c r="E333" s="545"/>
      <c r="F333" s="545"/>
      <c r="G333" s="545"/>
    </row>
    <row r="334" spans="1:7" ht="12.75">
      <c r="A334" s="545"/>
      <c r="B334" s="545"/>
      <c r="C334" s="545"/>
      <c r="D334" s="545"/>
      <c r="E334" s="545"/>
      <c r="F334" s="545"/>
      <c r="G334" s="545"/>
    </row>
    <row r="335" spans="1:7" ht="12.75">
      <c r="A335" s="545"/>
      <c r="B335" s="545"/>
      <c r="C335" s="545"/>
      <c r="D335" s="545"/>
      <c r="E335" s="545"/>
      <c r="F335" s="545"/>
      <c r="G335" s="545"/>
    </row>
    <row r="336" spans="1:7" ht="12.75">
      <c r="A336" s="545"/>
      <c r="B336" s="545"/>
      <c r="C336" s="545"/>
      <c r="D336" s="545"/>
      <c r="E336" s="545"/>
      <c r="F336" s="545"/>
      <c r="G336" s="545"/>
    </row>
    <row r="337" spans="1:7" ht="12.75">
      <c r="A337" s="545"/>
      <c r="B337" s="545"/>
      <c r="C337" s="545"/>
      <c r="D337" s="545"/>
      <c r="E337" s="545"/>
      <c r="F337" s="545"/>
      <c r="G337" s="545"/>
    </row>
    <row r="338" spans="1:7" ht="12.75">
      <c r="A338" s="545"/>
      <c r="B338" s="545"/>
      <c r="C338" s="545"/>
      <c r="D338" s="545"/>
      <c r="E338" s="545"/>
      <c r="F338" s="545"/>
      <c r="G338" s="545"/>
    </row>
    <row r="339" spans="1:7" ht="12.75">
      <c r="A339" s="545"/>
      <c r="B339" s="545"/>
      <c r="C339" s="545"/>
      <c r="D339" s="545"/>
      <c r="E339" s="545"/>
      <c r="F339" s="545"/>
      <c r="G339" s="545"/>
    </row>
    <row r="340" spans="1:7" ht="12.75">
      <c r="A340" s="545"/>
      <c r="B340" s="545"/>
      <c r="C340" s="545"/>
      <c r="D340" s="545"/>
      <c r="E340" s="545"/>
      <c r="F340" s="545"/>
      <c r="G340" s="545"/>
    </row>
    <row r="341" spans="1:7" ht="12.75">
      <c r="A341" s="545"/>
      <c r="B341" s="545"/>
      <c r="C341" s="545"/>
      <c r="D341" s="545"/>
      <c r="E341" s="545"/>
      <c r="F341" s="545"/>
      <c r="G341" s="545"/>
    </row>
    <row r="342" spans="1:7" ht="12.75">
      <c r="A342" s="545"/>
      <c r="B342" s="545"/>
      <c r="C342" s="545"/>
      <c r="D342" s="545"/>
      <c r="E342" s="545"/>
      <c r="F342" s="545"/>
      <c r="G342" s="545"/>
    </row>
    <row r="343" spans="1:7" ht="12.75">
      <c r="A343" s="545"/>
      <c r="B343" s="545"/>
      <c r="C343" s="545"/>
      <c r="D343" s="545"/>
      <c r="E343" s="545"/>
      <c r="F343" s="545"/>
      <c r="G343" s="545"/>
    </row>
    <row r="344" spans="1:7" ht="12.75">
      <c r="A344" s="545"/>
      <c r="B344" s="545"/>
      <c r="C344" s="545"/>
      <c r="D344" s="545"/>
      <c r="E344" s="545"/>
      <c r="F344" s="545"/>
      <c r="G344" s="545"/>
    </row>
    <row r="345" spans="1:7" ht="12.75">
      <c r="A345" s="545"/>
      <c r="B345" s="545"/>
      <c r="C345" s="545"/>
      <c r="D345" s="545"/>
      <c r="E345" s="545"/>
      <c r="F345" s="545"/>
      <c r="G345" s="545"/>
    </row>
    <row r="346" spans="1:7" ht="12.75">
      <c r="A346" s="545"/>
      <c r="B346" s="545"/>
      <c r="C346" s="545"/>
      <c r="D346" s="545"/>
      <c r="E346" s="545"/>
      <c r="F346" s="545"/>
      <c r="G346" s="545"/>
    </row>
    <row r="347" spans="1:7" ht="12.75">
      <c r="A347" s="545"/>
      <c r="B347" s="545"/>
      <c r="C347" s="545"/>
      <c r="D347" s="545"/>
      <c r="E347" s="545"/>
      <c r="F347" s="545"/>
      <c r="G347" s="545"/>
    </row>
    <row r="348" spans="1:7" ht="12.75">
      <c r="A348" s="545"/>
      <c r="B348" s="545"/>
      <c r="C348" s="545"/>
      <c r="D348" s="545"/>
      <c r="E348" s="545"/>
      <c r="F348" s="545"/>
      <c r="G348" s="545"/>
    </row>
    <row r="349" spans="1:7" ht="12.75">
      <c r="A349" s="545"/>
      <c r="B349" s="545"/>
      <c r="C349" s="545"/>
      <c r="D349" s="545"/>
      <c r="E349" s="545"/>
      <c r="F349" s="545"/>
      <c r="G349" s="545"/>
    </row>
    <row r="350" spans="1:7" ht="12.75">
      <c r="A350" s="545"/>
      <c r="B350" s="545"/>
      <c r="C350" s="545"/>
      <c r="D350" s="545"/>
      <c r="E350" s="545"/>
      <c r="F350" s="545"/>
      <c r="G350" s="545"/>
    </row>
    <row r="351" spans="1:7" ht="12.75">
      <c r="A351" s="545"/>
      <c r="B351" s="545"/>
      <c r="C351" s="545"/>
      <c r="D351" s="545"/>
      <c r="E351" s="545"/>
      <c r="F351" s="545"/>
      <c r="G351" s="545"/>
    </row>
    <row r="352" spans="1:7" ht="12.75">
      <c r="A352" s="545"/>
      <c r="B352" s="545"/>
      <c r="C352" s="545"/>
      <c r="D352" s="545"/>
      <c r="E352" s="545"/>
      <c r="F352" s="545"/>
      <c r="G352" s="545"/>
    </row>
    <row r="353" spans="1:7" ht="12.75">
      <c r="A353" s="545"/>
      <c r="B353" s="545"/>
      <c r="C353" s="545"/>
      <c r="D353" s="545"/>
      <c r="E353" s="545"/>
      <c r="F353" s="545"/>
      <c r="G353" s="545"/>
    </row>
    <row r="354" spans="1:7" ht="12.75">
      <c r="A354" s="545"/>
      <c r="B354" s="545"/>
      <c r="C354" s="545"/>
      <c r="D354" s="545"/>
      <c r="E354" s="545"/>
      <c r="F354" s="545"/>
      <c r="G354" s="545"/>
    </row>
    <row r="355" spans="1:7" ht="12.75">
      <c r="A355" s="545"/>
      <c r="B355" s="545"/>
      <c r="C355" s="545"/>
      <c r="D355" s="545"/>
      <c r="E355" s="545"/>
      <c r="F355" s="545"/>
      <c r="G355" s="545"/>
    </row>
    <row r="356" spans="1:7" ht="12.75">
      <c r="A356" s="545"/>
      <c r="B356" s="545"/>
      <c r="C356" s="545"/>
      <c r="D356" s="545"/>
      <c r="E356" s="545"/>
      <c r="F356" s="545"/>
      <c r="G356" s="545"/>
    </row>
    <row r="357" spans="1:7" ht="12.75">
      <c r="A357" s="545"/>
      <c r="B357" s="545"/>
      <c r="C357" s="545"/>
      <c r="D357" s="545"/>
      <c r="E357" s="545"/>
      <c r="F357" s="545"/>
      <c r="G357" s="545"/>
    </row>
    <row r="358" spans="1:7" ht="12.75">
      <c r="A358" s="545"/>
      <c r="B358" s="545"/>
      <c r="C358" s="545"/>
      <c r="D358" s="545"/>
      <c r="E358" s="545"/>
      <c r="F358" s="545"/>
      <c r="G358" s="545"/>
    </row>
    <row r="359" spans="1:7" ht="12.75">
      <c r="A359" s="545"/>
      <c r="B359" s="545"/>
      <c r="C359" s="545"/>
      <c r="D359" s="545"/>
      <c r="E359" s="545"/>
      <c r="F359" s="545"/>
      <c r="G359" s="545"/>
    </row>
    <row r="360" spans="1:7" ht="12.75">
      <c r="A360" s="545"/>
      <c r="B360" s="545"/>
      <c r="C360" s="545"/>
      <c r="D360" s="545"/>
      <c r="E360" s="545"/>
      <c r="F360" s="545"/>
      <c r="G360" s="545"/>
    </row>
    <row r="361" spans="1:7" ht="12.75">
      <c r="A361" s="545"/>
      <c r="B361" s="545"/>
      <c r="C361" s="545"/>
      <c r="D361" s="545"/>
      <c r="E361" s="545"/>
      <c r="F361" s="545"/>
      <c r="G361" s="545"/>
    </row>
    <row r="362" spans="1:7" ht="12.75">
      <c r="A362" s="545"/>
      <c r="B362" s="545"/>
      <c r="C362" s="545"/>
      <c r="D362" s="545"/>
      <c r="E362" s="545"/>
      <c r="F362" s="545"/>
      <c r="G362" s="545"/>
    </row>
    <row r="363" spans="1:7" ht="12.75">
      <c r="A363" s="545"/>
      <c r="B363" s="545"/>
      <c r="C363" s="545"/>
      <c r="D363" s="545"/>
      <c r="E363" s="545"/>
      <c r="F363" s="545"/>
      <c r="G363" s="545"/>
    </row>
    <row r="364" spans="1:7" ht="12.75">
      <c r="A364" s="545"/>
      <c r="B364" s="545"/>
      <c r="C364" s="545"/>
      <c r="D364" s="545"/>
      <c r="E364" s="545"/>
      <c r="F364" s="545"/>
      <c r="G364" s="545"/>
    </row>
    <row r="365" spans="1:7" ht="12.75">
      <c r="A365" s="545"/>
      <c r="B365" s="545"/>
      <c r="C365" s="545"/>
      <c r="D365" s="545"/>
      <c r="E365" s="545"/>
      <c r="F365" s="545"/>
      <c r="G365" s="545"/>
    </row>
    <row r="366" spans="1:7" ht="12.75">
      <c r="A366" s="545"/>
      <c r="B366" s="545"/>
      <c r="C366" s="545"/>
      <c r="D366" s="545"/>
      <c r="E366" s="545"/>
      <c r="F366" s="545"/>
      <c r="G366" s="545"/>
    </row>
    <row r="367" spans="1:7" ht="12.75">
      <c r="A367" s="545"/>
      <c r="B367" s="545"/>
      <c r="C367" s="545"/>
      <c r="D367" s="545"/>
      <c r="E367" s="545"/>
      <c r="F367" s="545"/>
      <c r="G367" s="545"/>
    </row>
    <row r="368" spans="1:7" ht="12.75">
      <c r="A368" s="545"/>
      <c r="B368" s="545"/>
      <c r="C368" s="545"/>
      <c r="D368" s="545"/>
      <c r="E368" s="545"/>
      <c r="F368" s="545"/>
      <c r="G368" s="545"/>
    </row>
    <row r="369" spans="1:7" ht="12.75">
      <c r="A369" s="545"/>
      <c r="B369" s="545"/>
      <c r="C369" s="545"/>
      <c r="D369" s="545"/>
      <c r="E369" s="545"/>
      <c r="F369" s="545"/>
      <c r="G369" s="545"/>
    </row>
    <row r="370" spans="1:7" ht="12.75">
      <c r="A370" s="545"/>
      <c r="B370" s="545"/>
      <c r="C370" s="545"/>
      <c r="D370" s="545"/>
      <c r="E370" s="545"/>
      <c r="F370" s="545"/>
      <c r="G370" s="545"/>
    </row>
    <row r="371" spans="1:7" ht="12.75">
      <c r="A371" s="545"/>
      <c r="B371" s="545"/>
      <c r="C371" s="545"/>
      <c r="D371" s="545"/>
      <c r="E371" s="545"/>
      <c r="F371" s="545"/>
      <c r="G371" s="545"/>
    </row>
    <row r="372" spans="1:7" ht="12.75">
      <c r="A372" s="545"/>
      <c r="B372" s="545"/>
      <c r="C372" s="545"/>
      <c r="D372" s="545"/>
      <c r="E372" s="545"/>
      <c r="F372" s="545"/>
      <c r="G372" s="545"/>
    </row>
    <row r="373" spans="1:7" ht="12.75">
      <c r="A373" s="545"/>
      <c r="B373" s="545"/>
      <c r="C373" s="545"/>
      <c r="D373" s="545"/>
      <c r="E373" s="545"/>
      <c r="F373" s="545"/>
      <c r="G373" s="545"/>
    </row>
    <row r="374" spans="1:7" ht="12.75">
      <c r="A374" s="545"/>
      <c r="B374" s="545"/>
      <c r="C374" s="545"/>
      <c r="D374" s="545"/>
      <c r="E374" s="545"/>
      <c r="F374" s="545"/>
      <c r="G374" s="545"/>
    </row>
    <row r="375" spans="1:7" ht="12.75">
      <c r="A375" s="545"/>
      <c r="B375" s="545"/>
      <c r="C375" s="545"/>
      <c r="D375" s="545"/>
      <c r="E375" s="545"/>
      <c r="F375" s="545"/>
      <c r="G375" s="545"/>
    </row>
    <row r="376" spans="1:7" ht="12.75">
      <c r="A376" s="545"/>
      <c r="B376" s="545"/>
      <c r="C376" s="545"/>
      <c r="D376" s="545"/>
      <c r="E376" s="545"/>
      <c r="F376" s="545"/>
      <c r="G376" s="545"/>
    </row>
    <row r="377" spans="1:7" ht="12.75">
      <c r="A377" s="545"/>
      <c r="B377" s="545"/>
      <c r="C377" s="545"/>
      <c r="D377" s="545"/>
      <c r="E377" s="545"/>
      <c r="F377" s="545"/>
      <c r="G377" s="545"/>
    </row>
    <row r="378" spans="1:7" ht="12.75">
      <c r="A378" s="545"/>
      <c r="B378" s="545"/>
      <c r="C378" s="545"/>
      <c r="D378" s="545"/>
      <c r="E378" s="545"/>
      <c r="F378" s="545"/>
      <c r="G378" s="545"/>
    </row>
    <row r="379" spans="1:7" ht="12.75">
      <c r="A379" s="545"/>
      <c r="B379" s="545"/>
      <c r="C379" s="545"/>
      <c r="D379" s="545"/>
      <c r="E379" s="545"/>
      <c r="F379" s="545"/>
      <c r="G379" s="545"/>
    </row>
    <row r="380" spans="1:7" ht="12.75">
      <c r="A380" s="545"/>
      <c r="B380" s="545"/>
      <c r="C380" s="545"/>
      <c r="D380" s="545"/>
      <c r="E380" s="545"/>
      <c r="F380" s="545"/>
      <c r="G380" s="545"/>
    </row>
    <row r="381" spans="1:7" ht="12.75">
      <c r="A381" s="545"/>
      <c r="B381" s="545"/>
      <c r="C381" s="545"/>
      <c r="D381" s="545"/>
      <c r="E381" s="545"/>
      <c r="F381" s="545"/>
      <c r="G381" s="545"/>
    </row>
    <row r="382" spans="1:7" ht="12.75">
      <c r="A382" s="545"/>
      <c r="B382" s="545"/>
      <c r="C382" s="545"/>
      <c r="D382" s="545"/>
      <c r="E382" s="545"/>
      <c r="F382" s="545"/>
      <c r="G382" s="545"/>
    </row>
    <row r="383" spans="1:7" ht="12.75">
      <c r="A383" s="545"/>
      <c r="B383" s="545"/>
      <c r="C383" s="545"/>
      <c r="D383" s="545"/>
      <c r="E383" s="545"/>
      <c r="F383" s="545"/>
      <c r="G383" s="545"/>
    </row>
    <row r="384" spans="1:7" ht="12.75">
      <c r="A384" s="545"/>
      <c r="B384" s="545"/>
      <c r="C384" s="545"/>
      <c r="D384" s="545"/>
      <c r="E384" s="545"/>
      <c r="F384" s="545"/>
      <c r="G384" s="545"/>
    </row>
    <row r="385" spans="1:7" ht="12.75">
      <c r="A385" s="545"/>
      <c r="B385" s="545"/>
      <c r="C385" s="545"/>
      <c r="D385" s="545"/>
      <c r="E385" s="545"/>
      <c r="F385" s="545"/>
      <c r="G385" s="545"/>
    </row>
    <row r="386" spans="1:7" ht="12.75">
      <c r="A386" s="545"/>
      <c r="B386" s="545"/>
      <c r="C386" s="545"/>
      <c r="D386" s="545"/>
      <c r="E386" s="545"/>
      <c r="F386" s="545"/>
      <c r="G386" s="545"/>
    </row>
    <row r="387" spans="1:7" ht="12.75">
      <c r="A387" s="545"/>
      <c r="B387" s="545"/>
      <c r="C387" s="545"/>
      <c r="D387" s="545"/>
      <c r="E387" s="545"/>
      <c r="F387" s="545"/>
      <c r="G387" s="545"/>
    </row>
    <row r="388" spans="1:7" ht="12.75">
      <c r="A388" s="545"/>
      <c r="B388" s="545"/>
      <c r="C388" s="545"/>
      <c r="D388" s="545"/>
      <c r="E388" s="545"/>
      <c r="F388" s="545"/>
      <c r="G388" s="545"/>
    </row>
    <row r="389" spans="1:7" ht="12.75">
      <c r="A389" s="545"/>
      <c r="B389" s="545"/>
      <c r="C389" s="545"/>
      <c r="D389" s="545"/>
      <c r="E389" s="545"/>
      <c r="F389" s="545"/>
      <c r="G389" s="545"/>
    </row>
    <row r="390" spans="1:7" ht="12.75">
      <c r="A390" s="545"/>
      <c r="B390" s="545"/>
      <c r="C390" s="545"/>
      <c r="D390" s="545"/>
      <c r="E390" s="545"/>
      <c r="F390" s="545"/>
      <c r="G390" s="545"/>
    </row>
    <row r="391" spans="1:7" ht="12.75">
      <c r="A391" s="545"/>
      <c r="B391" s="545"/>
      <c r="C391" s="545"/>
      <c r="D391" s="545"/>
      <c r="E391" s="545"/>
      <c r="F391" s="545"/>
      <c r="G391" s="545"/>
    </row>
    <row r="392" spans="1:7" ht="12.75">
      <c r="A392" s="545"/>
      <c r="B392" s="545"/>
      <c r="C392" s="545"/>
      <c r="D392" s="545"/>
      <c r="E392" s="545"/>
      <c r="F392" s="545"/>
      <c r="G392" s="545"/>
    </row>
    <row r="393" spans="1:7" ht="12.75">
      <c r="A393" s="545"/>
      <c r="B393" s="545"/>
      <c r="C393" s="545"/>
      <c r="D393" s="545"/>
      <c r="E393" s="545"/>
      <c r="F393" s="545"/>
      <c r="G393" s="545"/>
    </row>
    <row r="394" spans="1:7" ht="12.75">
      <c r="A394" s="545"/>
      <c r="B394" s="545"/>
      <c r="C394" s="545"/>
      <c r="D394" s="545"/>
      <c r="E394" s="545"/>
      <c r="F394" s="545"/>
      <c r="G394" s="545"/>
    </row>
    <row r="395" spans="1:7" ht="12.75">
      <c r="A395" s="545"/>
      <c r="B395" s="545"/>
      <c r="C395" s="545"/>
      <c r="D395" s="545"/>
      <c r="E395" s="545"/>
      <c r="F395" s="545"/>
      <c r="G395" s="545"/>
    </row>
    <row r="396" spans="1:7" ht="12.75">
      <c r="A396" s="545"/>
      <c r="B396" s="545"/>
      <c r="C396" s="545"/>
      <c r="D396" s="545"/>
      <c r="E396" s="545"/>
      <c r="F396" s="545"/>
      <c r="G396" s="545"/>
    </row>
    <row r="397" spans="1:7" ht="12.75">
      <c r="A397" s="545"/>
      <c r="B397" s="545"/>
      <c r="C397" s="545"/>
      <c r="D397" s="545"/>
      <c r="E397" s="545"/>
      <c r="F397" s="545"/>
      <c r="G397" s="545"/>
    </row>
    <row r="398" spans="1:7" ht="12.75">
      <c r="A398" s="545"/>
      <c r="B398" s="545"/>
      <c r="C398" s="545"/>
      <c r="D398" s="545"/>
      <c r="E398" s="545"/>
      <c r="F398" s="545"/>
      <c r="G398" s="545"/>
    </row>
    <row r="399" spans="1:7" ht="12.75">
      <c r="A399" s="545"/>
      <c r="B399" s="545"/>
      <c r="C399" s="545"/>
      <c r="D399" s="545"/>
      <c r="E399" s="545"/>
      <c r="F399" s="545"/>
      <c r="G399" s="545"/>
    </row>
    <row r="400" spans="1:7" ht="12.75">
      <c r="A400" s="545"/>
      <c r="B400" s="545"/>
      <c r="C400" s="545"/>
      <c r="D400" s="545"/>
      <c r="E400" s="545"/>
      <c r="F400" s="545"/>
      <c r="G400" s="545"/>
    </row>
    <row r="401" spans="1:7" ht="12.75">
      <c r="A401" s="545"/>
      <c r="B401" s="545"/>
      <c r="C401" s="545"/>
      <c r="D401" s="545"/>
      <c r="E401" s="545"/>
      <c r="F401" s="545"/>
      <c r="G401" s="545"/>
    </row>
    <row r="402" spans="1:7" ht="12.75">
      <c r="A402" s="545"/>
      <c r="B402" s="545"/>
      <c r="C402" s="545"/>
      <c r="D402" s="545"/>
      <c r="E402" s="545"/>
      <c r="F402" s="545"/>
      <c r="G402" s="545"/>
    </row>
    <row r="403" spans="1:7" ht="12.75">
      <c r="A403" s="545"/>
      <c r="B403" s="545"/>
      <c r="C403" s="545"/>
      <c r="D403" s="545"/>
      <c r="E403" s="545"/>
      <c r="F403" s="545"/>
      <c r="G403" s="545"/>
    </row>
    <row r="404" spans="1:7" ht="12.75">
      <c r="A404" s="545"/>
      <c r="B404" s="545"/>
      <c r="C404" s="545"/>
      <c r="D404" s="545"/>
      <c r="E404" s="545"/>
      <c r="F404" s="545"/>
      <c r="G404" s="545"/>
    </row>
    <row r="405" spans="1:7" ht="12.75">
      <c r="A405" s="545"/>
      <c r="B405" s="545"/>
      <c r="C405" s="545"/>
      <c r="D405" s="545"/>
      <c r="E405" s="545"/>
      <c r="F405" s="545"/>
      <c r="G405" s="545"/>
    </row>
    <row r="406" spans="1:7" ht="12.75">
      <c r="A406" s="545"/>
      <c r="B406" s="545"/>
      <c r="C406" s="545"/>
      <c r="D406" s="545"/>
      <c r="E406" s="545"/>
      <c r="F406" s="545"/>
      <c r="G406" s="545"/>
    </row>
    <row r="407" spans="1:7" ht="12.75">
      <c r="A407" s="545"/>
      <c r="B407" s="545"/>
      <c r="C407" s="545"/>
      <c r="D407" s="545"/>
      <c r="E407" s="545"/>
      <c r="F407" s="545"/>
      <c r="G407" s="545"/>
    </row>
    <row r="408" spans="1:7" ht="12.75">
      <c r="A408" s="545"/>
      <c r="B408" s="545"/>
      <c r="C408" s="545"/>
      <c r="D408" s="545"/>
      <c r="E408" s="545"/>
      <c r="F408" s="545"/>
      <c r="G408" s="545"/>
    </row>
    <row r="409" spans="1:7" ht="12.75">
      <c r="A409" s="545"/>
      <c r="B409" s="545"/>
      <c r="C409" s="545"/>
      <c r="D409" s="545"/>
      <c r="E409" s="545"/>
      <c r="F409" s="545"/>
      <c r="G409" s="545"/>
    </row>
    <row r="410" spans="1:7" ht="12.75">
      <c r="A410" s="545"/>
      <c r="B410" s="545"/>
      <c r="C410" s="545"/>
      <c r="D410" s="545"/>
      <c r="E410" s="545"/>
      <c r="F410" s="545"/>
      <c r="G410" s="545"/>
    </row>
    <row r="411" spans="1:7" ht="12.75">
      <c r="A411" s="545"/>
      <c r="B411" s="545"/>
      <c r="C411" s="545"/>
      <c r="D411" s="545"/>
      <c r="E411" s="545"/>
      <c r="F411" s="545"/>
      <c r="G411" s="545"/>
    </row>
    <row r="412" spans="1:7" ht="12.75">
      <c r="A412" s="545"/>
      <c r="B412" s="545"/>
      <c r="C412" s="545"/>
      <c r="D412" s="545"/>
      <c r="E412" s="545"/>
      <c r="F412" s="545"/>
      <c r="G412" s="545"/>
    </row>
    <row r="413" spans="1:7" ht="12.75">
      <c r="A413" s="545"/>
      <c r="B413" s="545"/>
      <c r="C413" s="545"/>
      <c r="D413" s="545"/>
      <c r="E413" s="545"/>
      <c r="F413" s="545"/>
      <c r="G413" s="545"/>
    </row>
    <row r="414" spans="1:7" ht="12.75">
      <c r="A414" s="545"/>
      <c r="B414" s="545"/>
      <c r="C414" s="545"/>
      <c r="D414" s="545"/>
      <c r="E414" s="545"/>
      <c r="F414" s="545"/>
      <c r="G414" s="545"/>
    </row>
    <row r="415" spans="1:7" ht="12.75">
      <c r="A415" s="545"/>
      <c r="B415" s="545"/>
      <c r="C415" s="545"/>
      <c r="D415" s="545"/>
      <c r="E415" s="545"/>
      <c r="F415" s="545"/>
      <c r="G415" s="545"/>
    </row>
    <row r="416" spans="1:7" ht="12.75">
      <c r="A416" s="545"/>
      <c r="B416" s="545"/>
      <c r="C416" s="545"/>
      <c r="D416" s="545"/>
      <c r="E416" s="545"/>
      <c r="F416" s="545"/>
      <c r="G416" s="545"/>
    </row>
    <row r="417" spans="1:7" ht="12.75">
      <c r="A417" s="545"/>
      <c r="B417" s="545"/>
      <c r="C417" s="545"/>
      <c r="D417" s="545"/>
      <c r="E417" s="545"/>
      <c r="F417" s="545"/>
      <c r="G417" s="545"/>
    </row>
    <row r="418" spans="1:7" ht="12.75">
      <c r="A418" s="545"/>
      <c r="B418" s="545"/>
      <c r="C418" s="545"/>
      <c r="D418" s="545"/>
      <c r="E418" s="545"/>
      <c r="F418" s="545"/>
      <c r="G418" s="545"/>
    </row>
    <row r="419" spans="1:7" ht="12.75">
      <c r="A419" s="545"/>
      <c r="B419" s="545"/>
      <c r="C419" s="545"/>
      <c r="D419" s="545"/>
      <c r="E419" s="545"/>
      <c r="F419" s="545"/>
      <c r="G419" s="545"/>
    </row>
    <row r="420" spans="1:7" ht="12.75">
      <c r="A420" s="545"/>
      <c r="B420" s="545"/>
      <c r="C420" s="545"/>
      <c r="D420" s="545"/>
      <c r="E420" s="545"/>
      <c r="F420" s="545"/>
      <c r="G420" s="545"/>
    </row>
    <row r="421" spans="1:7" ht="12.75">
      <c r="A421" s="545"/>
      <c r="B421" s="545"/>
      <c r="C421" s="545"/>
      <c r="D421" s="545"/>
      <c r="E421" s="545"/>
      <c r="F421" s="545"/>
      <c r="G421" s="545"/>
    </row>
    <row r="422" spans="1:7" ht="12.75">
      <c r="A422" s="545"/>
      <c r="B422" s="545"/>
      <c r="C422" s="545"/>
      <c r="D422" s="545"/>
      <c r="E422" s="545"/>
      <c r="F422" s="545"/>
      <c r="G422" s="545"/>
    </row>
    <row r="423" spans="1:7" ht="12.75">
      <c r="A423" s="545"/>
      <c r="B423" s="545"/>
      <c r="C423" s="545"/>
      <c r="D423" s="545"/>
      <c r="E423" s="545"/>
      <c r="F423" s="545"/>
      <c r="G423" s="545"/>
    </row>
    <row r="424" spans="1:7" ht="12.75">
      <c r="A424" s="545"/>
      <c r="B424" s="545"/>
      <c r="C424" s="545"/>
      <c r="D424" s="545"/>
      <c r="E424" s="545"/>
      <c r="F424" s="545"/>
      <c r="G424" s="545"/>
    </row>
    <row r="425" spans="1:7" ht="12.75">
      <c r="A425" s="545"/>
      <c r="B425" s="545"/>
      <c r="C425" s="545"/>
      <c r="D425" s="545"/>
      <c r="E425" s="545"/>
      <c r="F425" s="545"/>
      <c r="G425" s="545"/>
    </row>
    <row r="426" spans="1:7" ht="12.75">
      <c r="A426" s="545"/>
      <c r="B426" s="545"/>
      <c r="C426" s="545"/>
      <c r="D426" s="545"/>
      <c r="E426" s="545"/>
      <c r="F426" s="545"/>
      <c r="G426" s="545"/>
    </row>
    <row r="427" spans="1:7" ht="12.75">
      <c r="A427" s="545"/>
      <c r="B427" s="545"/>
      <c r="C427" s="545"/>
      <c r="D427" s="545"/>
      <c r="E427" s="545"/>
      <c r="F427" s="545"/>
      <c r="G427" s="545"/>
    </row>
    <row r="428" spans="1:7" ht="12.75">
      <c r="A428" s="545"/>
      <c r="B428" s="545"/>
      <c r="C428" s="545"/>
      <c r="D428" s="545"/>
      <c r="E428" s="545"/>
      <c r="F428" s="545"/>
      <c r="G428" s="545"/>
    </row>
    <row r="429" spans="1:7" ht="12.75">
      <c r="A429" s="545"/>
      <c r="B429" s="545"/>
      <c r="C429" s="545"/>
      <c r="D429" s="545"/>
      <c r="E429" s="545"/>
      <c r="F429" s="545"/>
      <c r="G429" s="545"/>
    </row>
    <row r="430" spans="1:7" ht="12.75">
      <c r="A430" s="545"/>
      <c r="B430" s="545"/>
      <c r="C430" s="545"/>
      <c r="D430" s="545"/>
      <c r="E430" s="545"/>
      <c r="F430" s="545"/>
      <c r="G430" s="545"/>
    </row>
    <row r="431" spans="1:7" ht="12.75">
      <c r="A431" s="545"/>
      <c r="B431" s="545"/>
      <c r="C431" s="545"/>
      <c r="D431" s="545"/>
      <c r="E431" s="545"/>
      <c r="F431" s="545"/>
      <c r="G431" s="545"/>
    </row>
    <row r="432" spans="1:7" ht="12.75">
      <c r="A432" s="545"/>
      <c r="B432" s="545"/>
      <c r="C432" s="545"/>
      <c r="D432" s="545"/>
      <c r="E432" s="545"/>
      <c r="F432" s="545"/>
      <c r="G432" s="545"/>
    </row>
    <row r="433" spans="1:7" ht="12.75">
      <c r="A433" s="545"/>
      <c r="B433" s="545"/>
      <c r="C433" s="545"/>
      <c r="D433" s="545"/>
      <c r="E433" s="545"/>
      <c r="F433" s="545"/>
      <c r="G433" s="545"/>
    </row>
    <row r="434" spans="1:7" ht="12.75">
      <c r="A434" s="545"/>
      <c r="B434" s="545"/>
      <c r="C434" s="545"/>
      <c r="D434" s="545"/>
      <c r="E434" s="545"/>
      <c r="F434" s="545"/>
      <c r="G434" s="545"/>
    </row>
    <row r="435" spans="1:7" ht="12.75">
      <c r="A435" s="545"/>
      <c r="B435" s="545"/>
      <c r="C435" s="545"/>
      <c r="D435" s="545"/>
      <c r="E435" s="545"/>
      <c r="F435" s="545"/>
      <c r="G435" s="545"/>
    </row>
    <row r="436" spans="1:7" ht="12.75">
      <c r="A436" s="545"/>
      <c r="B436" s="545"/>
      <c r="C436" s="545"/>
      <c r="D436" s="545"/>
      <c r="E436" s="545"/>
      <c r="F436" s="545"/>
      <c r="G436" s="545"/>
    </row>
    <row r="437" spans="1:7" ht="12.75">
      <c r="A437" s="545"/>
      <c r="B437" s="545"/>
      <c r="C437" s="545"/>
      <c r="D437" s="545"/>
      <c r="E437" s="545"/>
      <c r="F437" s="545"/>
      <c r="G437" s="545"/>
    </row>
    <row r="438" spans="1:7" ht="12.75">
      <c r="A438" s="545"/>
      <c r="B438" s="545"/>
      <c r="C438" s="545"/>
      <c r="D438" s="545"/>
      <c r="E438" s="545"/>
      <c r="F438" s="545"/>
      <c r="G438" s="545"/>
    </row>
    <row r="439" spans="1:7" ht="12.75">
      <c r="A439" s="545"/>
      <c r="B439" s="545"/>
      <c r="C439" s="545"/>
      <c r="D439" s="545"/>
      <c r="E439" s="545"/>
      <c r="F439" s="545"/>
      <c r="G439" s="545"/>
    </row>
    <row r="440" spans="1:7" ht="12.75">
      <c r="A440" s="545"/>
      <c r="B440" s="545"/>
      <c r="C440" s="545"/>
      <c r="D440" s="545"/>
      <c r="E440" s="545"/>
      <c r="F440" s="545"/>
      <c r="G440" s="545"/>
    </row>
    <row r="441" spans="1:7" ht="12.75">
      <c r="A441" s="545"/>
      <c r="B441" s="545"/>
      <c r="C441" s="545"/>
      <c r="D441" s="545"/>
      <c r="E441" s="545"/>
      <c r="F441" s="545"/>
      <c r="G441" s="545"/>
    </row>
    <row r="442" spans="1:7" ht="12.75">
      <c r="A442" s="545"/>
      <c r="B442" s="545"/>
      <c r="C442" s="545"/>
      <c r="D442" s="545"/>
      <c r="E442" s="545"/>
      <c r="F442" s="545"/>
      <c r="G442" s="545"/>
    </row>
    <row r="443" spans="1:7" ht="12.75">
      <c r="A443" s="545"/>
      <c r="B443" s="545"/>
      <c r="C443" s="545"/>
      <c r="D443" s="545"/>
      <c r="E443" s="545"/>
      <c r="F443" s="545"/>
      <c r="G443" s="545"/>
    </row>
    <row r="444" spans="1:7" ht="12.75">
      <c r="A444" s="545"/>
      <c r="B444" s="545"/>
      <c r="C444" s="545"/>
      <c r="D444" s="545"/>
      <c r="E444" s="545"/>
      <c r="F444" s="545"/>
      <c r="G444" s="545"/>
    </row>
    <row r="445" spans="1:7" ht="12.75">
      <c r="A445" s="545"/>
      <c r="B445" s="545"/>
      <c r="C445" s="545"/>
      <c r="D445" s="545"/>
      <c r="E445" s="545"/>
      <c r="F445" s="545"/>
      <c r="G445" s="545"/>
    </row>
    <row r="446" spans="1:7" ht="12.75">
      <c r="A446" s="545"/>
      <c r="B446" s="545"/>
      <c r="C446" s="545"/>
      <c r="D446" s="545"/>
      <c r="E446" s="545"/>
      <c r="F446" s="545"/>
      <c r="G446" s="545"/>
    </row>
    <row r="447" spans="1:7" ht="12.75">
      <c r="A447" s="545"/>
      <c r="B447" s="545"/>
      <c r="C447" s="545"/>
      <c r="D447" s="545"/>
      <c r="E447" s="545"/>
      <c r="F447" s="545"/>
      <c r="G447" s="545"/>
    </row>
    <row r="448" spans="1:7" ht="12.75">
      <c r="A448" s="545"/>
      <c r="B448" s="545"/>
      <c r="C448" s="545"/>
      <c r="D448" s="545"/>
      <c r="E448" s="545"/>
      <c r="F448" s="545"/>
      <c r="G448" s="545"/>
    </row>
    <row r="449" spans="1:7" ht="12.75">
      <c r="A449" s="545"/>
      <c r="B449" s="545"/>
      <c r="C449" s="545"/>
      <c r="D449" s="545"/>
      <c r="E449" s="545"/>
      <c r="F449" s="545"/>
      <c r="G449" s="545"/>
    </row>
    <row r="450" spans="1:7" ht="12.75">
      <c r="A450" s="545"/>
      <c r="B450" s="545"/>
      <c r="C450" s="545"/>
      <c r="D450" s="545"/>
      <c r="E450" s="545"/>
      <c r="F450" s="545"/>
      <c r="G450" s="545"/>
    </row>
    <row r="451" spans="1:7" ht="12.75">
      <c r="A451" s="545"/>
      <c r="B451" s="545"/>
      <c r="C451" s="545"/>
      <c r="D451" s="545"/>
      <c r="E451" s="545"/>
      <c r="F451" s="545"/>
      <c r="G451" s="545"/>
    </row>
    <row r="452" spans="1:7" ht="12.75">
      <c r="A452" s="545"/>
      <c r="B452" s="545"/>
      <c r="C452" s="545"/>
      <c r="D452" s="545"/>
      <c r="E452" s="545"/>
      <c r="F452" s="545"/>
      <c r="G452" s="545"/>
    </row>
    <row r="453" spans="1:7" ht="12.75">
      <c r="A453" s="545"/>
      <c r="B453" s="545"/>
      <c r="C453" s="545"/>
      <c r="D453" s="545"/>
      <c r="E453" s="545"/>
      <c r="F453" s="545"/>
      <c r="G453" s="545"/>
    </row>
    <row r="454" spans="1:7" ht="12.75">
      <c r="A454" s="545"/>
      <c r="B454" s="545"/>
      <c r="C454" s="545"/>
      <c r="D454" s="545"/>
      <c r="E454" s="545"/>
      <c r="F454" s="545"/>
      <c r="G454" s="545"/>
    </row>
    <row r="455" spans="1:7" ht="12.75">
      <c r="A455" s="545"/>
      <c r="B455" s="545"/>
      <c r="C455" s="545"/>
      <c r="D455" s="545"/>
      <c r="E455" s="545"/>
      <c r="F455" s="545"/>
      <c r="G455" s="545"/>
    </row>
    <row r="456" spans="1:7" ht="12.75">
      <c r="A456" s="545"/>
      <c r="B456" s="545"/>
      <c r="C456" s="545"/>
      <c r="D456" s="545"/>
      <c r="E456" s="545"/>
      <c r="F456" s="545"/>
      <c r="G456" s="545"/>
    </row>
    <row r="457" spans="1:7" ht="12.75">
      <c r="A457" s="545"/>
      <c r="B457" s="545"/>
      <c r="C457" s="545"/>
      <c r="D457" s="545"/>
      <c r="E457" s="545"/>
      <c r="F457" s="545"/>
      <c r="G457" s="545"/>
    </row>
    <row r="458" spans="1:7" ht="12.75">
      <c r="A458" s="545"/>
      <c r="B458" s="545"/>
      <c r="C458" s="545"/>
      <c r="D458" s="545"/>
      <c r="E458" s="545"/>
      <c r="F458" s="545"/>
      <c r="G458" s="545"/>
    </row>
    <row r="459" spans="1:7" ht="12.75">
      <c r="A459" s="545"/>
      <c r="B459" s="545"/>
      <c r="C459" s="545"/>
      <c r="D459" s="545"/>
      <c r="E459" s="545"/>
      <c r="F459" s="545"/>
      <c r="G459" s="545"/>
    </row>
    <row r="460" spans="1:7" ht="12.75">
      <c r="A460" s="545"/>
      <c r="B460" s="545"/>
      <c r="C460" s="545"/>
      <c r="D460" s="545"/>
      <c r="E460" s="545"/>
      <c r="F460" s="545"/>
      <c r="G460" s="545"/>
    </row>
    <row r="461" spans="1:7" ht="12.75">
      <c r="A461" s="545"/>
      <c r="B461" s="545"/>
      <c r="C461" s="545"/>
      <c r="D461" s="545"/>
      <c r="E461" s="545"/>
      <c r="F461" s="545"/>
      <c r="G461" s="545"/>
    </row>
    <row r="462" spans="1:7" ht="12.75">
      <c r="A462" s="545"/>
      <c r="B462" s="545"/>
      <c r="C462" s="545"/>
      <c r="D462" s="545"/>
      <c r="E462" s="545"/>
      <c r="F462" s="545"/>
      <c r="G462" s="545"/>
    </row>
    <row r="463" spans="1:7" ht="12.75">
      <c r="A463" s="545"/>
      <c r="B463" s="545"/>
      <c r="C463" s="545"/>
      <c r="D463" s="545"/>
      <c r="E463" s="545"/>
      <c r="F463" s="545"/>
      <c r="G463" s="545"/>
    </row>
    <row r="464" spans="1:7" ht="12.75">
      <c r="A464" s="545"/>
      <c r="B464" s="545"/>
      <c r="C464" s="545"/>
      <c r="D464" s="545"/>
      <c r="E464" s="545"/>
      <c r="F464" s="545"/>
      <c r="G464" s="545"/>
    </row>
    <row r="465" spans="1:7" ht="12.75">
      <c r="A465" s="545"/>
      <c r="B465" s="545"/>
      <c r="C465" s="545"/>
      <c r="D465" s="545"/>
      <c r="E465" s="545"/>
      <c r="F465" s="545"/>
      <c r="G465" s="545"/>
    </row>
    <row r="466" spans="1:7" ht="12.75">
      <c r="A466" s="545"/>
      <c r="B466" s="545"/>
      <c r="C466" s="545"/>
      <c r="D466" s="545"/>
      <c r="E466" s="545"/>
      <c r="F466" s="545"/>
      <c r="G466" s="545"/>
    </row>
    <row r="467" spans="1:7" ht="12.75">
      <c r="A467" s="545"/>
      <c r="B467" s="545"/>
      <c r="C467" s="545"/>
      <c r="D467" s="545"/>
      <c r="E467" s="545"/>
      <c r="F467" s="545"/>
      <c r="G467" s="545"/>
    </row>
    <row r="468" spans="1:7" ht="12.75">
      <c r="A468" s="545"/>
      <c r="B468" s="545"/>
      <c r="C468" s="545"/>
      <c r="D468" s="545"/>
      <c r="E468" s="545"/>
      <c r="F468" s="545"/>
      <c r="G468" s="545"/>
    </row>
    <row r="469" spans="1:7" ht="12.75">
      <c r="A469" s="545"/>
      <c r="B469" s="545"/>
      <c r="C469" s="545"/>
      <c r="D469" s="545"/>
      <c r="E469" s="545"/>
      <c r="F469" s="545"/>
      <c r="G469" s="545"/>
    </row>
    <row r="470" spans="1:7" ht="12.75">
      <c r="A470" s="545"/>
      <c r="B470" s="545"/>
      <c r="C470" s="545"/>
      <c r="D470" s="545"/>
      <c r="E470" s="545"/>
      <c r="F470" s="545"/>
      <c r="G470" s="545"/>
    </row>
    <row r="471" spans="1:7" ht="12.75">
      <c r="A471" s="545"/>
      <c r="B471" s="545"/>
      <c r="C471" s="545"/>
      <c r="D471" s="545"/>
      <c r="E471" s="545"/>
      <c r="F471" s="545"/>
      <c r="G471" s="545"/>
    </row>
    <row r="472" spans="1:7" ht="12.75">
      <c r="A472" s="545"/>
      <c r="B472" s="545"/>
      <c r="C472" s="545"/>
      <c r="D472" s="545"/>
      <c r="E472" s="545"/>
      <c r="F472" s="545"/>
      <c r="G472" s="545"/>
    </row>
    <row r="473" spans="1:7" ht="12.75">
      <c r="A473" s="545"/>
      <c r="B473" s="545"/>
      <c r="C473" s="545"/>
      <c r="D473" s="545"/>
      <c r="E473" s="545"/>
      <c r="F473" s="545"/>
      <c r="G473" s="545"/>
    </row>
    <row r="474" spans="1:7" ht="12.75">
      <c r="A474" s="545"/>
      <c r="B474" s="545"/>
      <c r="C474" s="545"/>
      <c r="D474" s="545"/>
      <c r="E474" s="545"/>
      <c r="F474" s="545"/>
      <c r="G474" s="545"/>
    </row>
    <row r="475" spans="1:7" ht="12.75">
      <c r="A475" s="545"/>
      <c r="B475" s="545"/>
      <c r="C475" s="545"/>
      <c r="D475" s="545"/>
      <c r="E475" s="545"/>
      <c r="F475" s="545"/>
      <c r="G475" s="545"/>
    </row>
    <row r="476" spans="1:7" ht="12.75">
      <c r="A476" s="545"/>
      <c r="B476" s="545"/>
      <c r="C476" s="545"/>
      <c r="D476" s="545"/>
      <c r="E476" s="545"/>
      <c r="F476" s="545"/>
      <c r="G476" s="545"/>
    </row>
    <row r="477" spans="1:7" ht="12.75">
      <c r="A477" s="545"/>
      <c r="B477" s="545"/>
      <c r="C477" s="545"/>
      <c r="D477" s="545"/>
      <c r="E477" s="545"/>
      <c r="F477" s="545"/>
      <c r="G477" s="545"/>
    </row>
    <row r="478" spans="1:7" ht="12.75">
      <c r="A478" s="545"/>
      <c r="B478" s="545"/>
      <c r="C478" s="545"/>
      <c r="D478" s="545"/>
      <c r="E478" s="545"/>
      <c r="F478" s="545"/>
      <c r="G478" s="545"/>
    </row>
    <row r="479" spans="1:7" ht="12.75">
      <c r="A479" s="545"/>
      <c r="B479" s="545"/>
      <c r="C479" s="545"/>
      <c r="D479" s="545"/>
      <c r="E479" s="545"/>
      <c r="F479" s="545"/>
      <c r="G479" s="545"/>
    </row>
    <row r="480" spans="1:7" ht="12.75">
      <c r="A480" s="545"/>
      <c r="B480" s="545"/>
      <c r="C480" s="545"/>
      <c r="D480" s="545"/>
      <c r="E480" s="545"/>
      <c r="F480" s="545"/>
      <c r="G480" s="545"/>
    </row>
    <row r="481" spans="1:7" ht="12.75">
      <c r="A481" s="545"/>
      <c r="B481" s="545"/>
      <c r="C481" s="545"/>
      <c r="D481" s="545"/>
      <c r="E481" s="545"/>
      <c r="F481" s="545"/>
      <c r="G481" s="545"/>
    </row>
    <row r="482" spans="1:7" ht="12.75">
      <c r="A482" s="545"/>
      <c r="B482" s="545"/>
      <c r="C482" s="545"/>
      <c r="D482" s="545"/>
      <c r="E482" s="545"/>
      <c r="F482" s="545"/>
      <c r="G482" s="545"/>
    </row>
    <row r="483" spans="1:7" ht="12.75">
      <c r="A483" s="545"/>
      <c r="B483" s="545"/>
      <c r="C483" s="545"/>
      <c r="D483" s="545"/>
      <c r="E483" s="545"/>
      <c r="F483" s="545"/>
      <c r="G483" s="545"/>
    </row>
    <row r="484" spans="1:7" ht="12.75">
      <c r="A484" s="545"/>
      <c r="B484" s="545"/>
      <c r="C484" s="545"/>
      <c r="D484" s="545"/>
      <c r="E484" s="545"/>
      <c r="F484" s="545"/>
      <c r="G484" s="545"/>
    </row>
    <row r="485" spans="1:7" ht="12.75">
      <c r="A485" s="545"/>
      <c r="B485" s="545"/>
      <c r="C485" s="545"/>
      <c r="D485" s="545"/>
      <c r="E485" s="545"/>
      <c r="F485" s="545"/>
      <c r="G485" s="545"/>
    </row>
    <row r="486" spans="1:7" ht="12.75">
      <c r="A486" s="545"/>
      <c r="B486" s="545"/>
      <c r="C486" s="545"/>
      <c r="D486" s="545"/>
      <c r="E486" s="545"/>
      <c r="F486" s="545"/>
      <c r="G486" s="545"/>
    </row>
    <row r="487" spans="1:7" ht="12.75">
      <c r="A487" s="545"/>
      <c r="B487" s="545"/>
      <c r="C487" s="545"/>
      <c r="D487" s="545"/>
      <c r="E487" s="545"/>
      <c r="F487" s="545"/>
      <c r="G487" s="545"/>
    </row>
    <row r="488" spans="1:7" ht="12.75">
      <c r="A488" s="545"/>
      <c r="B488" s="545"/>
      <c r="C488" s="545"/>
      <c r="D488" s="545"/>
      <c r="E488" s="545"/>
      <c r="F488" s="545"/>
      <c r="G488" s="545"/>
    </row>
    <row r="489" spans="1:7" ht="12.75">
      <c r="A489" s="545"/>
      <c r="B489" s="545"/>
      <c r="C489" s="545"/>
      <c r="D489" s="545"/>
      <c r="E489" s="545"/>
      <c r="F489" s="545"/>
      <c r="G489" s="545"/>
    </row>
    <row r="490" spans="1:7" ht="12.75">
      <c r="A490" s="545"/>
      <c r="B490" s="545"/>
      <c r="C490" s="545"/>
      <c r="D490" s="545"/>
      <c r="E490" s="545"/>
      <c r="F490" s="545"/>
      <c r="G490" s="545"/>
    </row>
    <row r="491" spans="1:7" ht="12.75">
      <c r="A491" s="545"/>
      <c r="B491" s="545"/>
      <c r="C491" s="545"/>
      <c r="D491" s="545"/>
      <c r="E491" s="545"/>
      <c r="F491" s="545"/>
      <c r="G491" s="545"/>
    </row>
    <row r="492" spans="1:7" ht="12.75">
      <c r="A492" s="545"/>
      <c r="B492" s="545"/>
      <c r="C492" s="545"/>
      <c r="D492" s="545"/>
      <c r="E492" s="545"/>
      <c r="F492" s="545"/>
      <c r="G492" s="545"/>
    </row>
    <row r="493" spans="1:7" ht="12.75">
      <c r="A493" s="545"/>
      <c r="B493" s="545"/>
      <c r="C493" s="545"/>
      <c r="D493" s="545"/>
      <c r="E493" s="545"/>
      <c r="F493" s="545"/>
      <c r="G493" s="545"/>
    </row>
    <row r="494" spans="1:7" ht="12.75">
      <c r="A494" s="545"/>
      <c r="B494" s="545"/>
      <c r="C494" s="545"/>
      <c r="D494" s="545"/>
      <c r="E494" s="545"/>
      <c r="F494" s="545"/>
      <c r="G494" s="545"/>
    </row>
    <row r="495" spans="1:7" ht="12.75">
      <c r="A495" s="545"/>
      <c r="B495" s="545"/>
      <c r="C495" s="545"/>
      <c r="D495" s="545"/>
      <c r="E495" s="545"/>
      <c r="F495" s="545"/>
      <c r="G495" s="545"/>
    </row>
    <row r="496" spans="1:7" ht="12.75">
      <c r="A496" s="545"/>
      <c r="B496" s="545"/>
      <c r="C496" s="545"/>
      <c r="D496" s="545"/>
      <c r="E496" s="545"/>
      <c r="F496" s="545"/>
      <c r="G496" s="545"/>
    </row>
    <row r="497" spans="1:7" ht="12.75">
      <c r="A497" s="545"/>
      <c r="B497" s="545"/>
      <c r="C497" s="545"/>
      <c r="D497" s="545"/>
      <c r="E497" s="545"/>
      <c r="F497" s="545"/>
      <c r="G497" s="545"/>
    </row>
    <row r="498" spans="1:7" ht="12.75">
      <c r="A498" s="545"/>
      <c r="B498" s="545"/>
      <c r="C498" s="545"/>
      <c r="D498" s="545"/>
      <c r="E498" s="545"/>
      <c r="F498" s="545"/>
      <c r="G498" s="545"/>
    </row>
    <row r="499" spans="1:7" ht="12.75">
      <c r="A499" s="545"/>
      <c r="B499" s="545"/>
      <c r="C499" s="545"/>
      <c r="D499" s="545"/>
      <c r="E499" s="545"/>
      <c r="F499" s="545"/>
      <c r="G499" s="545"/>
    </row>
    <row r="500" spans="1:7" ht="12.75">
      <c r="A500" s="545"/>
      <c r="B500" s="545"/>
      <c r="C500" s="545"/>
      <c r="D500" s="545"/>
      <c r="E500" s="545"/>
      <c r="F500" s="545"/>
      <c r="G500" s="545"/>
    </row>
    <row r="501" spans="1:7" ht="12.75">
      <c r="A501" s="545"/>
      <c r="B501" s="545"/>
      <c r="C501" s="545"/>
      <c r="D501" s="545"/>
      <c r="E501" s="545"/>
      <c r="F501" s="545"/>
      <c r="G501" s="545"/>
    </row>
    <row r="502" spans="1:7" ht="12.75">
      <c r="A502" s="545"/>
      <c r="B502" s="545"/>
      <c r="C502" s="545"/>
      <c r="D502" s="545"/>
      <c r="E502" s="545"/>
      <c r="F502" s="545"/>
      <c r="G502" s="545"/>
    </row>
    <row r="503" spans="1:7" ht="12.75">
      <c r="A503" s="545"/>
      <c r="B503" s="545"/>
      <c r="C503" s="545"/>
      <c r="D503" s="545"/>
      <c r="E503" s="545"/>
      <c r="F503" s="545"/>
      <c r="G503" s="545"/>
    </row>
    <row r="504" spans="1:7" ht="12.75">
      <c r="A504" s="545"/>
      <c r="B504" s="545"/>
      <c r="C504" s="545"/>
      <c r="D504" s="545"/>
      <c r="E504" s="545"/>
      <c r="F504" s="545"/>
      <c r="G504" s="545"/>
    </row>
    <row r="505" spans="1:7" ht="12.75">
      <c r="A505" s="545"/>
      <c r="B505" s="545"/>
      <c r="C505" s="545"/>
      <c r="D505" s="545"/>
      <c r="E505" s="545"/>
      <c r="F505" s="545"/>
      <c r="G505" s="545"/>
    </row>
    <row r="506" spans="1:7" ht="12.75">
      <c r="A506" s="545"/>
      <c r="B506" s="545"/>
      <c r="C506" s="545"/>
      <c r="D506" s="545"/>
      <c r="E506" s="545"/>
      <c r="F506" s="545"/>
      <c r="G506" s="545"/>
    </row>
    <row r="507" spans="1:7" ht="12.75">
      <c r="A507" s="545"/>
      <c r="B507" s="545"/>
      <c r="C507" s="545"/>
      <c r="D507" s="545"/>
      <c r="E507" s="545"/>
      <c r="F507" s="545"/>
      <c r="G507" s="545"/>
    </row>
    <row r="508" spans="1:7" ht="12.75">
      <c r="A508" s="545"/>
      <c r="B508" s="545"/>
      <c r="C508" s="545"/>
      <c r="D508" s="545"/>
      <c r="E508" s="545"/>
      <c r="F508" s="545"/>
      <c r="G508" s="545"/>
    </row>
    <row r="509" spans="1:7" ht="12.75">
      <c r="A509" s="545"/>
      <c r="B509" s="545"/>
      <c r="C509" s="545"/>
      <c r="D509" s="545"/>
      <c r="E509" s="545"/>
      <c r="F509" s="545"/>
      <c r="G509" s="545"/>
    </row>
    <row r="510" spans="1:7" ht="12.75">
      <c r="A510" s="545"/>
      <c r="B510" s="545"/>
      <c r="C510" s="545"/>
      <c r="D510" s="545"/>
      <c r="E510" s="545"/>
      <c r="F510" s="545"/>
      <c r="G510" s="545"/>
    </row>
    <row r="511" spans="1:7" ht="12.75">
      <c r="A511" s="545"/>
      <c r="B511" s="545"/>
      <c r="C511" s="545"/>
      <c r="D511" s="545"/>
      <c r="E511" s="545"/>
      <c r="F511" s="545"/>
      <c r="G511" s="545"/>
    </row>
    <row r="512" spans="1:7" ht="12.75">
      <c r="A512" s="545"/>
      <c r="B512" s="545"/>
      <c r="C512" s="545"/>
      <c r="D512" s="545"/>
      <c r="E512" s="545"/>
      <c r="F512" s="545"/>
      <c r="G512" s="545"/>
    </row>
    <row r="513" spans="1:7" ht="12.75">
      <c r="A513" s="545"/>
      <c r="B513" s="545"/>
      <c r="C513" s="545"/>
      <c r="D513" s="545"/>
      <c r="E513" s="545"/>
      <c r="F513" s="545"/>
      <c r="G513" s="545"/>
    </row>
    <row r="514" spans="1:7" ht="12.75">
      <c r="A514" s="545"/>
      <c r="B514" s="545"/>
      <c r="C514" s="545"/>
      <c r="D514" s="545"/>
      <c r="E514" s="545"/>
      <c r="F514" s="545"/>
      <c r="G514" s="545"/>
    </row>
    <row r="515" spans="1:7" ht="12.75">
      <c r="A515" s="545"/>
      <c r="B515" s="545"/>
      <c r="C515" s="545"/>
      <c r="D515" s="545"/>
      <c r="E515" s="545"/>
      <c r="F515" s="545"/>
      <c r="G515" s="545"/>
    </row>
    <row r="516" spans="1:7" ht="12.75">
      <c r="A516" s="545"/>
      <c r="B516" s="545"/>
      <c r="C516" s="545"/>
      <c r="D516" s="545"/>
      <c r="E516" s="545"/>
      <c r="F516" s="545"/>
      <c r="G516" s="545"/>
    </row>
    <row r="517" spans="1:7" ht="12.75">
      <c r="A517" s="545"/>
      <c r="B517" s="545"/>
      <c r="C517" s="545"/>
      <c r="D517" s="545"/>
      <c r="E517" s="545"/>
      <c r="F517" s="545"/>
      <c r="G517" s="545"/>
    </row>
    <row r="518" spans="1:7" ht="12.75">
      <c r="A518" s="545"/>
      <c r="B518" s="545"/>
      <c r="C518" s="545"/>
      <c r="D518" s="545"/>
      <c r="E518" s="545"/>
      <c r="F518" s="545"/>
      <c r="G518" s="545"/>
    </row>
    <row r="519" spans="1:7" ht="12.75">
      <c r="A519" s="545"/>
      <c r="B519" s="545"/>
      <c r="C519" s="545"/>
      <c r="D519" s="545"/>
      <c r="E519" s="545"/>
      <c r="F519" s="545"/>
      <c r="G519" s="545"/>
    </row>
    <row r="520" spans="1:7" ht="12.75">
      <c r="A520" s="545"/>
      <c r="B520" s="545"/>
      <c r="C520" s="545"/>
      <c r="D520" s="545"/>
      <c r="E520" s="545"/>
      <c r="F520" s="545"/>
      <c r="G520" s="545"/>
    </row>
    <row r="521" spans="1:7" ht="12.75">
      <c r="A521" s="545"/>
      <c r="B521" s="545"/>
      <c r="C521" s="545"/>
      <c r="D521" s="545"/>
      <c r="E521" s="545"/>
      <c r="F521" s="545"/>
      <c r="G521" s="545"/>
    </row>
    <row r="522" spans="1:7" ht="12.75">
      <c r="A522" s="545"/>
      <c r="B522" s="545"/>
      <c r="C522" s="545"/>
      <c r="D522" s="545"/>
      <c r="E522" s="545"/>
      <c r="F522" s="545"/>
      <c r="G522" s="545"/>
    </row>
    <row r="523" spans="1:7" ht="12.75">
      <c r="A523" s="545"/>
      <c r="B523" s="545"/>
      <c r="C523" s="545"/>
      <c r="D523" s="545"/>
      <c r="E523" s="545"/>
      <c r="F523" s="545"/>
      <c r="G523" s="545"/>
    </row>
    <row r="524" spans="1:7" ht="12.75">
      <c r="A524" s="545"/>
      <c r="B524" s="545"/>
      <c r="C524" s="545"/>
      <c r="D524" s="545"/>
      <c r="E524" s="545"/>
      <c r="F524" s="545"/>
      <c r="G524" s="545"/>
    </row>
    <row r="525" spans="1:7" ht="12.75">
      <c r="A525" s="545"/>
      <c r="B525" s="545"/>
      <c r="C525" s="545"/>
      <c r="D525" s="545"/>
      <c r="E525" s="545"/>
      <c r="F525" s="545"/>
      <c r="G525" s="545"/>
    </row>
    <row r="526" spans="1:7" ht="12.75">
      <c r="A526" s="545"/>
      <c r="B526" s="545"/>
      <c r="C526" s="545"/>
      <c r="D526" s="545"/>
      <c r="E526" s="545"/>
      <c r="F526" s="545"/>
      <c r="G526" s="545"/>
    </row>
    <row r="527" spans="1:7" ht="12.75">
      <c r="A527" s="545"/>
      <c r="B527" s="545"/>
      <c r="C527" s="545"/>
      <c r="D527" s="545"/>
      <c r="E527" s="545"/>
      <c r="F527" s="545"/>
      <c r="G527" s="545"/>
    </row>
    <row r="528" spans="1:7" ht="12.75">
      <c r="A528" s="545"/>
      <c r="B528" s="545"/>
      <c r="C528" s="545"/>
      <c r="D528" s="545"/>
      <c r="E528" s="545"/>
      <c r="F528" s="545"/>
      <c r="G528" s="545"/>
    </row>
    <row r="529" spans="1:7" ht="12.75">
      <c r="A529" s="545"/>
      <c r="B529" s="545"/>
      <c r="C529" s="545"/>
      <c r="D529" s="545"/>
      <c r="E529" s="545"/>
      <c r="F529" s="545"/>
      <c r="G529" s="545"/>
    </row>
    <row r="530" spans="1:7" ht="12.75">
      <c r="A530" s="545"/>
      <c r="B530" s="545"/>
      <c r="C530" s="545"/>
      <c r="D530" s="545"/>
      <c r="E530" s="545"/>
      <c r="F530" s="545"/>
      <c r="G530" s="545"/>
    </row>
    <row r="531" spans="1:7" ht="12.75">
      <c r="A531" s="545"/>
      <c r="B531" s="545"/>
      <c r="C531" s="545"/>
      <c r="D531" s="545"/>
      <c r="E531" s="545"/>
      <c r="F531" s="545"/>
      <c r="G531" s="545"/>
    </row>
    <row r="532" spans="1:7" ht="12.75">
      <c r="A532" s="545"/>
      <c r="B532" s="545"/>
      <c r="C532" s="545"/>
      <c r="D532" s="545"/>
      <c r="E532" s="545"/>
      <c r="F532" s="545"/>
      <c r="G532" s="545"/>
    </row>
    <row r="533" spans="1:7" ht="12.75">
      <c r="A533" s="545"/>
      <c r="B533" s="545"/>
      <c r="C533" s="545"/>
      <c r="D533" s="545"/>
      <c r="E533" s="545"/>
      <c r="F533" s="545"/>
      <c r="G533" s="545"/>
    </row>
    <row r="534" spans="1:7" ht="12.75">
      <c r="A534" s="545"/>
      <c r="B534" s="545"/>
      <c r="C534" s="545"/>
      <c r="D534" s="545"/>
      <c r="E534" s="545"/>
      <c r="F534" s="545"/>
      <c r="G534" s="545"/>
    </row>
    <row r="535" spans="1:7" ht="12.75">
      <c r="A535" s="545"/>
      <c r="B535" s="545"/>
      <c r="C535" s="545"/>
      <c r="D535" s="545"/>
      <c r="E535" s="545"/>
      <c r="F535" s="545"/>
      <c r="G535" s="545"/>
    </row>
    <row r="536" spans="1:7" ht="12.75">
      <c r="A536" s="545"/>
      <c r="B536" s="545"/>
      <c r="C536" s="545"/>
      <c r="D536" s="545"/>
      <c r="E536" s="545"/>
      <c r="F536" s="545"/>
      <c r="G536" s="545"/>
    </row>
    <row r="537" spans="1:7" ht="12.75">
      <c r="A537" s="545"/>
      <c r="B537" s="545"/>
      <c r="C537" s="545"/>
      <c r="D537" s="545"/>
      <c r="E537" s="545"/>
      <c r="F537" s="545"/>
      <c r="G537" s="545"/>
    </row>
    <row r="538" spans="1:7" ht="12.75">
      <c r="A538" s="545"/>
      <c r="B538" s="545"/>
      <c r="C538" s="545"/>
      <c r="D538" s="545"/>
      <c r="E538" s="545"/>
      <c r="F538" s="545"/>
      <c r="G538" s="545"/>
    </row>
    <row r="539" spans="1:7" ht="12.75">
      <c r="A539" s="545"/>
      <c r="B539" s="545"/>
      <c r="C539" s="545"/>
      <c r="D539" s="545"/>
      <c r="E539" s="545"/>
      <c r="F539" s="545"/>
      <c r="G539" s="545"/>
    </row>
    <row r="540" spans="1:7" ht="12.75">
      <c r="A540" s="545"/>
      <c r="B540" s="545"/>
      <c r="C540" s="545"/>
      <c r="D540" s="545"/>
      <c r="E540" s="545"/>
      <c r="F540" s="545"/>
      <c r="G540" s="545"/>
    </row>
    <row r="541" spans="1:7" ht="12.75">
      <c r="A541" s="545"/>
      <c r="B541" s="545"/>
      <c r="C541" s="545"/>
      <c r="D541" s="545"/>
      <c r="E541" s="545"/>
      <c r="F541" s="545"/>
      <c r="G541" s="545"/>
    </row>
    <row r="542" spans="1:7" ht="12.75">
      <c r="A542" s="545"/>
      <c r="B542" s="545"/>
      <c r="C542" s="545"/>
      <c r="D542" s="545"/>
      <c r="E542" s="545"/>
      <c r="F542" s="545"/>
      <c r="G542" s="545"/>
    </row>
    <row r="543" spans="1:7" ht="12.75">
      <c r="A543" s="545"/>
      <c r="B543" s="545"/>
      <c r="C543" s="545"/>
      <c r="D543" s="545"/>
      <c r="E543" s="545"/>
      <c r="F543" s="545"/>
      <c r="G543" s="545"/>
    </row>
    <row r="544" spans="1:7" ht="12.75">
      <c r="A544" s="545"/>
      <c r="B544" s="545"/>
      <c r="C544" s="545"/>
      <c r="D544" s="545"/>
      <c r="E544" s="545"/>
      <c r="F544" s="545"/>
      <c r="G544" s="545"/>
    </row>
    <row r="545" spans="1:7" ht="12.75">
      <c r="A545" s="545"/>
      <c r="B545" s="545"/>
      <c r="C545" s="545"/>
      <c r="D545" s="545"/>
      <c r="E545" s="545"/>
      <c r="F545" s="545"/>
      <c r="G545" s="545"/>
    </row>
    <row r="546" spans="1:7" ht="12.75">
      <c r="A546" s="545"/>
      <c r="B546" s="545"/>
      <c r="C546" s="545"/>
      <c r="D546" s="545"/>
      <c r="E546" s="545"/>
      <c r="F546" s="545"/>
      <c r="G546" s="545"/>
    </row>
    <row r="547" spans="1:7" ht="12.75">
      <c r="A547" s="545"/>
      <c r="B547" s="545"/>
      <c r="C547" s="545"/>
      <c r="D547" s="545"/>
      <c r="E547" s="545"/>
      <c r="F547" s="545"/>
      <c r="G547" s="545"/>
    </row>
    <row r="548" spans="1:7" ht="12.75">
      <c r="A548" s="545"/>
      <c r="B548" s="545"/>
      <c r="C548" s="545"/>
      <c r="D548" s="545"/>
      <c r="E548" s="545"/>
      <c r="F548" s="545"/>
      <c r="G548" s="545"/>
    </row>
    <row r="549" spans="1:7" ht="12.75">
      <c r="A549" s="545"/>
      <c r="B549" s="545"/>
      <c r="C549" s="545"/>
      <c r="D549" s="545"/>
      <c r="E549" s="545"/>
      <c r="F549" s="545"/>
      <c r="G549" s="545"/>
    </row>
    <row r="550" spans="1:7" ht="12.75">
      <c r="A550" s="545"/>
      <c r="B550" s="545"/>
      <c r="C550" s="545"/>
      <c r="D550" s="545"/>
      <c r="E550" s="545"/>
      <c r="F550" s="545"/>
      <c r="G550" s="545"/>
    </row>
    <row r="551" spans="1:7" ht="12.75">
      <c r="A551" s="545"/>
      <c r="B551" s="545"/>
      <c r="C551" s="545"/>
      <c r="D551" s="545"/>
      <c r="E551" s="545"/>
      <c r="F551" s="545"/>
      <c r="G551" s="545"/>
    </row>
    <row r="552" spans="1:7" ht="12.75">
      <c r="A552" s="545"/>
      <c r="B552" s="545"/>
      <c r="C552" s="545"/>
      <c r="D552" s="545"/>
      <c r="E552" s="545"/>
      <c r="F552" s="545"/>
      <c r="G552" s="545"/>
    </row>
    <row r="553" spans="1:7" ht="12.75">
      <c r="A553" s="545"/>
      <c r="B553" s="545"/>
      <c r="C553" s="545"/>
      <c r="D553" s="545"/>
      <c r="E553" s="545"/>
      <c r="F553" s="545"/>
      <c r="G553" s="545"/>
    </row>
    <row r="554" spans="1:7" ht="12.75">
      <c r="A554" s="545"/>
      <c r="B554" s="545"/>
      <c r="C554" s="545"/>
      <c r="D554" s="545"/>
      <c r="E554" s="545"/>
      <c r="F554" s="545"/>
      <c r="G554" s="545"/>
    </row>
    <row r="555" spans="1:7" ht="12.75">
      <c r="A555" s="545"/>
      <c r="B555" s="545"/>
      <c r="C555" s="545"/>
      <c r="D555" s="545"/>
      <c r="E555" s="545"/>
      <c r="F555" s="545"/>
      <c r="G555" s="545"/>
    </row>
    <row r="556" spans="1:7" ht="12.75">
      <c r="A556" s="545"/>
      <c r="B556" s="545"/>
      <c r="C556" s="545"/>
      <c r="D556" s="545"/>
      <c r="E556" s="545"/>
      <c r="F556" s="545"/>
      <c r="G556" s="545"/>
    </row>
    <row r="557" spans="1:7" ht="12.75">
      <c r="A557" s="545"/>
      <c r="B557" s="545"/>
      <c r="C557" s="545"/>
      <c r="D557" s="545"/>
      <c r="E557" s="545"/>
      <c r="F557" s="545"/>
      <c r="G557" s="545"/>
    </row>
    <row r="558" spans="1:7" ht="12.75">
      <c r="A558" s="545"/>
      <c r="B558" s="545"/>
      <c r="C558" s="545"/>
      <c r="D558" s="545"/>
      <c r="E558" s="545"/>
      <c r="F558" s="545"/>
      <c r="G558" s="545"/>
    </row>
    <row r="559" spans="1:7" ht="12.75">
      <c r="A559" s="545"/>
      <c r="B559" s="545"/>
      <c r="C559" s="545"/>
      <c r="D559" s="545"/>
      <c r="E559" s="545"/>
      <c r="F559" s="545"/>
      <c r="G559" s="545"/>
    </row>
    <row r="560" spans="1:7" ht="12.75">
      <c r="A560" s="545"/>
      <c r="B560" s="545"/>
      <c r="C560" s="545"/>
      <c r="D560" s="545"/>
      <c r="E560" s="545"/>
      <c r="F560" s="545"/>
      <c r="G560" s="545"/>
    </row>
    <row r="561" spans="1:7" ht="12.75">
      <c r="A561" s="545"/>
      <c r="B561" s="545"/>
      <c r="C561" s="545"/>
      <c r="D561" s="545"/>
      <c r="E561" s="545"/>
      <c r="F561" s="545"/>
      <c r="G561" s="545"/>
    </row>
    <row r="562" spans="1:7" ht="12.75">
      <c r="A562" s="545"/>
      <c r="B562" s="545"/>
      <c r="C562" s="545"/>
      <c r="D562" s="545"/>
      <c r="E562" s="545"/>
      <c r="F562" s="545"/>
      <c r="G562" s="545"/>
    </row>
    <row r="563" spans="1:7" ht="12.75">
      <c r="A563" s="545"/>
      <c r="B563" s="545"/>
      <c r="C563" s="545"/>
      <c r="D563" s="545"/>
      <c r="E563" s="545"/>
      <c r="F563" s="545"/>
      <c r="G563" s="545"/>
    </row>
    <row r="564" spans="1:7" ht="12.75">
      <c r="A564" s="545"/>
      <c r="B564" s="545"/>
      <c r="C564" s="545"/>
      <c r="D564" s="545"/>
      <c r="E564" s="545"/>
      <c r="F564" s="545"/>
      <c r="G564" s="545"/>
    </row>
    <row r="565" spans="1:7" ht="12.75">
      <c r="A565" s="545"/>
      <c r="B565" s="545"/>
      <c r="C565" s="545"/>
      <c r="D565" s="545"/>
      <c r="E565" s="545"/>
      <c r="F565" s="545"/>
      <c r="G565" s="545"/>
    </row>
    <row r="566" spans="1:7" ht="12.75">
      <c r="A566" s="545"/>
      <c r="B566" s="545"/>
      <c r="C566" s="545"/>
      <c r="D566" s="545"/>
      <c r="E566" s="545"/>
      <c r="F566" s="545"/>
      <c r="G566" s="545"/>
    </row>
    <row r="567" spans="1:7" ht="12.75">
      <c r="A567" s="545"/>
      <c r="B567" s="545"/>
      <c r="C567" s="545"/>
      <c r="D567" s="545"/>
      <c r="E567" s="545"/>
      <c r="F567" s="545"/>
      <c r="G567" s="545"/>
    </row>
    <row r="568" spans="1:7" ht="12.75">
      <c r="A568" s="545"/>
      <c r="B568" s="545"/>
      <c r="C568" s="545"/>
      <c r="D568" s="545"/>
      <c r="E568" s="545"/>
      <c r="F568" s="545"/>
      <c r="G568" s="545"/>
    </row>
    <row r="569" spans="1:7" ht="12.75">
      <c r="A569" s="545"/>
      <c r="B569" s="545"/>
      <c r="C569" s="545"/>
      <c r="D569" s="545"/>
      <c r="E569" s="545"/>
      <c r="F569" s="545"/>
      <c r="G569" s="545"/>
    </row>
    <row r="570" spans="1:7" ht="12.75">
      <c r="A570" s="545"/>
      <c r="B570" s="545"/>
      <c r="C570" s="545"/>
      <c r="D570" s="545"/>
      <c r="E570" s="545"/>
      <c r="F570" s="545"/>
      <c r="G570" s="545"/>
    </row>
    <row r="571" spans="1:7" ht="12.75">
      <c r="A571" s="545"/>
      <c r="B571" s="545"/>
      <c r="C571" s="545"/>
      <c r="D571" s="545"/>
      <c r="E571" s="545"/>
      <c r="F571" s="545"/>
      <c r="G571" s="545"/>
    </row>
    <row r="572" spans="1:7" ht="12.75">
      <c r="A572" s="545"/>
      <c r="B572" s="545"/>
      <c r="C572" s="545"/>
      <c r="D572" s="545"/>
      <c r="E572" s="545"/>
      <c r="F572" s="545"/>
      <c r="G572" s="545"/>
    </row>
    <row r="573" spans="1:7" ht="12.75">
      <c r="A573" s="545"/>
      <c r="B573" s="545"/>
      <c r="C573" s="545"/>
      <c r="D573" s="545"/>
      <c r="E573" s="545"/>
      <c r="F573" s="545"/>
      <c r="G573" s="545"/>
    </row>
    <row r="574" spans="1:7" ht="12.75">
      <c r="A574" s="545"/>
      <c r="B574" s="545"/>
      <c r="C574" s="545"/>
      <c r="D574" s="545"/>
      <c r="E574" s="545"/>
      <c r="F574" s="545"/>
      <c r="G574" s="545"/>
    </row>
    <row r="575" spans="1:7" ht="12.75">
      <c r="A575" s="545"/>
      <c r="B575" s="545"/>
      <c r="C575" s="545"/>
      <c r="D575" s="545"/>
      <c r="E575" s="545"/>
      <c r="F575" s="545"/>
      <c r="G575" s="545"/>
    </row>
    <row r="576" spans="1:7" ht="12.75">
      <c r="A576" s="545"/>
      <c r="B576" s="545"/>
      <c r="C576" s="545"/>
      <c r="D576" s="545"/>
      <c r="E576" s="545"/>
      <c r="F576" s="545"/>
      <c r="G576" s="545"/>
    </row>
    <row r="577" spans="1:7" ht="12.75">
      <c r="A577" s="545"/>
      <c r="B577" s="545"/>
      <c r="C577" s="545"/>
      <c r="D577" s="545"/>
      <c r="E577" s="545"/>
      <c r="F577" s="545"/>
      <c r="G577" s="545"/>
    </row>
    <row r="578" spans="1:7" ht="12.75">
      <c r="A578" s="545"/>
      <c r="B578" s="545"/>
      <c r="C578" s="545"/>
      <c r="D578" s="545"/>
      <c r="E578" s="545"/>
      <c r="F578" s="545"/>
      <c r="G578" s="545"/>
    </row>
    <row r="579" spans="1:7" ht="12.75">
      <c r="A579" s="545"/>
      <c r="B579" s="545"/>
      <c r="C579" s="545"/>
      <c r="D579" s="545"/>
      <c r="E579" s="545"/>
      <c r="F579" s="545"/>
      <c r="G579" s="545"/>
    </row>
    <row r="580" spans="1:7" ht="12.75">
      <c r="A580" s="545"/>
      <c r="B580" s="545"/>
      <c r="C580" s="545"/>
      <c r="D580" s="545"/>
      <c r="E580" s="545"/>
      <c r="F580" s="545"/>
      <c r="G580" s="545"/>
    </row>
    <row r="581" spans="1:7" ht="12.75">
      <c r="A581" s="545"/>
      <c r="B581" s="545"/>
      <c r="C581" s="545"/>
      <c r="D581" s="545"/>
      <c r="E581" s="545"/>
      <c r="F581" s="545"/>
      <c r="G581" s="545"/>
    </row>
    <row r="582" spans="1:7" ht="12.75">
      <c r="A582" s="545"/>
      <c r="B582" s="545"/>
      <c r="C582" s="545"/>
      <c r="D582" s="545"/>
      <c r="E582" s="545"/>
      <c r="F582" s="545"/>
      <c r="G582" s="545"/>
    </row>
    <row r="583" spans="1:7" ht="12.75">
      <c r="A583" s="545"/>
      <c r="B583" s="545"/>
      <c r="C583" s="545"/>
      <c r="D583" s="545"/>
      <c r="E583" s="545"/>
      <c r="F583" s="545"/>
      <c r="G583" s="545"/>
    </row>
    <row r="584" spans="1:7" ht="12.75">
      <c r="A584" s="545"/>
      <c r="B584" s="545"/>
      <c r="C584" s="545"/>
      <c r="D584" s="545"/>
      <c r="E584" s="545"/>
      <c r="F584" s="545"/>
      <c r="G584" s="545"/>
    </row>
    <row r="585" spans="1:7" ht="12.75">
      <c r="A585" s="545"/>
      <c r="B585" s="545"/>
      <c r="C585" s="545"/>
      <c r="D585" s="545"/>
      <c r="E585" s="545"/>
      <c r="F585" s="545"/>
      <c r="G585" s="545"/>
    </row>
    <row r="586" spans="1:7" ht="12.75">
      <c r="A586" s="545"/>
      <c r="B586" s="545"/>
      <c r="C586" s="545"/>
      <c r="D586" s="545"/>
      <c r="E586" s="545"/>
      <c r="F586" s="545"/>
      <c r="G586" s="545"/>
    </row>
    <row r="587" spans="1:7" ht="12.75">
      <c r="A587" s="545"/>
      <c r="B587" s="545"/>
      <c r="C587" s="545"/>
      <c r="D587" s="545"/>
      <c r="E587" s="545"/>
      <c r="F587" s="545"/>
      <c r="G587" s="545"/>
    </row>
    <row r="588" spans="1:7" ht="12.75">
      <c r="A588" s="545"/>
      <c r="B588" s="545"/>
      <c r="C588" s="545"/>
      <c r="D588" s="545"/>
      <c r="E588" s="545"/>
      <c r="F588" s="545"/>
      <c r="G588" s="545"/>
    </row>
    <row r="589" spans="1:7" ht="12.75">
      <c r="A589" s="545"/>
      <c r="B589" s="545"/>
      <c r="C589" s="545"/>
      <c r="D589" s="545"/>
      <c r="E589" s="545"/>
      <c r="F589" s="545"/>
      <c r="G589" s="545"/>
    </row>
    <row r="590" spans="1:7" ht="12.75">
      <c r="A590" s="545"/>
      <c r="B590" s="545"/>
      <c r="C590" s="545"/>
      <c r="D590" s="545"/>
      <c r="E590" s="545"/>
      <c r="F590" s="545"/>
      <c r="G590" s="545"/>
    </row>
    <row r="591" spans="1:7" ht="12.75">
      <c r="A591" s="545"/>
      <c r="B591" s="545"/>
      <c r="C591" s="545"/>
      <c r="D591" s="545"/>
      <c r="E591" s="545"/>
      <c r="F591" s="545"/>
      <c r="G591" s="545"/>
    </row>
    <row r="592" spans="1:7" ht="12.75">
      <c r="A592" s="545"/>
      <c r="B592" s="545"/>
      <c r="C592" s="545"/>
      <c r="D592" s="545"/>
      <c r="E592" s="545"/>
      <c r="F592" s="545"/>
      <c r="G592" s="545"/>
    </row>
    <row r="593" spans="1:7" ht="12.75">
      <c r="A593" s="545"/>
      <c r="B593" s="545"/>
      <c r="C593" s="545"/>
      <c r="D593" s="545"/>
      <c r="E593" s="545"/>
      <c r="F593" s="545"/>
      <c r="G593" s="545"/>
    </row>
    <row r="594" spans="1:7" ht="12.75">
      <c r="A594" s="545"/>
      <c r="B594" s="545"/>
      <c r="C594" s="545"/>
      <c r="D594" s="545"/>
      <c r="E594" s="545"/>
      <c r="F594" s="545"/>
      <c r="G594" s="545"/>
    </row>
    <row r="595" spans="1:7" ht="12.75">
      <c r="A595" s="545"/>
      <c r="B595" s="545"/>
      <c r="C595" s="545"/>
      <c r="D595" s="545"/>
      <c r="E595" s="545"/>
      <c r="F595" s="545"/>
      <c r="G595" s="545"/>
    </row>
    <row r="596" spans="1:7" ht="12.75">
      <c r="A596" s="545"/>
      <c r="B596" s="545"/>
      <c r="C596" s="545"/>
      <c r="D596" s="545"/>
      <c r="E596" s="545"/>
      <c r="F596" s="545"/>
      <c r="G596" s="545"/>
    </row>
    <row r="597" spans="1:7" ht="12.75">
      <c r="A597" s="545"/>
      <c r="B597" s="545"/>
      <c r="C597" s="545"/>
      <c r="D597" s="545"/>
      <c r="E597" s="545"/>
      <c r="F597" s="545"/>
      <c r="G597" s="545"/>
    </row>
    <row r="598" spans="1:7" ht="12.75">
      <c r="A598" s="545"/>
      <c r="B598" s="545"/>
      <c r="C598" s="545"/>
      <c r="D598" s="545"/>
      <c r="E598" s="545"/>
      <c r="F598" s="545"/>
      <c r="G598" s="545"/>
    </row>
    <row r="599" spans="1:7" ht="12.75">
      <c r="A599" s="545"/>
      <c r="B599" s="545"/>
      <c r="C599" s="545"/>
      <c r="D599" s="545"/>
      <c r="E599" s="545"/>
      <c r="F599" s="545"/>
      <c r="G599" s="545"/>
    </row>
    <row r="600" spans="1:7" ht="12.75">
      <c r="A600" s="545"/>
      <c r="B600" s="545"/>
      <c r="C600" s="545"/>
      <c r="D600" s="545"/>
      <c r="E600" s="545"/>
      <c r="F600" s="545"/>
      <c r="G600" s="545"/>
    </row>
    <row r="601" spans="1:7" ht="12.75">
      <c r="A601" s="545"/>
      <c r="B601" s="545"/>
      <c r="C601" s="545"/>
      <c r="D601" s="545"/>
      <c r="E601" s="545"/>
      <c r="F601" s="545"/>
      <c r="G601" s="545"/>
    </row>
    <row r="602" spans="1:7" ht="12.75">
      <c r="A602" s="545"/>
      <c r="B602" s="545"/>
      <c r="C602" s="545"/>
      <c r="D602" s="545"/>
      <c r="E602" s="545"/>
      <c r="F602" s="545"/>
      <c r="G602" s="545"/>
    </row>
    <row r="603" spans="1:7" ht="12.75">
      <c r="A603" s="545"/>
      <c r="B603" s="545"/>
      <c r="C603" s="545"/>
      <c r="D603" s="545"/>
      <c r="E603" s="545"/>
      <c r="F603" s="545"/>
      <c r="G603" s="545"/>
    </row>
    <row r="604" spans="1:7" ht="12.75">
      <c r="A604" s="545"/>
      <c r="B604" s="545"/>
      <c r="C604" s="545"/>
      <c r="D604" s="545"/>
      <c r="E604" s="545"/>
      <c r="F604" s="545"/>
      <c r="G604" s="545"/>
    </row>
    <row r="605" spans="1:7" ht="12.75">
      <c r="A605" s="545"/>
      <c r="B605" s="545"/>
      <c r="C605" s="545"/>
      <c r="D605" s="545"/>
      <c r="E605" s="545"/>
      <c r="F605" s="545"/>
      <c r="G605" s="545"/>
    </row>
    <row r="606" spans="1:7" ht="12.75">
      <c r="A606" s="545"/>
      <c r="B606" s="545"/>
      <c r="C606" s="545"/>
      <c r="D606" s="545"/>
      <c r="E606" s="545"/>
      <c r="F606" s="545"/>
      <c r="G606" s="545"/>
    </row>
    <row r="607" spans="1:7" ht="12.75">
      <c r="A607" s="545"/>
      <c r="B607" s="545"/>
      <c r="C607" s="545"/>
      <c r="D607" s="545"/>
      <c r="E607" s="545"/>
      <c r="F607" s="545"/>
      <c r="G607" s="545"/>
    </row>
    <row r="608" spans="1:7" ht="12.75">
      <c r="A608" s="545"/>
      <c r="B608" s="545"/>
      <c r="C608" s="545"/>
      <c r="D608" s="545"/>
      <c r="E608" s="545"/>
      <c r="F608" s="545"/>
      <c r="G608" s="545"/>
    </row>
    <row r="609" spans="1:7" ht="12.75">
      <c r="A609" s="545"/>
      <c r="B609" s="545"/>
      <c r="C609" s="545"/>
      <c r="D609" s="545"/>
      <c r="E609" s="545"/>
      <c r="F609" s="545"/>
      <c r="G609" s="545"/>
    </row>
    <row r="610" spans="1:7" ht="12.75">
      <c r="A610" s="545"/>
      <c r="B610" s="545"/>
      <c r="C610" s="545"/>
      <c r="D610" s="545"/>
      <c r="E610" s="545"/>
      <c r="F610" s="545"/>
      <c r="G610" s="545"/>
    </row>
    <row r="611" spans="1:7" ht="12.75">
      <c r="A611" s="545"/>
      <c r="B611" s="545"/>
      <c r="C611" s="545"/>
      <c r="D611" s="545"/>
      <c r="E611" s="545"/>
      <c r="F611" s="545"/>
      <c r="G611" s="545"/>
    </row>
    <row r="612" spans="1:7" ht="12.75">
      <c r="A612" s="545"/>
      <c r="B612" s="545"/>
      <c r="C612" s="545"/>
      <c r="D612" s="545"/>
      <c r="E612" s="545"/>
      <c r="F612" s="545"/>
      <c r="G612" s="545"/>
    </row>
    <row r="613" spans="1:7" ht="12.75">
      <c r="A613" s="545"/>
      <c r="B613" s="545"/>
      <c r="C613" s="545"/>
      <c r="D613" s="545"/>
      <c r="E613" s="545"/>
      <c r="F613" s="545"/>
      <c r="G613" s="545"/>
    </row>
    <row r="614" spans="1:7" ht="12.75">
      <c r="A614" s="545"/>
      <c r="B614" s="545"/>
      <c r="C614" s="545"/>
      <c r="D614" s="545"/>
      <c r="E614" s="545"/>
      <c r="F614" s="545"/>
      <c r="G614" s="545"/>
    </row>
    <row r="615" spans="1:7" ht="12.75">
      <c r="A615" s="545"/>
      <c r="B615" s="545"/>
      <c r="C615" s="545"/>
      <c r="D615" s="545"/>
      <c r="E615" s="545"/>
      <c r="F615" s="545"/>
      <c r="G615" s="545"/>
    </row>
    <row r="616" spans="1:7" ht="12.75">
      <c r="A616" s="545"/>
      <c r="B616" s="545"/>
      <c r="C616" s="545"/>
      <c r="D616" s="545"/>
      <c r="E616" s="545"/>
      <c r="F616" s="545"/>
      <c r="G616" s="545"/>
    </row>
    <row r="617" spans="1:7" ht="12.75">
      <c r="A617" s="545"/>
      <c r="B617" s="545"/>
      <c r="C617" s="545"/>
      <c r="D617" s="545"/>
      <c r="E617" s="545"/>
      <c r="F617" s="545"/>
      <c r="G617" s="545"/>
    </row>
    <row r="618" spans="1:7" ht="12.75">
      <c r="A618" s="545"/>
      <c r="B618" s="545"/>
      <c r="C618" s="545"/>
      <c r="D618" s="545"/>
      <c r="E618" s="545"/>
      <c r="F618" s="545"/>
      <c r="G618" s="545"/>
    </row>
    <row r="619" spans="1:7" ht="12.75">
      <c r="A619" s="545"/>
      <c r="B619" s="545"/>
      <c r="C619" s="545"/>
      <c r="D619" s="545"/>
      <c r="E619" s="545"/>
      <c r="F619" s="545"/>
      <c r="G619" s="545"/>
    </row>
    <row r="620" spans="1:7" ht="12.75">
      <c r="A620" s="545"/>
      <c r="B620" s="545"/>
      <c r="C620" s="545"/>
      <c r="D620" s="545"/>
      <c r="E620" s="545"/>
      <c r="F620" s="545"/>
      <c r="G620" s="545"/>
    </row>
    <row r="621" spans="1:7" ht="12.75">
      <c r="A621" s="545"/>
      <c r="B621" s="545"/>
      <c r="C621" s="545"/>
      <c r="D621" s="545"/>
      <c r="E621" s="545"/>
      <c r="F621" s="545"/>
      <c r="G621" s="545"/>
    </row>
    <row r="622" spans="1:7" ht="12.75">
      <c r="A622" s="545"/>
      <c r="B622" s="545"/>
      <c r="C622" s="545"/>
      <c r="D622" s="545"/>
      <c r="E622" s="545"/>
      <c r="F622" s="545"/>
      <c r="G622" s="545"/>
    </row>
    <row r="623" spans="1:7" ht="12.75">
      <c r="A623" s="545"/>
      <c r="B623" s="545"/>
      <c r="C623" s="545"/>
      <c r="D623" s="545"/>
      <c r="E623" s="545"/>
      <c r="F623" s="545"/>
      <c r="G623" s="545"/>
    </row>
    <row r="624" spans="1:7" ht="12.75">
      <c r="A624" s="545"/>
      <c r="B624" s="545"/>
      <c r="C624" s="545"/>
      <c r="D624" s="545"/>
      <c r="E624" s="545"/>
      <c r="F624" s="545"/>
      <c r="G624" s="545"/>
    </row>
    <row r="625" spans="1:7" ht="12.75">
      <c r="A625" s="545"/>
      <c r="B625" s="545"/>
      <c r="C625" s="545"/>
      <c r="D625" s="545"/>
      <c r="E625" s="545"/>
      <c r="F625" s="545"/>
      <c r="G625" s="545"/>
    </row>
    <row r="626" spans="1:7" ht="12.75">
      <c r="A626" s="545"/>
      <c r="B626" s="545"/>
      <c r="C626" s="545"/>
      <c r="D626" s="545"/>
      <c r="E626" s="545"/>
      <c r="F626" s="545"/>
      <c r="G626" s="545"/>
    </row>
    <row r="627" spans="1:7" ht="12.75">
      <c r="A627" s="545"/>
      <c r="B627" s="545"/>
      <c r="C627" s="545"/>
      <c r="D627" s="545"/>
      <c r="E627" s="545"/>
      <c r="F627" s="545"/>
      <c r="G627" s="545"/>
    </row>
    <row r="628" spans="1:7" ht="12.75">
      <c r="A628" s="545"/>
      <c r="B628" s="545"/>
      <c r="C628" s="545"/>
      <c r="D628" s="545"/>
      <c r="E628" s="545"/>
      <c r="F628" s="545"/>
      <c r="G628" s="545"/>
    </row>
    <row r="629" spans="1:7" ht="12.75">
      <c r="A629" s="545"/>
      <c r="B629" s="545"/>
      <c r="C629" s="545"/>
      <c r="D629" s="545"/>
      <c r="E629" s="545"/>
      <c r="F629" s="545"/>
      <c r="G629" s="545"/>
    </row>
    <row r="630" spans="1:7" ht="12.75">
      <c r="A630" s="545"/>
      <c r="B630" s="545"/>
      <c r="C630" s="545"/>
      <c r="D630" s="545"/>
      <c r="E630" s="545"/>
      <c r="F630" s="545"/>
      <c r="G630" s="545"/>
    </row>
    <row r="631" spans="1:7" ht="12.75">
      <c r="A631" s="545"/>
      <c r="B631" s="545"/>
      <c r="C631" s="545"/>
      <c r="D631" s="545"/>
      <c r="E631" s="545"/>
      <c r="F631" s="545"/>
      <c r="G631" s="545"/>
    </row>
    <row r="632" spans="1:7" ht="12.75">
      <c r="A632" s="545"/>
      <c r="B632" s="545"/>
      <c r="C632" s="545"/>
      <c r="D632" s="545"/>
      <c r="E632" s="545"/>
      <c r="F632" s="545"/>
      <c r="G632" s="545"/>
    </row>
    <row r="633" spans="1:7" ht="12.75">
      <c r="A633" s="545"/>
      <c r="B633" s="545"/>
      <c r="C633" s="545"/>
      <c r="D633" s="545"/>
      <c r="E633" s="545"/>
      <c r="F633" s="545"/>
      <c r="G633" s="545"/>
    </row>
    <row r="634" spans="1:7" ht="12.75">
      <c r="A634" s="545"/>
      <c r="B634" s="545"/>
      <c r="C634" s="545"/>
      <c r="D634" s="545"/>
      <c r="E634" s="545"/>
      <c r="F634" s="545"/>
      <c r="G634" s="545"/>
    </row>
    <row r="635" spans="1:7" ht="12.75">
      <c r="A635" s="545"/>
      <c r="B635" s="545"/>
      <c r="C635" s="545"/>
      <c r="D635" s="545"/>
      <c r="E635" s="545"/>
      <c r="F635" s="545"/>
      <c r="G635" s="545"/>
    </row>
    <row r="636" spans="1:7" ht="12.75">
      <c r="A636" s="545"/>
      <c r="B636" s="545"/>
      <c r="C636" s="545"/>
      <c r="D636" s="545"/>
      <c r="E636" s="545"/>
      <c r="F636" s="545"/>
      <c r="G636" s="545"/>
    </row>
    <row r="637" spans="1:7" ht="12.75">
      <c r="A637" s="545"/>
      <c r="B637" s="545"/>
      <c r="C637" s="545"/>
      <c r="D637" s="545"/>
      <c r="E637" s="545"/>
      <c r="F637" s="545"/>
      <c r="G637" s="545"/>
    </row>
    <row r="638" spans="1:7" ht="12.75">
      <c r="A638" s="545"/>
      <c r="B638" s="545"/>
      <c r="C638" s="545"/>
      <c r="D638" s="545"/>
      <c r="E638" s="545"/>
      <c r="F638" s="545"/>
      <c r="G638" s="545"/>
    </row>
    <row r="639" spans="1:7" ht="12.75">
      <c r="A639" s="545"/>
      <c r="B639" s="545"/>
      <c r="C639" s="545"/>
      <c r="D639" s="545"/>
      <c r="E639" s="545"/>
      <c r="F639" s="545"/>
      <c r="G639" s="545"/>
    </row>
    <row r="640" spans="1:7" ht="12.75">
      <c r="A640" s="545"/>
      <c r="B640" s="545"/>
      <c r="C640" s="545"/>
      <c r="D640" s="545"/>
      <c r="E640" s="545"/>
      <c r="F640" s="545"/>
      <c r="G640" s="545"/>
    </row>
    <row r="641" spans="1:7" ht="12.75">
      <c r="A641" s="545"/>
      <c r="B641" s="545"/>
      <c r="C641" s="545"/>
      <c r="D641" s="545"/>
      <c r="E641" s="545"/>
      <c r="F641" s="545"/>
      <c r="G641" s="545"/>
    </row>
    <row r="642" spans="1:7" ht="12.75">
      <c r="A642" s="545"/>
      <c r="B642" s="545"/>
      <c r="C642" s="545"/>
      <c r="D642" s="545"/>
      <c r="E642" s="545"/>
      <c r="F642" s="545"/>
      <c r="G642" s="545"/>
    </row>
    <row r="643" spans="1:7" ht="12.75">
      <c r="A643" s="545"/>
      <c r="B643" s="545"/>
      <c r="C643" s="545"/>
      <c r="D643" s="545"/>
      <c r="E643" s="545"/>
      <c r="F643" s="545"/>
      <c r="G643" s="545"/>
    </row>
    <row r="644" spans="1:7" ht="12.75">
      <c r="A644" s="545"/>
      <c r="B644" s="545"/>
      <c r="C644" s="545"/>
      <c r="D644" s="545"/>
      <c r="E644" s="545"/>
      <c r="F644" s="545"/>
      <c r="G644" s="545"/>
    </row>
    <row r="645" spans="1:7" ht="12.75">
      <c r="A645" s="545"/>
      <c r="B645" s="545"/>
      <c r="C645" s="545"/>
      <c r="D645" s="545"/>
      <c r="E645" s="545"/>
      <c r="F645" s="545"/>
      <c r="G645" s="545"/>
    </row>
    <row r="646" spans="1:7" ht="12.75">
      <c r="A646" s="545"/>
      <c r="B646" s="545"/>
      <c r="C646" s="545"/>
      <c r="D646" s="545"/>
      <c r="E646" s="545"/>
      <c r="F646" s="545"/>
      <c r="G646" s="545"/>
    </row>
    <row r="647" spans="1:7" ht="12.75">
      <c r="A647" s="545"/>
      <c r="B647" s="545"/>
      <c r="C647" s="545"/>
      <c r="D647" s="545"/>
      <c r="E647" s="545"/>
      <c r="F647" s="545"/>
      <c r="G647" s="545"/>
    </row>
    <row r="648" spans="1:7" ht="12.75">
      <c r="A648" s="545"/>
      <c r="B648" s="545"/>
      <c r="C648" s="545"/>
      <c r="D648" s="545"/>
      <c r="E648" s="545"/>
      <c r="F648" s="545"/>
      <c r="G648" s="545"/>
    </row>
    <row r="649" spans="1:7" ht="12.75">
      <c r="A649" s="545"/>
      <c r="B649" s="545"/>
      <c r="C649" s="545"/>
      <c r="D649" s="545"/>
      <c r="E649" s="545"/>
      <c r="F649" s="545"/>
      <c r="G649" s="545"/>
    </row>
    <row r="650" spans="1:7" ht="12.75">
      <c r="A650" s="545"/>
      <c r="B650" s="545"/>
      <c r="C650" s="545"/>
      <c r="D650" s="545"/>
      <c r="E650" s="545"/>
      <c r="F650" s="545"/>
      <c r="G650" s="545"/>
    </row>
    <row r="651" spans="1:7" ht="12.75">
      <c r="A651" s="545"/>
      <c r="B651" s="545"/>
      <c r="C651" s="545"/>
      <c r="D651" s="545"/>
      <c r="E651" s="545"/>
      <c r="F651" s="545"/>
      <c r="G651" s="545"/>
    </row>
    <row r="652" spans="1:7" ht="12.75">
      <c r="A652" s="545"/>
      <c r="B652" s="545"/>
      <c r="C652" s="545"/>
      <c r="D652" s="545"/>
      <c r="E652" s="545"/>
      <c r="F652" s="545"/>
      <c r="G652" s="545"/>
    </row>
    <row r="653" spans="1:7" ht="12.75">
      <c r="A653" s="545"/>
      <c r="B653" s="545"/>
      <c r="C653" s="545"/>
      <c r="D653" s="545"/>
      <c r="E653" s="545"/>
      <c r="F653" s="545"/>
      <c r="G653" s="545"/>
    </row>
    <row r="654" spans="1:7" ht="12.75">
      <c r="A654" s="545"/>
      <c r="B654" s="545"/>
      <c r="C654" s="545"/>
      <c r="D654" s="545"/>
      <c r="E654" s="545"/>
      <c r="F654" s="545"/>
      <c r="G654" s="545"/>
    </row>
    <row r="655" spans="1:7" ht="12.75">
      <c r="A655" s="545"/>
      <c r="B655" s="545"/>
      <c r="C655" s="545"/>
      <c r="D655" s="545"/>
      <c r="E655" s="545"/>
      <c r="F655" s="545"/>
      <c r="G655" s="545"/>
    </row>
    <row r="656" spans="1:7" ht="12.75">
      <c r="A656" s="545"/>
      <c r="B656" s="545"/>
      <c r="C656" s="545"/>
      <c r="D656" s="545"/>
      <c r="E656" s="545"/>
      <c r="F656" s="545"/>
      <c r="G656" s="545"/>
    </row>
    <row r="657" spans="1:7" ht="12.75">
      <c r="A657" s="545"/>
      <c r="B657" s="545"/>
      <c r="C657" s="545"/>
      <c r="D657" s="545"/>
      <c r="E657" s="545"/>
      <c r="F657" s="545"/>
      <c r="G657" s="545"/>
    </row>
    <row r="658" spans="1:7" ht="12.75">
      <c r="A658" s="545"/>
      <c r="B658" s="545"/>
      <c r="C658" s="545"/>
      <c r="D658" s="545"/>
      <c r="E658" s="545"/>
      <c r="F658" s="545"/>
      <c r="G658" s="545"/>
    </row>
    <row r="659" spans="1:7" ht="12.75">
      <c r="A659" s="545"/>
      <c r="B659" s="545"/>
      <c r="C659" s="545"/>
      <c r="D659" s="545"/>
      <c r="E659" s="545"/>
      <c r="F659" s="545"/>
      <c r="G659" s="545"/>
    </row>
    <row r="660" spans="1:7" ht="12.75">
      <c r="A660" s="545"/>
      <c r="B660" s="545"/>
      <c r="C660" s="545"/>
      <c r="D660" s="545"/>
      <c r="E660" s="545"/>
      <c r="F660" s="545"/>
      <c r="G660" s="545"/>
    </row>
    <row r="661" spans="1:7" ht="12.75">
      <c r="A661" s="545"/>
      <c r="B661" s="545"/>
      <c r="C661" s="545"/>
      <c r="D661" s="545"/>
      <c r="E661" s="545"/>
      <c r="F661" s="545"/>
      <c r="G661" s="545"/>
    </row>
    <row r="662" spans="1:7" ht="12.75">
      <c r="A662" s="545"/>
      <c r="B662" s="545"/>
      <c r="C662" s="545"/>
      <c r="D662" s="545"/>
      <c r="E662" s="545"/>
      <c r="F662" s="545"/>
      <c r="G662" s="545"/>
    </row>
    <row r="663" spans="1:7" ht="12.75">
      <c r="A663" s="545"/>
      <c r="B663" s="545"/>
      <c r="C663" s="545"/>
      <c r="D663" s="545"/>
      <c r="E663" s="545"/>
      <c r="F663" s="545"/>
      <c r="G663" s="545"/>
    </row>
    <row r="664" spans="1:7" ht="12.75">
      <c r="A664" s="545"/>
      <c r="B664" s="545"/>
      <c r="C664" s="545"/>
      <c r="D664" s="545"/>
      <c r="E664" s="545"/>
      <c r="F664" s="545"/>
      <c r="G664" s="545"/>
    </row>
    <row r="665" spans="1:7" ht="12.75">
      <c r="A665" s="545"/>
      <c r="B665" s="545"/>
      <c r="C665" s="545"/>
      <c r="D665" s="545"/>
      <c r="E665" s="545"/>
      <c r="F665" s="545"/>
      <c r="G665" s="545"/>
    </row>
    <row r="666" spans="1:7" ht="12.75">
      <c r="A666" s="545"/>
      <c r="B666" s="545"/>
      <c r="C666" s="545"/>
      <c r="D666" s="545"/>
      <c r="E666" s="545"/>
      <c r="F666" s="545"/>
      <c r="G666" s="545"/>
    </row>
    <row r="667" spans="1:7" ht="12.75">
      <c r="A667" s="545"/>
      <c r="B667" s="545"/>
      <c r="C667" s="545"/>
      <c r="D667" s="545"/>
      <c r="E667" s="545"/>
      <c r="F667" s="545"/>
      <c r="G667" s="545"/>
    </row>
    <row r="668" spans="1:7" ht="12.75">
      <c r="A668" s="545"/>
      <c r="B668" s="545"/>
      <c r="C668" s="545"/>
      <c r="D668" s="545"/>
      <c r="E668" s="545"/>
      <c r="F668" s="545"/>
      <c r="G668" s="545"/>
    </row>
    <row r="669" spans="1:7" ht="12.75">
      <c r="A669" s="545"/>
      <c r="B669" s="545"/>
      <c r="C669" s="545"/>
      <c r="D669" s="545"/>
      <c r="E669" s="545"/>
      <c r="F669" s="545"/>
      <c r="G669" s="545"/>
    </row>
    <row r="670" spans="1:7" ht="12.75">
      <c r="A670" s="545"/>
      <c r="B670" s="545"/>
      <c r="C670" s="545"/>
      <c r="D670" s="545"/>
      <c r="E670" s="545"/>
      <c r="F670" s="545"/>
      <c r="G670" s="545"/>
    </row>
    <row r="671" spans="1:7" ht="12.75">
      <c r="A671" s="545"/>
      <c r="B671" s="545"/>
      <c r="C671" s="545"/>
      <c r="D671" s="545"/>
      <c r="E671" s="545"/>
      <c r="F671" s="545"/>
      <c r="G671" s="545"/>
    </row>
    <row r="672" spans="1:7" ht="12.75">
      <c r="A672" s="545"/>
      <c r="B672" s="545"/>
      <c r="C672" s="545"/>
      <c r="D672" s="545"/>
      <c r="E672" s="545"/>
      <c r="F672" s="545"/>
      <c r="G672" s="545"/>
    </row>
    <row r="673" spans="1:7" ht="12.75">
      <c r="A673" s="545"/>
      <c r="B673" s="545"/>
      <c r="C673" s="545"/>
      <c r="D673" s="545"/>
      <c r="E673" s="545"/>
      <c r="F673" s="545"/>
      <c r="G673" s="545"/>
    </row>
    <row r="674" spans="1:7" ht="12.75">
      <c r="A674" s="545"/>
      <c r="B674" s="545"/>
      <c r="C674" s="545"/>
      <c r="D674" s="545"/>
      <c r="E674" s="545"/>
      <c r="F674" s="545"/>
      <c r="G674" s="545"/>
    </row>
    <row r="675" spans="1:7" ht="12.75">
      <c r="A675" s="545"/>
      <c r="B675" s="545"/>
      <c r="C675" s="545"/>
      <c r="D675" s="545"/>
      <c r="E675" s="545"/>
      <c r="F675" s="545"/>
      <c r="G675" s="545"/>
    </row>
    <row r="676" spans="1:7" ht="12.75">
      <c r="A676" s="545"/>
      <c r="B676" s="545"/>
      <c r="C676" s="545"/>
      <c r="D676" s="545"/>
      <c r="E676" s="545"/>
      <c r="F676" s="545"/>
      <c r="G676" s="545"/>
    </row>
    <row r="677" spans="1:7" ht="12.75">
      <c r="A677" s="545"/>
      <c r="B677" s="545"/>
      <c r="C677" s="545"/>
      <c r="D677" s="545"/>
      <c r="E677" s="545"/>
      <c r="F677" s="545"/>
      <c r="G677" s="545"/>
    </row>
    <row r="678" spans="1:7" ht="12.75">
      <c r="A678" s="545"/>
      <c r="B678" s="545"/>
      <c r="C678" s="545"/>
      <c r="D678" s="545"/>
      <c r="E678" s="545"/>
      <c r="F678" s="545"/>
      <c r="G678" s="545"/>
    </row>
    <row r="679" spans="1:7" ht="12.75">
      <c r="A679" s="545"/>
      <c r="B679" s="545"/>
      <c r="C679" s="545"/>
      <c r="D679" s="545"/>
      <c r="E679" s="545"/>
      <c r="F679" s="545"/>
      <c r="G679" s="545"/>
    </row>
    <row r="680" spans="1:7" ht="12.75">
      <c r="A680" s="545"/>
      <c r="B680" s="545"/>
      <c r="C680" s="545"/>
      <c r="D680" s="545"/>
      <c r="E680" s="545"/>
      <c r="F680" s="545"/>
      <c r="G680" s="545"/>
    </row>
    <row r="681" spans="1:7" ht="12.75">
      <c r="A681" s="545"/>
      <c r="B681" s="545"/>
      <c r="C681" s="545"/>
      <c r="D681" s="545"/>
      <c r="E681" s="545"/>
      <c r="F681" s="545"/>
      <c r="G681" s="545"/>
    </row>
    <row r="682" spans="1:7" ht="12.75">
      <c r="A682" s="545"/>
      <c r="B682" s="545"/>
      <c r="C682" s="545"/>
      <c r="D682" s="545"/>
      <c r="E682" s="545"/>
      <c r="F682" s="545"/>
      <c r="G682" s="545"/>
    </row>
    <row r="683" spans="1:7" ht="12.75">
      <c r="A683" s="545"/>
      <c r="B683" s="545"/>
      <c r="C683" s="545"/>
      <c r="D683" s="545"/>
      <c r="E683" s="545"/>
      <c r="F683" s="545"/>
      <c r="G683" s="545"/>
    </row>
    <row r="684" spans="1:7" ht="12.75">
      <c r="A684" s="545"/>
      <c r="B684" s="545"/>
      <c r="C684" s="545"/>
      <c r="D684" s="545"/>
      <c r="E684" s="545"/>
      <c r="F684" s="545"/>
      <c r="G684" s="545"/>
    </row>
    <row r="685" spans="1:7" ht="12.75">
      <c r="A685" s="545"/>
      <c r="B685" s="545"/>
      <c r="C685" s="545"/>
      <c r="D685" s="545"/>
      <c r="E685" s="545"/>
      <c r="F685" s="545"/>
      <c r="G685" s="545"/>
    </row>
    <row r="686" spans="1:7" ht="12.75">
      <c r="A686" s="545"/>
      <c r="B686" s="545"/>
      <c r="C686" s="545"/>
      <c r="D686" s="545"/>
      <c r="E686" s="545"/>
      <c r="F686" s="545"/>
      <c r="G686" s="545"/>
    </row>
    <row r="687" spans="1:7" ht="12.75">
      <c r="A687" s="545"/>
      <c r="B687" s="545"/>
      <c r="C687" s="545"/>
      <c r="D687" s="545"/>
      <c r="E687" s="545"/>
      <c r="F687" s="545"/>
      <c r="G687" s="545"/>
    </row>
    <row r="688" spans="1:7" ht="12.75">
      <c r="A688" s="545"/>
      <c r="B688" s="545"/>
      <c r="C688" s="545"/>
      <c r="D688" s="545"/>
      <c r="E688" s="545"/>
      <c r="F688" s="545"/>
      <c r="G688" s="545"/>
    </row>
    <row r="689" spans="1:7" ht="12.75">
      <c r="A689" s="545"/>
      <c r="B689" s="545"/>
      <c r="C689" s="545"/>
      <c r="D689" s="545"/>
      <c r="E689" s="545"/>
      <c r="F689" s="545"/>
      <c r="G689" s="545"/>
    </row>
    <row r="690" spans="1:7" ht="12.75">
      <c r="A690" s="545"/>
      <c r="B690" s="545"/>
      <c r="C690" s="545"/>
      <c r="D690" s="545"/>
      <c r="E690" s="545"/>
      <c r="F690" s="545"/>
      <c r="G690" s="545"/>
    </row>
    <row r="691" spans="1:7" ht="12.75">
      <c r="A691" s="545"/>
      <c r="B691" s="545"/>
      <c r="C691" s="545"/>
      <c r="D691" s="545"/>
      <c r="E691" s="545"/>
      <c r="F691" s="545"/>
      <c r="G691" s="545"/>
    </row>
    <row r="692" spans="1:7" ht="12.75">
      <c r="A692" s="545"/>
      <c r="B692" s="545"/>
      <c r="C692" s="545"/>
      <c r="D692" s="545"/>
      <c r="E692" s="545"/>
      <c r="F692" s="545"/>
      <c r="G692" s="545"/>
    </row>
    <row r="693" spans="1:7" ht="12.75">
      <c r="A693" s="545"/>
      <c r="B693" s="545"/>
      <c r="C693" s="545"/>
      <c r="D693" s="545"/>
      <c r="E693" s="545"/>
      <c r="F693" s="545"/>
      <c r="G693" s="545"/>
    </row>
    <row r="694" spans="1:7" ht="12.75">
      <c r="A694" s="545"/>
      <c r="B694" s="545"/>
      <c r="C694" s="545"/>
      <c r="D694" s="545"/>
      <c r="E694" s="545"/>
      <c r="F694" s="545"/>
      <c r="G694" s="545"/>
    </row>
    <row r="695" spans="1:7" ht="12.75">
      <c r="A695" s="545"/>
      <c r="B695" s="545"/>
      <c r="C695" s="545"/>
      <c r="D695" s="545"/>
      <c r="E695" s="545"/>
      <c r="F695" s="545"/>
      <c r="G695" s="545"/>
    </row>
    <row r="696" spans="1:7" ht="12.75">
      <c r="A696" s="545"/>
      <c r="B696" s="545"/>
      <c r="C696" s="545"/>
      <c r="D696" s="545"/>
      <c r="E696" s="545"/>
      <c r="F696" s="545"/>
      <c r="G696" s="545"/>
    </row>
    <row r="697" spans="1:7" ht="12.75">
      <c r="A697" s="545"/>
      <c r="B697" s="545"/>
      <c r="C697" s="545"/>
      <c r="D697" s="545"/>
      <c r="E697" s="545"/>
      <c r="F697" s="545"/>
      <c r="G697" s="545"/>
    </row>
    <row r="698" spans="1:7" ht="12.75">
      <c r="A698" s="545"/>
      <c r="B698" s="545"/>
      <c r="C698" s="545"/>
      <c r="D698" s="545"/>
      <c r="E698" s="545"/>
      <c r="F698" s="545"/>
      <c r="G698" s="545"/>
    </row>
    <row r="699" spans="1:7" ht="12.75">
      <c r="A699" s="545"/>
      <c r="B699" s="545"/>
      <c r="C699" s="545"/>
      <c r="D699" s="545"/>
      <c r="E699" s="545"/>
      <c r="F699" s="545"/>
      <c r="G699" s="545"/>
    </row>
    <row r="700" spans="1:7" ht="12.75">
      <c r="A700" s="545"/>
      <c r="B700" s="545"/>
      <c r="C700" s="545"/>
      <c r="D700" s="545"/>
      <c r="E700" s="545"/>
      <c r="F700" s="545"/>
      <c r="G700" s="545"/>
    </row>
    <row r="701" spans="1:7" ht="12.75">
      <c r="A701" s="545"/>
      <c r="B701" s="545"/>
      <c r="C701" s="545"/>
      <c r="D701" s="545"/>
      <c r="E701" s="545"/>
      <c r="F701" s="545"/>
      <c r="G701" s="545"/>
    </row>
    <row r="702" spans="1:7" ht="12.75">
      <c r="A702" s="545"/>
      <c r="B702" s="545"/>
      <c r="C702" s="545"/>
      <c r="D702" s="545"/>
      <c r="E702" s="545"/>
      <c r="F702" s="545"/>
      <c r="G702" s="545"/>
    </row>
    <row r="703" spans="1:7" ht="12.75">
      <c r="A703" s="545"/>
      <c r="B703" s="545"/>
      <c r="C703" s="545"/>
      <c r="D703" s="545"/>
      <c r="E703" s="545"/>
      <c r="F703" s="545"/>
      <c r="G703" s="545"/>
    </row>
    <row r="704" spans="1:7" ht="12.75">
      <c r="A704" s="545"/>
      <c r="B704" s="545"/>
      <c r="C704" s="545"/>
      <c r="D704" s="545"/>
      <c r="E704" s="545"/>
      <c r="F704" s="545"/>
      <c r="G704" s="545"/>
    </row>
    <row r="705" spans="1:7" ht="12.75">
      <c r="A705" s="545"/>
      <c r="B705" s="545"/>
      <c r="C705" s="545"/>
      <c r="D705" s="545"/>
      <c r="E705" s="545"/>
      <c r="F705" s="545"/>
      <c r="G705" s="545"/>
    </row>
    <row r="706" spans="1:7" ht="12.75">
      <c r="A706" s="545"/>
      <c r="B706" s="545"/>
      <c r="C706" s="545"/>
      <c r="D706" s="545"/>
      <c r="E706" s="545"/>
      <c r="F706" s="545"/>
      <c r="G706" s="545"/>
    </row>
    <row r="707" spans="1:7" ht="12.75">
      <c r="A707" s="545"/>
      <c r="B707" s="545"/>
      <c r="C707" s="545"/>
      <c r="D707" s="545"/>
      <c r="E707" s="545"/>
      <c r="F707" s="545"/>
      <c r="G707" s="545"/>
    </row>
    <row r="708" spans="1:7" ht="12.75">
      <c r="A708" s="545"/>
      <c r="B708" s="545"/>
      <c r="C708" s="545"/>
      <c r="D708" s="545"/>
      <c r="E708" s="545"/>
      <c r="F708" s="545"/>
      <c r="G708" s="545"/>
    </row>
    <row r="709" spans="1:7" ht="12.75">
      <c r="A709" s="545"/>
      <c r="B709" s="545"/>
      <c r="C709" s="545"/>
      <c r="D709" s="545"/>
      <c r="E709" s="545"/>
      <c r="F709" s="545"/>
      <c r="G709" s="545"/>
    </row>
    <row r="710" spans="1:7" ht="12.75">
      <c r="A710" s="545"/>
      <c r="B710" s="545"/>
      <c r="C710" s="545"/>
      <c r="D710" s="545"/>
      <c r="E710" s="545"/>
      <c r="F710" s="545"/>
      <c r="G710" s="545"/>
    </row>
    <row r="711" spans="1:7" ht="12.75">
      <c r="A711" s="545"/>
      <c r="B711" s="545"/>
      <c r="C711" s="545"/>
      <c r="D711" s="545"/>
      <c r="E711" s="545"/>
      <c r="F711" s="545"/>
      <c r="G711" s="545"/>
    </row>
    <row r="712" spans="1:7" ht="12.75">
      <c r="A712" s="545"/>
      <c r="B712" s="545"/>
      <c r="C712" s="545"/>
      <c r="D712" s="545"/>
      <c r="E712" s="545"/>
      <c r="F712" s="545"/>
      <c r="G712" s="545"/>
    </row>
    <row r="713" spans="1:7" ht="12.75">
      <c r="A713" s="545"/>
      <c r="B713" s="545"/>
      <c r="C713" s="545"/>
      <c r="D713" s="545"/>
      <c r="E713" s="545"/>
      <c r="F713" s="545"/>
      <c r="G713" s="545"/>
    </row>
    <row r="714" spans="1:7" ht="12.75">
      <c r="A714" s="545"/>
      <c r="B714" s="545"/>
      <c r="C714" s="545"/>
      <c r="D714" s="545"/>
      <c r="E714" s="545"/>
      <c r="F714" s="545"/>
      <c r="G714" s="545"/>
    </row>
    <row r="715" spans="1:7" ht="12.75">
      <c r="A715" s="545"/>
      <c r="B715" s="545"/>
      <c r="C715" s="545"/>
      <c r="D715" s="545"/>
      <c r="E715" s="545"/>
      <c r="F715" s="545"/>
      <c r="G715" s="545"/>
    </row>
    <row r="716" spans="1:7" ht="12.75">
      <c r="A716" s="545"/>
      <c r="B716" s="545"/>
      <c r="C716" s="545"/>
      <c r="D716" s="545"/>
      <c r="E716" s="545"/>
      <c r="F716" s="545"/>
      <c r="G716" s="545"/>
    </row>
    <row r="717" spans="1:7" ht="12.75">
      <c r="A717" s="545"/>
      <c r="B717" s="545"/>
      <c r="C717" s="545"/>
      <c r="D717" s="545"/>
      <c r="E717" s="545"/>
      <c r="F717" s="545"/>
      <c r="G717" s="545"/>
    </row>
    <row r="718" spans="1:7" ht="12.75">
      <c r="A718" s="545"/>
      <c r="B718" s="545"/>
      <c r="C718" s="545"/>
      <c r="D718" s="545"/>
      <c r="E718" s="545"/>
      <c r="F718" s="545"/>
      <c r="G718" s="545"/>
    </row>
    <row r="719" spans="1:7" ht="12.75">
      <c r="A719" s="545"/>
      <c r="B719" s="545"/>
      <c r="C719" s="545"/>
      <c r="D719" s="545"/>
      <c r="E719" s="545"/>
      <c r="F719" s="545"/>
      <c r="G719" s="545"/>
    </row>
    <row r="720" spans="1:7" ht="12.75">
      <c r="A720" s="545"/>
      <c r="B720" s="545"/>
      <c r="C720" s="545"/>
      <c r="D720" s="545"/>
      <c r="E720" s="545"/>
      <c r="F720" s="545"/>
      <c r="G720" s="545"/>
    </row>
    <row r="721" spans="1:7" ht="12.75">
      <c r="A721" s="545"/>
      <c r="B721" s="545"/>
      <c r="C721" s="545"/>
      <c r="D721" s="545"/>
      <c r="E721" s="545"/>
      <c r="F721" s="545"/>
      <c r="G721" s="545"/>
    </row>
    <row r="722" spans="1:7" ht="12.75">
      <c r="A722" s="545"/>
      <c r="B722" s="545"/>
      <c r="C722" s="545"/>
      <c r="D722" s="545"/>
      <c r="E722" s="545"/>
      <c r="F722" s="545"/>
      <c r="G722" s="545"/>
    </row>
    <row r="723" spans="1:7" ht="12.75">
      <c r="A723" s="545"/>
      <c r="B723" s="545"/>
      <c r="C723" s="545"/>
      <c r="D723" s="545"/>
      <c r="E723" s="545"/>
      <c r="F723" s="545"/>
      <c r="G723" s="545"/>
    </row>
    <row r="724" spans="1:7" ht="12.75">
      <c r="A724" s="545"/>
      <c r="B724" s="545"/>
      <c r="C724" s="545"/>
      <c r="D724" s="545"/>
      <c r="E724" s="545"/>
      <c r="F724" s="545"/>
      <c r="G724" s="545"/>
    </row>
    <row r="725" spans="1:7" ht="12.75">
      <c r="A725" s="545"/>
      <c r="B725" s="545"/>
      <c r="C725" s="545"/>
      <c r="D725" s="545"/>
      <c r="E725" s="545"/>
      <c r="F725" s="545"/>
      <c r="G725" s="545"/>
    </row>
    <row r="726" spans="1:7" ht="12.75">
      <c r="A726" s="545"/>
      <c r="B726" s="545"/>
      <c r="C726" s="545"/>
      <c r="D726" s="545"/>
      <c r="E726" s="545"/>
      <c r="F726" s="545"/>
      <c r="G726" s="545"/>
    </row>
    <row r="727" spans="1:7" ht="12.75">
      <c r="A727" s="545"/>
      <c r="B727" s="545"/>
      <c r="C727" s="545"/>
      <c r="D727" s="545"/>
      <c r="E727" s="545"/>
      <c r="F727" s="545"/>
      <c r="G727" s="545"/>
    </row>
    <row r="728" spans="1:7" ht="12.75">
      <c r="A728" s="545"/>
      <c r="B728" s="545"/>
      <c r="C728" s="545"/>
      <c r="D728" s="545"/>
      <c r="E728" s="545"/>
      <c r="F728" s="545"/>
      <c r="G728" s="545"/>
    </row>
    <row r="729" spans="1:7" ht="12.75">
      <c r="A729" s="545"/>
      <c r="B729" s="545"/>
      <c r="C729" s="545"/>
      <c r="D729" s="545"/>
      <c r="E729" s="545"/>
      <c r="F729" s="545"/>
      <c r="G729" s="545"/>
    </row>
    <row r="730" spans="1:7" ht="12.75">
      <c r="A730" s="545"/>
      <c r="B730" s="545"/>
      <c r="C730" s="545"/>
      <c r="D730" s="545"/>
      <c r="E730" s="545"/>
      <c r="F730" s="545"/>
      <c r="G730" s="545"/>
    </row>
    <row r="731" spans="1:7" ht="12.75">
      <c r="A731" s="545"/>
      <c r="B731" s="545"/>
      <c r="C731" s="545"/>
      <c r="D731" s="545"/>
      <c r="E731" s="545"/>
      <c r="F731" s="545"/>
      <c r="G731" s="545"/>
    </row>
    <row r="732" spans="1:7" ht="12.75">
      <c r="A732" s="545"/>
      <c r="B732" s="545"/>
      <c r="C732" s="545"/>
      <c r="D732" s="545"/>
      <c r="E732" s="545"/>
      <c r="F732" s="545"/>
      <c r="G732" s="545"/>
    </row>
    <row r="733" spans="1:7" ht="12.75">
      <c r="A733" s="545"/>
      <c r="B733" s="545"/>
      <c r="C733" s="545"/>
      <c r="D733" s="545"/>
      <c r="E733" s="545"/>
      <c r="F733" s="545"/>
      <c r="G733" s="545"/>
    </row>
    <row r="734" spans="1:7" ht="12.75">
      <c r="A734" s="545"/>
      <c r="B734" s="545"/>
      <c r="C734" s="545"/>
      <c r="D734" s="545"/>
      <c r="E734" s="545"/>
      <c r="F734" s="545"/>
      <c r="G734" s="545"/>
    </row>
    <row r="735" spans="1:7" ht="12.75">
      <c r="A735" s="545"/>
      <c r="B735" s="545"/>
      <c r="C735" s="545"/>
      <c r="D735" s="545"/>
      <c r="E735" s="545"/>
      <c r="F735" s="545"/>
      <c r="G735" s="545"/>
    </row>
    <row r="736" spans="1:7" ht="12.75">
      <c r="A736" s="545"/>
      <c r="B736" s="545"/>
      <c r="C736" s="545"/>
      <c r="D736" s="545"/>
      <c r="E736" s="545"/>
      <c r="F736" s="545"/>
      <c r="G736" s="545"/>
    </row>
    <row r="737" spans="1:7" ht="12.75">
      <c r="A737" s="545"/>
      <c r="B737" s="545"/>
      <c r="C737" s="545"/>
      <c r="D737" s="545"/>
      <c r="E737" s="545"/>
      <c r="F737" s="545"/>
      <c r="G737" s="545"/>
    </row>
    <row r="738" spans="1:7" ht="12.75">
      <c r="A738" s="545"/>
      <c r="B738" s="545"/>
      <c r="C738" s="545"/>
      <c r="D738" s="545"/>
      <c r="E738" s="545"/>
      <c r="F738" s="545"/>
      <c r="G738" s="545"/>
    </row>
    <row r="739" spans="1:7" ht="12.75">
      <c r="A739" s="545"/>
      <c r="B739" s="545"/>
      <c r="C739" s="545"/>
      <c r="D739" s="545"/>
      <c r="E739" s="545"/>
      <c r="F739" s="545"/>
      <c r="G739" s="545"/>
    </row>
    <row r="740" spans="1:7" ht="12.75">
      <c r="A740" s="545"/>
      <c r="B740" s="545"/>
      <c r="C740" s="545"/>
      <c r="D740" s="545"/>
      <c r="E740" s="545"/>
      <c r="F740" s="545"/>
      <c r="G740" s="545"/>
    </row>
    <row r="741" spans="1:7" ht="12.75">
      <c r="A741" s="545"/>
      <c r="B741" s="545"/>
      <c r="C741" s="545"/>
      <c r="D741" s="545"/>
      <c r="E741" s="545"/>
      <c r="F741" s="545"/>
      <c r="G741" s="545"/>
    </row>
    <row r="742" spans="1:7" ht="12.75">
      <c r="A742" s="545"/>
      <c r="B742" s="545"/>
      <c r="C742" s="545"/>
      <c r="D742" s="545"/>
      <c r="E742" s="545"/>
      <c r="F742" s="545"/>
      <c r="G742" s="545"/>
    </row>
    <row r="743" spans="1:7" ht="12.75">
      <c r="A743" s="545"/>
      <c r="B743" s="545"/>
      <c r="C743" s="545"/>
      <c r="D743" s="545"/>
      <c r="E743" s="545"/>
      <c r="F743" s="545"/>
      <c r="G743" s="545"/>
    </row>
    <row r="744" spans="1:7" ht="12.75">
      <c r="A744" s="545"/>
      <c r="B744" s="545"/>
      <c r="C744" s="545"/>
      <c r="D744" s="545"/>
      <c r="E744" s="545"/>
      <c r="F744" s="545"/>
      <c r="G744" s="545"/>
    </row>
    <row r="745" spans="1:7" ht="12.75">
      <c r="A745" s="545"/>
      <c r="B745" s="545"/>
      <c r="C745" s="545"/>
      <c r="D745" s="545"/>
      <c r="E745" s="545"/>
      <c r="F745" s="545"/>
      <c r="G745" s="545"/>
    </row>
    <row r="746" spans="1:7" ht="12.75">
      <c r="A746" s="545"/>
      <c r="B746" s="545"/>
      <c r="C746" s="545"/>
      <c r="D746" s="545"/>
      <c r="E746" s="545"/>
      <c r="F746" s="545"/>
      <c r="G746" s="545"/>
    </row>
    <row r="747" spans="1:7" ht="12.75">
      <c r="A747" s="545"/>
      <c r="B747" s="545"/>
      <c r="C747" s="545"/>
      <c r="D747" s="545"/>
      <c r="E747" s="545"/>
      <c r="F747" s="545"/>
      <c r="G747" s="545"/>
    </row>
    <row r="748" spans="1:7" ht="12.75">
      <c r="A748" s="545"/>
      <c r="B748" s="545"/>
      <c r="C748" s="545"/>
      <c r="D748" s="545"/>
      <c r="E748" s="545"/>
      <c r="F748" s="545"/>
      <c r="G748" s="545"/>
    </row>
    <row r="749" spans="1:7" ht="12.75">
      <c r="A749" s="545"/>
      <c r="B749" s="545"/>
      <c r="C749" s="545"/>
      <c r="D749" s="545"/>
      <c r="E749" s="545"/>
      <c r="F749" s="545"/>
      <c r="G749" s="545"/>
    </row>
    <row r="750" spans="1:7" ht="12.75">
      <c r="A750" s="545"/>
      <c r="B750" s="545"/>
      <c r="C750" s="545"/>
      <c r="D750" s="545"/>
      <c r="E750" s="545"/>
      <c r="F750" s="545"/>
      <c r="G750" s="545"/>
    </row>
    <row r="751" spans="1:7" ht="12.75">
      <c r="A751" s="545"/>
      <c r="B751" s="545"/>
      <c r="C751" s="545"/>
      <c r="D751" s="545"/>
      <c r="E751" s="545"/>
      <c r="F751" s="545"/>
      <c r="G751" s="545"/>
    </row>
    <row r="752" spans="1:7" ht="12.75">
      <c r="A752" s="545"/>
      <c r="B752" s="545"/>
      <c r="C752" s="545"/>
      <c r="D752" s="545"/>
      <c r="E752" s="545"/>
      <c r="F752" s="545"/>
      <c r="G752" s="545"/>
    </row>
    <row r="753" spans="1:7" ht="12.75">
      <c r="A753" s="545"/>
      <c r="B753" s="545"/>
      <c r="C753" s="545"/>
      <c r="D753" s="545"/>
      <c r="E753" s="545"/>
      <c r="F753" s="545"/>
      <c r="G753" s="545"/>
    </row>
    <row r="754" spans="1:7" ht="12.75">
      <c r="A754" s="545"/>
      <c r="B754" s="545"/>
      <c r="C754" s="545"/>
      <c r="D754" s="545"/>
      <c r="E754" s="545"/>
      <c r="F754" s="545"/>
      <c r="G754" s="545"/>
    </row>
    <row r="755" spans="1:7" ht="12.75">
      <c r="A755" s="545"/>
      <c r="B755" s="545"/>
      <c r="C755" s="545"/>
      <c r="D755" s="545"/>
      <c r="E755" s="545"/>
      <c r="F755" s="545"/>
      <c r="G755" s="545"/>
    </row>
    <row r="756" spans="1:7" ht="12.75">
      <c r="A756" s="545"/>
      <c r="B756" s="545"/>
      <c r="C756" s="545"/>
      <c r="D756" s="545"/>
      <c r="E756" s="545"/>
      <c r="F756" s="545"/>
      <c r="G756" s="545"/>
    </row>
    <row r="757" spans="1:7" ht="12.75">
      <c r="A757" s="545"/>
      <c r="B757" s="545"/>
      <c r="C757" s="545"/>
      <c r="D757" s="545"/>
      <c r="E757" s="545"/>
      <c r="F757" s="545"/>
      <c r="G757" s="545"/>
    </row>
    <row r="758" spans="1:7" ht="12.75">
      <c r="A758" s="545"/>
      <c r="B758" s="545"/>
      <c r="C758" s="545"/>
      <c r="D758" s="545"/>
      <c r="E758" s="545"/>
      <c r="F758" s="545"/>
      <c r="G758" s="545"/>
    </row>
    <row r="759" spans="1:7" ht="12.75">
      <c r="A759" s="545"/>
      <c r="B759" s="545"/>
      <c r="C759" s="545"/>
      <c r="D759" s="545"/>
      <c r="E759" s="545"/>
      <c r="F759" s="545"/>
      <c r="G759" s="545"/>
    </row>
    <row r="760" spans="1:7" ht="12.75">
      <c r="A760" s="545"/>
      <c r="B760" s="545"/>
      <c r="C760" s="545"/>
      <c r="D760" s="545"/>
      <c r="E760" s="545"/>
      <c r="F760" s="545"/>
      <c r="G760" s="545"/>
    </row>
    <row r="761" spans="1:7" ht="12.75">
      <c r="A761" s="545"/>
      <c r="B761" s="545"/>
      <c r="C761" s="545"/>
      <c r="D761" s="545"/>
      <c r="E761" s="545"/>
      <c r="F761" s="545"/>
      <c r="G761" s="545"/>
    </row>
    <row r="762" spans="1:7" ht="12.75">
      <c r="A762" s="545"/>
      <c r="B762" s="545"/>
      <c r="C762" s="545"/>
      <c r="D762" s="545"/>
      <c r="E762" s="545"/>
      <c r="F762" s="545"/>
      <c r="G762" s="545"/>
    </row>
    <row r="763" spans="1:7" ht="12.75">
      <c r="A763" s="545"/>
      <c r="B763" s="545"/>
      <c r="C763" s="545"/>
      <c r="D763" s="545"/>
      <c r="E763" s="545"/>
      <c r="F763" s="545"/>
      <c r="G763" s="545"/>
    </row>
    <row r="764" spans="1:7" ht="12.75">
      <c r="A764" s="545"/>
      <c r="B764" s="545"/>
      <c r="C764" s="545"/>
      <c r="D764" s="545"/>
      <c r="E764" s="545"/>
      <c r="F764" s="545"/>
      <c r="G764" s="545"/>
    </row>
    <row r="765" spans="1:7" ht="12.75">
      <c r="A765" s="545"/>
      <c r="B765" s="545"/>
      <c r="C765" s="545"/>
      <c r="D765" s="545"/>
      <c r="E765" s="545"/>
      <c r="F765" s="545"/>
      <c r="G765" s="545"/>
    </row>
    <row r="766" spans="1:7" ht="12.75">
      <c r="A766" s="545"/>
      <c r="B766" s="545"/>
      <c r="C766" s="545"/>
      <c r="D766" s="545"/>
      <c r="E766" s="545"/>
      <c r="F766" s="545"/>
      <c r="G766" s="545"/>
    </row>
    <row r="767" spans="1:7" ht="12.75">
      <c r="A767" s="545"/>
      <c r="B767" s="545"/>
      <c r="C767" s="545"/>
      <c r="D767" s="545"/>
      <c r="E767" s="545"/>
      <c r="F767" s="545"/>
      <c r="G767" s="545"/>
    </row>
    <row r="768" spans="1:7" ht="12.75">
      <c r="A768" s="545"/>
      <c r="B768" s="545"/>
      <c r="C768" s="545"/>
      <c r="D768" s="545"/>
      <c r="E768" s="545"/>
      <c r="F768" s="545"/>
      <c r="G768" s="545"/>
    </row>
    <row r="769" spans="1:7" ht="12.75">
      <c r="A769" s="545"/>
      <c r="B769" s="545"/>
      <c r="C769" s="545"/>
      <c r="D769" s="545"/>
      <c r="E769" s="545"/>
      <c r="F769" s="545"/>
      <c r="G769" s="545"/>
    </row>
    <row r="770" spans="1:7" ht="12.75">
      <c r="A770" s="545"/>
      <c r="B770" s="545"/>
      <c r="C770" s="545"/>
      <c r="D770" s="545"/>
      <c r="E770" s="545"/>
      <c r="F770" s="545"/>
      <c r="G770" s="545"/>
    </row>
    <row r="771" spans="1:7" ht="12.75">
      <c r="A771" s="545"/>
      <c r="B771" s="545"/>
      <c r="C771" s="545"/>
      <c r="D771" s="545"/>
      <c r="E771" s="545"/>
      <c r="F771" s="545"/>
      <c r="G771" s="545"/>
    </row>
    <row r="772" spans="1:7" ht="12.75">
      <c r="A772" s="545"/>
      <c r="B772" s="545"/>
      <c r="C772" s="545"/>
      <c r="D772" s="545"/>
      <c r="E772" s="545"/>
      <c r="F772" s="545"/>
      <c r="G772" s="545"/>
    </row>
    <row r="773" spans="1:7" ht="12.75">
      <c r="A773" s="545"/>
      <c r="B773" s="545"/>
      <c r="C773" s="545"/>
      <c r="D773" s="545"/>
      <c r="E773" s="545"/>
      <c r="F773" s="545"/>
      <c r="G773" s="545"/>
    </row>
    <row r="774" spans="1:7" ht="12.75">
      <c r="A774" s="545"/>
      <c r="B774" s="545"/>
      <c r="C774" s="545"/>
      <c r="D774" s="545"/>
      <c r="E774" s="545"/>
      <c r="F774" s="545"/>
      <c r="G774" s="545"/>
    </row>
    <row r="775" spans="1:7" ht="12.75">
      <c r="A775" s="545"/>
      <c r="B775" s="545"/>
      <c r="C775" s="545"/>
      <c r="D775" s="545"/>
      <c r="E775" s="545"/>
      <c r="F775" s="545"/>
      <c r="G775" s="545"/>
    </row>
    <row r="776" spans="1:7" ht="12.75">
      <c r="A776" s="545"/>
      <c r="B776" s="545"/>
      <c r="C776" s="545"/>
      <c r="D776" s="545"/>
      <c r="E776" s="545"/>
      <c r="F776" s="545"/>
      <c r="G776" s="545"/>
    </row>
    <row r="777" spans="1:7" ht="12.75">
      <c r="A777" s="545"/>
      <c r="B777" s="545"/>
      <c r="C777" s="545"/>
      <c r="D777" s="545"/>
      <c r="E777" s="545"/>
      <c r="F777" s="545"/>
      <c r="G777" s="545"/>
    </row>
    <row r="778" spans="1:7" ht="12.75">
      <c r="A778" s="545"/>
      <c r="B778" s="545"/>
      <c r="C778" s="545"/>
      <c r="D778" s="545"/>
      <c r="E778" s="545"/>
      <c r="F778" s="545"/>
      <c r="G778" s="545"/>
    </row>
    <row r="779" spans="1:7" ht="12.75">
      <c r="A779" s="545"/>
      <c r="B779" s="545"/>
      <c r="C779" s="545"/>
      <c r="D779" s="545"/>
      <c r="E779" s="545"/>
      <c r="F779" s="545"/>
      <c r="G779" s="545"/>
    </row>
    <row r="780" spans="1:7" ht="12.75">
      <c r="A780" s="545"/>
      <c r="B780" s="545"/>
      <c r="C780" s="545"/>
      <c r="D780" s="545"/>
      <c r="E780" s="545"/>
      <c r="F780" s="545"/>
      <c r="G780" s="545"/>
    </row>
    <row r="781" spans="1:7" ht="12.75">
      <c r="A781" s="545"/>
      <c r="B781" s="545"/>
      <c r="C781" s="545"/>
      <c r="D781" s="545"/>
      <c r="E781" s="545"/>
      <c r="F781" s="545"/>
      <c r="G781" s="545"/>
    </row>
    <row r="782" spans="1:7" ht="12.75">
      <c r="A782" s="545"/>
      <c r="B782" s="545"/>
      <c r="C782" s="545"/>
      <c r="D782" s="545"/>
      <c r="E782" s="545"/>
      <c r="F782" s="545"/>
      <c r="G782" s="545"/>
    </row>
    <row r="783" spans="1:7" ht="12.75">
      <c r="A783" s="545"/>
      <c r="B783" s="545"/>
      <c r="C783" s="545"/>
      <c r="D783" s="545"/>
      <c r="E783" s="545"/>
      <c r="F783" s="545"/>
      <c r="G783" s="545"/>
    </row>
    <row r="784" spans="1:7" ht="12.75">
      <c r="A784" s="545"/>
      <c r="B784" s="545"/>
      <c r="C784" s="545"/>
      <c r="D784" s="545"/>
      <c r="E784" s="545"/>
      <c r="F784" s="545"/>
      <c r="G784" s="545"/>
    </row>
    <row r="785" spans="1:7" ht="12.75">
      <c r="A785" s="545"/>
      <c r="B785" s="545"/>
      <c r="C785" s="545"/>
      <c r="D785" s="545"/>
      <c r="E785" s="545"/>
      <c r="F785" s="545"/>
      <c r="G785" s="545"/>
    </row>
    <row r="786" spans="1:7" ht="12.75">
      <c r="A786" s="545"/>
      <c r="B786" s="545"/>
      <c r="C786" s="545"/>
      <c r="D786" s="545"/>
      <c r="E786" s="545"/>
      <c r="F786" s="545"/>
      <c r="G786" s="545"/>
    </row>
    <row r="787" spans="1:7" ht="12.75">
      <c r="A787" s="545"/>
      <c r="B787" s="545"/>
      <c r="C787" s="545"/>
      <c r="D787" s="545"/>
      <c r="E787" s="545"/>
      <c r="F787" s="545"/>
      <c r="G787" s="545"/>
    </row>
    <row r="788" spans="1:7" ht="12.75">
      <c r="A788" s="545"/>
      <c r="B788" s="545"/>
      <c r="C788" s="545"/>
      <c r="D788" s="545"/>
      <c r="E788" s="545"/>
      <c r="F788" s="545"/>
      <c r="G788" s="545"/>
    </row>
    <row r="789" spans="1:7" ht="12.75">
      <c r="A789" s="545"/>
      <c r="B789" s="545"/>
      <c r="C789" s="545"/>
      <c r="D789" s="545"/>
      <c r="E789" s="545"/>
      <c r="F789" s="545"/>
      <c r="G789" s="545"/>
    </row>
    <row r="790" spans="1:7" ht="12.75">
      <c r="A790" s="545"/>
      <c r="B790" s="545"/>
      <c r="C790" s="545"/>
      <c r="D790" s="545"/>
      <c r="E790" s="545"/>
      <c r="F790" s="545"/>
      <c r="G790" s="545"/>
    </row>
    <row r="791" spans="1:7" ht="12.75">
      <c r="A791" s="545"/>
      <c r="B791" s="545"/>
      <c r="C791" s="545"/>
      <c r="D791" s="545"/>
      <c r="E791" s="545"/>
      <c r="F791" s="545"/>
      <c r="G791" s="545"/>
    </row>
    <row r="792" spans="1:7" ht="12.75">
      <c r="A792" s="545"/>
      <c r="B792" s="545"/>
      <c r="C792" s="545"/>
      <c r="D792" s="545"/>
      <c r="E792" s="545"/>
      <c r="F792" s="545"/>
      <c r="G792" s="545"/>
    </row>
    <row r="793" spans="1:7" ht="12.75">
      <c r="A793" s="545"/>
      <c r="B793" s="545"/>
      <c r="C793" s="545"/>
      <c r="D793" s="545"/>
      <c r="E793" s="545"/>
      <c r="F793" s="545"/>
      <c r="G793" s="545"/>
    </row>
    <row r="794" spans="1:7" ht="12.75">
      <c r="A794" s="545"/>
      <c r="B794" s="545"/>
      <c r="C794" s="545"/>
      <c r="D794" s="545"/>
      <c r="E794" s="545"/>
      <c r="F794" s="545"/>
      <c r="G794" s="545"/>
    </row>
    <row r="795" spans="1:7" ht="12.75">
      <c r="A795" s="545"/>
      <c r="B795" s="545"/>
      <c r="C795" s="545"/>
      <c r="D795" s="545"/>
      <c r="E795" s="545"/>
      <c r="F795" s="545"/>
      <c r="G795" s="545"/>
    </row>
    <row r="796" spans="1:7" ht="12.75">
      <c r="A796" s="545"/>
      <c r="B796" s="545"/>
      <c r="C796" s="545"/>
      <c r="D796" s="545"/>
      <c r="E796" s="545"/>
      <c r="F796" s="545"/>
      <c r="G796" s="545"/>
    </row>
    <row r="797" spans="1:7" ht="12.75">
      <c r="A797" s="545"/>
      <c r="B797" s="545"/>
      <c r="C797" s="545"/>
      <c r="D797" s="545"/>
      <c r="E797" s="545"/>
      <c r="F797" s="545"/>
      <c r="G797" s="545"/>
    </row>
    <row r="798" spans="1:7" ht="12.75">
      <c r="A798" s="545"/>
      <c r="B798" s="545"/>
      <c r="C798" s="545"/>
      <c r="D798" s="545"/>
      <c r="E798" s="545"/>
      <c r="F798" s="545"/>
      <c r="G798" s="545"/>
    </row>
    <row r="799" spans="1:7" ht="12.75">
      <c r="A799" s="545"/>
      <c r="B799" s="545"/>
      <c r="C799" s="545"/>
      <c r="D799" s="545"/>
      <c r="E799" s="545"/>
      <c r="F799" s="545"/>
      <c r="G799" s="545"/>
    </row>
    <row r="800" spans="1:7" ht="12.75">
      <c r="A800" s="545"/>
      <c r="B800" s="545"/>
      <c r="C800" s="545"/>
      <c r="D800" s="545"/>
      <c r="E800" s="545"/>
      <c r="F800" s="545"/>
      <c r="G800" s="545"/>
    </row>
    <row r="801" spans="1:7" ht="12.75">
      <c r="A801" s="545"/>
      <c r="B801" s="545"/>
      <c r="C801" s="545"/>
      <c r="D801" s="545"/>
      <c r="E801" s="545"/>
      <c r="F801" s="545"/>
      <c r="G801" s="545"/>
    </row>
    <row r="802" spans="1:7" ht="12.75">
      <c r="A802" s="545"/>
      <c r="B802" s="545"/>
      <c r="C802" s="545"/>
      <c r="D802" s="545"/>
      <c r="E802" s="545"/>
      <c r="F802" s="545"/>
      <c r="G802" s="545"/>
    </row>
    <row r="803" spans="1:7" ht="12.75">
      <c r="A803" s="545"/>
      <c r="B803" s="545"/>
      <c r="C803" s="545"/>
      <c r="D803" s="545"/>
      <c r="E803" s="545"/>
      <c r="F803" s="545"/>
      <c r="G803" s="545"/>
    </row>
    <row r="804" spans="1:7" ht="12.75">
      <c r="A804" s="545"/>
      <c r="B804" s="545"/>
      <c r="C804" s="545"/>
      <c r="D804" s="545"/>
      <c r="E804" s="545"/>
      <c r="F804" s="545"/>
      <c r="G804" s="545"/>
    </row>
    <row r="805" spans="1:7" ht="12.75">
      <c r="A805" s="545"/>
      <c r="B805" s="545"/>
      <c r="C805" s="545"/>
      <c r="D805" s="545"/>
      <c r="E805" s="545"/>
      <c r="F805" s="545"/>
      <c r="G805" s="545"/>
    </row>
    <row r="806" spans="1:7" ht="12.75">
      <c r="A806" s="545"/>
      <c r="B806" s="545"/>
      <c r="C806" s="545"/>
      <c r="D806" s="545"/>
      <c r="E806" s="545"/>
      <c r="F806" s="545"/>
      <c r="G806" s="545"/>
    </row>
    <row r="807" spans="1:7" ht="12.75">
      <c r="A807" s="545"/>
      <c r="B807" s="545"/>
      <c r="C807" s="545"/>
      <c r="D807" s="545"/>
      <c r="E807" s="545"/>
      <c r="F807" s="545"/>
      <c r="G807" s="545"/>
    </row>
    <row r="808" spans="1:7" ht="12.75">
      <c r="A808" s="545"/>
      <c r="B808" s="545"/>
      <c r="C808" s="545"/>
      <c r="D808" s="545"/>
      <c r="E808" s="545"/>
      <c r="F808" s="545"/>
      <c r="G808" s="545"/>
    </row>
    <row r="809" spans="1:7" ht="12.75">
      <c r="A809" s="545"/>
      <c r="B809" s="545"/>
      <c r="C809" s="545"/>
      <c r="D809" s="545"/>
      <c r="E809" s="545"/>
      <c r="F809" s="545"/>
      <c r="G809" s="545"/>
    </row>
    <row r="810" spans="1:7" ht="12.75">
      <c r="A810" s="545"/>
      <c r="B810" s="545"/>
      <c r="C810" s="545"/>
      <c r="D810" s="545"/>
      <c r="E810" s="545"/>
      <c r="F810" s="545"/>
      <c r="G810" s="545"/>
    </row>
    <row r="811" spans="1:7" ht="12.75">
      <c r="A811" s="545"/>
      <c r="B811" s="545"/>
      <c r="C811" s="545"/>
      <c r="D811" s="545"/>
      <c r="E811" s="545"/>
      <c r="F811" s="545"/>
      <c r="G811" s="545"/>
    </row>
    <row r="812" spans="1:7" ht="12.75">
      <c r="A812" s="545"/>
      <c r="B812" s="545"/>
      <c r="C812" s="545"/>
      <c r="D812" s="545"/>
      <c r="E812" s="545"/>
      <c r="F812" s="545"/>
      <c r="G812" s="545"/>
    </row>
    <row r="813" spans="1:7" ht="12.75">
      <c r="A813" s="545"/>
      <c r="B813" s="545"/>
      <c r="C813" s="545"/>
      <c r="D813" s="545"/>
      <c r="E813" s="545"/>
      <c r="F813" s="545"/>
      <c r="G813" s="545"/>
    </row>
    <row r="814" spans="1:7" ht="12.75">
      <c r="A814" s="545"/>
      <c r="B814" s="545"/>
      <c r="C814" s="545"/>
      <c r="D814" s="545"/>
      <c r="E814" s="545"/>
      <c r="F814" s="545"/>
      <c r="G814" s="545"/>
    </row>
    <row r="815" spans="1:7" ht="12.75">
      <c r="A815" s="545"/>
      <c r="B815" s="545"/>
      <c r="C815" s="545"/>
      <c r="D815" s="545"/>
      <c r="E815" s="545"/>
      <c r="F815" s="545"/>
      <c r="G815" s="545"/>
    </row>
    <row r="816" spans="1:7" ht="12.75">
      <c r="A816" s="545"/>
      <c r="B816" s="545"/>
      <c r="C816" s="545"/>
      <c r="D816" s="545"/>
      <c r="E816" s="545"/>
      <c r="F816" s="545"/>
      <c r="G816" s="545"/>
    </row>
    <row r="817" spans="1:7" ht="12.75">
      <c r="A817" s="545"/>
      <c r="B817" s="545"/>
      <c r="C817" s="545"/>
      <c r="D817" s="545"/>
      <c r="E817" s="545"/>
      <c r="F817" s="545"/>
      <c r="G817" s="545"/>
    </row>
    <row r="818" spans="1:7" ht="12.75">
      <c r="A818" s="545"/>
      <c r="B818" s="545"/>
      <c r="C818" s="545"/>
      <c r="D818" s="545"/>
      <c r="E818" s="545"/>
      <c r="F818" s="545"/>
      <c r="G818" s="545"/>
    </row>
    <row r="819" spans="1:7" ht="12.75">
      <c r="A819" s="545"/>
      <c r="B819" s="545"/>
      <c r="C819" s="545"/>
      <c r="D819" s="545"/>
      <c r="E819" s="545"/>
      <c r="F819" s="545"/>
      <c r="G819" s="545"/>
    </row>
    <row r="820" spans="1:7" ht="12.75">
      <c r="A820" s="545"/>
      <c r="B820" s="545"/>
      <c r="C820" s="545"/>
      <c r="D820" s="545"/>
      <c r="E820" s="545"/>
      <c r="F820" s="545"/>
      <c r="G820" s="545"/>
    </row>
    <row r="821" spans="1:7" ht="12.75">
      <c r="A821" s="545"/>
      <c r="B821" s="545"/>
      <c r="C821" s="545"/>
      <c r="D821" s="545"/>
      <c r="E821" s="545"/>
      <c r="F821" s="545"/>
      <c r="G821" s="545"/>
    </row>
    <row r="822" spans="1:7" ht="12.75">
      <c r="A822" s="545"/>
      <c r="B822" s="545"/>
      <c r="C822" s="545"/>
      <c r="D822" s="545"/>
      <c r="E822" s="545"/>
      <c r="F822" s="545"/>
      <c r="G822" s="545"/>
    </row>
    <row r="823" spans="1:7" ht="12.75">
      <c r="A823" s="545"/>
      <c r="B823" s="545"/>
      <c r="C823" s="545"/>
      <c r="D823" s="545"/>
      <c r="E823" s="545"/>
      <c r="F823" s="545"/>
      <c r="G823" s="545"/>
    </row>
    <row r="824" spans="1:7" ht="12.75">
      <c r="A824" s="545"/>
      <c r="B824" s="545"/>
      <c r="C824" s="545"/>
      <c r="D824" s="545"/>
      <c r="E824" s="545"/>
      <c r="F824" s="545"/>
      <c r="G824" s="545"/>
    </row>
    <row r="825" spans="1:7" ht="12.75">
      <c r="A825" s="545"/>
      <c r="B825" s="545"/>
      <c r="C825" s="545"/>
      <c r="D825" s="545"/>
      <c r="E825" s="545"/>
      <c r="F825" s="545"/>
      <c r="G825" s="545"/>
    </row>
    <row r="826" spans="1:7" ht="12.75">
      <c r="A826" s="545"/>
      <c r="B826" s="545"/>
      <c r="C826" s="545"/>
      <c r="D826" s="545"/>
      <c r="E826" s="545"/>
      <c r="F826" s="545"/>
      <c r="G826" s="545"/>
    </row>
    <row r="827" spans="1:7" ht="12.75">
      <c r="A827" s="545"/>
      <c r="B827" s="545"/>
      <c r="C827" s="545"/>
      <c r="D827" s="545"/>
      <c r="E827" s="545"/>
      <c r="F827" s="545"/>
      <c r="G827" s="545"/>
    </row>
    <row r="828" spans="1:7" ht="12.75">
      <c r="A828" s="545"/>
      <c r="B828" s="545"/>
      <c r="C828" s="545"/>
      <c r="D828" s="545"/>
      <c r="E828" s="545"/>
      <c r="F828" s="545"/>
      <c r="G828" s="545"/>
    </row>
    <row r="829" spans="1:7" ht="12.75">
      <c r="A829" s="545"/>
      <c r="B829" s="545"/>
      <c r="C829" s="545"/>
      <c r="D829" s="545"/>
      <c r="E829" s="545"/>
      <c r="F829" s="545"/>
      <c r="G829" s="545"/>
    </row>
    <row r="830" spans="1:7" ht="12.75">
      <c r="A830" s="545"/>
      <c r="B830" s="545"/>
      <c r="C830" s="545"/>
      <c r="D830" s="545"/>
      <c r="E830" s="545"/>
      <c r="F830" s="545"/>
      <c r="G830" s="545"/>
    </row>
    <row r="831" spans="1:7" ht="12.75">
      <c r="A831" s="545"/>
      <c r="B831" s="545"/>
      <c r="C831" s="545"/>
      <c r="D831" s="545"/>
      <c r="E831" s="545"/>
      <c r="F831" s="545"/>
      <c r="G831" s="545"/>
    </row>
    <row r="832" spans="1:7" ht="12.75">
      <c r="A832" s="545"/>
      <c r="B832" s="545"/>
      <c r="C832" s="545"/>
      <c r="D832" s="545"/>
      <c r="E832" s="545"/>
      <c r="F832" s="545"/>
      <c r="G832" s="545"/>
    </row>
    <row r="833" spans="1:7" ht="12.75">
      <c r="A833" s="545"/>
      <c r="B833" s="545"/>
      <c r="C833" s="545"/>
      <c r="D833" s="545"/>
      <c r="E833" s="545"/>
      <c r="F833" s="545"/>
      <c r="G833" s="545"/>
    </row>
    <row r="834" spans="1:7" ht="12.75">
      <c r="A834" s="545"/>
      <c r="B834" s="545"/>
      <c r="C834" s="545"/>
      <c r="D834" s="545"/>
      <c r="E834" s="545"/>
      <c r="F834" s="545"/>
      <c r="G834" s="545"/>
    </row>
    <row r="835" spans="1:7" ht="12.75">
      <c r="A835" s="545"/>
      <c r="B835" s="545"/>
      <c r="C835" s="545"/>
      <c r="D835" s="545"/>
      <c r="E835" s="545"/>
      <c r="F835" s="545"/>
      <c r="G835" s="545"/>
    </row>
    <row r="836" spans="1:7" ht="12.75">
      <c r="A836" s="545"/>
      <c r="B836" s="545"/>
      <c r="C836" s="545"/>
      <c r="D836" s="545"/>
      <c r="E836" s="545"/>
      <c r="F836" s="545"/>
      <c r="G836" s="545"/>
    </row>
    <row r="837" spans="1:7" ht="12.75">
      <c r="A837" s="545"/>
      <c r="B837" s="545"/>
      <c r="C837" s="545"/>
      <c r="D837" s="545"/>
      <c r="E837" s="545"/>
      <c r="F837" s="545"/>
      <c r="G837" s="545"/>
    </row>
    <row r="838" spans="1:7" ht="12.75">
      <c r="A838" s="545"/>
      <c r="B838" s="545"/>
      <c r="C838" s="545"/>
      <c r="D838" s="545"/>
      <c r="E838" s="545"/>
      <c r="F838" s="545"/>
      <c r="G838" s="545"/>
    </row>
    <row r="839" spans="1:7" ht="12.75">
      <c r="A839" s="545"/>
      <c r="B839" s="545"/>
      <c r="C839" s="545"/>
      <c r="D839" s="545"/>
      <c r="E839" s="545"/>
      <c r="F839" s="545"/>
      <c r="G839" s="545"/>
    </row>
    <row r="840" spans="1:7" ht="12.75">
      <c r="A840" s="545"/>
      <c r="B840" s="545"/>
      <c r="C840" s="545"/>
      <c r="D840" s="545"/>
      <c r="E840" s="545"/>
      <c r="F840" s="545"/>
      <c r="G840" s="545"/>
    </row>
    <row r="841" spans="1:7" ht="12.75">
      <c r="A841" s="545"/>
      <c r="B841" s="545"/>
      <c r="C841" s="545"/>
      <c r="D841" s="545"/>
      <c r="E841" s="545"/>
      <c r="F841" s="545"/>
      <c r="G841" s="545"/>
    </row>
    <row r="842" spans="1:7" ht="12.75">
      <c r="A842" s="545"/>
      <c r="B842" s="545"/>
      <c r="C842" s="545"/>
      <c r="D842" s="545"/>
      <c r="E842" s="545"/>
      <c r="F842" s="545"/>
      <c r="G842" s="545"/>
    </row>
    <row r="843" spans="1:7" ht="12.75">
      <c r="A843" s="545"/>
      <c r="B843" s="545"/>
      <c r="C843" s="545"/>
      <c r="D843" s="545"/>
      <c r="E843" s="545"/>
      <c r="F843" s="545"/>
      <c r="G843" s="545"/>
    </row>
    <row r="844" spans="1:7" ht="12.75">
      <c r="A844" s="545"/>
      <c r="B844" s="545"/>
      <c r="C844" s="545"/>
      <c r="D844" s="545"/>
      <c r="E844" s="545"/>
      <c r="F844" s="545"/>
      <c r="G844" s="545"/>
    </row>
    <row r="845" spans="1:7" ht="12.75">
      <c r="A845" s="545"/>
      <c r="B845" s="545"/>
      <c r="C845" s="545"/>
      <c r="D845" s="545"/>
      <c r="E845" s="545"/>
      <c r="F845" s="545"/>
      <c r="G845" s="545"/>
    </row>
    <row r="846" spans="1:7" ht="12.75">
      <c r="A846" s="545"/>
      <c r="B846" s="545"/>
      <c r="C846" s="545"/>
      <c r="D846" s="545"/>
      <c r="E846" s="545"/>
      <c r="F846" s="545"/>
      <c r="G846" s="545"/>
    </row>
    <row r="847" spans="1:7" ht="12.75">
      <c r="A847" s="545"/>
      <c r="B847" s="545"/>
      <c r="C847" s="545"/>
      <c r="D847" s="545"/>
      <c r="E847" s="545"/>
      <c r="F847" s="545"/>
      <c r="G847" s="545"/>
    </row>
    <row r="848" spans="1:7" ht="12.75">
      <c r="A848" s="545"/>
      <c r="B848" s="545"/>
      <c r="C848" s="545"/>
      <c r="D848" s="545"/>
      <c r="E848" s="545"/>
      <c r="F848" s="545"/>
      <c r="G848" s="545"/>
    </row>
    <row r="849" spans="1:7" ht="12.75">
      <c r="A849" s="545"/>
      <c r="B849" s="545"/>
      <c r="C849" s="545"/>
      <c r="D849" s="545"/>
      <c r="E849" s="545"/>
      <c r="F849" s="545"/>
      <c r="G849" s="545"/>
    </row>
    <row r="850" spans="1:7" ht="12.75">
      <c r="A850" s="545"/>
      <c r="B850" s="545"/>
      <c r="C850" s="545"/>
      <c r="D850" s="545"/>
      <c r="E850" s="545"/>
      <c r="F850" s="545"/>
      <c r="G850" s="545"/>
    </row>
    <row r="851" spans="1:7" ht="12.75">
      <c r="A851" s="545"/>
      <c r="B851" s="545"/>
      <c r="C851" s="545"/>
      <c r="D851" s="545"/>
      <c r="E851" s="545"/>
      <c r="F851" s="545"/>
      <c r="G851" s="545"/>
    </row>
    <row r="852" spans="1:7" ht="12.75">
      <c r="A852" s="545"/>
      <c r="B852" s="545"/>
      <c r="C852" s="545"/>
      <c r="D852" s="545"/>
      <c r="E852" s="545"/>
      <c r="F852" s="545"/>
      <c r="G852" s="545"/>
    </row>
    <row r="853" spans="1:7" ht="12.75">
      <c r="A853" s="545"/>
      <c r="B853" s="545"/>
      <c r="C853" s="545"/>
      <c r="D853" s="545"/>
      <c r="E853" s="545"/>
      <c r="F853" s="545"/>
      <c r="G853" s="545"/>
    </row>
    <row r="854" spans="1:7" ht="12.75">
      <c r="A854" s="545"/>
      <c r="B854" s="545"/>
      <c r="C854" s="545"/>
      <c r="D854" s="545"/>
      <c r="E854" s="545"/>
      <c r="F854" s="545"/>
      <c r="G854" s="545"/>
    </row>
    <row r="855" spans="1:7" ht="12.75">
      <c r="A855" s="545"/>
      <c r="B855" s="545"/>
      <c r="C855" s="545"/>
      <c r="D855" s="545"/>
      <c r="E855" s="545"/>
      <c r="F855" s="545"/>
      <c r="G855" s="545"/>
    </row>
    <row r="856" spans="1:7" ht="12.75">
      <c r="A856" s="545"/>
      <c r="B856" s="545"/>
      <c r="C856" s="545"/>
      <c r="D856" s="545"/>
      <c r="E856" s="545"/>
      <c r="F856" s="545"/>
      <c r="G856" s="545"/>
    </row>
    <row r="857" spans="1:7" ht="12.75">
      <c r="A857" s="545"/>
      <c r="B857" s="545"/>
      <c r="C857" s="545"/>
      <c r="D857" s="545"/>
      <c r="E857" s="545"/>
      <c r="F857" s="545"/>
      <c r="G857" s="545"/>
    </row>
    <row r="858" spans="1:7" ht="12.75">
      <c r="A858" s="545"/>
      <c r="B858" s="545"/>
      <c r="C858" s="545"/>
      <c r="D858" s="545"/>
      <c r="E858" s="545"/>
      <c r="F858" s="545"/>
      <c r="G858" s="545"/>
    </row>
    <row r="859" spans="1:7" ht="12.75">
      <c r="A859" s="545"/>
      <c r="B859" s="545"/>
      <c r="C859" s="545"/>
      <c r="D859" s="545"/>
      <c r="E859" s="545"/>
      <c r="F859" s="545"/>
      <c r="G859" s="545"/>
    </row>
    <row r="860" spans="1:7" ht="12.75">
      <c r="A860" s="545"/>
      <c r="B860" s="545"/>
      <c r="C860" s="545"/>
      <c r="D860" s="545"/>
      <c r="E860" s="545"/>
      <c r="F860" s="545"/>
      <c r="G860" s="545"/>
    </row>
    <row r="861" spans="1:7" ht="12.75">
      <c r="A861" s="545"/>
      <c r="B861" s="545"/>
      <c r="C861" s="545"/>
      <c r="D861" s="545"/>
      <c r="E861" s="545"/>
      <c r="F861" s="545"/>
      <c r="G861" s="545"/>
    </row>
    <row r="862" spans="1:7" ht="12.75">
      <c r="A862" s="545"/>
      <c r="B862" s="545"/>
      <c r="C862" s="545"/>
      <c r="D862" s="545"/>
      <c r="E862" s="545"/>
      <c r="F862" s="545"/>
      <c r="G862" s="545"/>
    </row>
    <row r="863" spans="1:7" ht="12.75">
      <c r="A863" s="545"/>
      <c r="B863" s="545"/>
      <c r="C863" s="545"/>
      <c r="D863" s="545"/>
      <c r="E863" s="545"/>
      <c r="F863" s="545"/>
      <c r="G863" s="545"/>
    </row>
    <row r="864" spans="1:7" ht="12.75">
      <c r="A864" s="545"/>
      <c r="B864" s="545"/>
      <c r="C864" s="545"/>
      <c r="D864" s="545"/>
      <c r="E864" s="545"/>
      <c r="F864" s="545"/>
      <c r="G864" s="545"/>
    </row>
    <row r="865" spans="1:7" ht="12.75">
      <c r="A865" s="545"/>
      <c r="B865" s="545"/>
      <c r="C865" s="545"/>
      <c r="D865" s="545"/>
      <c r="E865" s="545"/>
      <c r="F865" s="545"/>
      <c r="G865" s="545"/>
    </row>
    <row r="866" spans="1:7" ht="12.75">
      <c r="A866" s="545"/>
      <c r="B866" s="545"/>
      <c r="C866" s="545"/>
      <c r="D866" s="545"/>
      <c r="E866" s="545"/>
      <c r="F866" s="545"/>
      <c r="G866" s="545"/>
    </row>
    <row r="867" spans="1:7" ht="12.75">
      <c r="A867" s="545"/>
      <c r="B867" s="545"/>
      <c r="C867" s="545"/>
      <c r="D867" s="545"/>
      <c r="E867" s="545"/>
      <c r="F867" s="545"/>
      <c r="G867" s="545"/>
    </row>
    <row r="868" spans="1:7" ht="12.75">
      <c r="A868" s="545"/>
      <c r="B868" s="545"/>
      <c r="C868" s="545"/>
      <c r="D868" s="545"/>
      <c r="E868" s="545"/>
      <c r="F868" s="545"/>
      <c r="G868" s="545"/>
    </row>
    <row r="869" spans="1:7" ht="12.75">
      <c r="A869" s="545"/>
      <c r="B869" s="545"/>
      <c r="C869" s="545"/>
      <c r="D869" s="545"/>
      <c r="E869" s="545"/>
      <c r="F869" s="545"/>
      <c r="G869" s="545"/>
    </row>
    <row r="870" spans="1:7" ht="12.75">
      <c r="A870" s="545"/>
      <c r="B870" s="545"/>
      <c r="C870" s="545"/>
      <c r="D870" s="545"/>
      <c r="E870" s="545"/>
      <c r="F870" s="545"/>
      <c r="G870" s="545"/>
    </row>
    <row r="871" spans="1:7" ht="12.75">
      <c r="A871" s="545"/>
      <c r="B871" s="545"/>
      <c r="C871" s="545"/>
      <c r="D871" s="545"/>
      <c r="E871" s="545"/>
      <c r="F871" s="545"/>
      <c r="G871" s="545"/>
    </row>
    <row r="872" spans="1:7" ht="12.75">
      <c r="A872" s="545"/>
      <c r="B872" s="545"/>
      <c r="C872" s="545"/>
      <c r="D872" s="545"/>
      <c r="E872" s="545"/>
      <c r="F872" s="545"/>
      <c r="G872" s="545"/>
    </row>
    <row r="873" spans="1:7" ht="12.75">
      <c r="A873" s="545"/>
      <c r="B873" s="545"/>
      <c r="C873" s="545"/>
      <c r="D873" s="545"/>
      <c r="E873" s="545"/>
      <c r="F873" s="545"/>
      <c r="G873" s="545"/>
    </row>
    <row r="874" spans="1:7" ht="12.75">
      <c r="A874" s="545"/>
      <c r="B874" s="545"/>
      <c r="C874" s="545"/>
      <c r="D874" s="545"/>
      <c r="E874" s="545"/>
      <c r="F874" s="545"/>
      <c r="G874" s="545"/>
    </row>
    <row r="875" spans="1:7" ht="12.75">
      <c r="A875" s="545"/>
      <c r="B875" s="545"/>
      <c r="C875" s="545"/>
      <c r="D875" s="545"/>
      <c r="E875" s="545"/>
      <c r="F875" s="545"/>
      <c r="G875" s="545"/>
    </row>
    <row r="876" spans="1:7" ht="12.75">
      <c r="A876" s="545"/>
      <c r="B876" s="545"/>
      <c r="C876" s="545"/>
      <c r="D876" s="545"/>
      <c r="E876" s="545"/>
      <c r="F876" s="545"/>
      <c r="G876" s="545"/>
    </row>
    <row r="877" spans="1:7" ht="12.75">
      <c r="A877" s="545"/>
      <c r="B877" s="545"/>
      <c r="C877" s="545"/>
      <c r="D877" s="545"/>
      <c r="E877" s="545"/>
      <c r="F877" s="545"/>
      <c r="G877" s="545"/>
    </row>
    <row r="878" spans="1:7" ht="12.75">
      <c r="A878" s="545"/>
      <c r="B878" s="545"/>
      <c r="C878" s="545"/>
      <c r="D878" s="545"/>
      <c r="E878" s="545"/>
      <c r="F878" s="545"/>
      <c r="G878" s="545"/>
    </row>
    <row r="879" spans="1:7" ht="12.75">
      <c r="A879" s="545"/>
      <c r="B879" s="545"/>
      <c r="C879" s="545"/>
      <c r="D879" s="545"/>
      <c r="E879" s="545"/>
      <c r="F879" s="545"/>
      <c r="G879" s="545"/>
    </row>
    <row r="880" spans="1:7" ht="12.75">
      <c r="A880" s="545"/>
      <c r="B880" s="545"/>
      <c r="C880" s="545"/>
      <c r="D880" s="545"/>
      <c r="E880" s="545"/>
      <c r="F880" s="545"/>
      <c r="G880" s="545"/>
    </row>
    <row r="881" spans="1:7" ht="12.75">
      <c r="A881" s="545"/>
      <c r="B881" s="545"/>
      <c r="C881" s="545"/>
      <c r="D881" s="545"/>
      <c r="E881" s="545"/>
      <c r="F881" s="545"/>
      <c r="G881" s="545"/>
    </row>
    <row r="882" spans="1:7" ht="12.75">
      <c r="A882" s="545"/>
      <c r="B882" s="545"/>
      <c r="C882" s="545"/>
      <c r="D882" s="545"/>
      <c r="E882" s="545"/>
      <c r="F882" s="545"/>
      <c r="G882" s="545"/>
    </row>
    <row r="883" spans="1:7" ht="12.75">
      <c r="A883" s="545"/>
      <c r="B883" s="545"/>
      <c r="C883" s="545"/>
      <c r="D883" s="545"/>
      <c r="E883" s="545"/>
      <c r="F883" s="545"/>
      <c r="G883" s="545"/>
    </row>
    <row r="884" spans="1:7" ht="12.75">
      <c r="A884" s="545"/>
      <c r="B884" s="545"/>
      <c r="C884" s="545"/>
      <c r="D884" s="545"/>
      <c r="E884" s="545"/>
      <c r="F884" s="545"/>
      <c r="G884" s="545"/>
    </row>
    <row r="885" spans="1:7" ht="12.75">
      <c r="A885" s="545"/>
      <c r="B885" s="545"/>
      <c r="C885" s="545"/>
      <c r="D885" s="545"/>
      <c r="E885" s="545"/>
      <c r="F885" s="545"/>
      <c r="G885" s="545"/>
    </row>
    <row r="886" spans="1:7" ht="12.75">
      <c r="A886" s="545"/>
      <c r="B886" s="545"/>
      <c r="C886" s="545"/>
      <c r="D886" s="545"/>
      <c r="E886" s="545"/>
      <c r="F886" s="545"/>
      <c r="G886" s="545"/>
    </row>
    <row r="887" spans="1:7" ht="12.75">
      <c r="A887" s="545"/>
      <c r="B887" s="545"/>
      <c r="C887" s="545"/>
      <c r="D887" s="545"/>
      <c r="E887" s="545"/>
      <c r="F887" s="545"/>
      <c r="G887" s="545"/>
    </row>
    <row r="888" spans="1:7" ht="12.75">
      <c r="A888" s="545"/>
      <c r="B888" s="545"/>
      <c r="C888" s="545"/>
      <c r="D888" s="545"/>
      <c r="E888" s="545"/>
      <c r="F888" s="545"/>
      <c r="G888" s="545"/>
    </row>
    <row r="889" spans="1:7" ht="12.75">
      <c r="A889" s="545"/>
      <c r="B889" s="545"/>
      <c r="C889" s="545"/>
      <c r="D889" s="545"/>
      <c r="E889" s="545"/>
      <c r="F889" s="545"/>
      <c r="G889" s="545"/>
    </row>
    <row r="890" spans="1:7" ht="12.75">
      <c r="A890" s="545"/>
      <c r="B890" s="545"/>
      <c r="C890" s="545"/>
      <c r="D890" s="545"/>
      <c r="E890" s="545"/>
      <c r="F890" s="545"/>
      <c r="G890" s="545"/>
    </row>
    <row r="891" spans="1:7" ht="12.75">
      <c r="A891" s="545"/>
      <c r="B891" s="545"/>
      <c r="C891" s="545"/>
      <c r="D891" s="545"/>
      <c r="E891" s="545"/>
      <c r="F891" s="545"/>
      <c r="G891" s="545"/>
    </row>
    <row r="892" spans="1:7" ht="12.75">
      <c r="A892" s="545"/>
      <c r="B892" s="545"/>
      <c r="C892" s="545"/>
      <c r="D892" s="545"/>
      <c r="E892" s="545"/>
      <c r="F892" s="545"/>
      <c r="G892" s="545"/>
    </row>
    <row r="893" spans="1:7" ht="12.75">
      <c r="A893" s="545"/>
      <c r="B893" s="545"/>
      <c r="C893" s="545"/>
      <c r="D893" s="545"/>
      <c r="E893" s="545"/>
      <c r="F893" s="545"/>
      <c r="G893" s="545"/>
    </row>
    <row r="894" spans="1:7" ht="12.75">
      <c r="A894" s="545"/>
      <c r="B894" s="545"/>
      <c r="C894" s="545"/>
      <c r="D894" s="545"/>
      <c r="E894" s="545"/>
      <c r="F894" s="545"/>
      <c r="G894" s="545"/>
    </row>
    <row r="895" spans="1:7" ht="12.75">
      <c r="A895" s="545"/>
      <c r="B895" s="545"/>
      <c r="C895" s="545"/>
      <c r="D895" s="545"/>
      <c r="E895" s="545"/>
      <c r="F895" s="545"/>
      <c r="G895" s="545"/>
    </row>
    <row r="896" spans="1:7" ht="12.75">
      <c r="A896" s="545"/>
      <c r="B896" s="545"/>
      <c r="C896" s="545"/>
      <c r="D896" s="545"/>
      <c r="E896" s="545"/>
      <c r="F896" s="545"/>
      <c r="G896" s="545"/>
    </row>
    <row r="897" spans="1:7" ht="12.75">
      <c r="A897" s="545"/>
      <c r="B897" s="545"/>
      <c r="C897" s="545"/>
      <c r="D897" s="545"/>
      <c r="E897" s="545"/>
      <c r="F897" s="545"/>
      <c r="G897" s="545"/>
    </row>
    <row r="898" spans="1:7" ht="12.75">
      <c r="A898" s="545"/>
      <c r="B898" s="545"/>
      <c r="C898" s="545"/>
      <c r="D898" s="545"/>
      <c r="E898" s="545"/>
      <c r="F898" s="545"/>
      <c r="G898" s="545"/>
    </row>
    <row r="899" spans="1:7" ht="12.75">
      <c r="A899" s="545"/>
      <c r="B899" s="545"/>
      <c r="C899" s="545"/>
      <c r="D899" s="545"/>
      <c r="E899" s="545"/>
      <c r="F899" s="545"/>
      <c r="G899" s="545"/>
    </row>
    <row r="900" spans="1:7" ht="12.75">
      <c r="A900" s="545"/>
      <c r="B900" s="545"/>
      <c r="C900" s="545"/>
      <c r="D900" s="545"/>
      <c r="E900" s="545"/>
      <c r="F900" s="545"/>
      <c r="G900" s="545"/>
    </row>
    <row r="901" spans="1:7" ht="12.75">
      <c r="A901" s="545"/>
      <c r="B901" s="545"/>
      <c r="C901" s="545"/>
      <c r="D901" s="545"/>
      <c r="E901" s="545"/>
      <c r="F901" s="545"/>
      <c r="G901" s="545"/>
    </row>
    <row r="902" spans="1:7" ht="12.75">
      <c r="A902" s="545"/>
      <c r="B902" s="545"/>
      <c r="C902" s="545"/>
      <c r="D902" s="545"/>
      <c r="E902" s="545"/>
      <c r="F902" s="545"/>
      <c r="G902" s="545"/>
    </row>
    <row r="903" spans="1:7" ht="12.75">
      <c r="A903" s="545"/>
      <c r="B903" s="545"/>
      <c r="C903" s="545"/>
      <c r="D903" s="545"/>
      <c r="E903" s="545"/>
      <c r="F903" s="545"/>
      <c r="G903" s="545"/>
    </row>
    <row r="904" spans="1:7" ht="12.75">
      <c r="A904" s="545"/>
      <c r="B904" s="545"/>
      <c r="C904" s="545"/>
      <c r="D904" s="545"/>
      <c r="E904" s="545"/>
      <c r="F904" s="545"/>
      <c r="G904" s="545"/>
    </row>
    <row r="905" spans="1:7" ht="12.75">
      <c r="A905" s="545"/>
      <c r="B905" s="545"/>
      <c r="C905" s="545"/>
      <c r="D905" s="545"/>
      <c r="E905" s="545"/>
      <c r="F905" s="545"/>
      <c r="G905" s="545"/>
    </row>
    <row r="906" spans="1:7" ht="12.75">
      <c r="A906" s="545"/>
      <c r="B906" s="545"/>
      <c r="C906" s="545"/>
      <c r="D906" s="545"/>
      <c r="E906" s="545"/>
      <c r="F906" s="545"/>
      <c r="G906" s="545"/>
    </row>
    <row r="907" spans="1:7" ht="12.75">
      <c r="A907" s="545"/>
      <c r="B907" s="545"/>
      <c r="C907" s="545"/>
      <c r="D907" s="545"/>
      <c r="E907" s="545"/>
      <c r="F907" s="545"/>
      <c r="G907" s="545"/>
    </row>
    <row r="908" spans="1:7" ht="12.75">
      <c r="A908" s="545"/>
      <c r="B908" s="545"/>
      <c r="C908" s="545"/>
      <c r="D908" s="545"/>
      <c r="E908" s="545"/>
      <c r="F908" s="545"/>
      <c r="G908" s="545"/>
    </row>
    <row r="909" spans="1:7" ht="12.75">
      <c r="A909" s="545"/>
      <c r="B909" s="545"/>
      <c r="C909" s="545"/>
      <c r="D909" s="545"/>
      <c r="E909" s="545"/>
      <c r="F909" s="545"/>
      <c r="G909" s="545"/>
    </row>
    <row r="910" spans="1:7" ht="12.75">
      <c r="A910" s="545"/>
      <c r="B910" s="545"/>
      <c r="C910" s="545"/>
      <c r="D910" s="545"/>
      <c r="E910" s="545"/>
      <c r="F910" s="545"/>
      <c r="G910" s="545"/>
    </row>
    <row r="911" spans="1:7" ht="12.75">
      <c r="A911" s="545"/>
      <c r="B911" s="545"/>
      <c r="C911" s="545"/>
      <c r="D911" s="545"/>
      <c r="E911" s="545"/>
      <c r="F911" s="545"/>
      <c r="G911" s="545"/>
    </row>
    <row r="912" spans="1:7" ht="12.75">
      <c r="A912" s="545"/>
      <c r="B912" s="545"/>
      <c r="C912" s="545"/>
      <c r="D912" s="545"/>
      <c r="E912" s="545"/>
      <c r="F912" s="545"/>
      <c r="G912" s="545"/>
    </row>
    <row r="913" spans="1:7" ht="12.75">
      <c r="A913" s="545"/>
      <c r="B913" s="545"/>
      <c r="C913" s="545"/>
      <c r="D913" s="545"/>
      <c r="E913" s="545"/>
      <c r="F913" s="545"/>
      <c r="G913" s="545"/>
    </row>
    <row r="914" spans="1:7" ht="12.75">
      <c r="A914" s="545"/>
      <c r="B914" s="545"/>
      <c r="C914" s="545"/>
      <c r="D914" s="545"/>
      <c r="E914" s="545"/>
      <c r="F914" s="545"/>
      <c r="G914" s="545"/>
    </row>
    <row r="915" spans="1:7" ht="12.75">
      <c r="A915" s="545"/>
      <c r="B915" s="545"/>
      <c r="C915" s="545"/>
      <c r="D915" s="545"/>
      <c r="E915" s="545"/>
      <c r="F915" s="545"/>
      <c r="G915" s="545"/>
    </row>
    <row r="916" spans="1:7" ht="12.75">
      <c r="A916" s="545"/>
      <c r="B916" s="545"/>
      <c r="C916" s="545"/>
      <c r="D916" s="545"/>
      <c r="E916" s="545"/>
      <c r="F916" s="545"/>
      <c r="G916" s="545"/>
    </row>
    <row r="917" spans="1:7" ht="12.75">
      <c r="A917" s="545"/>
      <c r="B917" s="545"/>
      <c r="C917" s="545"/>
      <c r="D917" s="545"/>
      <c r="E917" s="545"/>
      <c r="F917" s="545"/>
      <c r="G917" s="545"/>
    </row>
    <row r="918" spans="1:7" ht="12.75">
      <c r="A918" s="545"/>
      <c r="B918" s="545"/>
      <c r="C918" s="545"/>
      <c r="D918" s="545"/>
      <c r="E918" s="545"/>
      <c r="F918" s="545"/>
      <c r="G918" s="545"/>
    </row>
    <row r="919" spans="1:7" ht="12.75">
      <c r="A919" s="545"/>
      <c r="B919" s="545"/>
      <c r="C919" s="545"/>
      <c r="D919" s="545"/>
      <c r="E919" s="545"/>
      <c r="F919" s="545"/>
      <c r="G919" s="545"/>
    </row>
    <row r="920" spans="1:7" ht="12.75">
      <c r="A920" s="545"/>
      <c r="B920" s="545"/>
      <c r="C920" s="545"/>
      <c r="D920" s="545"/>
      <c r="E920" s="545"/>
      <c r="F920" s="545"/>
      <c r="G920" s="545"/>
    </row>
    <row r="921" spans="1:7" ht="12.75">
      <c r="A921" s="545"/>
      <c r="B921" s="545"/>
      <c r="C921" s="545"/>
      <c r="D921" s="545"/>
      <c r="E921" s="545"/>
      <c r="F921" s="545"/>
      <c r="G921" s="545"/>
    </row>
    <row r="922" spans="1:7" ht="12.75">
      <c r="A922" s="545"/>
      <c r="B922" s="545"/>
      <c r="C922" s="545"/>
      <c r="D922" s="545"/>
      <c r="E922" s="545"/>
      <c r="F922" s="545"/>
      <c r="G922" s="545"/>
    </row>
    <row r="923" spans="1:7" ht="12.75">
      <c r="A923" s="545"/>
      <c r="B923" s="545"/>
      <c r="C923" s="545"/>
      <c r="D923" s="545"/>
      <c r="E923" s="545"/>
      <c r="F923" s="545"/>
      <c r="G923" s="545"/>
    </row>
    <row r="924" spans="1:7" ht="12.75">
      <c r="A924" s="545"/>
      <c r="B924" s="545"/>
      <c r="C924" s="545"/>
      <c r="D924" s="545"/>
      <c r="E924" s="545"/>
      <c r="F924" s="545"/>
      <c r="G924" s="545"/>
    </row>
    <row r="925" spans="1:7" ht="12.75">
      <c r="A925" s="545"/>
      <c r="B925" s="545"/>
      <c r="C925" s="545"/>
      <c r="D925" s="545"/>
      <c r="E925" s="545"/>
      <c r="F925" s="545"/>
      <c r="G925" s="545"/>
    </row>
    <row r="926" spans="1:7" ht="12.75">
      <c r="A926" s="545"/>
      <c r="B926" s="545"/>
      <c r="C926" s="545"/>
      <c r="D926" s="545"/>
      <c r="E926" s="545"/>
      <c r="F926" s="545"/>
      <c r="G926" s="545"/>
    </row>
    <row r="927" spans="1:7" ht="12.75">
      <c r="A927" s="545"/>
      <c r="B927" s="545"/>
      <c r="C927" s="545"/>
      <c r="D927" s="545"/>
      <c r="E927" s="545"/>
      <c r="F927" s="545"/>
      <c r="G927" s="545"/>
    </row>
    <row r="928" spans="1:7" ht="12.75">
      <c r="A928" s="545"/>
      <c r="B928" s="545"/>
      <c r="C928" s="545"/>
      <c r="D928" s="545"/>
      <c r="E928" s="545"/>
      <c r="F928" s="545"/>
      <c r="G928" s="545"/>
    </row>
    <row r="929" spans="1:7" ht="12.75">
      <c r="A929" s="545"/>
      <c r="B929" s="545"/>
      <c r="C929" s="545"/>
      <c r="D929" s="545"/>
      <c r="E929" s="545"/>
      <c r="F929" s="545"/>
      <c r="G929" s="545"/>
    </row>
    <row r="930" spans="1:7" ht="12.75">
      <c r="A930" s="545"/>
      <c r="B930" s="545"/>
      <c r="C930" s="545"/>
      <c r="D930" s="545"/>
      <c r="E930" s="545"/>
      <c r="F930" s="545"/>
      <c r="G930" s="545"/>
    </row>
    <row r="931" spans="1:7" ht="12.75">
      <c r="A931" s="545"/>
      <c r="B931" s="545"/>
      <c r="C931" s="545"/>
      <c r="D931" s="545"/>
      <c r="E931" s="545"/>
      <c r="F931" s="545"/>
      <c r="G931" s="545"/>
    </row>
    <row r="932" spans="1:7" ht="12.75">
      <c r="A932" s="545"/>
      <c r="B932" s="545"/>
      <c r="C932" s="545"/>
      <c r="D932" s="545"/>
      <c r="E932" s="545"/>
      <c r="F932" s="545"/>
      <c r="G932" s="545"/>
    </row>
    <row r="933" spans="1:7" ht="12.75">
      <c r="A933" s="545"/>
      <c r="B933" s="545"/>
      <c r="C933" s="545"/>
      <c r="D933" s="545"/>
      <c r="E933" s="545"/>
      <c r="F933" s="545"/>
      <c r="G933" s="545"/>
    </row>
    <row r="934" spans="1:7" ht="12.75">
      <c r="A934" s="545"/>
      <c r="B934" s="545"/>
      <c r="C934" s="545"/>
      <c r="D934" s="545"/>
      <c r="E934" s="545"/>
      <c r="F934" s="545"/>
      <c r="G934" s="545"/>
    </row>
    <row r="935" spans="1:7" ht="12.75">
      <c r="A935" s="545"/>
      <c r="B935" s="545"/>
      <c r="C935" s="545"/>
      <c r="D935" s="545"/>
      <c r="E935" s="545"/>
      <c r="F935" s="545"/>
      <c r="G935" s="545"/>
    </row>
    <row r="936" spans="1:7" ht="12.75">
      <c r="A936" s="545"/>
      <c r="B936" s="545"/>
      <c r="C936" s="545"/>
      <c r="D936" s="545"/>
      <c r="E936" s="545"/>
      <c r="F936" s="545"/>
      <c r="G936" s="545"/>
    </row>
    <row r="937" spans="1:7" ht="12.75">
      <c r="A937" s="545"/>
      <c r="B937" s="545"/>
      <c r="C937" s="545"/>
      <c r="D937" s="545"/>
      <c r="E937" s="545"/>
      <c r="F937" s="545"/>
      <c r="G937" s="545"/>
    </row>
    <row r="938" spans="1:7" ht="12.75">
      <c r="A938" s="545"/>
      <c r="B938" s="545"/>
      <c r="C938" s="545"/>
      <c r="D938" s="545"/>
      <c r="E938" s="545"/>
      <c r="F938" s="545"/>
      <c r="G938" s="545"/>
    </row>
    <row r="939" spans="1:7" ht="12.75">
      <c r="A939" s="545"/>
      <c r="B939" s="545"/>
      <c r="C939" s="545"/>
      <c r="D939" s="545"/>
      <c r="E939" s="545"/>
      <c r="F939" s="545"/>
      <c r="G939" s="545"/>
    </row>
    <row r="940" spans="1:7" ht="12.75">
      <c r="A940" s="545"/>
      <c r="B940" s="545"/>
      <c r="C940" s="545"/>
      <c r="D940" s="545"/>
      <c r="E940" s="545"/>
      <c r="F940" s="545"/>
      <c r="G940" s="545"/>
    </row>
    <row r="941" spans="1:7" ht="12.75">
      <c r="A941" s="545"/>
      <c r="B941" s="545"/>
      <c r="C941" s="545"/>
      <c r="D941" s="545"/>
      <c r="E941" s="545"/>
      <c r="F941" s="545"/>
      <c r="G941" s="545"/>
    </row>
    <row r="942" spans="1:7" ht="12.75">
      <c r="A942" s="545"/>
      <c r="B942" s="545"/>
      <c r="C942" s="545"/>
      <c r="D942" s="545"/>
      <c r="E942" s="545"/>
      <c r="F942" s="545"/>
      <c r="G942" s="545"/>
    </row>
    <row r="943" spans="1:7" ht="12.75">
      <c r="A943" s="545"/>
      <c r="B943" s="545"/>
      <c r="C943" s="545"/>
      <c r="D943" s="545"/>
      <c r="E943" s="545"/>
      <c r="F943" s="545"/>
      <c r="G943" s="545"/>
    </row>
    <row r="944" spans="1:7" ht="12.75">
      <c r="A944" s="545"/>
      <c r="B944" s="545"/>
      <c r="C944" s="545"/>
      <c r="D944" s="545"/>
      <c r="E944" s="545"/>
      <c r="F944" s="545"/>
      <c r="G944" s="545"/>
    </row>
    <row r="945" spans="1:7" ht="12.75">
      <c r="A945" s="545"/>
      <c r="B945" s="545"/>
      <c r="C945" s="545"/>
      <c r="D945" s="545"/>
      <c r="E945" s="545"/>
      <c r="F945" s="545"/>
      <c r="G945" s="545"/>
    </row>
    <row r="946" spans="1:7" ht="12.75">
      <c r="A946" s="545"/>
      <c r="B946" s="545"/>
      <c r="C946" s="545"/>
      <c r="D946" s="545"/>
      <c r="E946" s="545"/>
      <c r="F946" s="545"/>
      <c r="G946" s="545"/>
    </row>
    <row r="947" spans="1:7" ht="12.75">
      <c r="A947" s="545"/>
      <c r="B947" s="545"/>
      <c r="C947" s="545"/>
      <c r="D947" s="545"/>
      <c r="E947" s="545"/>
      <c r="F947" s="545"/>
      <c r="G947" s="545"/>
    </row>
    <row r="948" spans="1:7" ht="12.75">
      <c r="A948" s="545"/>
      <c r="B948" s="545"/>
      <c r="C948" s="545"/>
      <c r="D948" s="545"/>
      <c r="E948" s="545"/>
      <c r="F948" s="545"/>
      <c r="G948" s="545"/>
    </row>
    <row r="949" spans="1:7" ht="12.75">
      <c r="A949" s="545"/>
      <c r="B949" s="545"/>
      <c r="C949" s="545"/>
      <c r="D949" s="545"/>
      <c r="E949" s="545"/>
      <c r="F949" s="545"/>
      <c r="G949" s="545"/>
    </row>
    <row r="950" spans="1:7" ht="12.75">
      <c r="A950" s="545"/>
      <c r="B950" s="545"/>
      <c r="C950" s="545"/>
      <c r="D950" s="545"/>
      <c r="E950" s="545"/>
      <c r="F950" s="545"/>
      <c r="G950" s="545"/>
    </row>
    <row r="951" spans="1:7" ht="12.75">
      <c r="A951" s="545"/>
      <c r="B951" s="545"/>
      <c r="C951" s="545"/>
      <c r="D951" s="545"/>
      <c r="E951" s="545"/>
      <c r="F951" s="545"/>
      <c r="G951" s="545"/>
    </row>
    <row r="952" spans="1:7" ht="12.75">
      <c r="A952" s="545"/>
      <c r="B952" s="545"/>
      <c r="C952" s="545"/>
      <c r="D952" s="545"/>
      <c r="E952" s="545"/>
      <c r="F952" s="545"/>
      <c r="G952" s="545"/>
    </row>
    <row r="953" spans="1:7" ht="12.75">
      <c r="A953" s="545"/>
      <c r="B953" s="545"/>
      <c r="C953" s="545"/>
      <c r="D953" s="545"/>
      <c r="E953" s="545"/>
      <c r="F953" s="545"/>
      <c r="G953" s="545"/>
    </row>
    <row r="954" spans="1:7" ht="12.75">
      <c r="A954" s="545"/>
      <c r="B954" s="545"/>
      <c r="C954" s="545"/>
      <c r="D954" s="545"/>
      <c r="E954" s="545"/>
      <c r="F954" s="545"/>
      <c r="G954" s="545"/>
    </row>
    <row r="955" spans="1:7" ht="12.75">
      <c r="A955" s="545"/>
      <c r="B955" s="545"/>
      <c r="C955" s="545"/>
      <c r="D955" s="545"/>
      <c r="E955" s="545"/>
      <c r="F955" s="545"/>
      <c r="G955" s="545"/>
    </row>
    <row r="956" spans="1:7" ht="12.75">
      <c r="A956" s="545"/>
      <c r="B956" s="545"/>
      <c r="C956" s="545"/>
      <c r="D956" s="545"/>
      <c r="E956" s="545"/>
      <c r="F956" s="545"/>
      <c r="G956" s="545"/>
    </row>
    <row r="957" spans="1:7" ht="12.75">
      <c r="A957" s="545"/>
      <c r="B957" s="545"/>
      <c r="C957" s="545"/>
      <c r="D957" s="545"/>
      <c r="E957" s="545"/>
      <c r="F957" s="545"/>
      <c r="G957" s="545"/>
    </row>
    <row r="958" spans="1:7" ht="12.75">
      <c r="A958" s="545"/>
      <c r="B958" s="545"/>
      <c r="C958" s="545"/>
      <c r="D958" s="545"/>
      <c r="E958" s="545"/>
      <c r="F958" s="545"/>
      <c r="G958" s="545"/>
    </row>
    <row r="959" spans="1:7" ht="12.75">
      <c r="A959" s="545"/>
      <c r="B959" s="545"/>
      <c r="C959" s="545"/>
      <c r="D959" s="545"/>
      <c r="E959" s="545"/>
      <c r="F959" s="545"/>
      <c r="G959" s="545"/>
    </row>
    <row r="960" spans="1:7" ht="12.75">
      <c r="A960" s="545"/>
      <c r="B960" s="545"/>
      <c r="C960" s="545"/>
      <c r="D960" s="545"/>
      <c r="E960" s="545"/>
      <c r="F960" s="545"/>
      <c r="G960" s="545"/>
    </row>
    <row r="961" spans="1:7" ht="12.75">
      <c r="A961" s="545"/>
      <c r="B961" s="545"/>
      <c r="C961" s="545"/>
      <c r="D961" s="545"/>
      <c r="E961" s="545"/>
      <c r="F961" s="545"/>
      <c r="G961" s="545"/>
    </row>
    <row r="962" spans="1:7" ht="12.75">
      <c r="A962" s="545"/>
      <c r="B962" s="545"/>
      <c r="C962" s="545"/>
      <c r="D962" s="545"/>
      <c r="E962" s="545"/>
      <c r="F962" s="545"/>
      <c r="G962" s="545"/>
    </row>
    <row r="963" spans="1:7" ht="12.75">
      <c r="A963" s="545"/>
      <c r="B963" s="545"/>
      <c r="C963" s="545"/>
      <c r="D963" s="545"/>
      <c r="E963" s="545"/>
      <c r="F963" s="545"/>
      <c r="G963" s="545"/>
    </row>
    <row r="964" spans="1:7" ht="12.75">
      <c r="A964" s="545"/>
      <c r="B964" s="545"/>
      <c r="C964" s="545"/>
      <c r="D964" s="545"/>
      <c r="E964" s="545"/>
      <c r="F964" s="545"/>
      <c r="G964" s="545"/>
    </row>
    <row r="965" spans="1:7" ht="12.75">
      <c r="A965" s="545"/>
      <c r="B965" s="545"/>
      <c r="C965" s="545"/>
      <c r="D965" s="545"/>
      <c r="E965" s="545"/>
      <c r="F965" s="545"/>
      <c r="G965" s="545"/>
    </row>
    <row r="966" spans="1:7" ht="12.75">
      <c r="A966" s="545"/>
      <c r="B966" s="545"/>
      <c r="C966" s="545"/>
      <c r="D966" s="545"/>
      <c r="E966" s="545"/>
      <c r="F966" s="545"/>
      <c r="G966" s="545"/>
    </row>
    <row r="967" spans="1:7" ht="12.75">
      <c r="A967" s="545"/>
      <c r="B967" s="545"/>
      <c r="C967" s="545"/>
      <c r="D967" s="545"/>
      <c r="E967" s="545"/>
      <c r="F967" s="545"/>
      <c r="G967" s="545"/>
    </row>
    <row r="968" spans="1:7" ht="12.75">
      <c r="A968" s="545"/>
      <c r="B968" s="545"/>
      <c r="C968" s="545"/>
      <c r="D968" s="545"/>
      <c r="E968" s="545"/>
      <c r="F968" s="545"/>
      <c r="G968" s="545"/>
    </row>
    <row r="969" spans="1:7" ht="12.75">
      <c r="A969" s="545"/>
      <c r="B969" s="545"/>
      <c r="C969" s="545"/>
      <c r="D969" s="545"/>
      <c r="E969" s="545"/>
      <c r="F969" s="545"/>
      <c r="G969" s="545"/>
    </row>
    <row r="970" spans="1:7" ht="12.75">
      <c r="A970" s="545"/>
      <c r="B970" s="545"/>
      <c r="C970" s="545"/>
      <c r="D970" s="545"/>
      <c r="E970" s="545"/>
      <c r="F970" s="545"/>
      <c r="G970" s="545"/>
    </row>
    <row r="971" spans="1:7" ht="12.75">
      <c r="A971" s="545"/>
      <c r="B971" s="545"/>
      <c r="C971" s="545"/>
      <c r="D971" s="545"/>
      <c r="E971" s="545"/>
      <c r="F971" s="545"/>
      <c r="G971" s="545"/>
    </row>
    <row r="972" spans="1:7" ht="12.75">
      <c r="A972" s="545"/>
      <c r="B972" s="545"/>
      <c r="C972" s="545"/>
      <c r="D972" s="545"/>
      <c r="E972" s="545"/>
      <c r="F972" s="545"/>
      <c r="G972" s="545"/>
    </row>
    <row r="973" spans="1:7" ht="12.75">
      <c r="A973" s="545"/>
      <c r="B973" s="545"/>
      <c r="C973" s="545"/>
      <c r="D973" s="545"/>
      <c r="E973" s="545"/>
      <c r="F973" s="545"/>
      <c r="G973" s="545"/>
    </row>
    <row r="974" spans="1:7" ht="12.75">
      <c r="A974" s="545"/>
      <c r="B974" s="545"/>
      <c r="C974" s="545"/>
      <c r="D974" s="545"/>
      <c r="E974" s="545"/>
      <c r="F974" s="545"/>
      <c r="G974" s="545"/>
    </row>
    <row r="975" spans="1:7" ht="12.75">
      <c r="A975" s="545"/>
      <c r="B975" s="545"/>
      <c r="C975" s="545"/>
      <c r="D975" s="545"/>
      <c r="E975" s="545"/>
      <c r="F975" s="545"/>
      <c r="G975" s="545"/>
    </row>
    <row r="976" spans="1:7" ht="12.75">
      <c r="A976" s="545"/>
      <c r="B976" s="545"/>
      <c r="C976" s="545"/>
      <c r="D976" s="545"/>
      <c r="E976" s="545"/>
      <c r="F976" s="545"/>
      <c r="G976" s="545"/>
    </row>
    <row r="977" spans="1:7" ht="12.75">
      <c r="A977" s="545"/>
      <c r="B977" s="545"/>
      <c r="C977" s="545"/>
      <c r="D977" s="545"/>
      <c r="E977" s="545"/>
      <c r="F977" s="545"/>
      <c r="G977" s="545"/>
    </row>
    <row r="978" spans="1:7" ht="12.75">
      <c r="A978" s="545"/>
      <c r="B978" s="545"/>
      <c r="C978" s="545"/>
      <c r="D978" s="545"/>
      <c r="E978" s="545"/>
      <c r="F978" s="545"/>
      <c r="G978" s="545"/>
    </row>
    <row r="979" spans="1:7" ht="12.75">
      <c r="A979" s="545"/>
      <c r="B979" s="545"/>
      <c r="C979" s="545"/>
      <c r="D979" s="545"/>
      <c r="E979" s="545"/>
      <c r="F979" s="545"/>
      <c r="G979" s="545"/>
    </row>
    <row r="980" spans="1:7" ht="12.75">
      <c r="A980" s="545"/>
      <c r="B980" s="545"/>
      <c r="C980" s="545"/>
      <c r="D980" s="545"/>
      <c r="E980" s="545"/>
      <c r="F980" s="545"/>
      <c r="G980" s="545"/>
    </row>
    <row r="981" spans="1:7" ht="12.75">
      <c r="A981" s="545"/>
      <c r="B981" s="545"/>
      <c r="C981" s="545"/>
      <c r="D981" s="545"/>
      <c r="E981" s="545"/>
      <c r="F981" s="545"/>
      <c r="G981" s="545"/>
    </row>
    <row r="982" spans="1:7" ht="12.75">
      <c r="A982" s="545"/>
      <c r="B982" s="545"/>
      <c r="C982" s="545"/>
      <c r="D982" s="545"/>
      <c r="E982" s="545"/>
      <c r="F982" s="545"/>
      <c r="G982" s="545"/>
    </row>
    <row r="983" spans="1:7" ht="12.75">
      <c r="A983" s="545"/>
      <c r="B983" s="545"/>
      <c r="C983" s="545"/>
      <c r="D983" s="545"/>
      <c r="E983" s="545"/>
      <c r="F983" s="545"/>
      <c r="G983" s="545"/>
    </row>
    <row r="984" spans="1:7" ht="12.75">
      <c r="A984" s="545"/>
      <c r="B984" s="545"/>
      <c r="C984" s="545"/>
      <c r="D984" s="545"/>
      <c r="E984" s="545"/>
      <c r="F984" s="545"/>
      <c r="G984" s="545"/>
    </row>
    <row r="985" spans="1:7" ht="12.75">
      <c r="A985" s="545"/>
      <c r="B985" s="545"/>
      <c r="C985" s="545"/>
      <c r="D985" s="545"/>
      <c r="E985" s="545"/>
      <c r="F985" s="545"/>
      <c r="G985" s="545"/>
    </row>
    <row r="986" spans="1:7" ht="12.75">
      <c r="A986" s="545"/>
      <c r="B986" s="545"/>
      <c r="C986" s="545"/>
      <c r="D986" s="545"/>
      <c r="E986" s="545"/>
      <c r="F986" s="545"/>
      <c r="G986" s="545"/>
    </row>
    <row r="987" spans="1:7" ht="12.75">
      <c r="A987" s="545"/>
      <c r="B987" s="545"/>
      <c r="C987" s="545"/>
      <c r="D987" s="545"/>
      <c r="E987" s="545"/>
      <c r="F987" s="545"/>
      <c r="G987" s="545"/>
    </row>
    <row r="988" spans="1:7" ht="12.75">
      <c r="A988" s="545"/>
      <c r="B988" s="545"/>
      <c r="C988" s="545"/>
      <c r="D988" s="545"/>
      <c r="E988" s="545"/>
      <c r="F988" s="545"/>
      <c r="G988" s="545"/>
    </row>
  </sheetData>
  <autoFilter ref="V1:V1000" xr:uid="{00000000-0009-0000-0000-000011000000}"/>
  <hyperlinks>
    <hyperlink ref="F2" r:id="rId1" xr:uid="{00000000-0004-0000-1100-000000000000}"/>
    <hyperlink ref="F3" r:id="rId2" xr:uid="{00000000-0004-0000-1100-000001000000}"/>
    <hyperlink ref="G3" r:id="rId3" xr:uid="{00000000-0004-0000-1100-000002000000}"/>
    <hyperlink ref="F4" r:id="rId4" xr:uid="{00000000-0004-0000-1100-000003000000}"/>
    <hyperlink ref="F5" r:id="rId5" xr:uid="{00000000-0004-0000-1100-000004000000}"/>
    <hyperlink ref="F8" r:id="rId6" xr:uid="{00000000-0004-0000-1100-000005000000}"/>
    <hyperlink ref="F9" r:id="rId7" xr:uid="{00000000-0004-0000-1100-000006000000}"/>
    <hyperlink ref="F12" r:id="rId8" xr:uid="{00000000-0004-0000-1100-000007000000}"/>
    <hyperlink ref="G12" r:id="rId9" xr:uid="{00000000-0004-0000-1100-000008000000}"/>
    <hyperlink ref="F13" r:id="rId10" xr:uid="{00000000-0004-0000-1100-000009000000}"/>
    <hyperlink ref="G16" r:id="rId11" xr:uid="{00000000-0004-0000-1100-00000A000000}"/>
    <hyperlink ref="F19" r:id="rId12" xr:uid="{00000000-0004-0000-1100-00000B000000}"/>
    <hyperlink ref="F22" r:id="rId13" xr:uid="{00000000-0004-0000-1100-00000C000000}"/>
    <hyperlink ref="F24" r:id="rId14" xr:uid="{00000000-0004-0000-1100-00000D000000}"/>
    <hyperlink ref="F29" r:id="rId15" xr:uid="{00000000-0004-0000-1100-00000E000000}"/>
    <hyperlink ref="F32" r:id="rId16" xr:uid="{00000000-0004-0000-1100-00000F000000}"/>
    <hyperlink ref="G34" r:id="rId17" xr:uid="{00000000-0004-0000-1100-000010000000}"/>
    <hyperlink ref="G37" r:id="rId18" xr:uid="{00000000-0004-0000-1100-000011000000}"/>
    <hyperlink ref="F41" r:id="rId19" xr:uid="{00000000-0004-0000-1100-000012000000}"/>
    <hyperlink ref="G41" r:id="rId20" xr:uid="{00000000-0004-0000-1100-000013000000}"/>
    <hyperlink ref="G47" r:id="rId21" xr:uid="{00000000-0004-0000-1100-000014000000}"/>
    <hyperlink ref="G48" r:id="rId22" xr:uid="{00000000-0004-0000-1100-000015000000}"/>
    <hyperlink ref="G49" r:id="rId23" xr:uid="{00000000-0004-0000-1100-000016000000}"/>
    <hyperlink ref="G51" r:id="rId24" xr:uid="{00000000-0004-0000-1100-000017000000}"/>
    <hyperlink ref="G53" r:id="rId25" xr:uid="{00000000-0004-0000-1100-000018000000}"/>
    <hyperlink ref="G54" r:id="rId26" xr:uid="{00000000-0004-0000-1100-000019000000}"/>
    <hyperlink ref="G56" r:id="rId27" xr:uid="{00000000-0004-0000-1100-00001A000000}"/>
    <hyperlink ref="G57" r:id="rId28" xr:uid="{00000000-0004-0000-1100-00001B000000}"/>
    <hyperlink ref="G58" r:id="rId29" xr:uid="{00000000-0004-0000-1100-00001C000000}"/>
    <hyperlink ref="G60" r:id="rId30" xr:uid="{00000000-0004-0000-1100-00001D000000}"/>
    <hyperlink ref="G62" r:id="rId31" xr:uid="{00000000-0004-0000-1100-00001E000000}"/>
    <hyperlink ref="G64" r:id="rId32" xr:uid="{00000000-0004-0000-1100-00001F000000}"/>
    <hyperlink ref="G65" r:id="rId33" xr:uid="{00000000-0004-0000-1100-000020000000}"/>
    <hyperlink ref="F66" r:id="rId34" xr:uid="{00000000-0004-0000-1100-000021000000}"/>
    <hyperlink ref="G66" r:id="rId35" xr:uid="{00000000-0004-0000-1100-000022000000}"/>
    <hyperlink ref="G67" r:id="rId36" xr:uid="{00000000-0004-0000-1100-000023000000}"/>
    <hyperlink ref="G71" r:id="rId37" xr:uid="{00000000-0004-0000-1100-000024000000}"/>
    <hyperlink ref="G83" r:id="rId38" xr:uid="{00000000-0004-0000-1100-000025000000}"/>
    <hyperlink ref="F94" r:id="rId39" xr:uid="{00000000-0004-0000-1100-000026000000}"/>
    <hyperlink ref="G94" r:id="rId40" xr:uid="{00000000-0004-0000-1100-00002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База викладачів</vt:lpstr>
      <vt:lpstr>З школи до Study</vt:lpstr>
      <vt:lpstr>База Students Care</vt:lpstr>
      <vt:lpstr>звільнено</vt:lpstr>
      <vt:lpstr>Старші викладачі</vt:lpstr>
      <vt:lpstr>Заміни 2.0</vt:lpstr>
      <vt:lpstr>База CE</vt:lpstr>
      <vt:lpstr>Привели учнів</vt:lpstr>
      <vt:lpstr>ОКЯ </vt:lpstr>
      <vt:lpstr>База сапортів</vt:lpstr>
      <vt:lpstr>Заміни</vt:lpstr>
      <vt:lpstr>Статистика вільних слотів</vt:lpstr>
      <vt:lpstr>Рейтинг викладачів</vt:lpstr>
      <vt:lpstr>Настройка</vt:lpstr>
      <vt:lpstr>Лист26</vt:lpstr>
      <vt:lpstr>Дропаут по курсам</vt:lpstr>
      <vt:lpstr>Настройка 2023</vt:lpstr>
      <vt:lpstr>Контакти викладачів(архів)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Миша Онищенко</cp:lastModifiedBy>
  <dcterms:modified xsi:type="dcterms:W3CDTF">2024-04-18T15:16:04Z</dcterms:modified>
</cp:coreProperties>
</file>